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K:\REGULATORY MATTERS 2009 FORWARD\20240025-Petition for Rate Case Increase\Discovery\OPC POD 1 (1-26)\Attachments\Q7\MFR E\"/>
    </mc:Choice>
  </mc:AlternateContent>
  <xr:revisionPtr revIDLastSave="0" documentId="13_ncr:1_{0786E6AD-B0A7-4AE1-9FCC-D518528D396D}" xr6:coauthVersionLast="47" xr6:coauthVersionMax="47" xr10:uidLastSave="{00000000-0000-0000-0000-000000000000}"/>
  <bookViews>
    <workbookView xWindow="-108" yWindow="-108" windowWidth="23256" windowHeight="12456" firstSheet="3" activeTab="3" xr2:uid="{C4825A59-3673-4DFB-9350-D28389D44C1A}"/>
  </bookViews>
  <sheets>
    <sheet name="E-1 (1A) - (2-4)" sheetId="31" state="hidden" r:id="rId1"/>
    <sheet name="MFR E-5 Yr4" sheetId="24" r:id="rId2"/>
    <sheet name="MFR E-6b" sheetId="27" r:id="rId3"/>
    <sheet name="MFR E-8" sheetId="36" r:id="rId4"/>
    <sheet name="E-8 (clause rev curr not filed)" sheetId="22" state="hidden" r:id="rId5"/>
    <sheet name="E-8 (clause rev forecast)" sheetId="40" state="hidden" r:id="rId6"/>
    <sheet name="Exhibit MJC-2 - Old E-8a" sheetId="2" r:id="rId7"/>
    <sheet name="MFR E-12" sheetId="5" r:id="rId8"/>
    <sheet name="MFR E-12 (2-4)" sheetId="32" state="hidden" r:id="rId9"/>
    <sheet name="Unbilled to E-13c" sheetId="41" state="hidden" r:id="rId10"/>
    <sheet name="MFR E-13a" sheetId="6" r:id="rId11"/>
    <sheet name="E-13c - prior to updates" sheetId="35" state="hidden" r:id="rId12"/>
    <sheet name="Exhibit MJC-3 - E-13c cal yr" sheetId="43" r:id="rId13"/>
    <sheet name="MFR E-13c" sheetId="4" r:id="rId14"/>
    <sheet name="MFR E-14" sheetId="7" r:id="rId15"/>
    <sheet name="MFR E-14A" sheetId="8" r:id="rId16"/>
    <sheet name="MFR E-14B" sheetId="9" r:id="rId17"/>
    <sheet name="MFR E-14C" sheetId="10" r:id="rId18"/>
    <sheet name="MFR E-14D1" sheetId="14" r:id="rId19"/>
    <sheet name="MFR E-14D2" sheetId="15" r:id="rId20"/>
    <sheet name="MFR E-14D3 (not filed)" sheetId="17" state="hidden" r:id="rId21"/>
    <sheet name="MFR E-14E" sheetId="11" r:id="rId22"/>
    <sheet name="MFR E-14G" sheetId="12" r:id="rId23"/>
    <sheet name="MFR E-14H" sheetId="13" r:id="rId24"/>
    <sheet name="BA-1 Rates Current" sheetId="23" state="hidden" r:id="rId25"/>
    <sheet name="BA-1 Rates Forecast" sheetId="39" state="hidden" r:id="rId26"/>
    <sheet name="TOU Split" sheetId="25" state="hidden" r:id="rId27"/>
    <sheet name="DVC" sheetId="28" state="hidden" r:id="rId28"/>
    <sheet name="EV Off-Pk" sheetId="33" state="hidden" r:id="rId29"/>
  </sheets>
  <definedNames>
    <definedName name="\a" localSheetId="27">#REF!</definedName>
    <definedName name="\a" localSheetId="0">#REF!</definedName>
    <definedName name="\a" localSheetId="8">#REF!</definedName>
    <definedName name="\a" localSheetId="14">#REF!</definedName>
    <definedName name="\a" localSheetId="15">#REF!</definedName>
    <definedName name="\a" localSheetId="16">#REF!</definedName>
    <definedName name="\a" localSheetId="21">#REF!</definedName>
    <definedName name="\a" localSheetId="22">#REF!</definedName>
    <definedName name="\a" localSheetId="23">#REF!</definedName>
    <definedName name="\a" localSheetId="1">#REF!</definedName>
    <definedName name="\a" localSheetId="9">#REF!</definedName>
    <definedName name="\a">#REF!</definedName>
    <definedName name="\b" localSheetId="27">#REF!</definedName>
    <definedName name="\b" localSheetId="0">#REF!</definedName>
    <definedName name="\b" localSheetId="8">#REF!</definedName>
    <definedName name="\b" localSheetId="14">#REF!</definedName>
    <definedName name="\b" localSheetId="15">#REF!</definedName>
    <definedName name="\b" localSheetId="16">#REF!</definedName>
    <definedName name="\b" localSheetId="21">#REF!</definedName>
    <definedName name="\b" localSheetId="22">#REF!</definedName>
    <definedName name="\b" localSheetId="23">#REF!</definedName>
    <definedName name="\b" localSheetId="1">#REF!</definedName>
    <definedName name="\b" localSheetId="9">#REF!</definedName>
    <definedName name="\b">#REF!</definedName>
    <definedName name="\bb" localSheetId="27">#REF!</definedName>
    <definedName name="\bb" localSheetId="0">#REF!</definedName>
    <definedName name="\bb" localSheetId="8">#REF!</definedName>
    <definedName name="\bb" localSheetId="14">#REF!</definedName>
    <definedName name="\bb" localSheetId="15">#REF!</definedName>
    <definedName name="\bb" localSheetId="16">#REF!</definedName>
    <definedName name="\bb" localSheetId="21">#REF!</definedName>
    <definedName name="\bb" localSheetId="22">#REF!</definedName>
    <definedName name="\bb" localSheetId="23">#REF!</definedName>
    <definedName name="\bb" localSheetId="1">#REF!</definedName>
    <definedName name="\bb" localSheetId="9">#REF!</definedName>
    <definedName name="\bb">#REF!</definedName>
    <definedName name="\c" localSheetId="27">#REF!</definedName>
    <definedName name="\c" localSheetId="14">#REF!</definedName>
    <definedName name="\c" localSheetId="15">#REF!</definedName>
    <definedName name="\c" localSheetId="16">#REF!</definedName>
    <definedName name="\c" localSheetId="21">#REF!</definedName>
    <definedName name="\c" localSheetId="22">#REF!</definedName>
    <definedName name="\c" localSheetId="23">#REF!</definedName>
    <definedName name="\c" localSheetId="1">#REF!</definedName>
    <definedName name="\c">#REF!</definedName>
    <definedName name="\D" localSheetId="27">#REF!</definedName>
    <definedName name="\D" localSheetId="14">#REF!</definedName>
    <definedName name="\D" localSheetId="15">#REF!</definedName>
    <definedName name="\D" localSheetId="16">#REF!</definedName>
    <definedName name="\D" localSheetId="21">#REF!</definedName>
    <definedName name="\D" localSheetId="22">#REF!</definedName>
    <definedName name="\D" localSheetId="23">#REF!</definedName>
    <definedName name="\D" localSheetId="1">#REF!</definedName>
    <definedName name="\D">#REF!</definedName>
    <definedName name="\DDDD" localSheetId="27">#REF!</definedName>
    <definedName name="\DDDD" localSheetId="14">#REF!</definedName>
    <definedName name="\DDDD" localSheetId="15">#REF!</definedName>
    <definedName name="\DDDD" localSheetId="16">#REF!</definedName>
    <definedName name="\DDDD" localSheetId="21">#REF!</definedName>
    <definedName name="\DDDD" localSheetId="22">#REF!</definedName>
    <definedName name="\DDDD" localSheetId="23">#REF!</definedName>
    <definedName name="\DDDD" localSheetId="1">#REF!</definedName>
    <definedName name="\DDDD">#REF!</definedName>
    <definedName name="\E" localSheetId="27">#REF!</definedName>
    <definedName name="\E" localSheetId="14">#REF!</definedName>
    <definedName name="\E" localSheetId="15">#REF!</definedName>
    <definedName name="\E" localSheetId="16">#REF!</definedName>
    <definedName name="\E" localSheetId="21">#REF!</definedName>
    <definedName name="\E" localSheetId="22">#REF!</definedName>
    <definedName name="\E" localSheetId="23">#REF!</definedName>
    <definedName name="\E" localSheetId="1">#REF!</definedName>
    <definedName name="\E">#REF!</definedName>
    <definedName name="\f" localSheetId="27">#REF!</definedName>
    <definedName name="\f" localSheetId="14">#REF!</definedName>
    <definedName name="\f" localSheetId="15">#REF!</definedName>
    <definedName name="\f" localSheetId="16">#REF!</definedName>
    <definedName name="\f" localSheetId="21">#REF!</definedName>
    <definedName name="\f" localSheetId="22">#REF!</definedName>
    <definedName name="\f" localSheetId="23">#REF!</definedName>
    <definedName name="\f" localSheetId="1">#REF!</definedName>
    <definedName name="\f">#REF!</definedName>
    <definedName name="\p" localSheetId="27">#REF!</definedName>
    <definedName name="\p" localSheetId="14">#REF!</definedName>
    <definedName name="\p" localSheetId="15">#REF!</definedName>
    <definedName name="\p" localSheetId="16">#REF!</definedName>
    <definedName name="\p" localSheetId="21">#REF!</definedName>
    <definedName name="\p" localSheetId="22">#REF!</definedName>
    <definedName name="\p" localSheetId="23">#REF!</definedName>
    <definedName name="\p" localSheetId="1">#REF!</definedName>
    <definedName name="\p">#REF!</definedName>
    <definedName name="\r" localSheetId="27">#REF!</definedName>
    <definedName name="\r" localSheetId="14">#REF!</definedName>
    <definedName name="\r" localSheetId="15">#REF!</definedName>
    <definedName name="\r" localSheetId="16">#REF!</definedName>
    <definedName name="\r" localSheetId="21">#REF!</definedName>
    <definedName name="\r" localSheetId="22">#REF!</definedName>
    <definedName name="\r" localSheetId="23">#REF!</definedName>
    <definedName name="\r" localSheetId="1">#REF!</definedName>
    <definedName name="\r">#REF!</definedName>
    <definedName name="\s" localSheetId="27">#REF!</definedName>
    <definedName name="\s" localSheetId="14">#REF!</definedName>
    <definedName name="\s" localSheetId="15">#REF!</definedName>
    <definedName name="\s" localSheetId="16">#REF!</definedName>
    <definedName name="\s" localSheetId="21">#REF!</definedName>
    <definedName name="\s" localSheetId="22">#REF!</definedName>
    <definedName name="\s" localSheetId="23">#REF!</definedName>
    <definedName name="\s" localSheetId="1">#REF!</definedName>
    <definedName name="\s">#REF!</definedName>
    <definedName name="\w" localSheetId="27">#REF!</definedName>
    <definedName name="\w" localSheetId="14">#REF!</definedName>
    <definedName name="\w" localSheetId="15">#REF!</definedName>
    <definedName name="\w" localSheetId="16">#REF!</definedName>
    <definedName name="\w" localSheetId="21">#REF!</definedName>
    <definedName name="\w" localSheetId="22">#REF!</definedName>
    <definedName name="\w" localSheetId="23">#REF!</definedName>
    <definedName name="\w" localSheetId="1">#REF!</definedName>
    <definedName name="\w">#REF!</definedName>
    <definedName name="____________fsd44" localSheetId="8" hidden="1">{#N/A,#N/A,FALSE,"Aging Summary";#N/A,#N/A,FALSE,"Ratio Analysis";#N/A,#N/A,FALSE,"Test 120 Day Accts";#N/A,#N/A,FALSE,"Tickmarks"}</definedName>
    <definedName name="____________fsd44" localSheetId="1" hidden="1">{#N/A,#N/A,FALSE,"Aging Summary";#N/A,#N/A,FALSE,"Ratio Analysis";#N/A,#N/A,FALSE,"Test 120 Day Accts";#N/A,#N/A,FALSE,"Tickmarks"}</definedName>
    <definedName name="____________fsd44" localSheetId="9" hidden="1">{#N/A,#N/A,FALSE,"Aging Summary";#N/A,#N/A,FALSE,"Ratio Analysis";#N/A,#N/A,FALSE,"Test 120 Day Accts";#N/A,#N/A,FALSE,"Tickmarks"}</definedName>
    <definedName name="____________fsd44" hidden="1">{#N/A,#N/A,FALSE,"Aging Summary";#N/A,#N/A,FALSE,"Ratio Analysis";#N/A,#N/A,FALSE,"Test 120 Day Accts";#N/A,#N/A,FALSE,"Tickmarks"}</definedName>
    <definedName name="__________fsd44" localSheetId="8" hidden="1">{#N/A,#N/A,FALSE,"Aging Summary";#N/A,#N/A,FALSE,"Ratio Analysis";#N/A,#N/A,FALSE,"Test 120 Day Accts";#N/A,#N/A,FALSE,"Tickmarks"}</definedName>
    <definedName name="__________fsd44" localSheetId="1" hidden="1">{#N/A,#N/A,FALSE,"Aging Summary";#N/A,#N/A,FALSE,"Ratio Analysis";#N/A,#N/A,FALSE,"Test 120 Day Accts";#N/A,#N/A,FALSE,"Tickmarks"}</definedName>
    <definedName name="__________fsd44" localSheetId="9" hidden="1">{#N/A,#N/A,FALSE,"Aging Summary";#N/A,#N/A,FALSE,"Ratio Analysis";#N/A,#N/A,FALSE,"Test 120 Day Accts";#N/A,#N/A,FALSE,"Tickmarks"}</definedName>
    <definedName name="__________fsd44" hidden="1">{#N/A,#N/A,FALSE,"Aging Summary";#N/A,#N/A,FALSE,"Ratio Analysis";#N/A,#N/A,FALSE,"Test 120 Day Accts";#N/A,#N/A,FALSE,"Tickmarks"}</definedName>
    <definedName name="_________x2" localSheetId="8" hidden="1">{"'Sheet1'!$A$1:$I$89"}</definedName>
    <definedName name="_________x2" localSheetId="1" hidden="1">{"'Sheet1'!$A$1:$I$89"}</definedName>
    <definedName name="_________x2" localSheetId="9" hidden="1">{"'Sheet1'!$A$1:$I$89"}</definedName>
    <definedName name="_________x2" hidden="1">{"'Sheet1'!$A$1:$I$89"}</definedName>
    <definedName name="_________x88888" localSheetId="8" hidden="1">{"'Sheet1'!$A$1:$I$89"}</definedName>
    <definedName name="_________x88888" localSheetId="1" hidden="1">{"'Sheet1'!$A$1:$I$89"}</definedName>
    <definedName name="_________x88888" localSheetId="9" hidden="1">{"'Sheet1'!$A$1:$I$89"}</definedName>
    <definedName name="_________x88888" hidden="1">{"'Sheet1'!$A$1:$I$89"}</definedName>
    <definedName name="________x2" localSheetId="8" hidden="1">{"'Sheet1'!$A$1:$I$89"}</definedName>
    <definedName name="________x2" localSheetId="1" hidden="1">{"'Sheet1'!$A$1:$I$89"}</definedName>
    <definedName name="________x2" localSheetId="9" hidden="1">{"'Sheet1'!$A$1:$I$89"}</definedName>
    <definedName name="________x2" hidden="1">{"'Sheet1'!$A$1:$I$89"}</definedName>
    <definedName name="________x88888" localSheetId="8" hidden="1">{"'Sheet1'!$A$1:$I$89"}</definedName>
    <definedName name="________x88888" localSheetId="1" hidden="1">{"'Sheet1'!$A$1:$I$89"}</definedName>
    <definedName name="________x88888" localSheetId="9" hidden="1">{"'Sheet1'!$A$1:$I$89"}</definedName>
    <definedName name="________x88888" hidden="1">{"'Sheet1'!$A$1:$I$89"}</definedName>
    <definedName name="_______fsd44" localSheetId="8" hidden="1">{#N/A,#N/A,FALSE,"Aging Summary";#N/A,#N/A,FALSE,"Ratio Analysis";#N/A,#N/A,FALSE,"Test 120 Day Accts";#N/A,#N/A,FALSE,"Tickmarks"}</definedName>
    <definedName name="_______fsd44" localSheetId="1" hidden="1">{#N/A,#N/A,FALSE,"Aging Summary";#N/A,#N/A,FALSE,"Ratio Analysis";#N/A,#N/A,FALSE,"Test 120 Day Accts";#N/A,#N/A,FALSE,"Tickmarks"}</definedName>
    <definedName name="_______fsd44" localSheetId="9" hidden="1">{#N/A,#N/A,FALSE,"Aging Summary";#N/A,#N/A,FALSE,"Ratio Analysis";#N/A,#N/A,FALSE,"Test 120 Day Accts";#N/A,#N/A,FALSE,"Tickmarks"}</definedName>
    <definedName name="_______fsd44" hidden="1">{#N/A,#N/A,FALSE,"Aging Summary";#N/A,#N/A,FALSE,"Ratio Analysis";#N/A,#N/A,FALSE,"Test 120 Day Accts";#N/A,#N/A,FALSE,"Tickmarks"}</definedName>
    <definedName name="_______PG1">#N/A</definedName>
    <definedName name="_______PG2">#N/A</definedName>
    <definedName name="_______PG3">#N/A</definedName>
    <definedName name="_______x2" localSheetId="8" hidden="1">{"'Sheet1'!$A$1:$I$89"}</definedName>
    <definedName name="_______x2" localSheetId="1" hidden="1">{"'Sheet1'!$A$1:$I$89"}</definedName>
    <definedName name="_______x2" localSheetId="9" hidden="1">{"'Sheet1'!$A$1:$I$89"}</definedName>
    <definedName name="_______x2" hidden="1">{"'Sheet1'!$A$1:$I$89"}</definedName>
    <definedName name="_______x88888" localSheetId="8" hidden="1">{"'Sheet1'!$A$1:$I$89"}</definedName>
    <definedName name="_______x88888" localSheetId="1" hidden="1">{"'Sheet1'!$A$1:$I$89"}</definedName>
    <definedName name="_______x88888" localSheetId="9" hidden="1">{"'Sheet1'!$A$1:$I$89"}</definedName>
    <definedName name="_______x88888" hidden="1">{"'Sheet1'!$A$1:$I$89"}</definedName>
    <definedName name="______fsd44" localSheetId="8" hidden="1">{#N/A,#N/A,FALSE,"Aging Summary";#N/A,#N/A,FALSE,"Ratio Analysis";#N/A,#N/A,FALSE,"Test 120 Day Accts";#N/A,#N/A,FALSE,"Tickmarks"}</definedName>
    <definedName name="______fsd44" localSheetId="1" hidden="1">{#N/A,#N/A,FALSE,"Aging Summary";#N/A,#N/A,FALSE,"Ratio Analysis";#N/A,#N/A,FALSE,"Test 120 Day Accts";#N/A,#N/A,FALSE,"Tickmarks"}</definedName>
    <definedName name="______fsd44" localSheetId="9" hidden="1">{#N/A,#N/A,FALSE,"Aging Summary";#N/A,#N/A,FALSE,"Ratio Analysis";#N/A,#N/A,FALSE,"Test 120 Day Accts";#N/A,#N/A,FALSE,"Tickmarks"}</definedName>
    <definedName name="______fsd44" hidden="1">{#N/A,#N/A,FALSE,"Aging Summary";#N/A,#N/A,FALSE,"Ratio Analysis";#N/A,#N/A,FALSE,"Test 120 Day Accts";#N/A,#N/A,FALSE,"Tickmarks"}</definedName>
    <definedName name="______kim1" localSheetId="8" hidden="1">{#N/A,#N/A,FALSE,"Aging Summary";#N/A,#N/A,FALSE,"Ratio Analysis";#N/A,#N/A,FALSE,"Test 120 Day Accts";#N/A,#N/A,FALSE,"Tickmarks"}</definedName>
    <definedName name="______kim1" localSheetId="1" hidden="1">{#N/A,#N/A,FALSE,"Aging Summary";#N/A,#N/A,FALSE,"Ratio Analysis";#N/A,#N/A,FALSE,"Test 120 Day Accts";#N/A,#N/A,FALSE,"Tickmarks"}</definedName>
    <definedName name="______kim1" localSheetId="9" hidden="1">{#N/A,#N/A,FALSE,"Aging Summary";#N/A,#N/A,FALSE,"Ratio Analysis";#N/A,#N/A,FALSE,"Test 120 Day Accts";#N/A,#N/A,FALSE,"Tickmarks"}</definedName>
    <definedName name="______kim1" hidden="1">{#N/A,#N/A,FALSE,"Aging Summary";#N/A,#N/A,FALSE,"Ratio Analysis";#N/A,#N/A,FALSE,"Test 120 Day Accts";#N/A,#N/A,FALSE,"Tickmarks"}</definedName>
    <definedName name="______kim6" localSheetId="8" hidden="1">{#N/A,#N/A,FALSE,"Aging Summary";#N/A,#N/A,FALSE,"Ratio Analysis";#N/A,#N/A,FALSE,"Test 120 Day Accts";#N/A,#N/A,FALSE,"Tickmarks"}</definedName>
    <definedName name="______kim6" localSheetId="1" hidden="1">{#N/A,#N/A,FALSE,"Aging Summary";#N/A,#N/A,FALSE,"Ratio Analysis";#N/A,#N/A,FALSE,"Test 120 Day Accts";#N/A,#N/A,FALSE,"Tickmarks"}</definedName>
    <definedName name="______kim6" localSheetId="9" hidden="1">{#N/A,#N/A,FALSE,"Aging Summary";#N/A,#N/A,FALSE,"Ratio Analysis";#N/A,#N/A,FALSE,"Test 120 Day Accts";#N/A,#N/A,FALSE,"Tickmarks"}</definedName>
    <definedName name="______kim6" hidden="1">{#N/A,#N/A,FALSE,"Aging Summary";#N/A,#N/A,FALSE,"Ratio Analysis";#N/A,#N/A,FALSE,"Test 120 Day Accts";#N/A,#N/A,FALSE,"Tickmarks"}</definedName>
    <definedName name="______PG1">#N/A</definedName>
    <definedName name="______PG2">#N/A</definedName>
    <definedName name="______PG3">#N/A</definedName>
    <definedName name="______x2" localSheetId="8" hidden="1">{"'Sheet1'!$A$1:$I$89"}</definedName>
    <definedName name="______x2" localSheetId="1" hidden="1">{"'Sheet1'!$A$1:$I$89"}</definedName>
    <definedName name="______x2" localSheetId="9" hidden="1">{"'Sheet1'!$A$1:$I$89"}</definedName>
    <definedName name="______x2" hidden="1">{"'Sheet1'!$A$1:$I$89"}</definedName>
    <definedName name="______x88888" localSheetId="8" hidden="1">{"'Sheet1'!$A$1:$I$89"}</definedName>
    <definedName name="______x88888" localSheetId="1" hidden="1">{"'Sheet1'!$A$1:$I$89"}</definedName>
    <definedName name="______x88888" localSheetId="9" hidden="1">{"'Sheet1'!$A$1:$I$89"}</definedName>
    <definedName name="______x88888" hidden="1">{"'Sheet1'!$A$1:$I$89"}</definedName>
    <definedName name="_____fsd44" localSheetId="8" hidden="1">{#N/A,#N/A,FALSE,"Aging Summary";#N/A,#N/A,FALSE,"Ratio Analysis";#N/A,#N/A,FALSE,"Test 120 Day Accts";#N/A,#N/A,FALSE,"Tickmarks"}</definedName>
    <definedName name="_____fsd44" localSheetId="1" hidden="1">{#N/A,#N/A,FALSE,"Aging Summary";#N/A,#N/A,FALSE,"Ratio Analysis";#N/A,#N/A,FALSE,"Test 120 Day Accts";#N/A,#N/A,FALSE,"Tickmarks"}</definedName>
    <definedName name="_____fsd44" localSheetId="9" hidden="1">{#N/A,#N/A,FALSE,"Aging Summary";#N/A,#N/A,FALSE,"Ratio Analysis";#N/A,#N/A,FALSE,"Test 120 Day Accts";#N/A,#N/A,FALSE,"Tickmarks"}</definedName>
    <definedName name="_____fsd44" hidden="1">{#N/A,#N/A,FALSE,"Aging Summary";#N/A,#N/A,FALSE,"Ratio Analysis";#N/A,#N/A,FALSE,"Test 120 Day Accts";#N/A,#N/A,FALSE,"Tickmarks"}</definedName>
    <definedName name="_____kim1" localSheetId="8" hidden="1">{#N/A,#N/A,FALSE,"Aging Summary";#N/A,#N/A,FALSE,"Ratio Analysis";#N/A,#N/A,FALSE,"Test 120 Day Accts";#N/A,#N/A,FALSE,"Tickmarks"}</definedName>
    <definedName name="_____kim1" localSheetId="1" hidden="1">{#N/A,#N/A,FALSE,"Aging Summary";#N/A,#N/A,FALSE,"Ratio Analysis";#N/A,#N/A,FALSE,"Test 120 Day Accts";#N/A,#N/A,FALSE,"Tickmarks"}</definedName>
    <definedName name="_____kim1" localSheetId="9" hidden="1">{#N/A,#N/A,FALSE,"Aging Summary";#N/A,#N/A,FALSE,"Ratio Analysis";#N/A,#N/A,FALSE,"Test 120 Day Accts";#N/A,#N/A,FALSE,"Tickmarks"}</definedName>
    <definedName name="_____kim1" hidden="1">{#N/A,#N/A,FALSE,"Aging Summary";#N/A,#N/A,FALSE,"Ratio Analysis";#N/A,#N/A,FALSE,"Test 120 Day Accts";#N/A,#N/A,FALSE,"Tickmarks"}</definedName>
    <definedName name="_____kim6" localSheetId="8" hidden="1">{#N/A,#N/A,FALSE,"Aging Summary";#N/A,#N/A,FALSE,"Ratio Analysis";#N/A,#N/A,FALSE,"Test 120 Day Accts";#N/A,#N/A,FALSE,"Tickmarks"}</definedName>
    <definedName name="_____kim6" localSheetId="1" hidden="1">{#N/A,#N/A,FALSE,"Aging Summary";#N/A,#N/A,FALSE,"Ratio Analysis";#N/A,#N/A,FALSE,"Test 120 Day Accts";#N/A,#N/A,FALSE,"Tickmarks"}</definedName>
    <definedName name="_____kim6" localSheetId="9" hidden="1">{#N/A,#N/A,FALSE,"Aging Summary";#N/A,#N/A,FALSE,"Ratio Analysis";#N/A,#N/A,FALSE,"Test 120 Day Accts";#N/A,#N/A,FALSE,"Tickmarks"}</definedName>
    <definedName name="_____kim6" hidden="1">{#N/A,#N/A,FALSE,"Aging Summary";#N/A,#N/A,FALSE,"Ratio Analysis";#N/A,#N/A,FALSE,"Test 120 Day Accts";#N/A,#N/A,FALSE,"Tickmarks"}</definedName>
    <definedName name="_____PG1">#N/A</definedName>
    <definedName name="_____PG2">#N/A</definedName>
    <definedName name="_____PG3">#N/A</definedName>
    <definedName name="_____x2" localSheetId="8" hidden="1">{"'Sheet1'!$A$1:$I$89"}</definedName>
    <definedName name="_____x2" localSheetId="1" hidden="1">{"'Sheet1'!$A$1:$I$89"}</definedName>
    <definedName name="_____x2" localSheetId="9" hidden="1">{"'Sheet1'!$A$1:$I$89"}</definedName>
    <definedName name="_____x2" hidden="1">{"'Sheet1'!$A$1:$I$89"}</definedName>
    <definedName name="_____x88888" localSheetId="8" hidden="1">{"'Sheet1'!$A$1:$I$89"}</definedName>
    <definedName name="_____x88888" localSheetId="1" hidden="1">{"'Sheet1'!$A$1:$I$89"}</definedName>
    <definedName name="_____x88888" localSheetId="9" hidden="1">{"'Sheet1'!$A$1:$I$89"}</definedName>
    <definedName name="_____x88888" hidden="1">{"'Sheet1'!$A$1:$I$89"}</definedName>
    <definedName name="____fsd44" localSheetId="8" hidden="1">{#N/A,#N/A,FALSE,"Aging Summary";#N/A,#N/A,FALSE,"Ratio Analysis";#N/A,#N/A,FALSE,"Test 120 Day Accts";#N/A,#N/A,FALSE,"Tickmarks"}</definedName>
    <definedName name="____fsd44" localSheetId="1" hidden="1">{#N/A,#N/A,FALSE,"Aging Summary";#N/A,#N/A,FALSE,"Ratio Analysis";#N/A,#N/A,FALSE,"Test 120 Day Accts";#N/A,#N/A,FALSE,"Tickmarks"}</definedName>
    <definedName name="____fsd44" localSheetId="9" hidden="1">{#N/A,#N/A,FALSE,"Aging Summary";#N/A,#N/A,FALSE,"Ratio Analysis";#N/A,#N/A,FALSE,"Test 120 Day Accts";#N/A,#N/A,FALSE,"Tickmarks"}</definedName>
    <definedName name="____fsd44" hidden="1">{#N/A,#N/A,FALSE,"Aging Summary";#N/A,#N/A,FALSE,"Ratio Analysis";#N/A,#N/A,FALSE,"Test 120 Day Accts";#N/A,#N/A,FALSE,"Tickmarks"}</definedName>
    <definedName name="____kim1" localSheetId="8" hidden="1">{#N/A,#N/A,FALSE,"Aging Summary";#N/A,#N/A,FALSE,"Ratio Analysis";#N/A,#N/A,FALSE,"Test 120 Day Accts";#N/A,#N/A,FALSE,"Tickmarks"}</definedName>
    <definedName name="____kim1" localSheetId="1" hidden="1">{#N/A,#N/A,FALSE,"Aging Summary";#N/A,#N/A,FALSE,"Ratio Analysis";#N/A,#N/A,FALSE,"Test 120 Day Accts";#N/A,#N/A,FALSE,"Tickmarks"}</definedName>
    <definedName name="____kim1" localSheetId="9" hidden="1">{#N/A,#N/A,FALSE,"Aging Summary";#N/A,#N/A,FALSE,"Ratio Analysis";#N/A,#N/A,FALSE,"Test 120 Day Accts";#N/A,#N/A,FALSE,"Tickmarks"}</definedName>
    <definedName name="____kim1" hidden="1">{#N/A,#N/A,FALSE,"Aging Summary";#N/A,#N/A,FALSE,"Ratio Analysis";#N/A,#N/A,FALSE,"Test 120 Day Accts";#N/A,#N/A,FALSE,"Tickmarks"}</definedName>
    <definedName name="____kim6" localSheetId="8" hidden="1">{#N/A,#N/A,FALSE,"Aging Summary";#N/A,#N/A,FALSE,"Ratio Analysis";#N/A,#N/A,FALSE,"Test 120 Day Accts";#N/A,#N/A,FALSE,"Tickmarks"}</definedName>
    <definedName name="____kim6" localSheetId="1" hidden="1">{#N/A,#N/A,FALSE,"Aging Summary";#N/A,#N/A,FALSE,"Ratio Analysis";#N/A,#N/A,FALSE,"Test 120 Day Accts";#N/A,#N/A,FALSE,"Tickmarks"}</definedName>
    <definedName name="____kim6" localSheetId="9" hidden="1">{#N/A,#N/A,FALSE,"Aging Summary";#N/A,#N/A,FALSE,"Ratio Analysis";#N/A,#N/A,FALSE,"Test 120 Day Accts";#N/A,#N/A,FALSE,"Tickmarks"}</definedName>
    <definedName name="____kim6" hidden="1">{#N/A,#N/A,FALSE,"Aging Summary";#N/A,#N/A,FALSE,"Ratio Analysis";#N/A,#N/A,FALSE,"Test 120 Day Accts";#N/A,#N/A,FALSE,"Tickmarks"}</definedName>
    <definedName name="____PG1">#N/A</definedName>
    <definedName name="____PG2">#N/A</definedName>
    <definedName name="____PG3">#N/A</definedName>
    <definedName name="____x2" localSheetId="8" hidden="1">{"'Sheet1'!$A$1:$I$89"}</definedName>
    <definedName name="____x2" localSheetId="1" hidden="1">{"'Sheet1'!$A$1:$I$89"}</definedName>
    <definedName name="____x2" localSheetId="9" hidden="1">{"'Sheet1'!$A$1:$I$89"}</definedName>
    <definedName name="____x2" hidden="1">{"'Sheet1'!$A$1:$I$89"}</definedName>
    <definedName name="____x88888" localSheetId="8" hidden="1">{"'Sheet1'!$A$1:$I$89"}</definedName>
    <definedName name="____x88888" localSheetId="1" hidden="1">{"'Sheet1'!$A$1:$I$89"}</definedName>
    <definedName name="____x88888" localSheetId="9" hidden="1">{"'Sheet1'!$A$1:$I$89"}</definedName>
    <definedName name="____x88888" hidden="1">{"'Sheet1'!$A$1:$I$89"}</definedName>
    <definedName name="___fsd44" localSheetId="8" hidden="1">{#N/A,#N/A,FALSE,"Aging Summary";#N/A,#N/A,FALSE,"Ratio Analysis";#N/A,#N/A,FALSE,"Test 120 Day Accts";#N/A,#N/A,FALSE,"Tickmarks"}</definedName>
    <definedName name="___fsd44" localSheetId="1" hidden="1">{#N/A,#N/A,FALSE,"Aging Summary";#N/A,#N/A,FALSE,"Ratio Analysis";#N/A,#N/A,FALSE,"Test 120 Day Accts";#N/A,#N/A,FALSE,"Tickmarks"}</definedName>
    <definedName name="___fsd44" localSheetId="9" hidden="1">{#N/A,#N/A,FALSE,"Aging Summary";#N/A,#N/A,FALSE,"Ratio Analysis";#N/A,#N/A,FALSE,"Test 120 Day Accts";#N/A,#N/A,FALSE,"Tickmarks"}</definedName>
    <definedName name="___fsd44" hidden="1">{#N/A,#N/A,FALSE,"Aging Summary";#N/A,#N/A,FALSE,"Ratio Analysis";#N/A,#N/A,FALSE,"Test 120 Day Accts";#N/A,#N/A,FALSE,"Tickmarks"}</definedName>
    <definedName name="___kim1" localSheetId="8" hidden="1">{#N/A,#N/A,FALSE,"Aging Summary";#N/A,#N/A,FALSE,"Ratio Analysis";#N/A,#N/A,FALSE,"Test 120 Day Accts";#N/A,#N/A,FALSE,"Tickmarks"}</definedName>
    <definedName name="___kim1" localSheetId="1" hidden="1">{#N/A,#N/A,FALSE,"Aging Summary";#N/A,#N/A,FALSE,"Ratio Analysis";#N/A,#N/A,FALSE,"Test 120 Day Accts";#N/A,#N/A,FALSE,"Tickmarks"}</definedName>
    <definedName name="___kim1" localSheetId="9" hidden="1">{#N/A,#N/A,FALSE,"Aging Summary";#N/A,#N/A,FALSE,"Ratio Analysis";#N/A,#N/A,FALSE,"Test 120 Day Accts";#N/A,#N/A,FALSE,"Tickmarks"}</definedName>
    <definedName name="___kim1" hidden="1">{#N/A,#N/A,FALSE,"Aging Summary";#N/A,#N/A,FALSE,"Ratio Analysis";#N/A,#N/A,FALSE,"Test 120 Day Accts";#N/A,#N/A,FALSE,"Tickmarks"}</definedName>
    <definedName name="___kim6" localSheetId="8" hidden="1">{#N/A,#N/A,FALSE,"Aging Summary";#N/A,#N/A,FALSE,"Ratio Analysis";#N/A,#N/A,FALSE,"Test 120 Day Accts";#N/A,#N/A,FALSE,"Tickmarks"}</definedName>
    <definedName name="___kim6" localSheetId="1" hidden="1">{#N/A,#N/A,FALSE,"Aging Summary";#N/A,#N/A,FALSE,"Ratio Analysis";#N/A,#N/A,FALSE,"Test 120 Day Accts";#N/A,#N/A,FALSE,"Tickmarks"}</definedName>
    <definedName name="___kim6" localSheetId="9" hidden="1">{#N/A,#N/A,FALSE,"Aging Summary";#N/A,#N/A,FALSE,"Ratio Analysis";#N/A,#N/A,FALSE,"Test 120 Day Accts";#N/A,#N/A,FALSE,"Tickmarks"}</definedName>
    <definedName name="___kim6" hidden="1">{#N/A,#N/A,FALSE,"Aging Summary";#N/A,#N/A,FALSE,"Ratio Analysis";#N/A,#N/A,FALSE,"Test 120 Day Accts";#N/A,#N/A,FALSE,"Tickmarks"}</definedName>
    <definedName name="___PG1">#N/A</definedName>
    <definedName name="___PG2">#N/A</definedName>
    <definedName name="___PG3" localSheetId="27">#REF!</definedName>
    <definedName name="___PG3" localSheetId="0">#REF!</definedName>
    <definedName name="___PG3" localSheetId="14">#REF!</definedName>
    <definedName name="___PG3" localSheetId="15">#REF!</definedName>
    <definedName name="___PG3" localSheetId="16">#REF!</definedName>
    <definedName name="___PG3" localSheetId="21">#REF!</definedName>
    <definedName name="___PG3" localSheetId="22">#REF!</definedName>
    <definedName name="___PG3" localSheetId="23">#REF!</definedName>
    <definedName name="___PG3" localSheetId="1">#REF!</definedName>
    <definedName name="___PG3">#N/A</definedName>
    <definedName name="___thinkcellREMAAAAAAAAEAAAARM3YEr2Vska_PC_IFuLITA" hidden="1">#REF!</definedName>
    <definedName name="___x2" localSheetId="8" hidden="1">{"'Sheet1'!$A$1:$I$89"}</definedName>
    <definedName name="___x2" localSheetId="1" hidden="1">{"'Sheet1'!$A$1:$I$89"}</definedName>
    <definedName name="___x2" localSheetId="9" hidden="1">{"'Sheet1'!$A$1:$I$89"}</definedName>
    <definedName name="___x2" hidden="1">{"'Sheet1'!$A$1:$I$89"}</definedName>
    <definedName name="___x88888" localSheetId="8" hidden="1">{"'Sheet1'!$A$1:$I$89"}</definedName>
    <definedName name="___x88888" localSheetId="1" hidden="1">{"'Sheet1'!$A$1:$I$89"}</definedName>
    <definedName name="___x88888" localSheetId="9" hidden="1">{"'Sheet1'!$A$1:$I$89"}</definedName>
    <definedName name="___x88888" hidden="1">{"'Sheet1'!$A$1:$I$89"}</definedName>
    <definedName name="__123Graph_A" hidden="1">#REF!</definedName>
    <definedName name="__123Graph_AScreenCrv" hidden="1">#REF!</definedName>
    <definedName name="__123Graph_B" hidden="1">#REF!</definedName>
    <definedName name="__123Graph_BScreenCrv" hidden="1">#REF!</definedName>
    <definedName name="__123Graph_C" hidden="1">#REF!</definedName>
    <definedName name="__123Graph_CScreenCrv" hidden="1">#REF!</definedName>
    <definedName name="__123Graph_D" hidden="1">#REF!</definedName>
    <definedName name="__123Graph_E" hidden="1">#REF!</definedName>
    <definedName name="__123Graph_F" localSheetId="8" hidden="1">#REF!</definedName>
    <definedName name="__123Graph_F" localSheetId="1" hidden="1">#REF!</definedName>
    <definedName name="__123Graph_F" localSheetId="9" hidden="1">#REF!</definedName>
    <definedName name="__123Graph_F" hidden="1">#REF!</definedName>
    <definedName name="__123Graph_X" localSheetId="8" hidden="1">#REF!</definedName>
    <definedName name="__123Graph_X" localSheetId="1" hidden="1">#REF!</definedName>
    <definedName name="__123Graph_X" localSheetId="9" hidden="1">#REF!</definedName>
    <definedName name="__123Graph_X" hidden="1">#REF!</definedName>
    <definedName name="__cp3" localSheetId="8" hidden="1">{#N/A,#N/A,FALSE,"ALLOC"}</definedName>
    <definedName name="__cp3" localSheetId="1" hidden="1">{#N/A,#N/A,FALSE,"ALLOC"}</definedName>
    <definedName name="__cp3" localSheetId="9" hidden="1">{#N/A,#N/A,FALSE,"ALLOC"}</definedName>
    <definedName name="__cp3" hidden="1">{#N/A,#N/A,FALSE,"ALLOC"}</definedName>
    <definedName name="__FDS_HYPERLINK_TOGGLE_STATE__" hidden="1">"ON"</definedName>
    <definedName name="__fsd44" localSheetId="8" hidden="1">{#N/A,#N/A,FALSE,"Aging Summary";#N/A,#N/A,FALSE,"Ratio Analysis";#N/A,#N/A,FALSE,"Test 120 Day Accts";#N/A,#N/A,FALSE,"Tickmarks"}</definedName>
    <definedName name="__fsd44" localSheetId="1" hidden="1">{#N/A,#N/A,FALSE,"Aging Summary";#N/A,#N/A,FALSE,"Ratio Analysis";#N/A,#N/A,FALSE,"Test 120 Day Accts";#N/A,#N/A,FALSE,"Tickmarks"}</definedName>
    <definedName name="__fsd44" localSheetId="9" hidden="1">{#N/A,#N/A,FALSE,"Aging Summary";#N/A,#N/A,FALSE,"Ratio Analysis";#N/A,#N/A,FALSE,"Test 120 Day Accts";#N/A,#N/A,FALSE,"Tickmarks"}</definedName>
    <definedName name="__fsd44" hidden="1">{#N/A,#N/A,FALSE,"Aging Summary";#N/A,#N/A,FALSE,"Ratio Analysis";#N/A,#N/A,FALSE,"Test 120 Day Accts";#N/A,#N/A,FALSE,"Tickmarks"}</definedName>
    <definedName name="__IntlFixup" hidden="1">TRUE</definedName>
    <definedName name="__key2" localSheetId="11" hidden="1">#REF!</definedName>
    <definedName name="__key2" localSheetId="12" hidden="1">#REF!</definedName>
    <definedName name="__key2" localSheetId="8" hidden="1">#REF!</definedName>
    <definedName name="__key2" localSheetId="13" hidden="1">#REF!</definedName>
    <definedName name="__key2" localSheetId="1" hidden="1">#REF!</definedName>
    <definedName name="__key2" localSheetId="9" hidden="1">#REF!</definedName>
    <definedName name="__key2" hidden="1">#REF!</definedName>
    <definedName name="__kim1" localSheetId="8" hidden="1">{#N/A,#N/A,FALSE,"Aging Summary";#N/A,#N/A,FALSE,"Ratio Analysis";#N/A,#N/A,FALSE,"Test 120 Day Accts";#N/A,#N/A,FALSE,"Tickmarks"}</definedName>
    <definedName name="__kim1" localSheetId="1" hidden="1">{#N/A,#N/A,FALSE,"Aging Summary";#N/A,#N/A,FALSE,"Ratio Analysis";#N/A,#N/A,FALSE,"Test 120 Day Accts";#N/A,#N/A,FALSE,"Tickmarks"}</definedName>
    <definedName name="__kim1" localSheetId="9" hidden="1">{#N/A,#N/A,FALSE,"Aging Summary";#N/A,#N/A,FALSE,"Ratio Analysis";#N/A,#N/A,FALSE,"Test 120 Day Accts";#N/A,#N/A,FALSE,"Tickmarks"}</definedName>
    <definedName name="__kim1" hidden="1">{#N/A,#N/A,FALSE,"Aging Summary";#N/A,#N/A,FALSE,"Ratio Analysis";#N/A,#N/A,FALSE,"Test 120 Day Accts";#N/A,#N/A,FALSE,"Tickmarks"}</definedName>
    <definedName name="__kim6" localSheetId="8" hidden="1">{#N/A,#N/A,FALSE,"Aging Summary";#N/A,#N/A,FALSE,"Ratio Analysis";#N/A,#N/A,FALSE,"Test 120 Day Accts";#N/A,#N/A,FALSE,"Tickmarks"}</definedName>
    <definedName name="__kim6" localSheetId="1" hidden="1">{#N/A,#N/A,FALSE,"Aging Summary";#N/A,#N/A,FALSE,"Ratio Analysis";#N/A,#N/A,FALSE,"Test 120 Day Accts";#N/A,#N/A,FALSE,"Tickmarks"}</definedName>
    <definedName name="__kim6" localSheetId="9" hidden="1">{#N/A,#N/A,FALSE,"Aging Summary";#N/A,#N/A,FALSE,"Ratio Analysis";#N/A,#N/A,FALSE,"Test 120 Day Accts";#N/A,#N/A,FALSE,"Tickmarks"}</definedName>
    <definedName name="__kim6" hidden="1">{#N/A,#N/A,FALSE,"Aging Summary";#N/A,#N/A,FALSE,"Ratio Analysis";#N/A,#N/A,FALSE,"Test 120 Day Accts";#N/A,#N/A,FALSE,"Tickmarks"}</definedName>
    <definedName name="__PG1" localSheetId="27">#REF!</definedName>
    <definedName name="__PG1" localSheetId="0">#REF!</definedName>
    <definedName name="__PG1" localSheetId="14">#REF!</definedName>
    <definedName name="__PG1" localSheetId="15">#REF!</definedName>
    <definedName name="__PG1" localSheetId="16">#REF!</definedName>
    <definedName name="__PG1" localSheetId="21">#REF!</definedName>
    <definedName name="__PG1" localSheetId="22">#REF!</definedName>
    <definedName name="__PG1" localSheetId="23">#REF!</definedName>
    <definedName name="__PG1" localSheetId="1">#REF!</definedName>
    <definedName name="__PG1">#N/A</definedName>
    <definedName name="__PG2" localSheetId="27">#REF!</definedName>
    <definedName name="__PG2" localSheetId="0">#REF!</definedName>
    <definedName name="__PG2" localSheetId="14">#REF!</definedName>
    <definedName name="__PG2" localSheetId="15">#REF!</definedName>
    <definedName name="__PG2" localSheetId="16">#REF!</definedName>
    <definedName name="__PG2" localSheetId="21">#REF!</definedName>
    <definedName name="__PG2" localSheetId="22">#REF!</definedName>
    <definedName name="__PG2" localSheetId="23">#REF!</definedName>
    <definedName name="__PG2" localSheetId="1">#REF!</definedName>
    <definedName name="__PG2">#N/A</definedName>
    <definedName name="__PG3" localSheetId="27">#REF!</definedName>
    <definedName name="__PG3" localSheetId="0">#REF!</definedName>
    <definedName name="__PG3" localSheetId="14">#REF!</definedName>
    <definedName name="__PG3" localSheetId="15">#REF!</definedName>
    <definedName name="__PG3" localSheetId="16">#REF!</definedName>
    <definedName name="__PG3" localSheetId="21">#REF!</definedName>
    <definedName name="__PG3" localSheetId="22">#REF!</definedName>
    <definedName name="__PG3" localSheetId="23">#REF!</definedName>
    <definedName name="__PG3" localSheetId="1">#REF!</definedName>
    <definedName name="__PG3">#N/A</definedName>
    <definedName name="__PG4" localSheetId="27">#REF!</definedName>
    <definedName name="__PG4" localSheetId="8">#REF!</definedName>
    <definedName name="__PG4" localSheetId="14">#REF!</definedName>
    <definedName name="__PG4" localSheetId="15">#REF!</definedName>
    <definedName name="__PG4" localSheetId="16">#REF!</definedName>
    <definedName name="__PG4" localSheetId="21">#REF!</definedName>
    <definedName name="__PG4" localSheetId="22">#REF!</definedName>
    <definedName name="__PG4" localSheetId="23">#REF!</definedName>
    <definedName name="__PG4" localSheetId="1">#REF!</definedName>
    <definedName name="__PG4" localSheetId="9">#REF!</definedName>
    <definedName name="__PG4">#REF!</definedName>
    <definedName name="__PG5" localSheetId="27">#REF!</definedName>
    <definedName name="__PG5" localSheetId="8">#REF!</definedName>
    <definedName name="__PG5" localSheetId="14">#REF!</definedName>
    <definedName name="__PG5" localSheetId="15">#REF!</definedName>
    <definedName name="__PG5" localSheetId="16">#REF!</definedName>
    <definedName name="__PG5" localSheetId="21">#REF!</definedName>
    <definedName name="__PG5" localSheetId="22">#REF!</definedName>
    <definedName name="__PG5" localSheetId="23">#REF!</definedName>
    <definedName name="__PG5" localSheetId="1">#REF!</definedName>
    <definedName name="__PG5" localSheetId="9">#REF!</definedName>
    <definedName name="__PG5">#REF!</definedName>
    <definedName name="__x2" localSheetId="8" hidden="1">{"'Sheet1'!$A$1:$I$89"}</definedName>
    <definedName name="__x2" localSheetId="1" hidden="1">{"'Sheet1'!$A$1:$I$89"}</definedName>
    <definedName name="__x2" localSheetId="9" hidden="1">{"'Sheet1'!$A$1:$I$89"}</definedName>
    <definedName name="__x2" hidden="1">{"'Sheet1'!$A$1:$I$89"}</definedName>
    <definedName name="__x88888" localSheetId="8" hidden="1">{"'Sheet1'!$A$1:$I$89"}</definedName>
    <definedName name="__x88888" localSheetId="1" hidden="1">{"'Sheet1'!$A$1:$I$89"}</definedName>
    <definedName name="__x88888" localSheetId="9" hidden="1">{"'Sheet1'!$A$1:$I$89"}</definedName>
    <definedName name="__x88888" hidden="1">{"'Sheet1'!$A$1:$I$89"}</definedName>
    <definedName name="__yr01" localSheetId="0">#REF!</definedName>
    <definedName name="__yr01">#REF!</definedName>
    <definedName name="__yr02" localSheetId="0">#REF!</definedName>
    <definedName name="__yr02">#REF!</definedName>
    <definedName name="__yr03" localSheetId="0">#REF!</definedName>
    <definedName name="__yr03">#REF!</definedName>
    <definedName name="__yr04" localSheetId="0">#REF!</definedName>
    <definedName name="__yr04">#REF!</definedName>
    <definedName name="__yr05" localSheetId="0">#REF!</definedName>
    <definedName name="__yr05">#REF!</definedName>
    <definedName name="__yr06" localSheetId="0">#REF!</definedName>
    <definedName name="__yr06">#REF!</definedName>
    <definedName name="__yr07" localSheetId="0">#REF!</definedName>
    <definedName name="__yr07">#REF!</definedName>
    <definedName name="__yr08" localSheetId="0">#REF!</definedName>
    <definedName name="__yr08">#REF!</definedName>
    <definedName name="__yr09" localSheetId="0">#REF!</definedName>
    <definedName name="__yr09">#REF!</definedName>
    <definedName name="__yr10" localSheetId="0">#REF!</definedName>
    <definedName name="__yr10">#REF!</definedName>
    <definedName name="__yr11" localSheetId="0">#REF!</definedName>
    <definedName name="__yr11">#REF!</definedName>
    <definedName name="__yr12" localSheetId="0">#REF!</definedName>
    <definedName name="__yr12">#REF!</definedName>
    <definedName name="__yr13" localSheetId="0">#REF!</definedName>
    <definedName name="__yr13">#REF!</definedName>
    <definedName name="__yr14" localSheetId="0">#REF!</definedName>
    <definedName name="__yr14">#REF!</definedName>
    <definedName name="__yr15" localSheetId="0">#REF!</definedName>
    <definedName name="__yr15">#REF!</definedName>
    <definedName name="__yr16" localSheetId="0">#REF!</definedName>
    <definedName name="__yr16">#REF!</definedName>
    <definedName name="__yr17" localSheetId="0">#REF!</definedName>
    <definedName name="__yr17">#REF!</definedName>
    <definedName name="__yr18" localSheetId="0">#REF!</definedName>
    <definedName name="__yr18">#REF!</definedName>
    <definedName name="__yr19" localSheetId="0">#REF!</definedName>
    <definedName name="__yr19">#REF!</definedName>
    <definedName name="__YR2" localSheetId="0">#REF!</definedName>
    <definedName name="__YR2">#REF!</definedName>
    <definedName name="__yr20" localSheetId="0">#REF!</definedName>
    <definedName name="__yr20">#REF!</definedName>
    <definedName name="__yr21" localSheetId="0">#REF!</definedName>
    <definedName name="__yr21">#REF!</definedName>
    <definedName name="__YR3" localSheetId="0">#REF!</definedName>
    <definedName name="__YR3">#REF!</definedName>
    <definedName name="__YR4" localSheetId="0">#REF!</definedName>
    <definedName name="__YR4">#REF!</definedName>
    <definedName name="__YR5" localSheetId="0">#REF!</definedName>
    <definedName name="__YR5">#REF!</definedName>
    <definedName name="__YR6" localSheetId="0">#REF!</definedName>
    <definedName name="__YR6">#REF!</definedName>
    <definedName name="__yr98" localSheetId="0">#REF!</definedName>
    <definedName name="__yr98">#REF!</definedName>
    <definedName name="__yr99" localSheetId="0">#REF!</definedName>
    <definedName name="__yr99">#REF!</definedName>
    <definedName name="_1__123Graph_ACHART_4" hidden="1">#REF!</definedName>
    <definedName name="_11__123Graph_LBL_BCHART_1" hidden="1">#REF!</definedName>
    <definedName name="_12__123Graph_BCHART_4" hidden="1">#REF!</definedName>
    <definedName name="_12__123Graph_LBL_CCHART_1" hidden="1">#REF!</definedName>
    <definedName name="_123Graph_F1" localSheetId="8" hidden="1">#REF!</definedName>
    <definedName name="_123Graph_F1" localSheetId="1" hidden="1">#REF!</definedName>
    <definedName name="_123Graph_F1" localSheetId="9" hidden="1">#REF!</definedName>
    <definedName name="_123Graph_F1" hidden="1">#REF!</definedName>
    <definedName name="_13__123Graph_XCHART_1" hidden="1">#REF!</definedName>
    <definedName name="_16__123Graph_CCHART_4" hidden="1">#REF!</definedName>
    <definedName name="_1995RET" localSheetId="8">#REF!</definedName>
    <definedName name="_1995RET" localSheetId="1">#REF!</definedName>
    <definedName name="_1995RET" localSheetId="9">#REF!</definedName>
    <definedName name="_1995RET">#REF!</definedName>
    <definedName name="_1996AMORT" localSheetId="8">#REF!</definedName>
    <definedName name="_1996AMORT" localSheetId="1">#REF!</definedName>
    <definedName name="_1996AMORT" localSheetId="9">#REF!</definedName>
    <definedName name="_1996AMORT">#REF!</definedName>
    <definedName name="_1996RET" localSheetId="8">#REF!</definedName>
    <definedName name="_1996RET" localSheetId="1">#REF!</definedName>
    <definedName name="_1996RET" localSheetId="9">#REF!</definedName>
    <definedName name="_1996RET">#REF!</definedName>
    <definedName name="_1997AMORT" localSheetId="1">#REF!</definedName>
    <definedName name="_1997AMORT">#REF!</definedName>
    <definedName name="_1997RETAMORT" localSheetId="1">#REF!</definedName>
    <definedName name="_1997RETAMORT">#REF!</definedName>
    <definedName name="_2__123Graph_AChart_1A" hidden="1">#REF!</definedName>
    <definedName name="_2__123Graph_BCHART_1" hidden="1">#REF!</definedName>
    <definedName name="_2__123Graph_BCHART_4" hidden="1">#REF!</definedName>
    <definedName name="_3__123Graph_AChart_2A" hidden="1">#REF!</definedName>
    <definedName name="_3__123Graph_BCHART_1" hidden="1">#REF!</definedName>
    <definedName name="_3__123Graph_CCHART_1" hidden="1">#REF!</definedName>
    <definedName name="_3__123Graph_CCHART_4" hidden="1">#REF!</definedName>
    <definedName name="_4__123Graph_BCHART_1" hidden="1">#REF!</definedName>
    <definedName name="_4__123Graph_CCHART_1" hidden="1">#REF!</definedName>
    <definedName name="_4__123Graph_XChart_1A" hidden="1">#REF!</definedName>
    <definedName name="_5__123Graph_CCHART_1" hidden="1">#REF!</definedName>
    <definedName name="_5__123Graph_LBL_BCHART_1" hidden="1">#REF!</definedName>
    <definedName name="_5__123Graph_XChart_2A" hidden="1">#REF!</definedName>
    <definedName name="_6__123Graph_LBL_BCHART_1" hidden="1">#REF!</definedName>
    <definedName name="_6__123Graph_LBL_CCHART_1" hidden="1">#REF!</definedName>
    <definedName name="_7__123Graph_BCHART_1" hidden="1">#REF!</definedName>
    <definedName name="_7__123Graph_LBL_BCHART_1" hidden="1">#REF!</definedName>
    <definedName name="_7__123Graph_LBL_CCHART_1" hidden="1">#REF!</definedName>
    <definedName name="_7__123Graph_XCHART_1" hidden="1">#REF!</definedName>
    <definedName name="_8__123Graph_ACHART_4" hidden="1">#REF!</definedName>
    <definedName name="_8__123Graph_CCHART_1" hidden="1">#REF!</definedName>
    <definedName name="_8__123Graph_LBL_CCHART_1" hidden="1">#REF!</definedName>
    <definedName name="_8__123Graph_XCHART_1" hidden="1">#REF!</definedName>
    <definedName name="_9__123Graph_XCHART_1" hidden="1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C1_COL1">#REF!</definedName>
    <definedName name="_CMI2002">#REF!</definedName>
    <definedName name="_CMI2003">#REF!</definedName>
    <definedName name="_CMI2004">#REF!</definedName>
    <definedName name="_Dist_Bin" localSheetId="8" hidden="1">#REF!</definedName>
    <definedName name="_Dist_Bin" localSheetId="1" hidden="1">#REF!</definedName>
    <definedName name="_Dist_Bin" localSheetId="9" hidden="1">#REF!</definedName>
    <definedName name="_Dist_Bin" hidden="1">#REF!</definedName>
    <definedName name="_Dist_Values" localSheetId="8" hidden="1">#REF!</definedName>
    <definedName name="_Dist_Values" localSheetId="1" hidden="1">#REF!</definedName>
    <definedName name="_Dist_Values" localSheetId="9" hidden="1">#REF!</definedName>
    <definedName name="_Dist_Values" hidden="1">#REF!</definedName>
    <definedName name="_DOT2003">#REF!</definedName>
    <definedName name="_Fill" localSheetId="27" hidden="1">#REF!</definedName>
    <definedName name="_Fill" localSheetId="0" hidden="1">#REF!</definedName>
    <definedName name="_Fill" localSheetId="11" hidden="1">#REF!</definedName>
    <definedName name="_Fill" localSheetId="12" hidden="1">#REF!</definedName>
    <definedName name="_Fill" localSheetId="8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21" hidden="1">#REF!</definedName>
    <definedName name="_Fill" localSheetId="22" hidden="1">#REF!</definedName>
    <definedName name="_Fill" localSheetId="23" hidden="1">#REF!</definedName>
    <definedName name="_Fill" localSheetId="1" hidden="1">#REF!</definedName>
    <definedName name="_Fill" localSheetId="9" hidden="1">#REF!</definedName>
    <definedName name="_Fill" hidden="1">#REF!</definedName>
    <definedName name="_fsd44" localSheetId="8" hidden="1">{#N/A,#N/A,FALSE,"Aging Summary";#N/A,#N/A,FALSE,"Ratio Analysis";#N/A,#N/A,FALSE,"Test 120 Day Accts";#N/A,#N/A,FALSE,"Tickmarks"}</definedName>
    <definedName name="_fsd44" localSheetId="1" hidden="1">{#N/A,#N/A,FALSE,"Aging Summary";#N/A,#N/A,FALSE,"Ratio Analysis";#N/A,#N/A,FALSE,"Test 120 Day Accts";#N/A,#N/A,FALSE,"Tickmarks"}</definedName>
    <definedName name="_fsd44" localSheetId="9" hidden="1">{#N/A,#N/A,FALSE,"Aging Summary";#N/A,#N/A,FALSE,"Ratio Analysis";#N/A,#N/A,FALSE,"Test 120 Day Accts";#N/A,#N/A,FALSE,"Tickmarks"}</definedName>
    <definedName name="_fsd44" hidden="1">{#N/A,#N/A,FALSE,"Aging Summary";#N/A,#N/A,FALSE,"Ratio Analysis";#N/A,#N/A,FALSE,"Test 120 Day Accts";#N/A,#N/A,FALSE,"Tickmarks"}</definedName>
    <definedName name="_Key1" localSheetId="27" hidden="1">#REF!</definedName>
    <definedName name="_Key1" localSheetId="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21" hidden="1">#REF!</definedName>
    <definedName name="_Key1" localSheetId="22" hidden="1">#REF!</definedName>
    <definedName name="_Key1" localSheetId="23" hidden="1">#REF!</definedName>
    <definedName name="_Key1" localSheetId="1" hidden="1">#REF!</definedName>
    <definedName name="_Key1" hidden="1">#REF!</definedName>
    <definedName name="_Key2" localSheetId="27" hidden="1">#REF!</definedName>
    <definedName name="_Key2" localSheetId="0" hidden="1">#REF!</definedName>
    <definedName name="_Key2" localSheetId="11" hidden="1">#REF!</definedName>
    <definedName name="_Key2" localSheetId="12" hidden="1">#REF!</definedName>
    <definedName name="_Key2" localSheetId="8" hidden="1">#REF!</definedName>
    <definedName name="_Key2" localSheetId="13" hidden="1">#REF!</definedName>
    <definedName name="_Key2" localSheetId="14" hidden="1">#REF!</definedName>
    <definedName name="_Key2" localSheetId="15" hidden="1">#REF!</definedName>
    <definedName name="_Key2" localSheetId="16" hidden="1">#REF!</definedName>
    <definedName name="_Key2" localSheetId="21" hidden="1">#REF!</definedName>
    <definedName name="_Key2" localSheetId="22" hidden="1">#REF!</definedName>
    <definedName name="_Key2" localSheetId="23" hidden="1">#REF!</definedName>
    <definedName name="_Key2" localSheetId="1" hidden="1">#REF!</definedName>
    <definedName name="_Key2" localSheetId="9" hidden="1">#REF!</definedName>
    <definedName name="_Key2" hidden="1">#REF!</definedName>
    <definedName name="_kim1" localSheetId="8" hidden="1">{#N/A,#N/A,FALSE,"Aging Summary";#N/A,#N/A,FALSE,"Ratio Analysis";#N/A,#N/A,FALSE,"Test 120 Day Accts";#N/A,#N/A,FALSE,"Tickmarks"}</definedName>
    <definedName name="_kim1" localSheetId="1" hidden="1">{#N/A,#N/A,FALSE,"Aging Summary";#N/A,#N/A,FALSE,"Ratio Analysis";#N/A,#N/A,FALSE,"Test 120 Day Accts";#N/A,#N/A,FALSE,"Tickmarks"}</definedName>
    <definedName name="_kim1" localSheetId="9" hidden="1">{#N/A,#N/A,FALSE,"Aging Summary";#N/A,#N/A,FALSE,"Ratio Analysis";#N/A,#N/A,FALSE,"Test 120 Day Accts";#N/A,#N/A,FALSE,"Tickmarks"}</definedName>
    <definedName name="_kim1" hidden="1">{#N/A,#N/A,FALSE,"Aging Summary";#N/A,#N/A,FALSE,"Ratio Analysis";#N/A,#N/A,FALSE,"Test 120 Day Accts";#N/A,#N/A,FALSE,"Tickmarks"}</definedName>
    <definedName name="_kim6" localSheetId="8" hidden="1">{#N/A,#N/A,FALSE,"Aging Summary";#N/A,#N/A,FALSE,"Ratio Analysis";#N/A,#N/A,FALSE,"Test 120 Day Accts";#N/A,#N/A,FALSE,"Tickmarks"}</definedName>
    <definedName name="_kim6" localSheetId="1" hidden="1">{#N/A,#N/A,FALSE,"Aging Summary";#N/A,#N/A,FALSE,"Ratio Analysis";#N/A,#N/A,FALSE,"Test 120 Day Accts";#N/A,#N/A,FALSE,"Tickmarks"}</definedName>
    <definedName name="_kim6" localSheetId="9" hidden="1">{#N/A,#N/A,FALSE,"Aging Summary";#N/A,#N/A,FALSE,"Ratio Analysis";#N/A,#N/A,FALSE,"Test 120 Day Accts";#N/A,#N/A,FALSE,"Tickmarks"}</definedName>
    <definedName name="_kim6" hidden="1">{#N/A,#N/A,FALSE,"Aging Summary";#N/A,#N/A,FALSE,"Ratio Analysis";#N/A,#N/A,FALSE,"Test 120 Day Accts";#N/A,#N/A,FALSE,"Tickmarks"}</definedName>
    <definedName name="_Map1" localSheetId="8">#REF!</definedName>
    <definedName name="_Map1" localSheetId="1">#REF!</definedName>
    <definedName name="_Map1" localSheetId="9">#REF!</definedName>
    <definedName name="_Map1">#REF!</definedName>
    <definedName name="_MatMult_A" localSheetId="8" hidden="1">#REF!</definedName>
    <definedName name="_MatMult_A" localSheetId="1" hidden="1">#REF!</definedName>
    <definedName name="_MatMult_A" localSheetId="9" hidden="1">#REF!</definedName>
    <definedName name="_MatMult_A" hidden="1">#REF!</definedName>
    <definedName name="_MatMult_A1" localSheetId="1" hidden="1">#REF!</definedName>
    <definedName name="_MatMult_A1" hidden="1">#REF!</definedName>
    <definedName name="_Order1" hidden="1">255</definedName>
    <definedName name="_Order2" hidden="1">255</definedName>
    <definedName name="_Parse_In" localSheetId="27" hidden="1">#REF!</definedName>
    <definedName name="_Parse_In" localSheetId="0" hidden="1">#REF!</definedName>
    <definedName name="_Parse_In" localSheetId="11" hidden="1">#REF!</definedName>
    <definedName name="_Parse_In" localSheetId="12" hidden="1">#REF!</definedName>
    <definedName name="_Parse_In" localSheetId="8" hidden="1">#REF!</definedName>
    <definedName name="_Parse_In" localSheetId="13" hidden="1">#REF!</definedName>
    <definedName name="_Parse_In" localSheetId="14" hidden="1">#REF!</definedName>
    <definedName name="_Parse_In" localSheetId="15" hidden="1">#REF!</definedName>
    <definedName name="_Parse_In" localSheetId="16" hidden="1">#REF!</definedName>
    <definedName name="_Parse_In" localSheetId="21" hidden="1">#REF!</definedName>
    <definedName name="_Parse_In" localSheetId="22" hidden="1">#REF!</definedName>
    <definedName name="_Parse_In" localSheetId="23" hidden="1">#REF!</definedName>
    <definedName name="_Parse_In" localSheetId="1" hidden="1">#REF!</definedName>
    <definedName name="_Parse_In" localSheetId="9" hidden="1">#REF!</definedName>
    <definedName name="_Parse_In" hidden="1">#REF!</definedName>
    <definedName name="_Parse_Out" localSheetId="27" hidden="1">#REF!</definedName>
    <definedName name="_Parse_Out" localSheetId="0" hidden="1">#REF!</definedName>
    <definedName name="_Parse_Out" localSheetId="11" hidden="1">#REF!</definedName>
    <definedName name="_Parse_Out" localSheetId="12" hidden="1">#REF!</definedName>
    <definedName name="_Parse_Out" localSheetId="8" hidden="1">#REF!</definedName>
    <definedName name="_Parse_Out" localSheetId="13" hidden="1">#REF!</definedName>
    <definedName name="_Parse_Out" localSheetId="14" hidden="1">#REF!</definedName>
    <definedName name="_Parse_Out" localSheetId="15" hidden="1">#REF!</definedName>
    <definedName name="_Parse_Out" localSheetId="16" hidden="1">#REF!</definedName>
    <definedName name="_Parse_Out" localSheetId="21" hidden="1">#REF!</definedName>
    <definedName name="_Parse_Out" localSheetId="22" hidden="1">#REF!</definedName>
    <definedName name="_Parse_Out" localSheetId="23" hidden="1">#REF!</definedName>
    <definedName name="_Parse_Out" localSheetId="1" hidden="1">#REF!</definedName>
    <definedName name="_Parse_Out" localSheetId="9" hidden="1">#REF!</definedName>
    <definedName name="_Parse_Out" hidden="1">#REF!</definedName>
    <definedName name="_PG1" localSheetId="27">#REF!</definedName>
    <definedName name="_PG1" localSheetId="0">#REF!</definedName>
    <definedName name="_PG1" localSheetId="14">#REF!</definedName>
    <definedName name="_PG1" localSheetId="15">#REF!</definedName>
    <definedName name="_PG1" localSheetId="16">#REF!</definedName>
    <definedName name="_PG1" localSheetId="21">#REF!</definedName>
    <definedName name="_PG1" localSheetId="22">#REF!</definedName>
    <definedName name="_PG1" localSheetId="23">#REF!</definedName>
    <definedName name="_PG1" localSheetId="1">#REF!</definedName>
    <definedName name="_PG1">#N/A</definedName>
    <definedName name="_PG2" localSheetId="27">#REF!</definedName>
    <definedName name="_PG2" localSheetId="0">#REF!</definedName>
    <definedName name="_PG2" localSheetId="14">#REF!</definedName>
    <definedName name="_PG2" localSheetId="15">#REF!</definedName>
    <definedName name="_PG2" localSheetId="16">#REF!</definedName>
    <definedName name="_PG2" localSheetId="21">#REF!</definedName>
    <definedName name="_PG2" localSheetId="22">#REF!</definedName>
    <definedName name="_PG2" localSheetId="23">#REF!</definedName>
    <definedName name="_PG2" localSheetId="1">#REF!</definedName>
    <definedName name="_PG2">#N/A</definedName>
    <definedName name="_PG3">#N/A</definedName>
    <definedName name="_PG5" localSheetId="27">#REF!</definedName>
    <definedName name="_PG5" localSheetId="8">#REF!</definedName>
    <definedName name="_PG5" localSheetId="14">#REF!</definedName>
    <definedName name="_PG5" localSheetId="15">#REF!</definedName>
    <definedName name="_PG5" localSheetId="16">#REF!</definedName>
    <definedName name="_PG5" localSheetId="21">#REF!</definedName>
    <definedName name="_PG5" localSheetId="22">#REF!</definedName>
    <definedName name="_PG5" localSheetId="23">#REF!</definedName>
    <definedName name="_PG5" localSheetId="1">#REF!</definedName>
    <definedName name="_PG5" localSheetId="9">#REF!</definedName>
    <definedName name="_PG5">#REF!</definedName>
    <definedName name="_Qtr3">#REF!,#REF!,#REF!,#REF!</definedName>
    <definedName name="_Regression_Int" hidden="1">1</definedName>
    <definedName name="_Sort" localSheetId="27" hidden="1">#REF!</definedName>
    <definedName name="_Sort" localSheetId="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localSheetId="1" hidden="1">#REF!</definedName>
    <definedName name="_Sort" hidden="1">#REF!</definedName>
    <definedName name="_Sort1" localSheetId="8" hidden="1">#REF!</definedName>
    <definedName name="_Sort1" localSheetId="1" hidden="1">#REF!</definedName>
    <definedName name="_Sort1" localSheetId="9" hidden="1">#REF!</definedName>
    <definedName name="_Sort1" hidden="1">#REF!</definedName>
    <definedName name="_Table1_In1" localSheetId="8" hidden="1">#REF!</definedName>
    <definedName name="_Table1_In1" localSheetId="1" hidden="1">#REF!</definedName>
    <definedName name="_Table1_In1" localSheetId="9" hidden="1">#REF!</definedName>
    <definedName name="_Table1_In1" hidden="1">#REF!</definedName>
    <definedName name="_Table1_Out" localSheetId="8" hidden="1">#REF!</definedName>
    <definedName name="_Table1_Out" localSheetId="1" hidden="1">#REF!</definedName>
    <definedName name="_Table1_Out" localSheetId="9" hidden="1">#REF!</definedName>
    <definedName name="_Table1_Out" hidden="1">#REF!</definedName>
    <definedName name="_Table2_In1" localSheetId="1" hidden="1">#REF!</definedName>
    <definedName name="_Table2_In1" hidden="1">#REF!</definedName>
    <definedName name="_Table2_In2" localSheetId="1" hidden="1">#REF!</definedName>
    <definedName name="_Table2_In2" hidden="1">#REF!</definedName>
    <definedName name="_Table2_Out" localSheetId="1" hidden="1">#REF!</definedName>
    <definedName name="_Table2_Out" hidden="1">#REF!</definedName>
    <definedName name="_Table3_In2" localSheetId="1" hidden="1">#REF!</definedName>
    <definedName name="_Table3_In2" hidden="1">#REF!</definedName>
    <definedName name="_x2" localSheetId="8" hidden="1">{"'Sheet1'!$A$1:$I$89"}</definedName>
    <definedName name="_x2" localSheetId="1" hidden="1">{"'Sheet1'!$A$1:$I$89"}</definedName>
    <definedName name="_x2" localSheetId="9" hidden="1">{"'Sheet1'!$A$1:$I$89"}</definedName>
    <definedName name="_x2" hidden="1">{"'Sheet1'!$A$1:$I$89"}</definedName>
    <definedName name="_x88888" localSheetId="8" hidden="1">{"'Sheet1'!$A$1:$I$89"}</definedName>
    <definedName name="_x88888" localSheetId="1" hidden="1">{"'Sheet1'!$A$1:$I$89"}</definedName>
    <definedName name="_x88888" localSheetId="9" hidden="1">{"'Sheet1'!$A$1:$I$89"}</definedName>
    <definedName name="_x88888" hidden="1">{"'Sheet1'!$A$1:$I$89"}</definedName>
    <definedName name="_yr01" localSheetId="0">#REF!</definedName>
    <definedName name="_yr01">#REF!</definedName>
    <definedName name="_yr02" localSheetId="0">#REF!</definedName>
    <definedName name="_yr02">#REF!</definedName>
    <definedName name="_yr03" localSheetId="0">#REF!</definedName>
    <definedName name="_yr03">#REF!</definedName>
    <definedName name="_yr04" localSheetId="0">#REF!</definedName>
    <definedName name="_yr04">#REF!</definedName>
    <definedName name="_yr05" localSheetId="0">#REF!</definedName>
    <definedName name="_yr05">#REF!</definedName>
    <definedName name="_yr06" localSheetId="0">#REF!</definedName>
    <definedName name="_yr06">#REF!</definedName>
    <definedName name="_yr07" localSheetId="0">#REF!</definedName>
    <definedName name="_yr07">#REF!</definedName>
    <definedName name="_yr08" localSheetId="0">#REF!</definedName>
    <definedName name="_yr08">#REF!</definedName>
    <definedName name="_yr09" localSheetId="0">#REF!</definedName>
    <definedName name="_yr09">#REF!</definedName>
    <definedName name="_yr10" localSheetId="0">#REF!</definedName>
    <definedName name="_yr10">#REF!</definedName>
    <definedName name="_yr11" localSheetId="0">#REF!</definedName>
    <definedName name="_yr11">#REF!</definedName>
    <definedName name="_yr12" localSheetId="0">#REF!</definedName>
    <definedName name="_yr12">#REF!</definedName>
    <definedName name="_yr13" localSheetId="0">#REF!</definedName>
    <definedName name="_yr13">#REF!</definedName>
    <definedName name="_yr14" localSheetId="0">#REF!</definedName>
    <definedName name="_yr14">#REF!</definedName>
    <definedName name="_yr15" localSheetId="0">#REF!</definedName>
    <definedName name="_yr15">#REF!</definedName>
    <definedName name="_yr16" localSheetId="0">#REF!</definedName>
    <definedName name="_yr16">#REF!</definedName>
    <definedName name="_yr17" localSheetId="0">#REF!</definedName>
    <definedName name="_yr17">#REF!</definedName>
    <definedName name="_yr18" localSheetId="0">#REF!</definedName>
    <definedName name="_yr18">#REF!</definedName>
    <definedName name="_yr19" localSheetId="0">#REF!</definedName>
    <definedName name="_yr19">#REF!</definedName>
    <definedName name="_YR2" localSheetId="0">#REF!</definedName>
    <definedName name="_YR2">#REF!</definedName>
    <definedName name="_yr20" localSheetId="0">#REF!</definedName>
    <definedName name="_yr20">#REF!</definedName>
    <definedName name="_yr21" localSheetId="0">#REF!</definedName>
    <definedName name="_yr21">#REF!</definedName>
    <definedName name="_YR3" localSheetId="0">#REF!</definedName>
    <definedName name="_YR3">#REF!</definedName>
    <definedName name="_YR4" localSheetId="0">#REF!</definedName>
    <definedName name="_YR4">#REF!</definedName>
    <definedName name="_YR5" localSheetId="0">#REF!</definedName>
    <definedName name="_YR5">#REF!</definedName>
    <definedName name="_YR6" localSheetId="0">#REF!</definedName>
    <definedName name="_YR6">#REF!</definedName>
    <definedName name="_yr98" localSheetId="0">#REF!</definedName>
    <definedName name="_yr98">#REF!</definedName>
    <definedName name="_yr99" localSheetId="0">#REF!</definedName>
    <definedName name="_yr99">#REF!</definedName>
    <definedName name="A" localSheetId="8" hidden="1">#REF!</definedName>
    <definedName name="A" localSheetId="1" hidden="1">#REF!</definedName>
    <definedName name="A" localSheetId="9" hidden="1">#REF!</definedName>
    <definedName name="A" hidden="1">#REF!</definedName>
    <definedName name="A9A">#REF!</definedName>
    <definedName name="aa" localSheetId="11" hidden="1">#REF!</definedName>
    <definedName name="aa" localSheetId="12" hidden="1">#REF!</definedName>
    <definedName name="aa" localSheetId="8" hidden="1">#REF!</definedName>
    <definedName name="aa" localSheetId="13" hidden="1">#REF!</definedName>
    <definedName name="aa" localSheetId="1" hidden="1">#REF!</definedName>
    <definedName name="aa" localSheetId="9" hidden="1">#REF!</definedName>
    <definedName name="aa" hidden="1">#REF!</definedName>
    <definedName name="AAA" localSheetId="8">#REF!</definedName>
    <definedName name="AAA" localSheetId="1">#REF!</definedName>
    <definedName name="AAA" localSheetId="9">#REF!</definedName>
    <definedName name="AAA">#REF!</definedName>
    <definedName name="AAA_DOCTOPS" hidden="1">"AAA_SET"</definedName>
    <definedName name="AAA_duser" hidden="1">"OFF"</definedName>
    <definedName name="aaaaa" localSheetId="8" hidden="1">{#N/A,#N/A,FALSE,"EXPENSE"}</definedName>
    <definedName name="aaaaa" localSheetId="1" hidden="1">{#N/A,#N/A,FALSE,"EXPENSE"}</definedName>
    <definedName name="aaaaa" localSheetId="9" hidden="1">{#N/A,#N/A,FALSE,"EXPENSE"}</definedName>
    <definedName name="aaaaa" hidden="1">{#N/A,#N/A,FALSE,"EXPENSE"}</definedName>
    <definedName name="aaaaaaaaaaaaaaaaaaaaa" localSheetId="8" hidden="1">{#N/A,#N/A,FALSE,"EXPENSE"}</definedName>
    <definedName name="aaaaaaaaaaaaaaaaaaaaa" localSheetId="1" hidden="1">{#N/A,#N/A,FALSE,"EXPENSE"}</definedName>
    <definedName name="aaaaaaaaaaaaaaaaaaaaa" localSheetId="9" hidden="1">{#N/A,#N/A,FALSE,"EXPENSE"}</definedName>
    <definedName name="aaaaaaaaaaaaaaaaaaaaa" hidden="1">{#N/A,#N/A,FALSE,"EXPENSE"}</definedName>
    <definedName name="AAB_Addin5" hidden="1">"AAB_Description for addin 5,Description for addin 5,Description for addin 5,Description for addin 5,Description for addin 5,Description for addin 5"</definedName>
    <definedName name="AccessDatabase" hidden="1">"C:\DATA\Kevin\Kevin's Model.mdb"</definedName>
    <definedName name="Actuals2002">#REF!</definedName>
    <definedName name="Actuals2003">#REF!</definedName>
    <definedName name="Actuals2004">#REF!</definedName>
    <definedName name="ACwvu.print2." localSheetId="8" hidden="1">#REF!</definedName>
    <definedName name="ACwvu.print2." localSheetId="1" hidden="1">#REF!</definedName>
    <definedName name="ACwvu.print2." localSheetId="9" hidden="1">#REF!</definedName>
    <definedName name="ACwvu.print2." hidden="1">#REF!</definedName>
    <definedName name="ACwvu.print3." localSheetId="8" hidden="1">#REF!</definedName>
    <definedName name="ACwvu.print3." localSheetId="1" hidden="1">#REF!</definedName>
    <definedName name="ACwvu.print3." localSheetId="9" hidden="1">#REF!</definedName>
    <definedName name="ACwvu.print3." hidden="1">#REF!</definedName>
    <definedName name="adfadfadfadf" localSheetId="8" hidden="1">{#N/A,#N/A,FALSE,"EXPENSE"}</definedName>
    <definedName name="adfadfadfadf" localSheetId="1" hidden="1">{#N/A,#N/A,FALSE,"EXPENSE"}</definedName>
    <definedName name="adfadfadfadf" localSheetId="9" hidden="1">{#N/A,#N/A,FALSE,"EXPENSE"}</definedName>
    <definedName name="adfadfadfadf" hidden="1">{#N/A,#N/A,FALSE,"EXPENSE"}</definedName>
    <definedName name="ADVERT">#REF!</definedName>
    <definedName name="aertajyiukfjhdh" localSheetId="8" hidden="1">{#N/A,#N/A,FALSE,"ALLOC"}</definedName>
    <definedName name="aertajyiukfjhdh" localSheetId="1" hidden="1">{#N/A,#N/A,FALSE,"ALLOC"}</definedName>
    <definedName name="aertajyiukfjhdh" localSheetId="9" hidden="1">{#N/A,#N/A,FALSE,"ALLOC"}</definedName>
    <definedName name="aertajyiukfjhdh" hidden="1">{#N/A,#N/A,FALSE,"ALLOC"}</definedName>
    <definedName name="aerter" localSheetId="8" hidden="1">{"'Commentary'!$D$24:$H$33"}</definedName>
    <definedName name="aerter" localSheetId="1" hidden="1">{"'Commentary'!$D$24:$H$33"}</definedName>
    <definedName name="aerter" localSheetId="9" hidden="1">{"'Commentary'!$D$24:$H$33"}</definedName>
    <definedName name="aerter" hidden="1">{"'Commentary'!$D$24:$H$33"}</definedName>
    <definedName name="aewrawerasdfsdaf" localSheetId="8" hidden="1">{#N/A,#N/A,FALSE,"EXPENSE"}</definedName>
    <definedName name="aewrawerasdfsdaf" localSheetId="1" hidden="1">{#N/A,#N/A,FALSE,"EXPENSE"}</definedName>
    <definedName name="aewrawerasdfsdaf" localSheetId="9" hidden="1">{#N/A,#N/A,FALSE,"EXPENSE"}</definedName>
    <definedName name="aewrawerasdfsdaf" hidden="1">{#N/A,#N/A,FALSE,"EXPENSE"}</definedName>
    <definedName name="afdasdfaertgrthngbvc" localSheetId="8" hidden="1">{#N/A,#N/A,FALSE,"EXPENSE"}</definedName>
    <definedName name="afdasdfaertgrthngbvc" localSheetId="1" hidden="1">{#N/A,#N/A,FALSE,"EXPENSE"}</definedName>
    <definedName name="afdasdfaertgrthngbvc" localSheetId="9" hidden="1">{#N/A,#N/A,FALSE,"EXPENSE"}</definedName>
    <definedName name="afdasdfaertgrthngbvc" hidden="1">{#N/A,#N/A,FALSE,"EXPENSE"}</definedName>
    <definedName name="AFUDC" hidden="1">#REF!</definedName>
    <definedName name="afwerwerewf" localSheetId="8" hidden="1">{#N/A,#N/A,FALSE,"EXPENSE"}</definedName>
    <definedName name="afwerwerewf" localSheetId="1" hidden="1">{#N/A,#N/A,FALSE,"EXPENSE"}</definedName>
    <definedName name="afwerwerewf" localSheetId="9" hidden="1">{#N/A,#N/A,FALSE,"EXPENSE"}</definedName>
    <definedName name="afwerwerewf" hidden="1">{#N/A,#N/A,FALSE,"EXPENSE"}</definedName>
    <definedName name="ALLOC_11">#REF!</definedName>
    <definedName name="Alloc_Cust_Acctg" localSheetId="8">#REF!</definedName>
    <definedName name="Alloc_Cust_Acctg" localSheetId="1">#REF!</definedName>
    <definedName name="Alloc_Cust_Acctg" localSheetId="9">#REF!</definedName>
    <definedName name="Alloc_Cust_Acctg">#REF!</definedName>
    <definedName name="Alloc_Cust_Billing" localSheetId="8">#REF!</definedName>
    <definedName name="Alloc_Cust_Billing" localSheetId="1">#REF!</definedName>
    <definedName name="Alloc_Cust_Billing" localSheetId="9">#REF!</definedName>
    <definedName name="Alloc_Cust_Billing">#REF!</definedName>
    <definedName name="Alloc_Cust_Record" localSheetId="8">#REF!</definedName>
    <definedName name="Alloc_Cust_Record" localSheetId="1">#REF!</definedName>
    <definedName name="Alloc_Cust_Record" localSheetId="9">#REF!</definedName>
    <definedName name="Alloc_Cust_Record">#REF!</definedName>
    <definedName name="Alloc_From_COS" localSheetId="27">#REF!</definedName>
    <definedName name="Alloc_From_COS" localSheetId="0">#REF!</definedName>
    <definedName name="Alloc_From_COS" localSheetId="8">#REF!</definedName>
    <definedName name="Alloc_From_COS" localSheetId="14">#REF!</definedName>
    <definedName name="Alloc_From_COS" localSheetId="15">#REF!</definedName>
    <definedName name="Alloc_From_COS" localSheetId="16">#REF!</definedName>
    <definedName name="Alloc_From_COS" localSheetId="21">#REF!</definedName>
    <definedName name="Alloc_From_COS" localSheetId="22">#REF!</definedName>
    <definedName name="Alloc_From_COS" localSheetId="23">#REF!</definedName>
    <definedName name="Alloc_From_COS" localSheetId="1">#REF!</definedName>
    <definedName name="Alloc_From_COS" localSheetId="9">#REF!</definedName>
    <definedName name="Alloc_From_COS">#REF!</definedName>
    <definedName name="Alloc_Labor" localSheetId="27">#REF!</definedName>
    <definedName name="Alloc_Labor" localSheetId="0">#REF!</definedName>
    <definedName name="Alloc_Labor" localSheetId="14">#REF!</definedName>
    <definedName name="Alloc_Labor" localSheetId="15">#REF!</definedName>
    <definedName name="Alloc_Labor" localSheetId="16">#REF!</definedName>
    <definedName name="Alloc_Labor" localSheetId="21">#REF!</definedName>
    <definedName name="Alloc_Labor" localSheetId="22">#REF!</definedName>
    <definedName name="Alloc_Labor" localSheetId="23">#REF!</definedName>
    <definedName name="Alloc_Labor" localSheetId="1">#REF!</definedName>
    <definedName name="Alloc_Labor">#REF!</definedName>
    <definedName name="Alloc_Meter_Read" localSheetId="1">#REF!</definedName>
    <definedName name="Alloc_Meter_Read">#REF!</definedName>
    <definedName name="anscount" hidden="1">1</definedName>
    <definedName name="as" localSheetId="8" hidden="1">{#N/A,#N/A,FALSE,"Aging Summary";#N/A,#N/A,FALSE,"Ratio Analysis";#N/A,#N/A,FALSE,"Test 120 Day Accts";#N/A,#N/A,FALSE,"Tickmarks"}</definedName>
    <definedName name="as" localSheetId="1" hidden="1">{#N/A,#N/A,FALSE,"Aging Summary";#N/A,#N/A,FALSE,"Ratio Analysis";#N/A,#N/A,FALSE,"Test 120 Day Accts";#N/A,#N/A,FALSE,"Tickmarks"}</definedName>
    <definedName name="as" localSheetId="9" hidden="1">{#N/A,#N/A,FALSE,"Aging Summary";#N/A,#N/A,FALSE,"Ratio Analysis";#N/A,#N/A,FALSE,"Test 120 Day Accts";#N/A,#N/A,FALSE,"Tickmarks"}</definedName>
    <definedName name="as" hidden="1">{#N/A,#N/A,FALSE,"Aging Summary";#N/A,#N/A,FALSE,"Ratio Analysis";#N/A,#N/A,FALSE,"Test 120 Day Accts";#N/A,#N/A,FALSE,"Tickmarks"}</definedName>
    <definedName name="AS2DocOpenMode" hidden="1">"AS2DocumentBrowse"</definedName>
    <definedName name="AS2NamedRange" hidden="1">7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 localSheetId="8" hidden="1">{"balsheet",#N/A,FALSE,"A"}</definedName>
    <definedName name="asd" localSheetId="1" hidden="1">{"balsheet",#N/A,FALSE,"A"}</definedName>
    <definedName name="asd" localSheetId="9" hidden="1">{"balsheet",#N/A,FALSE,"A"}</definedName>
    <definedName name="asd" hidden="1">{"balsheet",#N/A,FALSE,"A"}</definedName>
    <definedName name="asdf" localSheetId="11" hidden="1">#REF!</definedName>
    <definedName name="asdf" localSheetId="12" hidden="1">#REF!</definedName>
    <definedName name="asdf" localSheetId="8" hidden="1">#REF!</definedName>
    <definedName name="asdf" localSheetId="13" hidden="1">#REF!</definedName>
    <definedName name="asdf" localSheetId="1" hidden="1">#REF!</definedName>
    <definedName name="asdf" localSheetId="9" hidden="1">#REF!</definedName>
    <definedName name="asdf" hidden="1">#REF!</definedName>
    <definedName name="asdfasfasdfasdfsdfsdf" localSheetId="8" hidden="1">{#N/A,#N/A,FALSE,"EXPENSE"}</definedName>
    <definedName name="asdfasfasdfasdfsdfsdf" localSheetId="1" hidden="1">{#N/A,#N/A,FALSE,"EXPENSE"}</definedName>
    <definedName name="asdfasfasdfasdfsdfsdf" localSheetId="9" hidden="1">{#N/A,#N/A,FALSE,"EXPENSE"}</definedName>
    <definedName name="asdfasfasdfasdfsdfsdf" hidden="1">{#N/A,#N/A,FALSE,"EXPENSE"}</definedName>
    <definedName name="AVSACURRYR">#REF!</definedName>
    <definedName name="AVSBCURRMO">#REF!</definedName>
    <definedName name="awerwaerwerfw" localSheetId="8" hidden="1">{#N/A,#N/A,FALSE,"ALLOC"}</definedName>
    <definedName name="awerwaerwerfw" localSheetId="1" hidden="1">{#N/A,#N/A,FALSE,"ALLOC"}</definedName>
    <definedName name="awerwaerwerfw" localSheetId="9" hidden="1">{#N/A,#N/A,FALSE,"ALLOC"}</definedName>
    <definedName name="awerwaerwerfw" hidden="1">{#N/A,#N/A,FALSE,"ALLOC"}</definedName>
    <definedName name="B1_ADJ">#REF!</definedName>
    <definedName name="B6_P2">#REF!</definedName>
    <definedName name="B6WC">#REF!</definedName>
    <definedName name="Base_Cap">#REF!</definedName>
    <definedName name="Base_OM" localSheetId="8">#REF!</definedName>
    <definedName name="Base_OM" localSheetId="1">#REF!</definedName>
    <definedName name="Base_OM" localSheetId="9">#REF!</definedName>
    <definedName name="Base_OM">#REF!</definedName>
    <definedName name="BASE_PROGRAMS2003">#REF!</definedName>
    <definedName name="BASE_PROGRAMS2004">#REF!</definedName>
    <definedName name="BBB" localSheetId="8">#REF!</definedName>
    <definedName name="BBB" localSheetId="1">#REF!</definedName>
    <definedName name="BBB" localSheetId="9">#REF!</definedName>
    <definedName name="BBB">#REF!</definedName>
    <definedName name="BBBBBB" localSheetId="8">#REF!</definedName>
    <definedName name="BBBBBB" localSheetId="1">#REF!</definedName>
    <definedName name="BBBBBB" localSheetId="9">#REF!</definedName>
    <definedName name="BBBBBB">#REF!</definedName>
    <definedName name="bfhbfvdzvcxzv" localSheetId="8" hidden="1">{#N/A,#N/A,FALSE,"EXPENSE"}</definedName>
    <definedName name="bfhbfvdzvcxzv" localSheetId="1" hidden="1">{#N/A,#N/A,FALSE,"EXPENSE"}</definedName>
    <definedName name="bfhbfvdzvcxzv" localSheetId="9" hidden="1">{#N/A,#N/A,FALSE,"EXPENSE"}</definedName>
    <definedName name="bfhbfvdzvcxzv" hidden="1">{#N/A,#N/A,FALSE,"EXPENSE"}</definedName>
    <definedName name="BG_Del" hidden="1">15</definedName>
    <definedName name="BG_Ins" hidden="1">4</definedName>
    <definedName name="BG_Mod" hidden="1">6</definedName>
    <definedName name="bgfdghsszsdfzsdf" localSheetId="8" hidden="1">{#N/A,#N/A,FALSE,"EXPENSE"}</definedName>
    <definedName name="bgfdghsszsdfzsdf" localSheetId="1" hidden="1">{#N/A,#N/A,FALSE,"EXPENSE"}</definedName>
    <definedName name="bgfdghsszsdfzsdf" localSheetId="9" hidden="1">{#N/A,#N/A,FALSE,"EXPENSE"}</definedName>
    <definedName name="bgfdghsszsdfzsdf" hidden="1">{#N/A,#N/A,FALSE,"EXPENSE"}</definedName>
    <definedName name="bIncludeWeekendInPeak">#REF!</definedName>
    <definedName name="Blank3" hidden="1">#REF!</definedName>
    <definedName name="Blank4" hidden="1">#REF!</definedName>
    <definedName name="Blank5" hidden="1">#REF!</definedName>
    <definedName name="Blank6" hidden="1">#REF!</definedName>
    <definedName name="Blank7" hidden="1">#REF!</definedName>
    <definedName name="Blank8" hidden="1">#REF!</definedName>
    <definedName name="BLPH16" hidden="1">#REF!</definedName>
    <definedName name="BLPH17" hidden="1">#REF!</definedName>
    <definedName name="BLPH18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NE_MESSAGES_HIDDEN" localSheetId="8" hidden="1">#REF!</definedName>
    <definedName name="BNE_MESSAGES_HIDDEN" localSheetId="1" hidden="1">#REF!</definedName>
    <definedName name="BNE_MESSAGES_HIDDEN" localSheetId="9" hidden="1">#REF!</definedName>
    <definedName name="BNE_MESSAGES_HIDDEN" hidden="1">#REF!</definedName>
    <definedName name="bob" localSheetId="8" hidden="1">{#N/A,#N/A,FALSE,"EXPENSE"}</definedName>
    <definedName name="bob" localSheetId="1" hidden="1">{#N/A,#N/A,FALSE,"EXPENSE"}</definedName>
    <definedName name="bob" localSheetId="9" hidden="1">{#N/A,#N/A,FALSE,"EXPENSE"}</definedName>
    <definedName name="bob" hidden="1">{#N/A,#N/A,FALSE,"EXPENSE"}</definedName>
    <definedName name="BUDGET">#REF!</definedName>
    <definedName name="Budget2002">#REF!</definedName>
    <definedName name="Budget2003">#REF!</definedName>
    <definedName name="Budget2004">#REF!</definedName>
    <definedName name="bv" localSheetId="8" hidden="1">{#N/A,#N/A,FALSE,"Aging Summary";#N/A,#N/A,FALSE,"Ratio Analysis";#N/A,#N/A,FALSE,"Test 120 Day Accts";#N/A,#N/A,FALSE,"Tickmarks"}</definedName>
    <definedName name="bv" localSheetId="1" hidden="1">{#N/A,#N/A,FALSE,"Aging Summary";#N/A,#N/A,FALSE,"Ratio Analysis";#N/A,#N/A,FALSE,"Test 120 Day Accts";#N/A,#N/A,FALSE,"Tickmarks"}</definedName>
    <definedName name="bv" localSheetId="9" hidden="1">{#N/A,#N/A,FALSE,"Aging Summary";#N/A,#N/A,FALSE,"Ratio Analysis";#N/A,#N/A,FALSE,"Test 120 Day Accts";#N/A,#N/A,FALSE,"Tickmarks"}</definedName>
    <definedName name="bv" hidden="1">{#N/A,#N/A,FALSE,"Aging Summary";#N/A,#N/A,FALSE,"Ratio Analysis";#N/A,#N/A,FALSE,"Test 120 Day Accts";#N/A,#N/A,FALSE,"Tickmarks"}</definedName>
    <definedName name="CapCashflow">#REF!</definedName>
    <definedName name="CapCategoryGrow">#REF!</definedName>
    <definedName name="CapCategoryGrowIndirects">#REF!</definedName>
    <definedName name="CapCategoryMaintain">#REF!</definedName>
    <definedName name="CapCategoryMaintainIndirects">#REF!</definedName>
    <definedName name="CapRestoration">#REF!</definedName>
    <definedName name="cb_sChart41E9A35_opts" hidden="1">"1, 9, 1, False, 2, False, False, , 0, False, True, 1, 1"</definedName>
    <definedName name="CCCCCC" localSheetId="8">#REF!</definedName>
    <definedName name="CCCCCC" localSheetId="1">#REF!</definedName>
    <definedName name="CCCCCC" localSheetId="9">#REF!</definedName>
    <definedName name="CCCCCC">#REF!</definedName>
    <definedName name="Chargeby" localSheetId="8">#REF!</definedName>
    <definedName name="Chargeby" localSheetId="1">#REF!</definedName>
    <definedName name="Chargeby" localSheetId="9">#REF!</definedName>
    <definedName name="Chargeby">#REF!</definedName>
    <definedName name="ChgToCapital">#REF!</definedName>
    <definedName name="ChgToOM" localSheetId="8">#REF!</definedName>
    <definedName name="ChgToOM" localSheetId="1">#REF!</definedName>
    <definedName name="ChgToOM" localSheetId="9">#REF!</definedName>
    <definedName name="ChgToOM">#REF!</definedName>
    <definedName name="CIQWBGuid" hidden="1">"022317c7-dbd3-41a3-9caf-35748facbbc2"</definedName>
    <definedName name="CL_MULT">#REF!</definedName>
    <definedName name="CL_MULT_PRIOR">#REF!</definedName>
    <definedName name="Class_Allocators">#REF!</definedName>
    <definedName name="COL_13MO_AVG">#REF!</definedName>
    <definedName name="Combined" localSheetId="8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localSheetId="1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localSheetId="9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p" hidden="1">#REF!</definedName>
    <definedName name="Company_Name">#REF!</definedName>
    <definedName name="CompanyName1" hidden="1">#REF!</definedName>
    <definedName name="CompanyName2" hidden="1">#REF!</definedName>
    <definedName name="CompanyName3" hidden="1">#REF!</definedName>
    <definedName name="CompRange1" localSheetId="8" hidden="1">OFFSET(CompRange1Main,9,0,COUNTA(CompRange1Main)-COUNTA(#REF!),1)</definedName>
    <definedName name="CompRange1" localSheetId="1" hidden="1">OFFSET(CompRange1Main,9,0,COUNTA(CompRange1Main)-COUNTA(#REF!),1)</definedName>
    <definedName name="CompRange1" localSheetId="9" hidden="1">OFFSET([0]!CompRange1Main,9,0,COUNTA([0]!CompRange1Main)-COUNTA(#REF!),1)</definedName>
    <definedName name="CompRange1" hidden="1">OFFSET(CompRange1Main,9,0,COUNTA(CompRange1Main)-COUNTA(#REF!),1)</definedName>
    <definedName name="CompRange1Main" hidden="1">#REF!</definedName>
    <definedName name="CompRange2" localSheetId="8" hidden="1">OFFSET(CompRange2Main,9,0,COUNTA(CompRange2Main)-COUNTA(#REF!),1)</definedName>
    <definedName name="CompRange2" localSheetId="1" hidden="1">OFFSET(CompRange2Main,9,0,COUNTA(CompRange2Main)-COUNTA(#REF!),1)</definedName>
    <definedName name="CompRange2" localSheetId="9" hidden="1">OFFSET([0]!CompRange2Main,9,0,COUNTA([0]!CompRange2Main)-COUNTA(#REF!),1)</definedName>
    <definedName name="CompRange2" hidden="1">OFFSET(CompRange2Main,9,0,COUNTA(CompRange2Main)-COUNTA(#REF!),1)</definedName>
    <definedName name="CompRange2Main" hidden="1">#REF!</definedName>
    <definedName name="CompRange3" localSheetId="8" hidden="1">OFFSET(CompRange3Main,9,0,COUNTA(CompRange3Main)-COUNTA(#REF!),1)</definedName>
    <definedName name="CompRange3" localSheetId="1" hidden="1">OFFSET(CompRange3Main,9,0,COUNTA(CompRange3Main)-COUNTA(#REF!),1)</definedName>
    <definedName name="CompRange3" localSheetId="9" hidden="1">OFFSET([0]!CompRange3Main,9,0,COUNTA([0]!CompRange3Main)-COUNTA(#REF!),1)</definedName>
    <definedName name="CompRange3" hidden="1">OFFSET(CompRange3Main,9,0,COUNTA(CompRange3Main)-COUNTA(#REF!),1)</definedName>
    <definedName name="CompRange3Main" hidden="1">#REF!</definedName>
    <definedName name="Copy_Of_2108_Query_2008" localSheetId="8">#REF!</definedName>
    <definedName name="Copy_Of_2108_Query_2008" localSheetId="1">#REF!</definedName>
    <definedName name="Copy_Of_2108_Query_2008" localSheetId="9">#REF!</definedName>
    <definedName name="Copy_Of_2108_Query_2008">#REF!</definedName>
    <definedName name="CostCat">#REF!</definedName>
    <definedName name="cprange3" localSheetId="8" hidden="1">{#N/A,#N/A,FALSE,"ALLOC"}</definedName>
    <definedName name="cprange3" localSheetId="1" hidden="1">{#N/A,#N/A,FALSE,"ALLOC"}</definedName>
    <definedName name="cprange3" localSheetId="9" hidden="1">{#N/A,#N/A,FALSE,"ALLOC"}</definedName>
    <definedName name="cprange3" hidden="1">{#N/A,#N/A,FALSE,"ALLOC"}</definedName>
    <definedName name="cprrange2" localSheetId="8" hidden="1">{#N/A,#N/A,FALSE,"ALLOC"}</definedName>
    <definedName name="cprrange2" localSheetId="1" hidden="1">{#N/A,#N/A,FALSE,"ALLOC"}</definedName>
    <definedName name="cprrange2" localSheetId="9" hidden="1">{#N/A,#N/A,FALSE,"ALLOC"}</definedName>
    <definedName name="cprrange2" hidden="1">{#N/A,#N/A,FALSE,"ALLOC"}</definedName>
    <definedName name="CTE_Cap">#REF!</definedName>
    <definedName name="CTE_OM" localSheetId="8">#REF!</definedName>
    <definedName name="CTE_OM" localSheetId="1">#REF!</definedName>
    <definedName name="CTE_OM" localSheetId="9">#REF!</definedName>
    <definedName name="CTE_OM">#REF!</definedName>
    <definedName name="CTE_PROGRAMS2003">#REF!</definedName>
    <definedName name="CTE_PROGRAMS2004">#REF!</definedName>
    <definedName name="Current_Month" localSheetId="1">#REF!</definedName>
    <definedName name="Current_Month">#REF!</definedName>
    <definedName name="Current_Year" localSheetId="1">#REF!</definedName>
    <definedName name="Current_Year">#REF!</definedName>
    <definedName name="Customers2002">#REF!</definedName>
    <definedName name="Customers2003">#REF!</definedName>
    <definedName name="Customers2004">#REF!</definedName>
    <definedName name="CustomersAffected2002">#REF!</definedName>
    <definedName name="CustomersAffected2003">#REF!</definedName>
    <definedName name="CustomersAffected2004">#REF!</definedName>
    <definedName name="cvzdfzsdfdsfsf" localSheetId="8" hidden="1">{#N/A,#N/A,FALSE,"EXPENSE"}</definedName>
    <definedName name="cvzdfzsdfdsfsf" localSheetId="1" hidden="1">{#N/A,#N/A,FALSE,"EXPENSE"}</definedName>
    <definedName name="cvzdfzsdfdsfsf" localSheetId="9" hidden="1">{#N/A,#N/A,FALSE,"EXPENSE"}</definedName>
    <definedName name="cvzdfzsdfdsfsf" hidden="1">{#N/A,#N/A,FALSE,"EXPENSE"}</definedName>
    <definedName name="Cwvu.GREY_ALL." localSheetId="8" hidden="1">#REF!</definedName>
    <definedName name="Cwvu.GREY_ALL." localSheetId="1" hidden="1">#REF!</definedName>
    <definedName name="Cwvu.GREY_ALL." localSheetId="9" hidden="1">#REF!</definedName>
    <definedName name="Cwvu.GREY_ALL." hidden="1">#REF!</definedName>
    <definedName name="D" localSheetId="27">#REF!</definedName>
    <definedName name="D" localSheetId="0">#REF!</definedName>
    <definedName name="D" localSheetId="8">#REF!</definedName>
    <definedName name="D" localSheetId="14">#REF!</definedName>
    <definedName name="D" localSheetId="15">#REF!</definedName>
    <definedName name="D" localSheetId="16">#REF!</definedName>
    <definedName name="D" localSheetId="21">#REF!</definedName>
    <definedName name="D" localSheetId="22">#REF!</definedName>
    <definedName name="D" localSheetId="23">#REF!</definedName>
    <definedName name="D" localSheetId="1">#REF!</definedName>
    <definedName name="D" localSheetId="9">#REF!</definedName>
    <definedName name="D">#REF!</definedName>
    <definedName name="D3_IntExp">#REF!</definedName>
    <definedName name="DataTabl" localSheetId="27">#REF!</definedName>
    <definedName name="DataTabl" localSheetId="0">#REF!</definedName>
    <definedName name="DataTabl" localSheetId="8">#REF!</definedName>
    <definedName name="DataTabl" localSheetId="14">#REF!</definedName>
    <definedName name="DataTabl" localSheetId="15">#REF!</definedName>
    <definedName name="DataTabl" localSheetId="16">#REF!</definedName>
    <definedName name="DataTabl" localSheetId="21">#REF!</definedName>
    <definedName name="DataTabl" localSheetId="22">#REF!</definedName>
    <definedName name="DataTabl" localSheetId="23">#REF!</definedName>
    <definedName name="DataTabl" localSheetId="1">#REF!</definedName>
    <definedName name="DataTabl" localSheetId="9">#REF!</definedName>
    <definedName name="DataTabl">#REF!</definedName>
    <definedName name="DataTable" localSheetId="27">#REF!</definedName>
    <definedName name="DataTable" localSheetId="0">#REF!</definedName>
    <definedName name="DataTable" localSheetId="8">#REF!</definedName>
    <definedName name="DataTable" localSheetId="14">#REF!</definedName>
    <definedName name="DataTable" localSheetId="15">#REF!</definedName>
    <definedName name="DataTable" localSheetId="16">#REF!</definedName>
    <definedName name="DataTable" localSheetId="21">#REF!</definedName>
    <definedName name="DataTable" localSheetId="22">#REF!</definedName>
    <definedName name="DataTable" localSheetId="23">#REF!</definedName>
    <definedName name="DataTable" localSheetId="1">#REF!</definedName>
    <definedName name="DataTable" localSheetId="9">#REF!</definedName>
    <definedName name="DataTable">#REF!</definedName>
    <definedName name="DateRangeComp" localSheetId="8" hidden="1">OFFSET(DateRangeCompMain,9,0,COUNTA(DateRangeCompMain)-COUNTA(#REF!),1)</definedName>
    <definedName name="DateRangeComp" localSheetId="1" hidden="1">OFFSET(DateRangeCompMain,9,0,COUNTA(DateRangeCompMain)-COUNTA(#REF!),1)</definedName>
    <definedName name="DateRangeComp" localSheetId="9" hidden="1">OFFSET([0]!DateRangeCompMain,9,0,COUNTA([0]!DateRangeCompMain)-COUNTA(#REF!),1)</definedName>
    <definedName name="DateRangeComp" hidden="1">OFFSET(DateRangeCompMain,9,0,COUNTA(DateRangeCompMain)-COUNTA(#REF!),1)</definedName>
    <definedName name="DateRangeCompMain" hidden="1">#REF!</definedName>
    <definedName name="DateRangePrice" localSheetId="8" hidden="1">OFFSET([0]!DateRangePriceMain,5,0,COUNTA([0]!DateRangePriceMain)-COUNTA(#REF!),1)</definedName>
    <definedName name="DateRangePrice" localSheetId="1" hidden="1">OFFSET([0]!DateRangePriceMain,5,0,COUNTA([0]!DateRangePriceMain)-COUNTA(#REF!),1)</definedName>
    <definedName name="DateRangePrice" localSheetId="9" hidden="1">OFFSET([0]!DateRangePriceMain,5,0,COUNTA([0]!DateRangePriceMain)-COUNTA(#REF!),1)</definedName>
    <definedName name="DateRangePrice" hidden="1">OFFSET([0]!DateRangePriceMain,5,0,COUNTA([0]!DateRangePriceMain)-COUNTA(#REF!),1)</definedName>
    <definedName name="DateRangePriceMain" hidden="1">#REF!</definedName>
    <definedName name="DDD" localSheetId="27">#REF!</definedName>
    <definedName name="DDD" localSheetId="8">#REF!</definedName>
    <definedName name="DDD" localSheetId="14">#REF!</definedName>
    <definedName name="DDD" localSheetId="15">#REF!</definedName>
    <definedName name="DDD" localSheetId="16">#REF!</definedName>
    <definedName name="DDD" localSheetId="21">#REF!</definedName>
    <definedName name="DDD" localSheetId="22">#REF!</definedName>
    <definedName name="DDD" localSheetId="23">#REF!</definedName>
    <definedName name="DDD" localSheetId="1">#REF!</definedName>
    <definedName name="DDD" localSheetId="9">#REF!</definedName>
    <definedName name="DDD">#REF!</definedName>
    <definedName name="DDDD" localSheetId="27">#REF!</definedName>
    <definedName name="DDDD" localSheetId="8">#REF!</definedName>
    <definedName name="DDDD" localSheetId="14">#REF!</definedName>
    <definedName name="DDDD" localSheetId="15">#REF!</definedName>
    <definedName name="DDDD" localSheetId="16">#REF!</definedName>
    <definedName name="DDDD" localSheetId="21">#REF!</definedName>
    <definedName name="DDDD" localSheetId="22">#REF!</definedName>
    <definedName name="DDDD" localSheetId="23">#REF!</definedName>
    <definedName name="DDDD" localSheetId="1">#REF!</definedName>
    <definedName name="DDDD" localSheetId="9">#REF!</definedName>
    <definedName name="DDDD">#REF!</definedName>
    <definedName name="DDDDD" localSheetId="27">#REF!</definedName>
    <definedName name="DDDDD" localSheetId="8">#REF!</definedName>
    <definedName name="DDDDD" localSheetId="14">#REF!</definedName>
    <definedName name="DDDDD" localSheetId="15">#REF!</definedName>
    <definedName name="DDDDD" localSheetId="16">#REF!</definedName>
    <definedName name="DDDDD" localSheetId="21">#REF!</definedName>
    <definedName name="DDDDD" localSheetId="22">#REF!</definedName>
    <definedName name="DDDDD" localSheetId="23">#REF!</definedName>
    <definedName name="DDDDD" localSheetId="1">#REF!</definedName>
    <definedName name="DDDDD" localSheetId="9">#REF!</definedName>
    <definedName name="DDDDD">#REF!</definedName>
    <definedName name="DDDDDDD" localSheetId="1">#REF!</definedName>
    <definedName name="DDDDDDD">#REF!</definedName>
    <definedName name="DDDDDDDDDDDD" localSheetId="1">#REF!</definedName>
    <definedName name="DDDDDDDDDDDD">#REF!</definedName>
    <definedName name="Derivation_of_Energy_Separation_Factors" localSheetId="27">#REF!</definedName>
    <definedName name="Derivation_of_Energy_Separation_Factors" localSheetId="14">#REF!</definedName>
    <definedName name="Derivation_of_Energy_Separation_Factors" localSheetId="15">#REF!</definedName>
    <definedName name="Derivation_of_Energy_Separation_Factors" localSheetId="16">#REF!</definedName>
    <definedName name="Derivation_of_Energy_Separation_Factors" localSheetId="21">#REF!</definedName>
    <definedName name="Derivation_of_Energy_Separation_Factors" localSheetId="22">#REF!</definedName>
    <definedName name="Derivation_of_Energy_Separation_Factors" localSheetId="23">#REF!</definedName>
    <definedName name="Derivation_of_Energy_Separation_Factors" localSheetId="1">#REF!</definedName>
    <definedName name="Derivation_of_Energy_Separation_Factors">#REF!</definedName>
    <definedName name="df" localSheetId="8" hidden="1">{#N/A,#N/A,FALSE,"Aging Summary";#N/A,#N/A,FALSE,"Ratio Analysis";#N/A,#N/A,FALSE,"Test 120 Day Accts";#N/A,#N/A,FALSE,"Tickmarks"}</definedName>
    <definedName name="df" localSheetId="1" hidden="1">{#N/A,#N/A,FALSE,"Aging Summary";#N/A,#N/A,FALSE,"Ratio Analysis";#N/A,#N/A,FALSE,"Test 120 Day Accts";#N/A,#N/A,FALSE,"Tickmarks"}</definedName>
    <definedName name="df" localSheetId="9" hidden="1">{#N/A,#N/A,FALSE,"Aging Summary";#N/A,#N/A,FALSE,"Ratio Analysis";#N/A,#N/A,FALSE,"Test 120 Day Accts";#N/A,#N/A,FALSE,"Tickmarks"}</definedName>
    <definedName name="df" hidden="1">{#N/A,#N/A,FALSE,"Aging Summary";#N/A,#N/A,FALSE,"Ratio Analysis";#N/A,#N/A,FALSE,"Test 120 Day Accts";#N/A,#N/A,FALSE,"Tickmarks"}</definedName>
    <definedName name="dfadsfadfadfewfr" localSheetId="8" hidden="1">{#N/A,#N/A,FALSE,"EXPENSE"}</definedName>
    <definedName name="dfadsfadfadfewfr" localSheetId="1" hidden="1">{#N/A,#N/A,FALSE,"EXPENSE"}</definedName>
    <definedName name="dfadsfadfadfewfr" localSheetId="9" hidden="1">{#N/A,#N/A,FALSE,"EXPENSE"}</definedName>
    <definedName name="dfadsfadfadfewfr" hidden="1">{#N/A,#N/A,FALSE,"EXPENSE"}</definedName>
    <definedName name="dfadsfasdfdsf" localSheetId="8" hidden="1">{#N/A,#N/A,FALSE,"EXPENSE"}</definedName>
    <definedName name="dfadsfasdfdsf" localSheetId="1" hidden="1">{#N/A,#N/A,FALSE,"EXPENSE"}</definedName>
    <definedName name="dfadsfasdfdsf" localSheetId="9" hidden="1">{#N/A,#N/A,FALSE,"EXPENSE"}</definedName>
    <definedName name="dfadsfasdfdsf" hidden="1">{#N/A,#N/A,FALSE,"EXPENSE"}</definedName>
    <definedName name="dfadsfdsafdf" localSheetId="8" hidden="1">{#N/A,#N/A,FALSE,"ALLOC"}</definedName>
    <definedName name="dfadsfdsafdf" localSheetId="1" hidden="1">{#N/A,#N/A,FALSE,"ALLOC"}</definedName>
    <definedName name="dfadsfdsafdf" localSheetId="9" hidden="1">{#N/A,#N/A,FALSE,"ALLOC"}</definedName>
    <definedName name="dfadsfdsafdf" hidden="1">{#N/A,#N/A,FALSE,"ALLOC"}</definedName>
    <definedName name="dfasdfasdf" localSheetId="8" hidden="1">{#N/A,#N/A,FALSE,"ALLOC"}</definedName>
    <definedName name="dfasdfasdf" localSheetId="1" hidden="1">{#N/A,#N/A,FALSE,"ALLOC"}</definedName>
    <definedName name="dfasdfasdf" localSheetId="9" hidden="1">{#N/A,#N/A,FALSE,"ALLOC"}</definedName>
    <definedName name="dfasdfasdf" hidden="1">{#N/A,#N/A,FALSE,"ALLOC"}</definedName>
    <definedName name="dfasdfasdfdsaf" localSheetId="8" hidden="1">{#N/A,#N/A,FALSE,"ALLOC"}</definedName>
    <definedName name="dfasdfasdfdsaf" localSheetId="1" hidden="1">{#N/A,#N/A,FALSE,"ALLOC"}</definedName>
    <definedName name="dfasdfasdfdsaf" localSheetId="9" hidden="1">{#N/A,#N/A,FALSE,"ALLOC"}</definedName>
    <definedName name="dfasdfasdfdsaf" hidden="1">{#N/A,#N/A,FALSE,"ALLOC"}</definedName>
    <definedName name="dfasfasfdfadsf" localSheetId="8" hidden="1">{#N/A,#N/A,FALSE,"EXPENSE"}</definedName>
    <definedName name="dfasfasfdfadsf" localSheetId="1" hidden="1">{#N/A,#N/A,FALSE,"EXPENSE"}</definedName>
    <definedName name="dfasfasfdfadsf" localSheetId="9" hidden="1">{#N/A,#N/A,FALSE,"EXPENSE"}</definedName>
    <definedName name="dfasfasfdfadsf" hidden="1">{#N/A,#N/A,FALSE,"EXPENSE"}</definedName>
    <definedName name="DFD_TAX">#REF!</definedName>
    <definedName name="dfdfdsfadsf" localSheetId="8" hidden="1">{#N/A,#N/A,FALSE,"EXPENSE"}</definedName>
    <definedName name="dfdfdsfadsf" localSheetId="1" hidden="1">{#N/A,#N/A,FALSE,"EXPENSE"}</definedName>
    <definedName name="dfdfdsfadsf" localSheetId="9" hidden="1">{#N/A,#N/A,FALSE,"EXPENSE"}</definedName>
    <definedName name="dfdfdsfadsf" hidden="1">{#N/A,#N/A,FALSE,"EXPENSE"}</definedName>
    <definedName name="dfdsfsdfdfdsf" localSheetId="8" hidden="1">{#N/A,#N/A,FALSE,"EXPENSE"}</definedName>
    <definedName name="dfdsfsdfdfdsf" localSheetId="1" hidden="1">{#N/A,#N/A,FALSE,"EXPENSE"}</definedName>
    <definedName name="dfdsfsdfdfdsf" localSheetId="9" hidden="1">{#N/A,#N/A,FALSE,"EXPENSE"}</definedName>
    <definedName name="dfdsfsdfdfdsf" hidden="1">{#N/A,#N/A,FALSE,"EXPENSE"}</definedName>
    <definedName name="dfsadfdsfdsf" localSheetId="8" hidden="1">{#N/A,#N/A,FALSE,"ALLOC"}</definedName>
    <definedName name="dfsadfdsfdsf" localSheetId="1" hidden="1">{#N/A,#N/A,FALSE,"ALLOC"}</definedName>
    <definedName name="dfsadfdsfdsf" localSheetId="9" hidden="1">{#N/A,#N/A,FALSE,"ALLOC"}</definedName>
    <definedName name="dfsadfdsfdsf" hidden="1">{#N/A,#N/A,FALSE,"ALLOC"}</definedName>
    <definedName name="dfsdfdsfdsfds" localSheetId="8" hidden="1">{#N/A,#N/A,FALSE,"EXPENSE"}</definedName>
    <definedName name="dfsdfdsfdsfds" localSheetId="1" hidden="1">{#N/A,#N/A,FALSE,"EXPENSE"}</definedName>
    <definedName name="dfsdfdsfdsfds" localSheetId="9" hidden="1">{#N/A,#N/A,FALSE,"EXPENSE"}</definedName>
    <definedName name="dfsdfdsfdsfds" hidden="1">{#N/A,#N/A,FALSE,"EXPENSE"}</definedName>
    <definedName name="dgdgdfgdg" localSheetId="8" hidden="1">{#N/A,#N/A,FALSE,"EXPENSE"}</definedName>
    <definedName name="dgdgdfgdg" localSheetId="1" hidden="1">{#N/A,#N/A,FALSE,"EXPENSE"}</definedName>
    <definedName name="dgdgdfgdg" localSheetId="9" hidden="1">{#N/A,#N/A,FALSE,"EXPENSE"}</definedName>
    <definedName name="dgdgdfgdg" hidden="1">{#N/A,#N/A,FALSE,"EXPENSE"}</definedName>
    <definedName name="dhdyyrtyr" localSheetId="8" hidden="1">{#N/A,#N/A,FALSE,"EXPENSE"}</definedName>
    <definedName name="dhdyyrtyr" localSheetId="1" hidden="1">{#N/A,#N/A,FALSE,"EXPENSE"}</definedName>
    <definedName name="dhdyyrtyr" localSheetId="9" hidden="1">{#N/A,#N/A,FALSE,"EXPENSE"}</definedName>
    <definedName name="dhdyyrtyr" hidden="1">{#N/A,#N/A,FALSE,"EXPENSE"}</definedName>
    <definedName name="Dispatch2004">#REF!</definedName>
    <definedName name="DIST_ALL">#REF!</definedName>
    <definedName name="dkdkdk" localSheetId="8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kdkdk" localSheetId="1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kdkdk" localSheetId="9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kdkdk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OCKET">#REF!</definedName>
    <definedName name="Docket_No" localSheetId="11">#REF!</definedName>
    <definedName name="Docket_No" localSheetId="12">#REF!</definedName>
    <definedName name="Docket_No" localSheetId="13">#REF!</definedName>
    <definedName name="Docket_No" localSheetId="1">#REF!</definedName>
    <definedName name="DOCKET_NO">#REF!</definedName>
    <definedName name="DOT">#REF!</definedName>
    <definedName name="DOT_PROJECTS2003">#REF!</definedName>
    <definedName name="DOT_PROJECTS2004">#REF!</definedName>
    <definedName name="ds" localSheetId="8" hidden="1">{#N/A,#N/A,FALSE,"Aging Summary";#N/A,#N/A,FALSE,"Ratio Analysis";#N/A,#N/A,FALSE,"Test 120 Day Accts";#N/A,#N/A,FALSE,"Tickmarks"}</definedName>
    <definedName name="ds" localSheetId="1" hidden="1">{#N/A,#N/A,FALSE,"Aging Summary";#N/A,#N/A,FALSE,"Ratio Analysis";#N/A,#N/A,FALSE,"Test 120 Day Accts";#N/A,#N/A,FALSE,"Tickmarks"}</definedName>
    <definedName name="ds" localSheetId="9" hidden="1">{#N/A,#N/A,FALSE,"Aging Summary";#N/A,#N/A,FALSE,"Ratio Analysis";#N/A,#N/A,FALSE,"Test 120 Day Accts";#N/A,#N/A,FALSE,"Tickmarks"}</definedName>
    <definedName name="ds" hidden="1">{#N/A,#N/A,FALSE,"Aging Summary";#N/A,#N/A,FALSE,"Ratio Analysis";#N/A,#N/A,FALSE,"Test 120 Day Accts";#N/A,#N/A,FALSE,"Tickmarks"}</definedName>
    <definedName name="dsfasdfdasf" localSheetId="8" hidden="1">{#N/A,#N/A,FALSE,"EXPENSE"}</definedName>
    <definedName name="dsfasdfdasf" localSheetId="1" hidden="1">{#N/A,#N/A,FALSE,"EXPENSE"}</definedName>
    <definedName name="dsfasdfdasf" localSheetId="9" hidden="1">{#N/A,#N/A,FALSE,"EXPENSE"}</definedName>
    <definedName name="dsfasdfdasf" hidden="1">{#N/A,#N/A,FALSE,"EXPENSE"}</definedName>
    <definedName name="dsfasdfdsf" localSheetId="8" hidden="1">{#N/A,#N/A,FALSE,"EXPENSE"}</definedName>
    <definedName name="dsfasdfdsf" localSheetId="1" hidden="1">{#N/A,#N/A,FALSE,"EXPENSE"}</definedName>
    <definedName name="dsfasdfdsf" localSheetId="9" hidden="1">{#N/A,#N/A,FALSE,"EXPENSE"}</definedName>
    <definedName name="dsfasdfdsf" hidden="1">{#N/A,#N/A,FALSE,"EXPENSE"}</definedName>
    <definedName name="dsm" localSheetId="8" hidden="1">{#N/A,#N/A,FALSE,"Aging Summary";#N/A,#N/A,FALSE,"Ratio Analysis";#N/A,#N/A,FALSE,"Test 120 Day Accts";#N/A,#N/A,FALSE,"Tickmarks"}</definedName>
    <definedName name="dsm" localSheetId="1" hidden="1">{#N/A,#N/A,FALSE,"Aging Summary";#N/A,#N/A,FALSE,"Ratio Analysis";#N/A,#N/A,FALSE,"Test 120 Day Accts";#N/A,#N/A,FALSE,"Tickmarks"}</definedName>
    <definedName name="dsm" localSheetId="9" hidden="1">{#N/A,#N/A,FALSE,"Aging Summary";#N/A,#N/A,FALSE,"Ratio Analysis";#N/A,#N/A,FALSE,"Test 120 Day Accts";#N/A,#N/A,FALSE,"Tickmarks"}</definedName>
    <definedName name="dsm" hidden="1">{#N/A,#N/A,FALSE,"Aging Summary";#N/A,#N/A,FALSE,"Ratio Analysis";#N/A,#N/A,FALSE,"Test 120 Day Accts";#N/A,#N/A,FALSE,"Tickmarks"}</definedName>
    <definedName name="dtresyttyujyujtghgh" localSheetId="8" hidden="1">{#N/A,#N/A,FALSE,"EXPENSE"}</definedName>
    <definedName name="dtresyttyujyujtghgh" localSheetId="1" hidden="1">{#N/A,#N/A,FALSE,"EXPENSE"}</definedName>
    <definedName name="dtresyttyujyujtghgh" localSheetId="9" hidden="1">{#N/A,#N/A,FALSE,"EXPENSE"}</definedName>
    <definedName name="dtresyttyujyujtghgh" hidden="1">{#N/A,#N/A,FALSE,"EXPENSE"}</definedName>
    <definedName name="duh" localSheetId="8" hidden="1">{"edcredit",#N/A,FALSE,"edcredit"}</definedName>
    <definedName name="duh" localSheetId="1" hidden="1">{"edcredit",#N/A,FALSE,"edcredit"}</definedName>
    <definedName name="duh" localSheetId="9" hidden="1">{"edcredit",#N/A,FALSE,"edcredit"}</definedName>
    <definedName name="duh" hidden="1">{"edcredit",#N/A,FALSE,"edcredit"}</definedName>
    <definedName name="E">#REF!</definedName>
    <definedName name="E1_Page_1">#REF!,#REF!,#REF!,#REF!,#REF!,#REF!,#REF!</definedName>
    <definedName name="E1_Page_2">#REF!,#REF!,#REF!,#REF!,#REF!,#REF!,#REF!</definedName>
    <definedName name="E4_Page_1_All">#REF!,#REF!,#REF!,#REF!,#REF!,#REF!,#REF!</definedName>
    <definedName name="E4_Page_1_Filing">#REF!,#REF!,#REF!,#REF!,#REF!,#REF!,#REF!</definedName>
    <definedName name="E4_Page_2_All">#REF!,#REF!,#REF!,#REF!,#REF!,#REF!,#REF!</definedName>
    <definedName name="E4_Page_2_Filing">#REF!,#REF!,#REF!,#REF!,#REF!,#REF!,#REF!</definedName>
    <definedName name="eatawerawerfe" localSheetId="8" hidden="1">{#N/A,#N/A,FALSE,"ALLOC"}</definedName>
    <definedName name="eatawerawerfe" localSheetId="1" hidden="1">{#N/A,#N/A,FALSE,"ALLOC"}</definedName>
    <definedName name="eatawerawerfe" localSheetId="9" hidden="1">{#N/A,#N/A,FALSE,"ALLOC"}</definedName>
    <definedName name="eatawerawerfe" hidden="1">{#N/A,#N/A,FALSE,"ALLOC"}</definedName>
    <definedName name="ECON_DEV">#REF!</definedName>
    <definedName name="EDS_Strategic2004" localSheetId="8">#REF!</definedName>
    <definedName name="EDS_Strategic2004" localSheetId="1">#REF!</definedName>
    <definedName name="EDS_Strategic2004" localSheetId="9">#REF!</definedName>
    <definedName name="EDS_Strategic2004">#REF!</definedName>
    <definedName name="ej" localSheetId="8" hidden="1">{"Page 1",#N/A,FALSE,"Sheet1";"Page 2",#N/A,FALSE,"Sheet1"}</definedName>
    <definedName name="ej" localSheetId="1" hidden="1">{"Page 1",#N/A,FALSE,"Sheet1";"Page 2",#N/A,FALSE,"Sheet1"}</definedName>
    <definedName name="ej" localSheetId="9" hidden="1">{"Page 1",#N/A,FALSE,"Sheet1";"Page 2",#N/A,FALSE,"Sheet1"}</definedName>
    <definedName name="ej" hidden="1">{"Page 1",#N/A,FALSE,"Sheet1";"Page 2",#N/A,FALSE,"Sheet1"}</definedName>
    <definedName name="er" localSheetId="8" hidden="1">{#N/A,#N/A,FALSE,"Aging Summary";#N/A,#N/A,FALSE,"Ratio Analysis";#N/A,#N/A,FALSE,"Test 120 Day Accts";#N/A,#N/A,FALSE,"Tickmarks"}</definedName>
    <definedName name="er" localSheetId="1" hidden="1">{#N/A,#N/A,FALSE,"Aging Summary";#N/A,#N/A,FALSE,"Ratio Analysis";#N/A,#N/A,FALSE,"Test 120 Day Accts";#N/A,#N/A,FALSE,"Tickmarks"}</definedName>
    <definedName name="er" localSheetId="9" hidden="1">{#N/A,#N/A,FALSE,"Aging Summary";#N/A,#N/A,FALSE,"Ratio Analysis";#N/A,#N/A,FALSE,"Test 120 Day Accts";#N/A,#N/A,FALSE,"Tickmarks"}</definedName>
    <definedName name="er" hidden="1">{#N/A,#N/A,FALSE,"Aging Summary";#N/A,#N/A,FALSE,"Ratio Analysis";#N/A,#N/A,FALSE,"Test 120 Day Accts";#N/A,#N/A,FALSE,"Tickmarks"}</definedName>
    <definedName name="essbase12month" localSheetId="8" hidden="1">{"balsheet",#N/A,FALSE,"A"}</definedName>
    <definedName name="essbase12month" localSheetId="1" hidden="1">{"balsheet",#N/A,FALSE,"A"}</definedName>
    <definedName name="essbase12month" localSheetId="9" hidden="1">{"balsheet",#N/A,FALSE,"A"}</definedName>
    <definedName name="essbase12month" hidden="1">{"balsheet",#N/A,FALSE,"A"}</definedName>
    <definedName name="EssOptions">"A1110000000130000000001100000_0000"</definedName>
    <definedName name="ew" localSheetId="8" hidden="1">{#N/A,#N/A,FALSE,"Aging Summary";#N/A,#N/A,FALSE,"Ratio Analysis";#N/A,#N/A,FALSE,"Test 120 Day Accts";#N/A,#N/A,FALSE,"Tickmarks"}</definedName>
    <definedName name="ew" localSheetId="1" hidden="1">{#N/A,#N/A,FALSE,"Aging Summary";#N/A,#N/A,FALSE,"Ratio Analysis";#N/A,#N/A,FALSE,"Test 120 Day Accts";#N/A,#N/A,FALSE,"Tickmarks"}</definedName>
    <definedName name="ew" localSheetId="9" hidden="1">{#N/A,#N/A,FALSE,"Aging Summary";#N/A,#N/A,FALSE,"Ratio Analysis";#N/A,#N/A,FALSE,"Test 120 Day Accts";#N/A,#N/A,FALSE,"Tickmarks"}</definedName>
    <definedName name="ew" hidden="1">{#N/A,#N/A,FALSE,"Aging Summary";#N/A,#N/A,FALSE,"Ratio Analysis";#N/A,#N/A,FALSE,"Test 120 Day Accts";#N/A,#N/A,FALSE,"Tickmarks"}</definedName>
    <definedName name="f" localSheetId="8" hidden="1">{"edcredit",#N/A,FALSE,"edcredit"}</definedName>
    <definedName name="f" localSheetId="1" hidden="1">{"edcredit",#N/A,FALSE,"edcredit"}</definedName>
    <definedName name="f" localSheetId="9" hidden="1">{"edcredit",#N/A,FALSE,"edcredit"}</definedName>
    <definedName name="f" hidden="1">{"edcredit",#N/A,FALSE,"edcredit"}</definedName>
    <definedName name="FACTORS" localSheetId="27">#REF!</definedName>
    <definedName name="FACTORS" localSheetId="0">#REF!</definedName>
    <definedName name="FACTORS" localSheetId="8">#REF!</definedName>
    <definedName name="FACTORS" localSheetId="14">#REF!</definedName>
    <definedName name="FACTORS" localSheetId="15">#REF!</definedName>
    <definedName name="FACTORS" localSheetId="16">#REF!</definedName>
    <definedName name="FACTORS" localSheetId="21">#REF!</definedName>
    <definedName name="FACTORS" localSheetId="22">#REF!</definedName>
    <definedName name="FACTORS" localSheetId="23">#REF!</definedName>
    <definedName name="FACTORS" localSheetId="1">#REF!</definedName>
    <definedName name="FACTORS" localSheetId="9">#REF!</definedName>
    <definedName name="FACTORS">#REF!</definedName>
    <definedName name="fadfasdfasdfadsf" localSheetId="8" hidden="1">{#N/A,#N/A,FALSE,"ALLOC"}</definedName>
    <definedName name="fadfasdfasdfadsf" localSheetId="1" hidden="1">{#N/A,#N/A,FALSE,"ALLOC"}</definedName>
    <definedName name="fadfasdfasdfadsf" localSheetId="9" hidden="1">{#N/A,#N/A,FALSE,"ALLOC"}</definedName>
    <definedName name="fadfasdfasdfadsf" hidden="1">{#N/A,#N/A,FALSE,"ALLOC"}</definedName>
    <definedName name="fadfasdfwaerwe" localSheetId="8" hidden="1">{#N/A,#N/A,FALSE,"ALLOC"}</definedName>
    <definedName name="fadfasdfwaerwe" localSheetId="1" hidden="1">{#N/A,#N/A,FALSE,"ALLOC"}</definedName>
    <definedName name="fadfasdfwaerwe" localSheetId="9" hidden="1">{#N/A,#N/A,FALSE,"ALLOC"}</definedName>
    <definedName name="fadfasdfwaerwe" hidden="1">{#N/A,#N/A,FALSE,"ALLOC"}</definedName>
    <definedName name="fadsfadsfadsf" localSheetId="8" hidden="1">{#N/A,#N/A,FALSE,"EXPENSE"}</definedName>
    <definedName name="fadsfadsfadsf" localSheetId="1" hidden="1">{#N/A,#N/A,FALSE,"EXPENSE"}</definedName>
    <definedName name="fadsfadsfadsf" localSheetId="9" hidden="1">{#N/A,#N/A,FALSE,"EXPENSE"}</definedName>
    <definedName name="fadsfadsfadsf" hidden="1">{#N/A,#N/A,FALSE,"EXPENSE"}</definedName>
    <definedName name="fadsfadsfdasf" localSheetId="8" hidden="1">{#N/A,#N/A,FALSE,"EXPENSE"}</definedName>
    <definedName name="fadsfadsfdasf" localSheetId="1" hidden="1">{#N/A,#N/A,FALSE,"EXPENSE"}</definedName>
    <definedName name="fadsfadsfdasf" localSheetId="9" hidden="1">{#N/A,#N/A,FALSE,"EXPENSE"}</definedName>
    <definedName name="fadsfadsfdasf" hidden="1">{#N/A,#N/A,FALSE,"EXPENSE"}</definedName>
    <definedName name="fadsfdsafdfd" localSheetId="8" hidden="1">{#N/A,#N/A,FALSE,"ALLOC"}</definedName>
    <definedName name="fadsfdsafdfd" localSheetId="1" hidden="1">{#N/A,#N/A,FALSE,"ALLOC"}</definedName>
    <definedName name="fadsfdsafdfd" localSheetId="9" hidden="1">{#N/A,#N/A,FALSE,"ALLOC"}</definedName>
    <definedName name="fadsfdsafdfd" hidden="1">{#N/A,#N/A,FALSE,"ALLOC"}</definedName>
    <definedName name="fasdfadsfdasf" localSheetId="8" hidden="1">{#N/A,#N/A,FALSE,"ALLOC"}</definedName>
    <definedName name="fasdfadsfdasf" localSheetId="1" hidden="1">{#N/A,#N/A,FALSE,"ALLOC"}</definedName>
    <definedName name="fasdfadsfdasf" localSheetId="9" hidden="1">{#N/A,#N/A,FALSE,"ALLOC"}</definedName>
    <definedName name="fasdfadsfdasf" hidden="1">{#N/A,#N/A,FALSE,"ALLOC"}</definedName>
    <definedName name="fasdfasdfadsf" localSheetId="8" hidden="1">{#N/A,#N/A,FALSE,"EXPENSE"}</definedName>
    <definedName name="fasdfasdfadsf" localSheetId="1" hidden="1">{#N/A,#N/A,FALSE,"EXPENSE"}</definedName>
    <definedName name="fasdfasdfadsf" localSheetId="9" hidden="1">{#N/A,#N/A,FALSE,"EXPENSE"}</definedName>
    <definedName name="fasdfasdfadsf" hidden="1">{#N/A,#N/A,FALSE,"EXPENSE"}</definedName>
    <definedName name="fasdfdfdf" localSheetId="8" hidden="1">{#N/A,#N/A,FALSE,"EXPENSE"}</definedName>
    <definedName name="fasdfdfdf" localSheetId="1" hidden="1">{#N/A,#N/A,FALSE,"EXPENSE"}</definedName>
    <definedName name="fasdfdfdf" localSheetId="9" hidden="1">{#N/A,#N/A,FALSE,"EXPENSE"}</definedName>
    <definedName name="fasdfdfdf" hidden="1">{#N/A,#N/A,FALSE,"EXPENSE"}</definedName>
    <definedName name="fasfdsfdsafads" localSheetId="8" hidden="1">{#N/A,#N/A,FALSE,"EXPENSE"}</definedName>
    <definedName name="fasfdsfdsafads" localSheetId="1" hidden="1">{#N/A,#N/A,FALSE,"EXPENSE"}</definedName>
    <definedName name="fasfdsfdsafads" localSheetId="9" hidden="1">{#N/A,#N/A,FALSE,"EXPENSE"}</definedName>
    <definedName name="fasfdsfdsafads" hidden="1">{#N/A,#N/A,FALSE,"EXPENSE"}</definedName>
    <definedName name="fcsdafasdfadsf" localSheetId="8" hidden="1">{#N/A,#N/A,FALSE,"EXPENSE"}</definedName>
    <definedName name="fcsdafasdfadsf" localSheetId="1" hidden="1">{#N/A,#N/A,FALSE,"EXPENSE"}</definedName>
    <definedName name="fcsdafasdfadsf" localSheetId="9" hidden="1">{#N/A,#N/A,FALSE,"EXPENSE"}</definedName>
    <definedName name="fcsdafasdfadsf" hidden="1">{#N/A,#N/A,FALSE,"EXPENSE"}</definedName>
    <definedName name="fd" localSheetId="8" hidden="1">{#N/A,#N/A,FALSE,"GIS"}</definedName>
    <definedName name="fd" localSheetId="1" hidden="1">{#N/A,#N/A,FALSE,"GIS"}</definedName>
    <definedName name="fd" localSheetId="9" hidden="1">{#N/A,#N/A,FALSE,"GIS"}</definedName>
    <definedName name="fd" hidden="1">{#N/A,#N/A,FALSE,"GIS"}</definedName>
    <definedName name="fdasfadfdaf" localSheetId="8" hidden="1">{#N/A,#N/A,FALSE,"EXPENSE"}</definedName>
    <definedName name="fdasfadfdaf" localSheetId="1" hidden="1">{#N/A,#N/A,FALSE,"EXPENSE"}</definedName>
    <definedName name="fdasfadfdaf" localSheetId="9" hidden="1">{#N/A,#N/A,FALSE,"EXPENSE"}</definedName>
    <definedName name="fdasfadfdaf" hidden="1">{#N/A,#N/A,FALSE,"EXPENSE"}</definedName>
    <definedName name="fdsfdsafdasfds" localSheetId="8" hidden="1">{#N/A,#N/A,FALSE,"EXPENSE"}</definedName>
    <definedName name="fdsfdsafdasfds" localSheetId="1" hidden="1">{#N/A,#N/A,FALSE,"EXPENSE"}</definedName>
    <definedName name="fdsfdsafdasfds" localSheetId="9" hidden="1">{#N/A,#N/A,FALSE,"EXPENSE"}</definedName>
    <definedName name="fdsfdsafdasfds" hidden="1">{#N/A,#N/A,FALSE,"EXPENSE"}</definedName>
    <definedName name="fdsfsadfsdafdsa" localSheetId="8" hidden="1">{#N/A,#N/A,FALSE,"EXPENSE"}</definedName>
    <definedName name="fdsfsadfsdafdsa" localSheetId="1" hidden="1">{#N/A,#N/A,FALSE,"EXPENSE"}</definedName>
    <definedName name="fdsfsadfsdafdsa" localSheetId="9" hidden="1">{#N/A,#N/A,FALSE,"EXPENSE"}</definedName>
    <definedName name="fdsfsadfsdafdsa" hidden="1">{#N/A,#N/A,FALSE,"EXPENSE"}</definedName>
    <definedName name="fdsfsdfdsfd" localSheetId="8" hidden="1">{#N/A,#N/A,FALSE,"EXPENSE"}</definedName>
    <definedName name="fdsfsdfdsfd" localSheetId="1" hidden="1">{#N/A,#N/A,FALSE,"EXPENSE"}</definedName>
    <definedName name="fdsfsdfdsfd" localSheetId="9" hidden="1">{#N/A,#N/A,FALSE,"EXPENSE"}</definedName>
    <definedName name="fdsfsdfdsfd" hidden="1">{#N/A,#N/A,FALSE,"EXPENSE"}</definedName>
    <definedName name="FED_TX_ADJ">#REF!</definedName>
    <definedName name="fewrfwerwqerwe" localSheetId="8" hidden="1">{#N/A,#N/A,FALSE,"EXPENSE"}</definedName>
    <definedName name="fewrfwerwqerwe" localSheetId="1" hidden="1">{#N/A,#N/A,FALSE,"EXPENSE"}</definedName>
    <definedName name="fewrfwerwqerwe" localSheetId="9" hidden="1">{#N/A,#N/A,FALSE,"EXPENSE"}</definedName>
    <definedName name="fewrfwerwqerwe" hidden="1">{#N/A,#N/A,FALSE,"EXPENSE"}</definedName>
    <definedName name="ffff" localSheetId="8" hidden="1">{#N/A,#N/A,FALSE,"ALLOC"}</definedName>
    <definedName name="ffff" localSheetId="1" hidden="1">{#N/A,#N/A,FALSE,"ALLOC"}</definedName>
    <definedName name="ffff" localSheetId="9" hidden="1">{#N/A,#N/A,FALSE,"ALLOC"}</definedName>
    <definedName name="ffff" hidden="1">{#N/A,#N/A,FALSE,"ALLOC"}</definedName>
    <definedName name="FGC" localSheetId="27">#REF!</definedName>
    <definedName name="FGC" localSheetId="0">#REF!</definedName>
    <definedName name="FGC" localSheetId="8">#REF!</definedName>
    <definedName name="FGC" localSheetId="14">#REF!</definedName>
    <definedName name="FGC" localSheetId="15">#REF!</definedName>
    <definedName name="FGC" localSheetId="16">#REF!</definedName>
    <definedName name="FGC" localSheetId="21">#REF!</definedName>
    <definedName name="FGC" localSheetId="22">#REF!</definedName>
    <definedName name="FGC" localSheetId="23">#REF!</definedName>
    <definedName name="FGC" localSheetId="1">#REF!</definedName>
    <definedName name="FGC" localSheetId="9">#REF!</definedName>
    <definedName name="FGC">#REF!</definedName>
    <definedName name="fgdfgdzfxczv" localSheetId="8" hidden="1">{#N/A,#N/A,FALSE,"EXPENSE"}</definedName>
    <definedName name="fgdfgdzfxczv" localSheetId="1" hidden="1">{#N/A,#N/A,FALSE,"EXPENSE"}</definedName>
    <definedName name="fgdfgdzfxczv" localSheetId="9" hidden="1">{#N/A,#N/A,FALSE,"EXPENSE"}</definedName>
    <definedName name="fgdfgdzfxczv" hidden="1">{#N/A,#N/A,FALSE,"EXPENSE"}</definedName>
    <definedName name="fgdfzdsfASFDAS" localSheetId="8" hidden="1">{#N/A,#N/A,FALSE,"EXPENSE"}</definedName>
    <definedName name="fgdfzdsfASFDAS" localSheetId="1" hidden="1">{#N/A,#N/A,FALSE,"EXPENSE"}</definedName>
    <definedName name="fgdfzdsfASFDAS" localSheetId="9" hidden="1">{#N/A,#N/A,FALSE,"EXPENSE"}</definedName>
    <definedName name="fgdfzdsfASFDAS" hidden="1">{#N/A,#N/A,FALSE,"EXPENSE"}</definedName>
    <definedName name="fgdgdfdvcx" localSheetId="8" hidden="1">{#N/A,#N/A,FALSE,"ALLOC"}</definedName>
    <definedName name="fgdgdfdvcx" localSheetId="1" hidden="1">{#N/A,#N/A,FALSE,"ALLOC"}</definedName>
    <definedName name="fgdgdfdvcx" localSheetId="9" hidden="1">{#N/A,#N/A,FALSE,"ALLOC"}</definedName>
    <definedName name="fgdgdfdvcx" hidden="1">{#N/A,#N/A,FALSE,"ALLOC"}</definedName>
    <definedName name="fgdsfasdfscc" localSheetId="8" hidden="1">{#N/A,#N/A,FALSE,"ALLOC"}</definedName>
    <definedName name="fgdsfasdfscc" localSheetId="1" hidden="1">{#N/A,#N/A,FALSE,"ALLOC"}</definedName>
    <definedName name="fgdsfasdfscc" localSheetId="9" hidden="1">{#N/A,#N/A,FALSE,"ALLOC"}</definedName>
    <definedName name="fgdsfasdfscc" hidden="1">{#N/A,#N/A,FALSE,"ALLOC"}</definedName>
    <definedName name="fgdsfdsfd" localSheetId="8" hidden="1">{#N/A,#N/A,FALSE,"EXPENSE"}</definedName>
    <definedName name="fgdsfdsfd" localSheetId="1" hidden="1">{#N/A,#N/A,FALSE,"EXPENSE"}</definedName>
    <definedName name="fgdsfdsfd" localSheetId="9" hidden="1">{#N/A,#N/A,FALSE,"EXPENSE"}</definedName>
    <definedName name="fgdsfdsfd" hidden="1">{#N/A,#N/A,FALSE,"EXPENSE"}</definedName>
    <definedName name="fhfgdgdg" localSheetId="8" hidden="1">{#N/A,#N/A,FALSE,"EXPENSE"}</definedName>
    <definedName name="fhfgdgdg" localSheetId="1" hidden="1">{#N/A,#N/A,FALSE,"EXPENSE"}</definedName>
    <definedName name="fhfgdgdg" localSheetId="9" hidden="1">{#N/A,#N/A,FALSE,"EXPENSE"}</definedName>
    <definedName name="fhfgdgdg" hidden="1">{#N/A,#N/A,FALSE,"EXPENSE"}</definedName>
    <definedName name="fhfhfhfg" localSheetId="8" hidden="1">{#N/A,#N/A,FALSE,"EXPENSE"}</definedName>
    <definedName name="fhfhfhfg" localSheetId="1" hidden="1">{#N/A,#N/A,FALSE,"EXPENSE"}</definedName>
    <definedName name="fhfhfhfg" localSheetId="9" hidden="1">{#N/A,#N/A,FALSE,"EXPENSE"}</definedName>
    <definedName name="fhfhfhfg" hidden="1">{#N/A,#N/A,FALSE,"EXPENSE"}</definedName>
    <definedName name="fhgfdgdzfcxvcx" localSheetId="8" hidden="1">{#N/A,#N/A,FALSE,"EXPENSE"}</definedName>
    <definedName name="fhgfdgdzfcxvcx" localSheetId="1" hidden="1">{#N/A,#N/A,FALSE,"EXPENSE"}</definedName>
    <definedName name="fhgfdgdzfcxvcx" localSheetId="9" hidden="1">{#N/A,#N/A,FALSE,"EXPENSE"}</definedName>
    <definedName name="fhgfdgdzfcxvcx" hidden="1">{#N/A,#N/A,FALSE,"EXPENSE"}</definedName>
    <definedName name="FILENAME">#REF!</definedName>
    <definedName name="Filing_Name">#REF!</definedName>
    <definedName name="finance" localSheetId="8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inance" localSheetId="1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inance" localSheetId="9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inance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NI_ADJ">#REF!</definedName>
    <definedName name="FORM42_1A" localSheetId="27">#REF!</definedName>
    <definedName name="FORM42_1A" localSheetId="0">#REF!</definedName>
    <definedName name="FORM42_1A" localSheetId="8">#REF!</definedName>
    <definedName name="FORM42_1A" localSheetId="14">#REF!</definedName>
    <definedName name="FORM42_1A" localSheetId="15">#REF!</definedName>
    <definedName name="FORM42_1A" localSheetId="16">#REF!</definedName>
    <definedName name="FORM42_1A" localSheetId="21">#REF!</definedName>
    <definedName name="FORM42_1A" localSheetId="22">#REF!</definedName>
    <definedName name="FORM42_1A" localSheetId="23">#REF!</definedName>
    <definedName name="FORM42_1A" localSheetId="1">#REF!</definedName>
    <definedName name="FORM42_1A" localSheetId="9">#REF!</definedName>
    <definedName name="FORM42_1A">#REF!</definedName>
    <definedName name="FORM42_2A" localSheetId="27">#REF!</definedName>
    <definedName name="FORM42_2A" localSheetId="8">#REF!</definedName>
    <definedName name="FORM42_2A" localSheetId="14">#REF!</definedName>
    <definedName name="FORM42_2A" localSheetId="15">#REF!</definedName>
    <definedName name="FORM42_2A" localSheetId="16">#REF!</definedName>
    <definedName name="FORM42_2A" localSheetId="21">#REF!</definedName>
    <definedName name="FORM42_2A" localSheetId="22">#REF!</definedName>
    <definedName name="FORM42_2A" localSheetId="23">#REF!</definedName>
    <definedName name="FORM42_2A" localSheetId="1">#REF!</definedName>
    <definedName name="FORM42_2A" localSheetId="9">#REF!</definedName>
    <definedName name="FORM42_2A">#REF!</definedName>
    <definedName name="FORM42_3A" localSheetId="27">#REF!</definedName>
    <definedName name="FORM42_3A" localSheetId="8">#REF!</definedName>
    <definedName name="FORM42_3A" localSheetId="14">#REF!</definedName>
    <definedName name="FORM42_3A" localSheetId="15">#REF!</definedName>
    <definedName name="FORM42_3A" localSheetId="16">#REF!</definedName>
    <definedName name="FORM42_3A" localSheetId="21">#REF!</definedName>
    <definedName name="FORM42_3A" localSheetId="22">#REF!</definedName>
    <definedName name="FORM42_3A" localSheetId="23">#REF!</definedName>
    <definedName name="FORM42_3A" localSheetId="1">#REF!</definedName>
    <definedName name="FORM42_3A" localSheetId="9">#REF!</definedName>
    <definedName name="FORM42_3A">#REF!</definedName>
    <definedName name="FORM42_4A" localSheetId="27">#REF!</definedName>
    <definedName name="FORM42_4A" localSheetId="14">#REF!</definedName>
    <definedName name="FORM42_4A" localSheetId="15">#REF!</definedName>
    <definedName name="FORM42_4A" localSheetId="16">#REF!</definedName>
    <definedName name="FORM42_4A" localSheetId="21">#REF!</definedName>
    <definedName name="FORM42_4A" localSheetId="22">#REF!</definedName>
    <definedName name="FORM42_4A" localSheetId="23">#REF!</definedName>
    <definedName name="FORM42_4A" localSheetId="1">#REF!</definedName>
    <definedName name="FORM42_4A">#REF!</definedName>
    <definedName name="Form42_4P_P13" localSheetId="1">#REF!</definedName>
    <definedName name="Form42_4P_P13">#REF!</definedName>
    <definedName name="FORM42_6A" localSheetId="27">#REF!</definedName>
    <definedName name="FORM42_6A" localSheetId="14">#REF!</definedName>
    <definedName name="FORM42_6A" localSheetId="15">#REF!</definedName>
    <definedName name="FORM42_6A" localSheetId="16">#REF!</definedName>
    <definedName name="FORM42_6A" localSheetId="21">#REF!</definedName>
    <definedName name="FORM42_6A" localSheetId="22">#REF!</definedName>
    <definedName name="FORM42_6A" localSheetId="23">#REF!</definedName>
    <definedName name="FORM42_6A" localSheetId="1">#REF!</definedName>
    <definedName name="FORM42_6A">#REF!</definedName>
    <definedName name="FORM42_8A_P1" localSheetId="27">#REF!</definedName>
    <definedName name="FORM42_8A_P1" localSheetId="14">#REF!</definedName>
    <definedName name="FORM42_8A_P1" localSheetId="15">#REF!</definedName>
    <definedName name="FORM42_8A_P1" localSheetId="16">#REF!</definedName>
    <definedName name="FORM42_8A_P1" localSheetId="21">#REF!</definedName>
    <definedName name="FORM42_8A_P1" localSheetId="22">#REF!</definedName>
    <definedName name="FORM42_8A_P1" localSheetId="23">#REF!</definedName>
    <definedName name="FORM42_8A_P1" localSheetId="1">#REF!</definedName>
    <definedName name="FORM42_8A_P1">#REF!</definedName>
    <definedName name="FORM42_8A_P10" localSheetId="27">#REF!</definedName>
    <definedName name="FORM42_8A_P10" localSheetId="14">#REF!</definedName>
    <definedName name="FORM42_8A_P10" localSheetId="15">#REF!</definedName>
    <definedName name="FORM42_8A_P10" localSheetId="16">#REF!</definedName>
    <definedName name="FORM42_8A_P10" localSheetId="21">#REF!</definedName>
    <definedName name="FORM42_8A_P10" localSheetId="22">#REF!</definedName>
    <definedName name="FORM42_8A_P10" localSheetId="23">#REF!</definedName>
    <definedName name="FORM42_8A_P10" localSheetId="1">#REF!</definedName>
    <definedName name="FORM42_8A_P10">#REF!</definedName>
    <definedName name="FORM42_8A_P11" localSheetId="27">#REF!</definedName>
    <definedName name="FORM42_8A_P11" localSheetId="14">#REF!</definedName>
    <definedName name="FORM42_8A_P11" localSheetId="15">#REF!</definedName>
    <definedName name="FORM42_8A_P11" localSheetId="16">#REF!</definedName>
    <definedName name="FORM42_8A_P11" localSheetId="21">#REF!</definedName>
    <definedName name="FORM42_8A_P11" localSheetId="22">#REF!</definedName>
    <definedName name="FORM42_8A_P11" localSheetId="23">#REF!</definedName>
    <definedName name="FORM42_8A_P11" localSheetId="1">#REF!</definedName>
    <definedName name="FORM42_8A_P11">#REF!</definedName>
    <definedName name="FORM42_8A_P12" localSheetId="27">#REF!</definedName>
    <definedName name="FORM42_8A_P12" localSheetId="14">#REF!</definedName>
    <definedName name="FORM42_8A_P12" localSheetId="15">#REF!</definedName>
    <definedName name="FORM42_8A_P12" localSheetId="16">#REF!</definedName>
    <definedName name="FORM42_8A_P12" localSheetId="21">#REF!</definedName>
    <definedName name="FORM42_8A_P12" localSheetId="22">#REF!</definedName>
    <definedName name="FORM42_8A_P12" localSheetId="23">#REF!</definedName>
    <definedName name="FORM42_8A_P12" localSheetId="1">#REF!</definedName>
    <definedName name="FORM42_8A_P12">#REF!</definedName>
    <definedName name="FORM42_8A_P13" localSheetId="27">#REF!</definedName>
    <definedName name="FORM42_8A_P13" localSheetId="14">#REF!</definedName>
    <definedName name="FORM42_8A_P13" localSheetId="15">#REF!</definedName>
    <definedName name="FORM42_8A_P13" localSheetId="16">#REF!</definedName>
    <definedName name="FORM42_8A_P13" localSheetId="21">#REF!</definedName>
    <definedName name="FORM42_8A_P13" localSheetId="22">#REF!</definedName>
    <definedName name="FORM42_8A_P13" localSheetId="23">#REF!</definedName>
    <definedName name="FORM42_8A_P13" localSheetId="1">#REF!</definedName>
    <definedName name="FORM42_8A_P13">#REF!</definedName>
    <definedName name="FORM42_8A_P14" localSheetId="27">#REF!</definedName>
    <definedName name="FORM42_8A_P14" localSheetId="14">#REF!</definedName>
    <definedName name="FORM42_8A_P14" localSheetId="15">#REF!</definedName>
    <definedName name="FORM42_8A_P14" localSheetId="16">#REF!</definedName>
    <definedName name="FORM42_8A_P14" localSheetId="21">#REF!</definedName>
    <definedName name="FORM42_8A_P14" localSheetId="22">#REF!</definedName>
    <definedName name="FORM42_8A_P14" localSheetId="23">#REF!</definedName>
    <definedName name="FORM42_8A_P14" localSheetId="1">#REF!</definedName>
    <definedName name="FORM42_8A_P14">#REF!</definedName>
    <definedName name="FORM42_8A_P15" localSheetId="27">#REF!</definedName>
    <definedName name="FORM42_8A_P15" localSheetId="14">#REF!</definedName>
    <definedName name="FORM42_8A_P15" localSheetId="15">#REF!</definedName>
    <definedName name="FORM42_8A_P15" localSheetId="16">#REF!</definedName>
    <definedName name="FORM42_8A_P15" localSheetId="21">#REF!</definedName>
    <definedName name="FORM42_8A_P15" localSheetId="22">#REF!</definedName>
    <definedName name="FORM42_8A_P15" localSheetId="23">#REF!</definedName>
    <definedName name="FORM42_8A_P15" localSheetId="1">#REF!</definedName>
    <definedName name="FORM42_8A_P15">#REF!</definedName>
    <definedName name="FORM42_8A_P16" localSheetId="27">#REF!</definedName>
    <definedName name="FORM42_8A_P16" localSheetId="14">#REF!</definedName>
    <definedName name="FORM42_8A_P16" localSheetId="15">#REF!</definedName>
    <definedName name="FORM42_8A_P16" localSheetId="16">#REF!</definedName>
    <definedName name="FORM42_8A_P16" localSheetId="21">#REF!</definedName>
    <definedName name="FORM42_8A_P16" localSheetId="22">#REF!</definedName>
    <definedName name="FORM42_8A_P16" localSheetId="23">#REF!</definedName>
    <definedName name="FORM42_8A_P16" localSheetId="1">#REF!</definedName>
    <definedName name="FORM42_8A_P16">#REF!</definedName>
    <definedName name="FORM42_8A_P17" localSheetId="27">#REF!</definedName>
    <definedName name="FORM42_8A_P17" localSheetId="14">#REF!</definedName>
    <definedName name="FORM42_8A_P17" localSheetId="15">#REF!</definedName>
    <definedName name="FORM42_8A_P17" localSheetId="16">#REF!</definedName>
    <definedName name="FORM42_8A_P17" localSheetId="21">#REF!</definedName>
    <definedName name="FORM42_8A_P17" localSheetId="22">#REF!</definedName>
    <definedName name="FORM42_8A_P17" localSheetId="23">#REF!</definedName>
    <definedName name="FORM42_8A_P17" localSheetId="1">#REF!</definedName>
    <definedName name="FORM42_8A_P17">#REF!</definedName>
    <definedName name="FORM42_8A_P18" localSheetId="27">#REF!</definedName>
    <definedName name="FORM42_8A_P18" localSheetId="14">#REF!</definedName>
    <definedName name="FORM42_8A_P18" localSheetId="15">#REF!</definedName>
    <definedName name="FORM42_8A_P18" localSheetId="16">#REF!</definedName>
    <definedName name="FORM42_8A_P18" localSheetId="21">#REF!</definedName>
    <definedName name="FORM42_8A_P18" localSheetId="22">#REF!</definedName>
    <definedName name="FORM42_8A_P18" localSheetId="23">#REF!</definedName>
    <definedName name="FORM42_8A_P18" localSheetId="1">#REF!</definedName>
    <definedName name="FORM42_8A_P18">#REF!</definedName>
    <definedName name="FORM42_8A_P19" localSheetId="27">#REF!</definedName>
    <definedName name="FORM42_8A_P19" localSheetId="14">#REF!</definedName>
    <definedName name="FORM42_8A_P19" localSheetId="15">#REF!</definedName>
    <definedName name="FORM42_8A_P19" localSheetId="16">#REF!</definedName>
    <definedName name="FORM42_8A_P19" localSheetId="21">#REF!</definedName>
    <definedName name="FORM42_8A_P19" localSheetId="22">#REF!</definedName>
    <definedName name="FORM42_8A_P19" localSheetId="23">#REF!</definedName>
    <definedName name="FORM42_8A_P19" localSheetId="1">#REF!</definedName>
    <definedName name="FORM42_8A_P19">#REF!</definedName>
    <definedName name="FORM42_8A_P2" localSheetId="27">#REF!</definedName>
    <definedName name="FORM42_8A_P2" localSheetId="14">#REF!</definedName>
    <definedName name="FORM42_8A_P2" localSheetId="15">#REF!</definedName>
    <definedName name="FORM42_8A_P2" localSheetId="16">#REF!</definedName>
    <definedName name="FORM42_8A_P2" localSheetId="21">#REF!</definedName>
    <definedName name="FORM42_8A_P2" localSheetId="22">#REF!</definedName>
    <definedName name="FORM42_8A_P2" localSheetId="23">#REF!</definedName>
    <definedName name="FORM42_8A_P2" localSheetId="1">#REF!</definedName>
    <definedName name="FORM42_8A_P2">#REF!</definedName>
    <definedName name="FORM42_8A_P20" localSheetId="27">#REF!</definedName>
    <definedName name="FORM42_8A_P20" localSheetId="14">#REF!</definedName>
    <definedName name="FORM42_8A_P20" localSheetId="15">#REF!</definedName>
    <definedName name="FORM42_8A_P20" localSheetId="16">#REF!</definedName>
    <definedName name="FORM42_8A_P20" localSheetId="21">#REF!</definedName>
    <definedName name="FORM42_8A_P20" localSheetId="22">#REF!</definedName>
    <definedName name="FORM42_8A_P20" localSheetId="23">#REF!</definedName>
    <definedName name="FORM42_8A_P20" localSheetId="1">#REF!</definedName>
    <definedName name="FORM42_8A_P20">#REF!</definedName>
    <definedName name="FORM42_8A_P3" localSheetId="27">#REF!</definedName>
    <definedName name="FORM42_8A_P3" localSheetId="14">#REF!</definedName>
    <definedName name="FORM42_8A_P3" localSheetId="15">#REF!</definedName>
    <definedName name="FORM42_8A_P3" localSheetId="16">#REF!</definedName>
    <definedName name="FORM42_8A_P3" localSheetId="21">#REF!</definedName>
    <definedName name="FORM42_8A_P3" localSheetId="22">#REF!</definedName>
    <definedName name="FORM42_8A_P3" localSheetId="23">#REF!</definedName>
    <definedName name="FORM42_8A_P3" localSheetId="1">#REF!</definedName>
    <definedName name="FORM42_8A_P3">#REF!</definedName>
    <definedName name="FORM42_8A_P4" localSheetId="27">#REF!</definedName>
    <definedName name="FORM42_8A_P4" localSheetId="14">#REF!</definedName>
    <definedName name="FORM42_8A_P4" localSheetId="15">#REF!</definedName>
    <definedName name="FORM42_8A_P4" localSheetId="16">#REF!</definedName>
    <definedName name="FORM42_8A_P4" localSheetId="21">#REF!</definedName>
    <definedName name="FORM42_8A_P4" localSheetId="22">#REF!</definedName>
    <definedName name="FORM42_8A_P4" localSheetId="23">#REF!</definedName>
    <definedName name="FORM42_8A_P4" localSheetId="1">#REF!</definedName>
    <definedName name="FORM42_8A_P4">#REF!</definedName>
    <definedName name="FORM42_8A_P5" localSheetId="27">#REF!</definedName>
    <definedName name="FORM42_8A_P5" localSheetId="14">#REF!</definedName>
    <definedName name="FORM42_8A_P5" localSheetId="15">#REF!</definedName>
    <definedName name="FORM42_8A_P5" localSheetId="16">#REF!</definedName>
    <definedName name="FORM42_8A_P5" localSheetId="21">#REF!</definedName>
    <definedName name="FORM42_8A_P5" localSheetId="22">#REF!</definedName>
    <definedName name="FORM42_8A_P5" localSheetId="23">#REF!</definedName>
    <definedName name="FORM42_8A_P5" localSheetId="1">#REF!</definedName>
    <definedName name="FORM42_8A_P5">#REF!</definedName>
    <definedName name="FORM42_8A_P6" localSheetId="27">#REF!</definedName>
    <definedName name="FORM42_8A_P6" localSheetId="14">#REF!</definedName>
    <definedName name="FORM42_8A_P6" localSheetId="15">#REF!</definedName>
    <definedName name="FORM42_8A_P6" localSheetId="16">#REF!</definedName>
    <definedName name="FORM42_8A_P6" localSheetId="21">#REF!</definedName>
    <definedName name="FORM42_8A_P6" localSheetId="22">#REF!</definedName>
    <definedName name="FORM42_8A_P6" localSheetId="23">#REF!</definedName>
    <definedName name="FORM42_8A_P6" localSheetId="1">#REF!</definedName>
    <definedName name="FORM42_8A_P6">#REF!</definedName>
    <definedName name="FORM42_8A_P7" localSheetId="27">#REF!</definedName>
    <definedName name="FORM42_8A_P7" localSheetId="14">#REF!</definedName>
    <definedName name="FORM42_8A_P7" localSheetId="15">#REF!</definedName>
    <definedName name="FORM42_8A_P7" localSheetId="16">#REF!</definedName>
    <definedName name="FORM42_8A_P7" localSheetId="21">#REF!</definedName>
    <definedName name="FORM42_8A_P7" localSheetId="22">#REF!</definedName>
    <definedName name="FORM42_8A_P7" localSheetId="23">#REF!</definedName>
    <definedName name="FORM42_8A_P7" localSheetId="1">#REF!</definedName>
    <definedName name="FORM42_8A_P7">#REF!</definedName>
    <definedName name="FORM42_8A_P8" localSheetId="27">#REF!</definedName>
    <definedName name="FORM42_8A_P8" localSheetId="14">#REF!</definedName>
    <definedName name="FORM42_8A_P8" localSheetId="15">#REF!</definedName>
    <definedName name="FORM42_8A_P8" localSheetId="16">#REF!</definedName>
    <definedName name="FORM42_8A_P8" localSheetId="21">#REF!</definedName>
    <definedName name="FORM42_8A_P8" localSheetId="22">#REF!</definedName>
    <definedName name="FORM42_8A_P8" localSheetId="23">#REF!</definedName>
    <definedName name="FORM42_8A_P8" localSheetId="1">#REF!</definedName>
    <definedName name="FORM42_8A_P8">#REF!</definedName>
    <definedName name="FORM42_8A_P9" localSheetId="27">#REF!</definedName>
    <definedName name="FORM42_8A_P9" localSheetId="14">#REF!</definedName>
    <definedName name="FORM42_8A_P9" localSheetId="15">#REF!</definedName>
    <definedName name="FORM42_8A_P9" localSheetId="16">#REF!</definedName>
    <definedName name="FORM42_8A_P9" localSheetId="21">#REF!</definedName>
    <definedName name="FORM42_8A_P9" localSheetId="22">#REF!</definedName>
    <definedName name="FORM42_8A_P9" localSheetId="23">#REF!</definedName>
    <definedName name="FORM42_8A_P9" localSheetId="1">#REF!</definedName>
    <definedName name="FORM42_8A_P9">#REF!</definedName>
    <definedName name="FPCCAP" localSheetId="1">#REF!</definedName>
    <definedName name="FPCCAP">#REF!</definedName>
    <definedName name="FPSC_Adj_lookup">#REF!</definedName>
    <definedName name="freb" localSheetId="8" hidden="1">{#N/A,#N/A,FALSE,"EXPENSE"}</definedName>
    <definedName name="freb" localSheetId="1" hidden="1">{#N/A,#N/A,FALSE,"EXPENSE"}</definedName>
    <definedName name="freb" localSheetId="9" hidden="1">{#N/A,#N/A,FALSE,"EXPENSE"}</definedName>
    <definedName name="freb" hidden="1">{#N/A,#N/A,FALSE,"EXPENSE"}</definedName>
    <definedName name="frt" localSheetId="8" hidden="1">{#N/A,#N/A,FALSE,"Aging Summary";#N/A,#N/A,FALSE,"Ratio Analysis";#N/A,#N/A,FALSE,"Test 120 Day Accts";#N/A,#N/A,FALSE,"Tickmarks"}</definedName>
    <definedName name="frt" localSheetId="1" hidden="1">{#N/A,#N/A,FALSE,"Aging Summary";#N/A,#N/A,FALSE,"Ratio Analysis";#N/A,#N/A,FALSE,"Test 120 Day Accts";#N/A,#N/A,FALSE,"Tickmarks"}</definedName>
    <definedName name="frt" localSheetId="9" hidden="1">{#N/A,#N/A,FALSE,"Aging Summary";#N/A,#N/A,FALSE,"Ratio Analysis";#N/A,#N/A,FALSE,"Test 120 Day Accts";#N/A,#N/A,FALSE,"Tickmarks"}</definedName>
    <definedName name="frt" hidden="1">{#N/A,#N/A,FALSE,"Aging Summary";#N/A,#N/A,FALSE,"Ratio Analysis";#N/A,#N/A,FALSE,"Test 120 Day Accts";#N/A,#N/A,FALSE,"Tickmarks"}</definedName>
    <definedName name="frwerwerwerfw" localSheetId="8" hidden="1">{#N/A,#N/A,FALSE,"EXPENSE"}</definedName>
    <definedName name="frwerwerwerfw" localSheetId="1" hidden="1">{#N/A,#N/A,FALSE,"EXPENSE"}</definedName>
    <definedName name="frwerwerwerfw" localSheetId="9" hidden="1">{#N/A,#N/A,FALSE,"EXPENSE"}</definedName>
    <definedName name="frwerwerwerfw" hidden="1">{#N/A,#N/A,FALSE,"EXPENSE"}</definedName>
    <definedName name="frwerwerwerwerfew" localSheetId="8" hidden="1">{#N/A,#N/A,FALSE,"EXPENSE"}</definedName>
    <definedName name="frwerwerwerwerfew" localSheetId="1" hidden="1">{#N/A,#N/A,FALSE,"EXPENSE"}</definedName>
    <definedName name="frwerwerwerwerfew" localSheetId="9" hidden="1">{#N/A,#N/A,FALSE,"EXPENSE"}</definedName>
    <definedName name="frwerwerwerwerfew" hidden="1">{#N/A,#N/A,FALSE,"EXPENSE"}</definedName>
    <definedName name="fsadfsdfadfdfwerf" localSheetId="8" hidden="1">{#N/A,#N/A,FALSE,"EXPENSE"}</definedName>
    <definedName name="fsadfsdfadfdfwerf" localSheetId="1" hidden="1">{#N/A,#N/A,FALSE,"EXPENSE"}</definedName>
    <definedName name="fsadfsdfadfdfwerf" localSheetId="9" hidden="1">{#N/A,#N/A,FALSE,"EXPENSE"}</definedName>
    <definedName name="fsadfsdfadfdfwerf" hidden="1">{#N/A,#N/A,FALSE,"EXPENSE"}</definedName>
    <definedName name="fsafwaerwer" localSheetId="8" hidden="1">{#N/A,#N/A,FALSE,"EXPENSE"}</definedName>
    <definedName name="fsafwaerwer" localSheetId="1" hidden="1">{#N/A,#N/A,FALSE,"EXPENSE"}</definedName>
    <definedName name="fsafwaerwer" localSheetId="9" hidden="1">{#N/A,#N/A,FALSE,"EXPENSE"}</definedName>
    <definedName name="fsafwaerwer" hidden="1">{#N/A,#N/A,FALSE,"EXPENSE"}</definedName>
    <definedName name="fsd" localSheetId="8" hidden="1">{#N/A,#N/A,FALSE,"Aging Summary";#N/A,#N/A,FALSE,"Ratio Analysis";#N/A,#N/A,FALSE,"Test 120 Day Accts";#N/A,#N/A,FALSE,"Tickmarks"}</definedName>
    <definedName name="fsd" localSheetId="1" hidden="1">{#N/A,#N/A,FALSE,"Aging Summary";#N/A,#N/A,FALSE,"Ratio Analysis";#N/A,#N/A,FALSE,"Test 120 Day Accts";#N/A,#N/A,FALSE,"Tickmarks"}</definedName>
    <definedName name="fsd" localSheetId="9" hidden="1">{#N/A,#N/A,FALSE,"Aging Summary";#N/A,#N/A,FALSE,"Ratio Analysis";#N/A,#N/A,FALSE,"Test 120 Day Accts";#N/A,#N/A,FALSE,"Tickmarks"}</definedName>
    <definedName name="fsd" hidden="1">{#N/A,#N/A,FALSE,"Aging Summary";#N/A,#N/A,FALSE,"Ratio Analysis";#N/A,#N/A,FALSE,"Test 120 Day Accts";#N/A,#N/A,FALSE,"Tickmarks"}</definedName>
    <definedName name="fsdfadsfdfd" localSheetId="8" hidden="1">{#N/A,#N/A,FALSE,"EXPENSE"}</definedName>
    <definedName name="fsdfadsfdfd" localSheetId="1" hidden="1">{#N/A,#N/A,FALSE,"EXPENSE"}</definedName>
    <definedName name="fsdfadsfdfd" localSheetId="9" hidden="1">{#N/A,#N/A,FALSE,"EXPENSE"}</definedName>
    <definedName name="fsdfadsfdfd" hidden="1">{#N/A,#N/A,FALSE,"EXPENSE"}</definedName>
    <definedName name="fsdfasdfadsf" localSheetId="8" hidden="1">{#N/A,#N/A,FALSE,"EXPENSE"}</definedName>
    <definedName name="fsdfasdfadsf" localSheetId="1" hidden="1">{#N/A,#N/A,FALSE,"EXPENSE"}</definedName>
    <definedName name="fsdfasdfadsf" localSheetId="9" hidden="1">{#N/A,#N/A,FALSE,"EXPENSE"}</definedName>
    <definedName name="fsdfasdfadsf" hidden="1">{#N/A,#N/A,FALSE,"EXPENSE"}</definedName>
    <definedName name="fsdfdfbfvbcvbb" localSheetId="8" hidden="1">{#N/A,#N/A,FALSE,"ALLOC"}</definedName>
    <definedName name="fsdfdfbfvbcvbb" localSheetId="1" hidden="1">{#N/A,#N/A,FALSE,"ALLOC"}</definedName>
    <definedName name="fsdfdfbfvbcvbb" localSheetId="9" hidden="1">{#N/A,#N/A,FALSE,"ALLOC"}</definedName>
    <definedName name="fsdfdfbfvbcvbb" hidden="1">{#N/A,#N/A,FALSE,"ALLOC"}</definedName>
    <definedName name="fsdfdwfdsf" localSheetId="8" hidden="1">{#N/A,#N/A,FALSE,"EXPENSE"}</definedName>
    <definedName name="fsdfdwfdsf" localSheetId="1" hidden="1">{#N/A,#N/A,FALSE,"EXPENSE"}</definedName>
    <definedName name="fsdfdwfdsf" localSheetId="9" hidden="1">{#N/A,#N/A,FALSE,"EXPENSE"}</definedName>
    <definedName name="fsdfdwfdsf" hidden="1">{#N/A,#N/A,FALSE,"EXPENSE"}</definedName>
    <definedName name="fsgrhghj" localSheetId="8" hidden="1">{#N/A,#N/A,FALSE,"ALLOC"}</definedName>
    <definedName name="fsgrhghj" localSheetId="1" hidden="1">{#N/A,#N/A,FALSE,"ALLOC"}</definedName>
    <definedName name="fsgrhghj" localSheetId="9" hidden="1">{#N/A,#N/A,FALSE,"ALLOC"}</definedName>
    <definedName name="fsgrhghj" hidden="1">{#N/A,#N/A,FALSE,"ALLOC"}</definedName>
    <definedName name="ftyrtdrt" localSheetId="8" hidden="1">{#N/A,#N/A,FALSE,"ALLOC"}</definedName>
    <definedName name="ftyrtdrt" localSheetId="1" hidden="1">{#N/A,#N/A,FALSE,"ALLOC"}</definedName>
    <definedName name="ftyrtdrt" localSheetId="9" hidden="1">{#N/A,#N/A,FALSE,"ALLOC"}</definedName>
    <definedName name="ftyrtdrt" hidden="1">{#N/A,#N/A,FALSE,"ALLOC"}</definedName>
    <definedName name="FUNC_ALLOCS_CS">#REF!</definedName>
    <definedName name="FUNC_ALLOCS_CSIS">#REF!</definedName>
    <definedName name="FUNC_ALLOCS_GSD">#REF!</definedName>
    <definedName name="FUNC_ALLOCS_GSND">#REF!</definedName>
    <definedName name="FUNC_ALLOCS_GSND100LF">#REF!</definedName>
    <definedName name="FUNC_ALLOCS_IS">#REF!</definedName>
    <definedName name="FUNC_ALLOCS_LS">#REF!</definedName>
    <definedName name="FUNC_ALLOCS_RETAIL">#REF!</definedName>
    <definedName name="FUNC_ALLOCS_RS">#REF!</definedName>
    <definedName name="G" localSheetId="8">#REF!</definedName>
    <definedName name="G" localSheetId="1">#REF!</definedName>
    <definedName name="G" localSheetId="9">#REF!</definedName>
    <definedName name="G">#REF!</definedName>
    <definedName name="gbdfgdfdfzvc" localSheetId="8" hidden="1">{#N/A,#N/A,FALSE,"ALLOC"}</definedName>
    <definedName name="gbdfgdfdfzvc" localSheetId="1" hidden="1">{#N/A,#N/A,FALSE,"ALLOC"}</definedName>
    <definedName name="gbdfgdfdfzvc" localSheetId="9" hidden="1">{#N/A,#N/A,FALSE,"ALLOC"}</definedName>
    <definedName name="gbdfgdfdfzvc" hidden="1">{#N/A,#N/A,FALSE,"ALLOC"}</definedName>
    <definedName name="gbdfgzdfvvc" localSheetId="8" hidden="1">{#N/A,#N/A,FALSE,"EXPENSE"}</definedName>
    <definedName name="gbdfgzdfvvc" localSheetId="1" hidden="1">{#N/A,#N/A,FALSE,"EXPENSE"}</definedName>
    <definedName name="gbdfgzdfvvc" localSheetId="9" hidden="1">{#N/A,#N/A,FALSE,"EXPENSE"}</definedName>
    <definedName name="gbdfgzdfvvc" hidden="1">{#N/A,#N/A,FALSE,"EXPENSE"}</definedName>
    <definedName name="gdfgdvzxcvc" localSheetId="8" hidden="1">{#N/A,#N/A,FALSE,"EXPENSE"}</definedName>
    <definedName name="gdfgdvzxcvc" localSheetId="1" hidden="1">{#N/A,#N/A,FALSE,"EXPENSE"}</definedName>
    <definedName name="gdfgdvzxcvc" localSheetId="9" hidden="1">{#N/A,#N/A,FALSE,"EXPENSE"}</definedName>
    <definedName name="gdfgdvzxcvc" hidden="1">{#N/A,#N/A,FALSE,"EXPENSE"}</definedName>
    <definedName name="gdfgdzfdzfvxzc" localSheetId="8" hidden="1">{#N/A,#N/A,FALSE,"ALLOC"}</definedName>
    <definedName name="gdfgdzfdzfvxzc" localSheetId="1" hidden="1">{#N/A,#N/A,FALSE,"ALLOC"}</definedName>
    <definedName name="gdfgdzfdzfvxzc" localSheetId="9" hidden="1">{#N/A,#N/A,FALSE,"ALLOC"}</definedName>
    <definedName name="gdfgdzfdzfvxzc" hidden="1">{#N/A,#N/A,FALSE,"ALLOC"}</definedName>
    <definedName name="gdfgfbcvbcv" localSheetId="8" hidden="1">{#N/A,#N/A,FALSE,"EXPENSE"}</definedName>
    <definedName name="gdfgfbcvbcv" localSheetId="1" hidden="1">{#N/A,#N/A,FALSE,"EXPENSE"}</definedName>
    <definedName name="gdfgfbcvbcv" localSheetId="9" hidden="1">{#N/A,#N/A,FALSE,"EXPENSE"}</definedName>
    <definedName name="gdfgfbcvbcv" hidden="1">{#N/A,#N/A,FALSE,"EXPENSE"}</definedName>
    <definedName name="gdfgfvcxvcx" localSheetId="8" hidden="1">{#N/A,#N/A,FALSE,"ALLOC"}</definedName>
    <definedName name="gdfgfvcxvcx" localSheetId="1" hidden="1">{#N/A,#N/A,FALSE,"ALLOC"}</definedName>
    <definedName name="gdfgfvcxvcx" localSheetId="9" hidden="1">{#N/A,#N/A,FALSE,"ALLOC"}</definedName>
    <definedName name="gdfgfvcxvcx" hidden="1">{#N/A,#N/A,FALSE,"ALLOC"}</definedName>
    <definedName name="gdgddgd" localSheetId="8" hidden="1">{#N/A,#N/A,FALSE,"EXPENSE"}</definedName>
    <definedName name="gdgddgd" localSheetId="1" hidden="1">{#N/A,#N/A,FALSE,"EXPENSE"}</definedName>
    <definedName name="gdgddgd" localSheetId="9" hidden="1">{#N/A,#N/A,FALSE,"EXPENSE"}</definedName>
    <definedName name="gdgddgd" hidden="1">{#N/A,#N/A,FALSE,"EXPENSE"}</definedName>
    <definedName name="gdsfgdcvcx" localSheetId="8" hidden="1">{#N/A,#N/A,FALSE,"EXPENSE"}</definedName>
    <definedName name="gdsfgdcvcx" localSheetId="1" hidden="1">{#N/A,#N/A,FALSE,"EXPENSE"}</definedName>
    <definedName name="gdsfgdcvcx" localSheetId="9" hidden="1">{#N/A,#N/A,FALSE,"EXPENSE"}</definedName>
    <definedName name="gdsfgdcvcx" hidden="1">{#N/A,#N/A,FALSE,"EXPENSE"}</definedName>
    <definedName name="gdsfgdfvgzcxvcxz" localSheetId="8" hidden="1">{#N/A,#N/A,FALSE,"EXPENSE"}</definedName>
    <definedName name="gdsfgdfvgzcxvcxz" localSheetId="1" hidden="1">{#N/A,#N/A,FALSE,"EXPENSE"}</definedName>
    <definedName name="gdsfgdfvgzcxvcxz" localSheetId="9" hidden="1">{#N/A,#N/A,FALSE,"EXPENSE"}</definedName>
    <definedName name="gdsfgdfvgzcxvcxz" hidden="1">{#N/A,#N/A,FALSE,"EXPENSE"}</definedName>
    <definedName name="gdsgdfvcxvxc" localSheetId="8" hidden="1">{#N/A,#N/A,FALSE,"EXPENSE"}</definedName>
    <definedName name="gdsgdfvcxvxc" localSheetId="1" hidden="1">{#N/A,#N/A,FALSE,"EXPENSE"}</definedName>
    <definedName name="gdsgdfvcxvxc" localSheetId="9" hidden="1">{#N/A,#N/A,FALSE,"EXPENSE"}</definedName>
    <definedName name="gdsgdfvcxvxc" hidden="1">{#N/A,#N/A,FALSE,"EXPENSE"}</definedName>
    <definedName name="gfgsdftesrt" localSheetId="8" hidden="1">{#N/A,#N/A,FALSE,"EXPENSE"}</definedName>
    <definedName name="gfgsdftesrt" localSheetId="1" hidden="1">{#N/A,#N/A,FALSE,"EXPENSE"}</definedName>
    <definedName name="gfgsdftesrt" localSheetId="9" hidden="1">{#N/A,#N/A,FALSE,"EXPENSE"}</definedName>
    <definedName name="gfgsdftesrt" hidden="1">{#N/A,#N/A,FALSE,"EXPENSE"}</definedName>
    <definedName name="gfhbgfggbvcvcx" localSheetId="8" hidden="1">{#N/A,#N/A,FALSE,"EXPENSE"}</definedName>
    <definedName name="gfhbgfggbvcvcx" localSheetId="1" hidden="1">{#N/A,#N/A,FALSE,"EXPENSE"}</definedName>
    <definedName name="gfhbgfggbvcvcx" localSheetId="9" hidden="1">{#N/A,#N/A,FALSE,"EXPENSE"}</definedName>
    <definedName name="gfhbgfggbvcvcx" hidden="1">{#N/A,#N/A,FALSE,"EXPENSE"}</definedName>
    <definedName name="gfhfgfbcvcv" localSheetId="8" hidden="1">{#N/A,#N/A,FALSE,"EXPENSE"}</definedName>
    <definedName name="gfhfgfbcvcv" localSheetId="1" hidden="1">{#N/A,#N/A,FALSE,"EXPENSE"}</definedName>
    <definedName name="gfhfgfbcvcv" localSheetId="9" hidden="1">{#N/A,#N/A,FALSE,"EXPENSE"}</definedName>
    <definedName name="gfhfgfbcvcv" hidden="1">{#N/A,#N/A,FALSE,"EXPENSE"}</definedName>
    <definedName name="gfhfxcxvcxzv" localSheetId="8" hidden="1">{#N/A,#N/A,FALSE,"EXPENSE"}</definedName>
    <definedName name="gfhfxcxvcxzv" localSheetId="1" hidden="1">{#N/A,#N/A,FALSE,"EXPENSE"}</definedName>
    <definedName name="gfhfxcxvcxzv" localSheetId="9" hidden="1">{#N/A,#N/A,FALSE,"EXPENSE"}</definedName>
    <definedName name="gfhfxcxvcxzv" hidden="1">{#N/A,#N/A,FALSE,"EXPENSE"}</definedName>
    <definedName name="gfhsdzfzasdfSAF" localSheetId="8" hidden="1">{#N/A,#N/A,FALSE,"ALLOC"}</definedName>
    <definedName name="gfhsdzfzasdfSAF" localSheetId="1" hidden="1">{#N/A,#N/A,FALSE,"ALLOC"}</definedName>
    <definedName name="gfhsdzfzasdfSAF" localSheetId="9" hidden="1">{#N/A,#N/A,FALSE,"ALLOC"}</definedName>
    <definedName name="gfhsdzfzasdfSAF" hidden="1">{#N/A,#N/A,FALSE,"ALLOC"}</definedName>
    <definedName name="gfhshyghgf" localSheetId="8" hidden="1">{#N/A,#N/A,FALSE,"EXPENSE"}</definedName>
    <definedName name="gfhshyghgf" localSheetId="1" hidden="1">{#N/A,#N/A,FALSE,"EXPENSE"}</definedName>
    <definedName name="gfhshyghgf" localSheetId="9" hidden="1">{#N/A,#N/A,FALSE,"EXPENSE"}</definedName>
    <definedName name="gfhshyghgf" hidden="1">{#N/A,#N/A,FALSE,"EXPENSE"}</definedName>
    <definedName name="gfnhsfgdzvc" localSheetId="8" hidden="1">{#N/A,#N/A,FALSE,"ALLOC"}</definedName>
    <definedName name="gfnhsfgdzvc" localSheetId="1" hidden="1">{#N/A,#N/A,FALSE,"ALLOC"}</definedName>
    <definedName name="gfnhsfgdzvc" localSheetId="9" hidden="1">{#N/A,#N/A,FALSE,"ALLOC"}</definedName>
    <definedName name="gfnhsfgdzvc" hidden="1">{#N/A,#N/A,FALSE,"ALLOC"}</definedName>
    <definedName name="gfsgesrwerwer" localSheetId="8" hidden="1">{#N/A,#N/A,FALSE,"EXPENSE"}</definedName>
    <definedName name="gfsgesrwerwer" localSheetId="1" hidden="1">{#N/A,#N/A,FALSE,"EXPENSE"}</definedName>
    <definedName name="gfsgesrwerwer" localSheetId="9" hidden="1">{#N/A,#N/A,FALSE,"EXPENSE"}</definedName>
    <definedName name="gfsgesrwerwer" hidden="1">{#N/A,#N/A,FALSE,"EXPENSE"}</definedName>
    <definedName name="gggg" localSheetId="8" hidden="1">{#N/A,#N/A,FALSE,"EXPENSE"}</definedName>
    <definedName name="gggg" localSheetId="1" hidden="1">{#N/A,#N/A,FALSE,"EXPENSE"}</definedName>
    <definedName name="gggg" localSheetId="9" hidden="1">{#N/A,#N/A,FALSE,"EXPENSE"}</definedName>
    <definedName name="gggg" hidden="1">{#N/A,#N/A,FALSE,"EXPENSE"}</definedName>
    <definedName name="ggggg" localSheetId="8" hidden="1">{#N/A,#N/A,FALSE,"EXPENSE"}</definedName>
    <definedName name="ggggg" localSheetId="1" hidden="1">{#N/A,#N/A,FALSE,"EXPENSE"}</definedName>
    <definedName name="ggggg" localSheetId="9" hidden="1">{#N/A,#N/A,FALSE,"EXPENSE"}</definedName>
    <definedName name="ggggg" hidden="1">{#N/A,#N/A,FALSE,"EXPENSE"}</definedName>
    <definedName name="gggggg" localSheetId="8" hidden="1">{#N/A,#N/A,FALSE,"EXPENSE"}</definedName>
    <definedName name="gggggg" localSheetId="1" hidden="1">{#N/A,#N/A,FALSE,"EXPENSE"}</definedName>
    <definedName name="gggggg" localSheetId="9" hidden="1">{#N/A,#N/A,FALSE,"EXPENSE"}</definedName>
    <definedName name="gggggg" hidden="1">{#N/A,#N/A,FALSE,"EXPENSE"}</definedName>
    <definedName name="ghsfgdszfzsdf" localSheetId="8" hidden="1">{#N/A,#N/A,FALSE,"EXPENSE"}</definedName>
    <definedName name="ghsfgdszfzsdf" localSheetId="1" hidden="1">{#N/A,#N/A,FALSE,"EXPENSE"}</definedName>
    <definedName name="ghsfgdszfzsdf" localSheetId="9" hidden="1">{#N/A,#N/A,FALSE,"EXPENSE"}</definedName>
    <definedName name="ghsfgdszfzsdf" hidden="1">{#N/A,#N/A,FALSE,"EXPENSE"}</definedName>
    <definedName name="gretertertert" localSheetId="8" hidden="1">{#N/A,#N/A,FALSE,"EXPENSE"}</definedName>
    <definedName name="gretertertert" localSheetId="1" hidden="1">{#N/A,#N/A,FALSE,"EXPENSE"}</definedName>
    <definedName name="gretertertert" localSheetId="9" hidden="1">{#N/A,#N/A,FALSE,"EXPENSE"}</definedName>
    <definedName name="gretertertert" hidden="1">{#N/A,#N/A,FALSE,"EXPENSE"}</definedName>
    <definedName name="gsdfgdzcvzcxvc" localSheetId="8" hidden="1">{#N/A,#N/A,FALSE,"EXPENSE"}</definedName>
    <definedName name="gsdfgdzcvzcxvc" localSheetId="1" hidden="1">{#N/A,#N/A,FALSE,"EXPENSE"}</definedName>
    <definedName name="gsdfgdzcvzcxvc" localSheetId="9" hidden="1">{#N/A,#N/A,FALSE,"EXPENSE"}</definedName>
    <definedName name="gsdfgdzcvzcxvc" hidden="1">{#N/A,#N/A,FALSE,"EXPENSE"}</definedName>
    <definedName name="gsdfgdzfzdvcxz" localSheetId="8" hidden="1">{#N/A,#N/A,FALSE,"EXPENSE"}</definedName>
    <definedName name="gsdfgdzfzdvcxz" localSheetId="1" hidden="1">{#N/A,#N/A,FALSE,"EXPENSE"}</definedName>
    <definedName name="gsdfgdzfzdvcxz" localSheetId="9" hidden="1">{#N/A,#N/A,FALSE,"EXPENSE"}</definedName>
    <definedName name="gsdfgdzfzdvcxz" hidden="1">{#N/A,#N/A,FALSE,"EXPENSE"}</definedName>
    <definedName name="gsdfgzsdfzsdcs" localSheetId="8" hidden="1">{#N/A,#N/A,FALSE,"EXPENSE"}</definedName>
    <definedName name="gsdfgzsdfzsdcs" localSheetId="1" hidden="1">{#N/A,#N/A,FALSE,"EXPENSE"}</definedName>
    <definedName name="gsdfgzsdfzsdcs" localSheetId="9" hidden="1">{#N/A,#N/A,FALSE,"EXPENSE"}</definedName>
    <definedName name="gsdfgzsdfzsdcs" hidden="1">{#N/A,#N/A,FALSE,"EXPENSE"}</definedName>
    <definedName name="gsfdgzdfcxv" localSheetId="8" hidden="1">{#N/A,#N/A,FALSE,"EXPENSE"}</definedName>
    <definedName name="gsfdgzdfcxv" localSheetId="1" hidden="1">{#N/A,#N/A,FALSE,"EXPENSE"}</definedName>
    <definedName name="gsfdgzdfcxv" localSheetId="9" hidden="1">{#N/A,#N/A,FALSE,"EXPENSE"}</definedName>
    <definedName name="gsfdgzdfcxv" hidden="1">{#N/A,#N/A,FALSE,"EXPENSE"}</definedName>
    <definedName name="H">#REF!</definedName>
    <definedName name="hfgdfdcvc" localSheetId="8" hidden="1">{#N/A,#N/A,FALSE,"EXPENSE"}</definedName>
    <definedName name="hfgdfdcvc" localSheetId="1" hidden="1">{#N/A,#N/A,FALSE,"EXPENSE"}</definedName>
    <definedName name="hfgdfdcvc" localSheetId="9" hidden="1">{#N/A,#N/A,FALSE,"EXPENSE"}</definedName>
    <definedName name="hfgdfdcvc" hidden="1">{#N/A,#N/A,FALSE,"EXPENSE"}</definedName>
    <definedName name="hgfhngfvbvcb" localSheetId="8" hidden="1">{#N/A,#N/A,FALSE,"EXPENSE"}</definedName>
    <definedName name="hgfhngfvbvcb" localSheetId="1" hidden="1">{#N/A,#N/A,FALSE,"EXPENSE"}</definedName>
    <definedName name="hgfhngfvbvcb" localSheetId="9" hidden="1">{#N/A,#N/A,FALSE,"EXPENSE"}</definedName>
    <definedName name="hgfhngfvbvcb" hidden="1">{#N/A,#N/A,FALSE,"EXPENSE"}</definedName>
    <definedName name="hgfhsfdgadgfzdv" localSheetId="8" hidden="1">{#N/A,#N/A,FALSE,"EXPENSE"}</definedName>
    <definedName name="hgfhsfdgadgfzdv" localSheetId="1" hidden="1">{#N/A,#N/A,FALSE,"EXPENSE"}</definedName>
    <definedName name="hgfhsfdgadgfzdv" localSheetId="9" hidden="1">{#N/A,#N/A,FALSE,"EXPENSE"}</definedName>
    <definedName name="hgfhsfdgadgfzdv" hidden="1">{#N/A,#N/A,FALSE,"EXPENSE"}</definedName>
    <definedName name="hghfdghfgh" localSheetId="8" hidden="1">{#N/A,#N/A,FALSE,"EXPENSE"}</definedName>
    <definedName name="hghfdghfgh" localSheetId="1" hidden="1">{#N/A,#N/A,FALSE,"EXPENSE"}</definedName>
    <definedName name="hghfdghfgh" localSheetId="9" hidden="1">{#N/A,#N/A,FALSE,"EXPENSE"}</definedName>
    <definedName name="hghfdghfgh" hidden="1">{#N/A,#N/A,FALSE,"EXPENSE"}</definedName>
    <definedName name="hgsfdgdzgfdszfds" localSheetId="8" hidden="1">{#N/A,#N/A,FALSE,"EXPENSE"}</definedName>
    <definedName name="hgsfdgdzgfdszfds" localSheetId="1" hidden="1">{#N/A,#N/A,FALSE,"EXPENSE"}</definedName>
    <definedName name="hgsfdgdzgfdszfds" localSheetId="9" hidden="1">{#N/A,#N/A,FALSE,"EXPENSE"}</definedName>
    <definedName name="hgsfdgdzgfdszfds" hidden="1">{#N/A,#N/A,FALSE,"EXPENSE"}</definedName>
    <definedName name="hhfghfh" localSheetId="8" hidden="1">{#N/A,#N/A,FALSE,"EXPENSE"}</definedName>
    <definedName name="hhfghfh" localSheetId="1" hidden="1">{#N/A,#N/A,FALSE,"EXPENSE"}</definedName>
    <definedName name="hhfghfh" localSheetId="9" hidden="1">{#N/A,#N/A,FALSE,"EXPENSE"}</definedName>
    <definedName name="hhfghfh" hidden="1">{#N/A,#N/A,FALSE,"EXPENSE"}</definedName>
    <definedName name="hhgbvxcv" localSheetId="8" hidden="1">{#N/A,#N/A,FALSE,"EXPENSE"}</definedName>
    <definedName name="hhgbvxcv" localSheetId="1" hidden="1">{#N/A,#N/A,FALSE,"EXPENSE"}</definedName>
    <definedName name="hhgbvxcv" localSheetId="9" hidden="1">{#N/A,#N/A,FALSE,"EXPENSE"}</definedName>
    <definedName name="hhgbvxcv" hidden="1">{#N/A,#N/A,FALSE,"EXPENSE"}</definedName>
    <definedName name="hhh" localSheetId="8" hidden="1">{#N/A,#N/A,FALSE,"Assessment";#N/A,#N/A,FALSE,"Staffing";#N/A,#N/A,FALSE,"Hires";#N/A,#N/A,FALSE,"Assumptions"}</definedName>
    <definedName name="hhh" localSheetId="1" hidden="1">{#N/A,#N/A,FALSE,"Assessment";#N/A,#N/A,FALSE,"Staffing";#N/A,#N/A,FALSE,"Hires";#N/A,#N/A,FALSE,"Assumptions"}</definedName>
    <definedName name="hhh" localSheetId="9" hidden="1">{#N/A,#N/A,FALSE,"Assessment";#N/A,#N/A,FALSE,"Staffing";#N/A,#N/A,FALSE,"Hires";#N/A,#N/A,FALSE,"Assumptions"}</definedName>
    <definedName name="hhh" hidden="1">{#N/A,#N/A,FALSE,"Assessment";#N/A,#N/A,FALSE,"Staffing";#N/A,#N/A,FALSE,"Hires";#N/A,#N/A,FALSE,"Assumptions"}</definedName>
    <definedName name="hhhh" localSheetId="8" hidden="1">{#N/A,#N/A,FALSE,"EXPENSE"}</definedName>
    <definedName name="hhhh" localSheetId="1" hidden="1">{#N/A,#N/A,FALSE,"EXPENSE"}</definedName>
    <definedName name="hhhh" localSheetId="9" hidden="1">{#N/A,#N/A,FALSE,"EXPENSE"}</definedName>
    <definedName name="hhhh" hidden="1">{#N/A,#N/A,FALSE,"EXPENSE"}</definedName>
    <definedName name="hhhhh" localSheetId="8" hidden="1">{#N/A,#N/A,FALSE,"ALLOC"}</definedName>
    <definedName name="hhhhh" localSheetId="1" hidden="1">{#N/A,#N/A,FALSE,"ALLOC"}</definedName>
    <definedName name="hhhhh" localSheetId="9" hidden="1">{#N/A,#N/A,FALSE,"ALLOC"}</definedName>
    <definedName name="hhhhh" hidden="1">{#N/A,#N/A,FALSE,"ALLOC"}</definedName>
    <definedName name="hjgfhgfhgf" localSheetId="8" hidden="1">{#N/A,#N/A,FALSE,"EXPENSE"}</definedName>
    <definedName name="hjgfhgfhgf" localSheetId="1" hidden="1">{#N/A,#N/A,FALSE,"EXPENSE"}</definedName>
    <definedName name="hjgfhgfhgf" localSheetId="9" hidden="1">{#N/A,#N/A,FALSE,"EXPENSE"}</definedName>
    <definedName name="hjgfhgfhgf" hidden="1">{#N/A,#N/A,FALSE,"EXPENSE"}</definedName>
    <definedName name="hnftgszdgfzsdfv" localSheetId="8" hidden="1">{#N/A,#N/A,FALSE,"EXPENSE"}</definedName>
    <definedName name="hnftgszdgfzsdfv" localSheetId="1" hidden="1">{#N/A,#N/A,FALSE,"EXPENSE"}</definedName>
    <definedName name="hnftgszdgfzsdfv" localSheetId="9" hidden="1">{#N/A,#N/A,FALSE,"EXPENSE"}</definedName>
    <definedName name="hnftgszdgfzsdfv" hidden="1">{#N/A,#N/A,FALSE,"EXPENSE"}</definedName>
    <definedName name="Hotel_List">#REF!</definedName>
    <definedName name="HOURS" localSheetId="27">#REF!</definedName>
    <definedName name="HOURS" localSheetId="0">#REF!</definedName>
    <definedName name="HOURS" localSheetId="11">#REF!</definedName>
    <definedName name="HOURS" localSheetId="12">#REF!</definedName>
    <definedName name="HOURS" localSheetId="13">#REF!</definedName>
    <definedName name="HOURS" localSheetId="14">#REF!</definedName>
    <definedName name="HOURS" localSheetId="15">#REF!</definedName>
    <definedName name="HOURS" localSheetId="16">#REF!</definedName>
    <definedName name="HOURS" localSheetId="21">#REF!</definedName>
    <definedName name="HOURS" localSheetId="22">#REF!</definedName>
    <definedName name="HOURS" localSheetId="23">#REF!</definedName>
    <definedName name="HOURS" localSheetId="1">#REF!</definedName>
    <definedName name="HOURS">#REF!</definedName>
    <definedName name="Hours_Yr1" localSheetId="27">#REF!</definedName>
    <definedName name="Hours_Yr1" localSheetId="0">#REF!</definedName>
    <definedName name="Hours_Yr1" localSheetId="14">#REF!</definedName>
    <definedName name="Hours_Yr1" localSheetId="15">#REF!</definedName>
    <definedName name="Hours_Yr1" localSheetId="16">#REF!</definedName>
    <definedName name="Hours_Yr1" localSheetId="21">#REF!</definedName>
    <definedName name="Hours_Yr1" localSheetId="22">#REF!</definedName>
    <definedName name="Hours_Yr1" localSheetId="23">#REF!</definedName>
    <definedName name="Hours_Yr1" localSheetId="1">#REF!</definedName>
    <definedName name="Hours_Yr1">#REF!</definedName>
    <definedName name="Hours_Yr2" localSheetId="27">#REF!</definedName>
    <definedName name="Hours_Yr2" localSheetId="0">#REF!</definedName>
    <definedName name="Hours_Yr2" localSheetId="14">#REF!</definedName>
    <definedName name="Hours_Yr2" localSheetId="15">#REF!</definedName>
    <definedName name="Hours_Yr2" localSheetId="16">#REF!</definedName>
    <definedName name="Hours_Yr2" localSheetId="21">#REF!</definedName>
    <definedName name="Hours_Yr2" localSheetId="22">#REF!</definedName>
    <definedName name="Hours_Yr2" localSheetId="23">#REF!</definedName>
    <definedName name="Hours_Yr2" localSheetId="1">#REF!</definedName>
    <definedName name="Hours_Yr2">#REF!</definedName>
    <definedName name="Hours_Yr3" localSheetId="27">#REF!</definedName>
    <definedName name="Hours_Yr3" localSheetId="0">#REF!</definedName>
    <definedName name="Hours_Yr3" localSheetId="14">#REF!</definedName>
    <definedName name="Hours_Yr3" localSheetId="15">#REF!</definedName>
    <definedName name="Hours_Yr3" localSheetId="16">#REF!</definedName>
    <definedName name="Hours_Yr3" localSheetId="21">#REF!</definedName>
    <definedName name="Hours_Yr3" localSheetId="22">#REF!</definedName>
    <definedName name="Hours_Yr3" localSheetId="23">#REF!</definedName>
    <definedName name="Hours_Yr3" localSheetId="1">#REF!</definedName>
    <definedName name="Hours_Yr3">#REF!</definedName>
    <definedName name="Hours_Yr4" localSheetId="27">#REF!</definedName>
    <definedName name="Hours_Yr4" localSheetId="0">#REF!</definedName>
    <definedName name="Hours_Yr4" localSheetId="14">#REF!</definedName>
    <definedName name="Hours_Yr4" localSheetId="15">#REF!</definedName>
    <definedName name="Hours_Yr4" localSheetId="16">#REF!</definedName>
    <definedName name="Hours_Yr4" localSheetId="21">#REF!</definedName>
    <definedName name="Hours_Yr4" localSheetId="22">#REF!</definedName>
    <definedName name="Hours_Yr4" localSheetId="23">#REF!</definedName>
    <definedName name="Hours_Yr4" localSheetId="1">#REF!</definedName>
    <definedName name="Hours_Yr4">#REF!</definedName>
    <definedName name="Hours_Yr5" localSheetId="27">#REF!</definedName>
    <definedName name="Hours_Yr5" localSheetId="0">#REF!</definedName>
    <definedName name="Hours_Yr5" localSheetId="14">#REF!</definedName>
    <definedName name="Hours_Yr5" localSheetId="15">#REF!</definedName>
    <definedName name="Hours_Yr5" localSheetId="16">#REF!</definedName>
    <definedName name="Hours_Yr5" localSheetId="21">#REF!</definedName>
    <definedName name="Hours_Yr5" localSheetId="22">#REF!</definedName>
    <definedName name="Hours_Yr5" localSheetId="23">#REF!</definedName>
    <definedName name="Hours_Yr5" localSheetId="1">#REF!</definedName>
    <definedName name="Hours_Yr5">#REF!</definedName>
    <definedName name="hshgsgfgdfg" localSheetId="8" hidden="1">{#N/A,#N/A,FALSE,"ALLOC"}</definedName>
    <definedName name="hshgsgfgdfg" localSheetId="1" hidden="1">{#N/A,#N/A,FALSE,"ALLOC"}</definedName>
    <definedName name="hshgsgfgdfg" localSheetId="9" hidden="1">{#N/A,#N/A,FALSE,"ALLOC"}</definedName>
    <definedName name="hshgsgfgdfg" hidden="1">{#N/A,#N/A,FALSE,"ALLOC"}</definedName>
    <definedName name="HTML_CodePage" hidden="1">1252</definedName>
    <definedName name="HTML_Control" localSheetId="8" hidden="1">{"'Sheet1'!$A$1:$I$89"}</definedName>
    <definedName name="HTML_Control" localSheetId="1" hidden="1">{"'Sheet1'!$A$1:$I$89"}</definedName>
    <definedName name="HTML_Control" localSheetId="9" hidden="1">{"'Sheet1'!$A$1:$I$89"}</definedName>
    <definedName name="HTML_Control" hidden="1">{"'Sheet1'!$A$1:$I$89"}</definedName>
    <definedName name="html_control1" localSheetId="8" hidden="1">{"'Sheet1'!$A$1:$I$89"}</definedName>
    <definedName name="html_control1" localSheetId="1" hidden="1">{"'Sheet1'!$A$1:$I$89"}</definedName>
    <definedName name="html_control1" localSheetId="9" hidden="1">{"'Sheet1'!$A$1:$I$89"}</definedName>
    <definedName name="html_control1" hidden="1">{"'Sheet1'!$A$1:$I$89"}</definedName>
    <definedName name="HTML_Description" hidden="1">""</definedName>
    <definedName name="HTML_Email" hidden="1">""</definedName>
    <definedName name="HTML_Header" hidden="1">"Commentary"</definedName>
    <definedName name="HTML_LastUpdate" hidden="1">"08/14/2003"</definedName>
    <definedName name="HTML_LineAfter" hidden="1">FALSE</definedName>
    <definedName name="HTML_LineBefore" hidden="1">FALSE</definedName>
    <definedName name="HTML_Name" hidden="1">"Corporate User"</definedName>
    <definedName name="HTML_OBDlg2" hidden="1">TRUE</definedName>
    <definedName name="HTML_OBDlg4" hidden="1">TRUE</definedName>
    <definedName name="HTML_OS" hidden="1">0</definedName>
    <definedName name="HTML_PathFile" hidden="1">"C:\WINNT\Profiles\i11485\Desktop\MyHTML.htm"</definedName>
    <definedName name="HTML_Title" hidden="1">"New Reporting Summary 8-13-03"</definedName>
    <definedName name="HTML1_1" hidden="1">"'[Performance Report.xls]April Summary Template'!$A$1:$Q$82"</definedName>
    <definedName name="HTML1_10" hidden="1">""</definedName>
    <definedName name="HTML1_11" hidden="1">1</definedName>
    <definedName name="HTML1_12" hidden="1">"C:\MY DOCUMENTS\MyHTML.htm"</definedName>
    <definedName name="HTML1_2" hidden="1">1</definedName>
    <definedName name="HTML1_3" hidden="1">"Performance Report"</definedName>
    <definedName name="HTML1_4" hidden="1">"April Summary Template"</definedName>
    <definedName name="HTML1_5" hidden="1">""</definedName>
    <definedName name="HTML1_6" hidden="1">-4146</definedName>
    <definedName name="HTML1_7" hidden="1">1</definedName>
    <definedName name="HTML1_8" hidden="1">"5/29/97"</definedName>
    <definedName name="HTML1_9" hidden="1">"SIWWIN95"</definedName>
    <definedName name="HTML10_1" hidden="1">"'[97RNKAPR.XLS]North'!$A$1:$H$255"</definedName>
    <definedName name="HTML10_10" hidden="1">""</definedName>
    <definedName name="HTML10_11" hidden="1">1</definedName>
    <definedName name="HTML10_12" hidden="1">"D:\nthrnk.htm"</definedName>
    <definedName name="HTML10_2" hidden="1">1</definedName>
    <definedName name="HTML10_3" hidden="1">"97RNKAPR"</definedName>
    <definedName name="HTML10_4" hidden="1">"North"</definedName>
    <definedName name="HTML10_5" hidden="1">""</definedName>
    <definedName name="HTML10_6" hidden="1">1</definedName>
    <definedName name="HTML10_7" hidden="1">-4146</definedName>
    <definedName name="HTML10_8" hidden="1">"5/22/97"</definedName>
    <definedName name="HTML10_9" hidden="1">"Bell Atlantic"</definedName>
    <definedName name="HTML11_1" hidden="1">"'[97RNKAPR.XLS]South'!$A$1:$H$161"</definedName>
    <definedName name="HTML11_10" hidden="1">""</definedName>
    <definedName name="HTML11_11" hidden="1">1</definedName>
    <definedName name="HTML11_12" hidden="1">"D:\sthrnk.htm"</definedName>
    <definedName name="HTML11_2" hidden="1">1</definedName>
    <definedName name="HTML11_3" hidden="1">"97RNKAPR"</definedName>
    <definedName name="HTML11_4" hidden="1">"South"</definedName>
    <definedName name="HTML11_5" hidden="1">""</definedName>
    <definedName name="HTML11_6" hidden="1">1</definedName>
    <definedName name="HTML11_7" hidden="1">-4146</definedName>
    <definedName name="HTML11_8" hidden="1">"5/22/97"</definedName>
    <definedName name="HTML11_9" hidden="1">"Bell Atlantic"</definedName>
    <definedName name="HTML12_1" hidden="1">"'[97RNKAPR.XLS]Overview'!$A$1:$I$61"</definedName>
    <definedName name="HTML12_10" hidden="1">""</definedName>
    <definedName name="HTML12_11" hidden="1">1</definedName>
    <definedName name="HTML12_12" hidden="1">"D:\rankovw.htm"</definedName>
    <definedName name="HTML12_2" hidden="1">1</definedName>
    <definedName name="HTML12_3" hidden="1">"97RNKAPR"</definedName>
    <definedName name="HTML12_4" hidden="1">"Overview"</definedName>
    <definedName name="HTML12_5" hidden="1">""</definedName>
    <definedName name="HTML12_6" hidden="1">-4146</definedName>
    <definedName name="HTML12_7" hidden="1">-4146</definedName>
    <definedName name="HTML12_8" hidden="1">"5/22/97"</definedName>
    <definedName name="HTML12_9" hidden="1">"Bell Atlantic"</definedName>
    <definedName name="HTML13_1" hidden="1">"'[97RNKAUG.XLS]Regional'!$A$1:$H$225"</definedName>
    <definedName name="HTML13_10" hidden="1">""</definedName>
    <definedName name="HTML13_11" hidden="1">1</definedName>
    <definedName name="HTML13_12" hidden="1">"D:\regrnk.htm"</definedName>
    <definedName name="HTML13_2" hidden="1">1</definedName>
    <definedName name="HTML13_3" hidden="1">"97RNKAUG"</definedName>
    <definedName name="HTML13_4" hidden="1">"Regional"</definedName>
    <definedName name="HTML13_5" hidden="1">""</definedName>
    <definedName name="HTML13_6" hidden="1">1</definedName>
    <definedName name="HTML13_7" hidden="1">1</definedName>
    <definedName name="HTML13_8" hidden="1">"9/16/97"</definedName>
    <definedName name="HTML13_9" hidden="1">"Bell Atlantic"</definedName>
    <definedName name="HTML14_1" hidden="1">"'[97RNKAUG.XLS]ReglSys'!$A$1:$H$179"</definedName>
    <definedName name="HTML14_10" hidden="1">""</definedName>
    <definedName name="HTML14_11" hidden="1">1</definedName>
    <definedName name="HTML14_12" hidden="1">"D:\sernk.htm"</definedName>
    <definedName name="HTML14_2" hidden="1">1</definedName>
    <definedName name="HTML14_3" hidden="1">"97RNKAUG"</definedName>
    <definedName name="HTML14_4" hidden="1">"ReglSys"</definedName>
    <definedName name="HTML14_5" hidden="1">""</definedName>
    <definedName name="HTML14_6" hidden="1">1</definedName>
    <definedName name="HTML14_7" hidden="1">1</definedName>
    <definedName name="HTML14_8" hidden="1">"9/16/97"</definedName>
    <definedName name="HTML14_9" hidden="1">"Bell Atlantic"</definedName>
    <definedName name="HTML15_1" hidden="1">"'[97RNKAUG.XLS]North'!$A$1:$H$261"</definedName>
    <definedName name="HTML15_10" hidden="1">""</definedName>
    <definedName name="HTML15_11" hidden="1">1</definedName>
    <definedName name="HTML15_12" hidden="1">"D:\nthrnk.htm"</definedName>
    <definedName name="HTML15_2" hidden="1">1</definedName>
    <definedName name="HTML15_3" hidden="1">"97RNKAUG"</definedName>
    <definedName name="HTML15_4" hidden="1">"North"</definedName>
    <definedName name="HTML15_5" hidden="1">""</definedName>
    <definedName name="HTML15_6" hidden="1">1</definedName>
    <definedName name="HTML15_7" hidden="1">1</definedName>
    <definedName name="HTML15_8" hidden="1">"9/16/97"</definedName>
    <definedName name="HTML15_9" hidden="1">"Bell Atlantic"</definedName>
    <definedName name="HTML16_1" hidden="1">"'[97RNKAUG.XLS]South'!$A$1:$H$159"</definedName>
    <definedName name="HTML16_10" hidden="1">""</definedName>
    <definedName name="HTML16_11" hidden="1">1</definedName>
    <definedName name="HTML16_12" hidden="1">"D:\sthrnk.htm"</definedName>
    <definedName name="HTML16_2" hidden="1">1</definedName>
    <definedName name="HTML16_3" hidden="1">"97RNKAUG"</definedName>
    <definedName name="HTML16_4" hidden="1">"South"</definedName>
    <definedName name="HTML16_5" hidden="1">""</definedName>
    <definedName name="HTML16_6" hidden="1">1</definedName>
    <definedName name="HTML16_7" hidden="1">1</definedName>
    <definedName name="HTML16_8" hidden="1">"9/16/97"</definedName>
    <definedName name="HTML16_9" hidden="1">"Bell Atlantic"</definedName>
    <definedName name="HTML17_1" hidden="1">"'[97RNK.xls]ReglSys'!$A$1:$H$179"</definedName>
    <definedName name="HTML17_10" hidden="1">""</definedName>
    <definedName name="HTML17_11" hidden="1">1</definedName>
    <definedName name="HTML17_12" hidden="1">"D:\sernk.htm"</definedName>
    <definedName name="HTML17_2" hidden="1">1</definedName>
    <definedName name="HTML17_3" hidden="1">"97RNK"</definedName>
    <definedName name="HTML17_4" hidden="1">"ReglSys"</definedName>
    <definedName name="HTML17_5" hidden="1">""</definedName>
    <definedName name="HTML17_6" hidden="1">1</definedName>
    <definedName name="HTML17_7" hidden="1">1</definedName>
    <definedName name="HTML17_8" hidden="1">"9/16/97"</definedName>
    <definedName name="HTML17_9" hidden="1">"Bell Atlantic"</definedName>
    <definedName name="HTML18_1" hidden="1">"'[97RNKNOV.XLS]Regional'!$A$1:$H$225"</definedName>
    <definedName name="HTML18_10" hidden="1">""</definedName>
    <definedName name="HTML18_11" hidden="1">1</definedName>
    <definedName name="HTML18_12" hidden="1">"D:\regrnk.htm"</definedName>
    <definedName name="HTML18_2" hidden="1">1</definedName>
    <definedName name="HTML18_3" hidden="1">"97RNKNOV"</definedName>
    <definedName name="HTML18_4" hidden="1">"Regional"</definedName>
    <definedName name="HTML18_5" hidden="1">""</definedName>
    <definedName name="HTML18_6" hidden="1">1</definedName>
    <definedName name="HTML18_7" hidden="1">1</definedName>
    <definedName name="HTML18_8" hidden="1">"12/22/97"</definedName>
    <definedName name="HTML18_9" hidden="1">"Bell Atlantic"</definedName>
    <definedName name="HTML19_1" hidden="1">"'[97RNKNOV.XLS]ReglSys'!$A$1:$H$183"</definedName>
    <definedName name="HTML19_10" hidden="1">""</definedName>
    <definedName name="HTML19_11" hidden="1">1</definedName>
    <definedName name="HTML19_12" hidden="1">"D:\sernk.htm"</definedName>
    <definedName name="HTML19_2" hidden="1">1</definedName>
    <definedName name="HTML19_3" hidden="1">"97RNKNOV"</definedName>
    <definedName name="HTML19_4" hidden="1">"ReglSys"</definedName>
    <definedName name="HTML19_5" hidden="1">""</definedName>
    <definedName name="HTML19_6" hidden="1">1</definedName>
    <definedName name="HTML19_7" hidden="1">1</definedName>
    <definedName name="HTML19_8" hidden="1">"12/23/97"</definedName>
    <definedName name="HTML19_9" hidden="1">"Bell Atlantic"</definedName>
    <definedName name="HTML2_1" hidden="1">"'[96RNKNOV.XLS]North'!$A$1:$I$150"</definedName>
    <definedName name="HTML2_10" hidden="1">""</definedName>
    <definedName name="HTML2_11" hidden="1">1</definedName>
    <definedName name="HTML2_12" hidden="1">"D:\nthrnk11.htm"</definedName>
    <definedName name="HTML2_2" hidden="1">1</definedName>
    <definedName name="HTML2_3" hidden="1">"96RNKNOV"</definedName>
    <definedName name="HTML2_4" hidden="1">"North"</definedName>
    <definedName name="HTML2_5" hidden="1">"November - North Rankings"</definedName>
    <definedName name="HTML2_6" hidden="1">-4146</definedName>
    <definedName name="HTML2_7" hidden="1">1</definedName>
    <definedName name="HTML2_8" hidden="1">"1/13/97"</definedName>
    <definedName name="HTML2_9" hidden="1">"Bell Atlantic"</definedName>
    <definedName name="HTML20_1" hidden="1">"'[97RNKNOV.XLS]North'!$A$1:$H$259"</definedName>
    <definedName name="HTML20_10" hidden="1">""</definedName>
    <definedName name="HTML20_11" hidden="1">1</definedName>
    <definedName name="HTML20_12" hidden="1">"D:\nthrnk.htm"</definedName>
    <definedName name="HTML20_2" hidden="1">1</definedName>
    <definedName name="HTML20_3" hidden="1">"97RNKNOV"</definedName>
    <definedName name="HTML20_4" hidden="1">"North"</definedName>
    <definedName name="HTML20_5" hidden="1">""</definedName>
    <definedName name="HTML20_6" hidden="1">1</definedName>
    <definedName name="HTML20_7" hidden="1">1</definedName>
    <definedName name="HTML20_8" hidden="1">"12/23/97"</definedName>
    <definedName name="HTML20_9" hidden="1">"Bell Atlantic"</definedName>
    <definedName name="HTML21_1" hidden="1">"'[97RNKNOV.XLS]South'!$A$1:$H$164"</definedName>
    <definedName name="HTML21_10" hidden="1">""</definedName>
    <definedName name="HTML21_11" hidden="1">1</definedName>
    <definedName name="HTML21_12" hidden="1">"D:\sthrnk.htm"</definedName>
    <definedName name="HTML21_2" hidden="1">1</definedName>
    <definedName name="HTML21_3" hidden="1">"97RNKNOV"</definedName>
    <definedName name="HTML21_4" hidden="1">"South"</definedName>
    <definedName name="HTML21_5" hidden="1">""</definedName>
    <definedName name="HTML21_6" hidden="1">1</definedName>
    <definedName name="HTML21_7" hidden="1">1</definedName>
    <definedName name="HTML21_8" hidden="1">"12/23/97"</definedName>
    <definedName name="HTML21_9" hidden="1">"Bell Atlantic"</definedName>
    <definedName name="HTML22_1" hidden="1">"'[97RNKDEC.XLS]CAM Perf Model'!$A$1:$J$39"</definedName>
    <definedName name="HTML22_10" hidden="1">""</definedName>
    <definedName name="HTML22_11" hidden="1">1</definedName>
    <definedName name="HTML22_12" hidden="1">"D:\perfgrf.htm"</definedName>
    <definedName name="HTML22_2" hidden="1">1</definedName>
    <definedName name="HTML22_3" hidden="1">"97RNKDEC"</definedName>
    <definedName name="HTML22_4" hidden="1">"CAM Perf Model"</definedName>
    <definedName name="HTML22_5" hidden="1">""</definedName>
    <definedName name="HTML22_6" hidden="1">1</definedName>
    <definedName name="HTML22_7" hidden="1">1</definedName>
    <definedName name="HTML22_8" hidden="1">"1/20/98"</definedName>
    <definedName name="HTML22_9" hidden="1">"Bell Atlantic"</definedName>
    <definedName name="HTML23_1" hidden="1">"'[97RNK.xls]Regional'!$A$1:$G$226"</definedName>
    <definedName name="HTML23_10" hidden="1">""</definedName>
    <definedName name="HTML23_11" hidden="1">1</definedName>
    <definedName name="HTML23_12" hidden="1">"D:\regrnk.htm"</definedName>
    <definedName name="HTML23_2" hidden="1">1</definedName>
    <definedName name="HTML23_3" hidden="1">"97RNK"</definedName>
    <definedName name="HTML23_4" hidden="1">"Regional"</definedName>
    <definedName name="HTML23_5" hidden="1">""</definedName>
    <definedName name="HTML23_6" hidden="1">1</definedName>
    <definedName name="HTML23_7" hidden="1">1</definedName>
    <definedName name="HTML23_8" hidden="1">"1/21/98"</definedName>
    <definedName name="HTML23_9" hidden="1">"Bell Atlantic"</definedName>
    <definedName name="HTML24_1" hidden="1">"'[97RNK.xls]ReglSys'!$A$1:$G$186"</definedName>
    <definedName name="HTML24_10" hidden="1">""</definedName>
    <definedName name="HTML24_11" hidden="1">1</definedName>
    <definedName name="HTML24_12" hidden="1">"D:\sernk.htm"</definedName>
    <definedName name="HTML24_2" hidden="1">1</definedName>
    <definedName name="HTML24_3" hidden="1">"97RNK"</definedName>
    <definedName name="HTML24_4" hidden="1">"ReglSys"</definedName>
    <definedName name="HTML24_5" hidden="1">""</definedName>
    <definedName name="HTML24_6" hidden="1">1</definedName>
    <definedName name="HTML24_7" hidden="1">1</definedName>
    <definedName name="HTML24_8" hidden="1">"1/21/98"</definedName>
    <definedName name="HTML24_9" hidden="1">"Bell Atlantic"</definedName>
    <definedName name="HTML25_1" hidden="1">"'[97RNK.xls]North'!$A$1:$G$260"</definedName>
    <definedName name="HTML25_10" hidden="1">""</definedName>
    <definedName name="HTML25_11" hidden="1">1</definedName>
    <definedName name="HTML25_12" hidden="1">"D:\nthrnk.htm"</definedName>
    <definedName name="HTML25_2" hidden="1">1</definedName>
    <definedName name="HTML25_3" hidden="1">"97RNK"</definedName>
    <definedName name="HTML25_4" hidden="1">"North"</definedName>
    <definedName name="HTML25_5" hidden="1">""</definedName>
    <definedName name="HTML25_6" hidden="1">1</definedName>
    <definedName name="HTML25_7" hidden="1">1</definedName>
    <definedName name="HTML25_8" hidden="1">"1/21/98"</definedName>
    <definedName name="HTML25_9" hidden="1">"Bell Atlantic"</definedName>
    <definedName name="HTML26_1" hidden="1">"'[97RNK.xls]South'!$A$1:$G$167"</definedName>
    <definedName name="HTML26_10" hidden="1">""</definedName>
    <definedName name="HTML26_11" hidden="1">1</definedName>
    <definedName name="HTML26_12" hidden="1">"D:\sthrnk.htm"</definedName>
    <definedName name="HTML26_2" hidden="1">1</definedName>
    <definedName name="HTML26_3" hidden="1">"97RNK"</definedName>
    <definedName name="HTML26_4" hidden="1">"South"</definedName>
    <definedName name="HTML26_5" hidden="1">""</definedName>
    <definedName name="HTML26_6" hidden="1">1</definedName>
    <definedName name="HTML26_7" hidden="1">1</definedName>
    <definedName name="HTML26_8" hidden="1">"1/21/98"</definedName>
    <definedName name="HTML26_9" hidden="1">"Bell Atlantic"</definedName>
    <definedName name="HTML27_1" hidden="1">"'[98RANK03.XLS]ReglSys'!$A$1:$H$189"</definedName>
    <definedName name="HTML27_10" hidden="1">""</definedName>
    <definedName name="HTML27_11" hidden="1">1</definedName>
    <definedName name="HTML27_12" hidden="1">"D:\sernk.htm"</definedName>
    <definedName name="HTML27_2" hidden="1">1</definedName>
    <definedName name="HTML27_3" hidden="1">"98RANK03"</definedName>
    <definedName name="HTML27_4" hidden="1">"ReglSys"</definedName>
    <definedName name="HTML27_5" hidden="1">""</definedName>
    <definedName name="HTML27_6" hidden="1">1</definedName>
    <definedName name="HTML27_7" hidden="1">1</definedName>
    <definedName name="HTML27_8" hidden="1">"4/21/98"</definedName>
    <definedName name="HTML27_9" hidden="1">"Bell Atlantic"</definedName>
    <definedName name="HTML28_1" hidden="1">"'[98RANK03.XLS]South'!$A$1:$H$196"</definedName>
    <definedName name="HTML28_10" hidden="1">""</definedName>
    <definedName name="HTML28_11" hidden="1">1</definedName>
    <definedName name="HTML28_12" hidden="1">"D:\sthrnk.htm"</definedName>
    <definedName name="HTML28_2" hidden="1">1</definedName>
    <definedName name="HTML28_3" hidden="1">"98RANK03"</definedName>
    <definedName name="HTML28_4" hidden="1">"South"</definedName>
    <definedName name="HTML28_5" hidden="1">""</definedName>
    <definedName name="HTML28_6" hidden="1">1</definedName>
    <definedName name="HTML28_7" hidden="1">1</definedName>
    <definedName name="HTML28_8" hidden="1">"4/21/98"</definedName>
    <definedName name="HTML28_9" hidden="1">"Bell Atlantic"</definedName>
    <definedName name="HTML29_1" hidden="1">"'[98RANK03.XLS]North'!$A$1:$H$243"</definedName>
    <definedName name="HTML29_10" hidden="1">""</definedName>
    <definedName name="HTML29_11" hidden="1">1</definedName>
    <definedName name="HTML29_12" hidden="1">"D:\nthrnk.htm"</definedName>
    <definedName name="HTML29_2" hidden="1">1</definedName>
    <definedName name="HTML29_3" hidden="1">"98RANK03"</definedName>
    <definedName name="HTML29_4" hidden="1">"North"</definedName>
    <definedName name="HTML29_5" hidden="1">""</definedName>
    <definedName name="HTML29_6" hidden="1">1</definedName>
    <definedName name="HTML29_7" hidden="1">1</definedName>
    <definedName name="HTML29_8" hidden="1">"4/21/98"</definedName>
    <definedName name="HTML29_9" hidden="1">"Bell Atlantic"</definedName>
    <definedName name="HTML3_1" hidden="1">"'[96RNKNOV.XLS]South'!$A$1:$I$100"</definedName>
    <definedName name="HTML3_10" hidden="1">""</definedName>
    <definedName name="HTML3_11" hidden="1">1</definedName>
    <definedName name="HTML3_12" hidden="1">"D:\sthrnk11.htm"</definedName>
    <definedName name="HTML3_2" hidden="1">1</definedName>
    <definedName name="HTML3_3" hidden="1">"96RNKNOV"</definedName>
    <definedName name="HTML3_4" hidden="1">"South"</definedName>
    <definedName name="HTML3_5" hidden="1">"November - South Rankings"</definedName>
    <definedName name="HTML3_6" hidden="1">-4146</definedName>
    <definedName name="HTML3_7" hidden="1">1</definedName>
    <definedName name="HTML3_8" hidden="1">"1/13/97"</definedName>
    <definedName name="HTML3_9" hidden="1">"Bell Atlantic"</definedName>
    <definedName name="HTML30_1" hidden="1">"'[98RNK.XLS]Regional'!$A$1:$H$232"</definedName>
    <definedName name="HTML30_10" hidden="1">""</definedName>
    <definedName name="HTML30_11" hidden="1">1</definedName>
    <definedName name="HTML30_12" hidden="1">"D:\regrnk.htm"</definedName>
    <definedName name="HTML30_2" hidden="1">1</definedName>
    <definedName name="HTML30_3" hidden="1">"98RNK"</definedName>
    <definedName name="HTML30_4" hidden="1">"Regional"</definedName>
    <definedName name="HTML30_5" hidden="1">""</definedName>
    <definedName name="HTML30_6" hidden="1">1</definedName>
    <definedName name="HTML30_7" hidden="1">1</definedName>
    <definedName name="HTML30_8" hidden="1">"5/21/98"</definedName>
    <definedName name="HTML30_9" hidden="1">"Bell Atlantic"</definedName>
    <definedName name="HTML31_1" hidden="1">"'[98RNK.XLS]ReglSys'!$A$1:$H$186"</definedName>
    <definedName name="HTML31_10" hidden="1">""</definedName>
    <definedName name="HTML31_11" hidden="1">1</definedName>
    <definedName name="HTML31_12" hidden="1">"D:\sernk.htm"</definedName>
    <definedName name="HTML31_2" hidden="1">1</definedName>
    <definedName name="HTML31_3" hidden="1">"98RNK"</definedName>
    <definedName name="HTML31_4" hidden="1">"ReglSys"</definedName>
    <definedName name="HTML31_5" hidden="1">""</definedName>
    <definedName name="HTML31_6" hidden="1">1</definedName>
    <definedName name="HTML31_7" hidden="1">1</definedName>
    <definedName name="HTML31_8" hidden="1">"5/21/98"</definedName>
    <definedName name="HTML31_9" hidden="1">"Bell Atlantic"</definedName>
    <definedName name="HTML32_1" hidden="1">"'[98RNK.XLS]MidAtlantic'!$A$1:$H$244"</definedName>
    <definedName name="HTML32_10" hidden="1">""</definedName>
    <definedName name="HTML32_11" hidden="1">1</definedName>
    <definedName name="HTML32_12" hidden="1">"D:\nthrnk.htm"</definedName>
    <definedName name="HTML32_2" hidden="1">1</definedName>
    <definedName name="HTML32_3" hidden="1">"98RNK"</definedName>
    <definedName name="HTML32_4" hidden="1">"MidAtlantic"</definedName>
    <definedName name="HTML32_5" hidden="1">""</definedName>
    <definedName name="HTML32_6" hidden="1">1</definedName>
    <definedName name="HTML32_7" hidden="1">1</definedName>
    <definedName name="HTML32_8" hidden="1">"5/21/98"</definedName>
    <definedName name="HTML32_9" hidden="1">"Bell Atlantic"</definedName>
    <definedName name="HTML33_1" hidden="1">"'[98RNK.XLS]Gateway'!$A$1:$H$192"</definedName>
    <definedName name="HTML33_10" hidden="1">""</definedName>
    <definedName name="HTML33_11" hidden="1">1</definedName>
    <definedName name="HTML33_12" hidden="1">"D:\sthrnk.htm"</definedName>
    <definedName name="HTML33_2" hidden="1">1</definedName>
    <definedName name="HTML33_3" hidden="1">"98RNK"</definedName>
    <definedName name="HTML33_4" hidden="1">"Gateway"</definedName>
    <definedName name="HTML33_5" hidden="1">""</definedName>
    <definedName name="HTML33_6" hidden="1">1</definedName>
    <definedName name="HTML33_7" hidden="1">1</definedName>
    <definedName name="HTML33_8" hidden="1">"5/21/98"</definedName>
    <definedName name="HTML33_9" hidden="1">"Bell Atlantic"</definedName>
    <definedName name="HTML34_1" hidden="1">"'[98RANK05.XLS]Regional'!$A$1:$H$232"</definedName>
    <definedName name="HTML34_10" hidden="1">""</definedName>
    <definedName name="HTML34_11" hidden="1">1</definedName>
    <definedName name="HTML34_12" hidden="1">"D:\regrnk.htm"</definedName>
    <definedName name="HTML34_2" hidden="1">1</definedName>
    <definedName name="HTML34_3" hidden="1">"98RANK05"</definedName>
    <definedName name="HTML34_4" hidden="1">"Regional"</definedName>
    <definedName name="HTML34_5" hidden="1">""</definedName>
    <definedName name="HTML34_6" hidden="1">1</definedName>
    <definedName name="HTML34_7" hidden="1">1</definedName>
    <definedName name="HTML34_8" hidden="1">"6/18/98"</definedName>
    <definedName name="HTML34_9" hidden="1">"Bell Atlantic"</definedName>
    <definedName name="HTML35_1" hidden="1">"'[98RANK05.XLS]ReglSys'!$A$1:$H$186"</definedName>
    <definedName name="HTML35_10" hidden="1">""</definedName>
    <definedName name="HTML35_11" hidden="1">1</definedName>
    <definedName name="HTML35_12" hidden="1">"D:\sernk.htm"</definedName>
    <definedName name="HTML35_2" hidden="1">1</definedName>
    <definedName name="HTML35_3" hidden="1">"98RANK05"</definedName>
    <definedName name="HTML35_4" hidden="1">"ReglSys"</definedName>
    <definedName name="HTML35_5" hidden="1">""</definedName>
    <definedName name="HTML35_6" hidden="1">1</definedName>
    <definedName name="HTML35_7" hidden="1">1</definedName>
    <definedName name="HTML35_8" hidden="1">"6/18/98"</definedName>
    <definedName name="HTML35_9" hidden="1">"Bell Atlantic"</definedName>
    <definedName name="HTML36_1" hidden="1">"'[98RANK05.XLS]MidAtlantic'!$A$1:$H$245"</definedName>
    <definedName name="HTML36_10" hidden="1">""</definedName>
    <definedName name="HTML36_11" hidden="1">1</definedName>
    <definedName name="HTML36_12" hidden="1">"D:\nthrnk.htm"</definedName>
    <definedName name="HTML36_2" hidden="1">1</definedName>
    <definedName name="HTML36_3" hidden="1">"98RANK05"</definedName>
    <definedName name="HTML36_4" hidden="1">"MidAtlantic"</definedName>
    <definedName name="HTML36_5" hidden="1">""</definedName>
    <definedName name="HTML36_6" hidden="1">1</definedName>
    <definedName name="HTML36_7" hidden="1">1</definedName>
    <definedName name="HTML36_8" hidden="1">"6/18/98"</definedName>
    <definedName name="HTML36_9" hidden="1">"Bell Atlantic"</definedName>
    <definedName name="HTML37_1" hidden="1">"'[98RANK05.XLS]Gateway'!$A$1:$H$191"</definedName>
    <definedName name="HTML37_10" hidden="1">""</definedName>
    <definedName name="HTML37_11" hidden="1">1</definedName>
    <definedName name="HTML37_12" hidden="1">"D:\sthrnk.htm"</definedName>
    <definedName name="HTML37_2" hidden="1">1</definedName>
    <definedName name="HTML37_3" hidden="1">"98RANK05"</definedName>
    <definedName name="HTML37_4" hidden="1">"Gateway"</definedName>
    <definedName name="HTML37_5" hidden="1">""</definedName>
    <definedName name="HTML37_6" hidden="1">1</definedName>
    <definedName name="HTML37_7" hidden="1">1</definedName>
    <definedName name="HTML37_8" hidden="1">"6/18/98"</definedName>
    <definedName name="HTML37_9" hidden="1">"Bell Atlantic"</definedName>
    <definedName name="HTML38_1" hidden="1">"'[98RNK.xls]ReglSys'!$A$1:$H$186"</definedName>
    <definedName name="HTML38_10" hidden="1">""</definedName>
    <definedName name="HTML38_11" hidden="1">1</definedName>
    <definedName name="HTML38_12" hidden="1">"D:\sernk.htm"</definedName>
    <definedName name="HTML38_2" hidden="1">1</definedName>
    <definedName name="HTML38_3" hidden="1">"98RNK"</definedName>
    <definedName name="HTML38_4" hidden="1">"ReglSys"</definedName>
    <definedName name="HTML38_5" hidden="1">""</definedName>
    <definedName name="HTML38_6" hidden="1">1</definedName>
    <definedName name="HTML38_7" hidden="1">1</definedName>
    <definedName name="HTML38_8" hidden="1">"8/20/98"</definedName>
    <definedName name="HTML38_9" hidden="1">"Bell Atlantic"</definedName>
    <definedName name="HTML39_1" hidden="1">"'[98RANK07.XLS]ReglSys'!$A$1:$H$186"</definedName>
    <definedName name="HTML39_10" hidden="1">""</definedName>
    <definedName name="HTML39_11" hidden="1">1</definedName>
    <definedName name="HTML39_12" hidden="1">"D:\sernk.htm"</definedName>
    <definedName name="HTML39_2" hidden="1">1</definedName>
    <definedName name="HTML39_3" hidden="1">"98RANK07"</definedName>
    <definedName name="HTML39_4" hidden="1">"ReglSys"</definedName>
    <definedName name="HTML39_5" hidden="1">""</definedName>
    <definedName name="HTML39_6" hidden="1">1</definedName>
    <definedName name="HTML39_7" hidden="1">1</definedName>
    <definedName name="HTML39_8" hidden="1">"8/20/98"</definedName>
    <definedName name="HTML39_9" hidden="1">"Bell Atlantic"</definedName>
    <definedName name="HTML4_1" hidden="1">"'[96RNKNOV.XLS]SE Rankings'!$A$1:$I$17"</definedName>
    <definedName name="HTML4_10" hidden="1">""</definedName>
    <definedName name="HTML4_11" hidden="1">1</definedName>
    <definedName name="HTML4_12" hidden="1">"D:\sernk11.htm"</definedName>
    <definedName name="HTML4_2" hidden="1">1</definedName>
    <definedName name="HTML4_3" hidden="1">"96RNKNOV"</definedName>
    <definedName name="HTML4_4" hidden="1">"SE Rankings"</definedName>
    <definedName name="HTML4_5" hidden="1">"November - SE Rankings"</definedName>
    <definedName name="HTML4_6" hidden="1">-4146</definedName>
    <definedName name="HTML4_7" hidden="1">1</definedName>
    <definedName name="HTML4_8" hidden="1">"1/13/97"</definedName>
    <definedName name="HTML4_9" hidden="1">"Bell Atlantic"</definedName>
    <definedName name="HTML40_1" hidden="1">"'[98RANK07.XLS]MidAtlantic'!$A$1:$H$246"</definedName>
    <definedName name="HTML40_10" hidden="1">""</definedName>
    <definedName name="HTML40_11" hidden="1">1</definedName>
    <definedName name="HTML40_12" hidden="1">"D:\nthrnk.htm"</definedName>
    <definedName name="HTML40_2" hidden="1">1</definedName>
    <definedName name="HTML40_3" hidden="1">"98RANK07"</definedName>
    <definedName name="HTML40_4" hidden="1">"MidAtlantic"</definedName>
    <definedName name="HTML40_5" hidden="1">""</definedName>
    <definedName name="HTML40_6" hidden="1">1</definedName>
    <definedName name="HTML40_7" hidden="1">1</definedName>
    <definedName name="HTML40_8" hidden="1">"8/20/98"</definedName>
    <definedName name="HTML40_9" hidden="1">"Bell Atlantic"</definedName>
    <definedName name="HTML41_1" hidden="1">"'[98RANK07.XLS]Gateway'!$A$1:$H$193"</definedName>
    <definedName name="HTML41_10" hidden="1">""</definedName>
    <definedName name="HTML41_11" hidden="1">1</definedName>
    <definedName name="HTML41_12" hidden="1">"D:\sthrnk.htm"</definedName>
    <definedName name="HTML41_2" hidden="1">1</definedName>
    <definedName name="HTML41_3" hidden="1">"98RANK07"</definedName>
    <definedName name="HTML41_4" hidden="1">"Gateway"</definedName>
    <definedName name="HTML41_5" hidden="1">""</definedName>
    <definedName name="HTML41_6" hidden="1">1</definedName>
    <definedName name="HTML41_7" hidden="1">1</definedName>
    <definedName name="HTML41_8" hidden="1">"8/20/98"</definedName>
    <definedName name="HTML41_9" hidden="1">"Bell Atlantic"</definedName>
    <definedName name="HTML5_1" hidden="1">"'[96RNKNOV.XLS]Appl. Spec.'!$A$1:$O$183"</definedName>
    <definedName name="HTML5_10" hidden="1">""</definedName>
    <definedName name="HTML5_11" hidden="1">1</definedName>
    <definedName name="HTML5_12" hidden="1">"D:\asrnk11.htm"</definedName>
    <definedName name="HTML5_2" hidden="1">1</definedName>
    <definedName name="HTML5_3" hidden="1">"96RNKNOV"</definedName>
    <definedName name="HTML5_4" hidden="1">"Appl. Spec."</definedName>
    <definedName name="HTML5_5" hidden="1">"November - AS/ASM Rankings"</definedName>
    <definedName name="HTML5_6" hidden="1">-4146</definedName>
    <definedName name="HTML5_7" hidden="1">1</definedName>
    <definedName name="HTML5_8" hidden="1">"1/13/97"</definedName>
    <definedName name="HTML5_9" hidden="1">"Bell Atlantic"</definedName>
    <definedName name="HTML6_1" hidden="1">"'[97RNK.xls]North'!$A$1:$H$255"</definedName>
    <definedName name="HTML6_10" hidden="1">""</definedName>
    <definedName name="HTML6_11" hidden="1">1</definedName>
    <definedName name="HTML6_12" hidden="1">"D:\nthrnk.htm"</definedName>
    <definedName name="HTML6_2" hidden="1">1</definedName>
    <definedName name="HTML6_3" hidden="1">"97RNK"</definedName>
    <definedName name="HTML6_4" hidden="1">"North"</definedName>
    <definedName name="HTML6_5" hidden="1">""</definedName>
    <definedName name="HTML6_6" hidden="1">1</definedName>
    <definedName name="HTML6_7" hidden="1">1</definedName>
    <definedName name="HTML6_8" hidden="1">"3/24/97"</definedName>
    <definedName name="HTML6_9" hidden="1">"Bell Atlantic"</definedName>
    <definedName name="HTML7_1" hidden="1">"'[97RNK.xls]South'!$A$1:$H$159"</definedName>
    <definedName name="HTML7_10" hidden="1">""</definedName>
    <definedName name="HTML7_11" hidden="1">1</definedName>
    <definedName name="HTML7_12" hidden="1">"D:\sthrnk.htm"</definedName>
    <definedName name="HTML7_2" hidden="1">1</definedName>
    <definedName name="HTML7_3" hidden="1">"97RNK"</definedName>
    <definedName name="HTML7_4" hidden="1">"South"</definedName>
    <definedName name="HTML7_5" hidden="1">""</definedName>
    <definedName name="HTML7_6" hidden="1">1</definedName>
    <definedName name="HTML7_7" hidden="1">1</definedName>
    <definedName name="HTML7_8" hidden="1">"3/24/97"</definedName>
    <definedName name="HTML7_9" hidden="1">"Bell Atlantic"</definedName>
    <definedName name="HTML8_1" hidden="1">"'[97RNKAPR.XLS]Regional'!$A$1:$H$227"</definedName>
    <definedName name="HTML8_10" hidden="1">""</definedName>
    <definedName name="HTML8_11" hidden="1">1</definedName>
    <definedName name="HTML8_12" hidden="1">"D:\regrnk.htm"</definedName>
    <definedName name="HTML8_2" hidden="1">1</definedName>
    <definedName name="HTML8_3" hidden="1">"97RNKAPR"</definedName>
    <definedName name="HTML8_4" hidden="1">"Regional"</definedName>
    <definedName name="HTML8_5" hidden="1">""</definedName>
    <definedName name="HTML8_6" hidden="1">1</definedName>
    <definedName name="HTML8_7" hidden="1">-4146</definedName>
    <definedName name="HTML8_8" hidden="1">"5/22/97"</definedName>
    <definedName name="HTML8_9" hidden="1">"Bell Atlantic"</definedName>
    <definedName name="HTML9_1" hidden="1">"'[97RNKAPR.XLS]ReglSys'!$A$1:$H$173"</definedName>
    <definedName name="HTML9_10" hidden="1">""</definedName>
    <definedName name="HTML9_11" hidden="1">1</definedName>
    <definedName name="HTML9_12" hidden="1">"D:\sernk.htm"</definedName>
    <definedName name="HTML9_2" hidden="1">1</definedName>
    <definedName name="HTML9_3" hidden="1">"97RNKAPR"</definedName>
    <definedName name="HTML9_4" hidden="1">"ReglSys"</definedName>
    <definedName name="HTML9_5" hidden="1">""</definedName>
    <definedName name="HTML9_6" hidden="1">1</definedName>
    <definedName name="HTML9_7" hidden="1">-4146</definedName>
    <definedName name="HTML9_8" hidden="1">"5/22/97"</definedName>
    <definedName name="HTML9_9" hidden="1">"Bell Atlantic"</definedName>
    <definedName name="HTMLCount" hidden="1">1</definedName>
    <definedName name="htyrtyfghfg" localSheetId="8" hidden="1">{#N/A,#N/A,FALSE,"EXPENSE"}</definedName>
    <definedName name="htyrtyfghfg" localSheetId="1" hidden="1">{#N/A,#N/A,FALSE,"EXPENSE"}</definedName>
    <definedName name="htyrtyfghfg" localSheetId="9" hidden="1">{#N/A,#N/A,FALSE,"EXPENSE"}</definedName>
    <definedName name="htyrtyfghfg" hidden="1">{#N/A,#N/A,FALSE,"EXPENSE"}</definedName>
    <definedName name="ID_sorted" localSheetId="27">#REF!</definedName>
    <definedName name="ID_sorted" localSheetId="0">#REF!</definedName>
    <definedName name="ID_sorted" localSheetId="8">#REF!</definedName>
    <definedName name="ID_sorted" localSheetId="14">#REF!</definedName>
    <definedName name="ID_sorted" localSheetId="15">#REF!</definedName>
    <definedName name="ID_sorted" localSheetId="16">#REF!</definedName>
    <definedName name="ID_sorted" localSheetId="21">#REF!</definedName>
    <definedName name="ID_sorted" localSheetId="22">#REF!</definedName>
    <definedName name="ID_sorted" localSheetId="23">#REF!</definedName>
    <definedName name="ID_sorted" localSheetId="1">#REF!</definedName>
    <definedName name="ID_sorted" localSheetId="9">#REF!</definedName>
    <definedName name="ID_sorted">#REF!</definedName>
    <definedName name="iiittuty" localSheetId="8" hidden="1">{#N/A,#N/A,FALSE,"EXPENSE"}</definedName>
    <definedName name="iiittuty" localSheetId="1" hidden="1">{#N/A,#N/A,FALSE,"EXPENSE"}</definedName>
    <definedName name="iiittuty" localSheetId="9" hidden="1">{#N/A,#N/A,FALSE,"EXPENSE"}</definedName>
    <definedName name="iiittuty" hidden="1">{#N/A,#N/A,FALSE,"EXPENSE"}</definedName>
    <definedName name="IND_09">#REF!</definedName>
    <definedName name="INPUT" localSheetId="27">#REF!</definedName>
    <definedName name="INPUT" localSheetId="0">#REF!</definedName>
    <definedName name="INPUT" localSheetId="8">#REF!</definedName>
    <definedName name="INPUT" localSheetId="14">#REF!</definedName>
    <definedName name="INPUT" localSheetId="15">#REF!</definedName>
    <definedName name="INPUT" localSheetId="16">#REF!</definedName>
    <definedName name="INPUT" localSheetId="21">#REF!</definedName>
    <definedName name="INPUT" localSheetId="22">#REF!</definedName>
    <definedName name="INPUT" localSheetId="23">#REF!</definedName>
    <definedName name="INPUT" localSheetId="1">#REF!</definedName>
    <definedName name="INPUT" localSheetId="9">#REF!</definedName>
    <definedName name="INPUT">#REF!</definedName>
    <definedName name="INPUT2" localSheetId="0">#REF!</definedName>
    <definedName name="INPUT2" localSheetId="8">#REF!</definedName>
    <definedName name="INPUT2" localSheetId="14">#REF!</definedName>
    <definedName name="INPUT2" localSheetId="15">#REF!</definedName>
    <definedName name="INPUT2" localSheetId="16">#REF!</definedName>
    <definedName name="INPUT2" localSheetId="21">#REF!</definedName>
    <definedName name="INPUT2" localSheetId="22">#REF!</definedName>
    <definedName name="INPUT2" localSheetId="23">#REF!</definedName>
    <definedName name="INPUT2" localSheetId="1">#REF!</definedName>
    <definedName name="INPUT2" localSheetId="9">#REF!</definedName>
    <definedName name="INPUT2">#REF!</definedName>
    <definedName name="INT_TAX_DEF" localSheetId="8">#REF!</definedName>
    <definedName name="INT_TAX_DEF" localSheetId="1">#REF!</definedName>
    <definedName name="INT_TAX_DEF" localSheetId="9">#REF!</definedName>
    <definedName name="INT_TAX_DEF">#REF!</definedName>
    <definedName name="INT_TAX_DEF2" localSheetId="8">#REF!</definedName>
    <definedName name="INT_TAX_DEF2" localSheetId="1">#REF!</definedName>
    <definedName name="INT_TAX_DEF2" localSheetId="9">#REF!</definedName>
    <definedName name="INT_TAX_DEF2">#REF!</definedName>
    <definedName name="InterestSynch" localSheetId="8">#REF!</definedName>
    <definedName name="InterestSynch" localSheetId="1">#REF!</definedName>
    <definedName name="InterestSynch" localSheetId="9">#REF!</definedName>
    <definedName name="InterestSynch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ENCY" hidden="1">"c8960"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OVER_SHARES" hidden="1">"c1349"</definedName>
    <definedName name="IQ_BV_SHARE" hidden="1">"c100"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PAYOUT" hidden="1">"c3005"</definedName>
    <definedName name="IQ_DISTRIBUTABLE_CASH_SHARE" hidden="1">"c3003"</definedName>
    <definedName name="IQ_DISTRIBUTABLE_CASH_SHARE_ACT_OR_EST_CIQ" hidden="1">"c4811"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BC_ACT_OR_EST_CIQ" hidden="1">"c4841"</definedName>
    <definedName name="IQ_EBIT_SBC_GW_ACT_OR_EST_CIQ" hidden="1">"c4845"</definedName>
    <definedName name="IQ_EBIT_STDDEV_EST" hidden="1">"c1686"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INT" hidden="1">"c373"</definedName>
    <definedName name="IQ_EBITDA_LOW_EST" hidden="1">"c371"</definedName>
    <definedName name="IQ_EBITDA_LOW_EST_CIQ" hidden="1">"c3625"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_CIQ" hidden="1">"c4875"</definedName>
    <definedName name="IQ_EBT_SBC_GW_ACT_OR_EST_CIQ" hidden="1">"c4879"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CIQ" hidden="1">"c4994"</definedName>
    <definedName name="IQ_EPS_GW_ACT_OR_EST_CIQ" hidden="1">"c5066"</definedName>
    <definedName name="IQ_EPS_GW_EST" hidden="1">"c1737"</definedName>
    <definedName name="IQ_EPS_GW_EST_CIQ" hidden="1">"c4723"</definedName>
    <definedName name="IQ_EPS_GW_HIGH_EST" hidden="1">"c1739"</definedName>
    <definedName name="IQ_EPS_GW_HIGH_EST_CIQ" hidden="1">"c4725"</definedName>
    <definedName name="IQ_EPS_GW_LOW_EST" hidden="1">"c1740"</definedName>
    <definedName name="IQ_EPS_GW_LOW_EST_CIQ" hidden="1">"c4726"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_CIQ" hidden="1">"c5067"</definedName>
    <definedName name="IQ_EPS_REPORTED_EST" hidden="1">"c1744"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GW_ACT_OR_EST_CIQ" hidden="1">"c4905"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5YR" hidden="1">"c1655"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_CIQ" hidden="1">"c4960"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40231.5582175926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_CIQ" hidden="1">"c5012"</definedName>
    <definedName name="IQ_NI_SBC_GW_ACT_OR_EST_CIQ" hidden="1">"c5016"</definedName>
    <definedName name="IQ_NI_SFAS" hidden="1">"c795"</definedName>
    <definedName name="IQ_NI_STDDEV_EST" hidden="1">"c1721"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"c11750"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CIQ" hidden="1">"c3613"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_CIQ" hidden="1">"c5045"</definedName>
    <definedName name="IQ_RECURRING_PROFIT_SHARE_ACT_OR_EST_CIQ" hidden="1">"c5046"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CIQ" hidden="1">"c3616"</definedName>
    <definedName name="IQ_REVENUE_HIGH_EST" hidden="1">"c1127"</definedName>
    <definedName name="IQ_REVENUE_HIGH_EST_CIQ" hidden="1">"c3618"</definedName>
    <definedName name="IQ_REVENUE_LOW_EST" hidden="1">"c1128"</definedName>
    <definedName name="IQ_REVENUE_LOW_EST_CIQ" hidden="1">"c3619"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39790.5582291667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ERVICE_FEE" hidden="1">"c8951"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UCT_FIN_CLASS" hidden="1">"c8950"</definedName>
    <definedName name="IQ_STRUCT_FIN_SERIES" hidden="1">"c8956"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ITEM_CIQID" hidden="1">"c8949"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u" localSheetId="8" hidden="1">{#N/A,#N/A,FALSE,"Aging Summary";#N/A,#N/A,FALSE,"Ratio Analysis";#N/A,#N/A,FALSE,"Test 120 Day Accts";#N/A,#N/A,FALSE,"Tickmarks"}</definedName>
    <definedName name="iu" localSheetId="1" hidden="1">{#N/A,#N/A,FALSE,"Aging Summary";#N/A,#N/A,FALSE,"Ratio Analysis";#N/A,#N/A,FALSE,"Test 120 Day Accts";#N/A,#N/A,FALSE,"Tickmarks"}</definedName>
    <definedName name="iu" localSheetId="9" hidden="1">{#N/A,#N/A,FALSE,"Aging Summary";#N/A,#N/A,FALSE,"Ratio Analysis";#N/A,#N/A,FALSE,"Test 120 Day Accts";#N/A,#N/A,FALSE,"Tickmarks"}</definedName>
    <definedName name="iu" hidden="1">{#N/A,#N/A,FALSE,"Aging Summary";#N/A,#N/A,FALSE,"Ratio Analysis";#N/A,#N/A,FALSE,"Test 120 Day Accts";#N/A,#N/A,FALSE,"Tickmarks"}</definedName>
    <definedName name="iuiyiiyi" localSheetId="8" hidden="1">{#N/A,#N/A,FALSE,"EXPENSE"}</definedName>
    <definedName name="iuiyiiyi" localSheetId="1" hidden="1">{#N/A,#N/A,FALSE,"EXPENSE"}</definedName>
    <definedName name="iuiyiiyi" localSheetId="9" hidden="1">{#N/A,#N/A,FALSE,"EXPENSE"}</definedName>
    <definedName name="iuiyiiyi" hidden="1">{#N/A,#N/A,FALSE,"EXPENSE"}</definedName>
    <definedName name="iutyutytyu" localSheetId="8" hidden="1">{#N/A,#N/A,FALSE,"EXPENSE"}</definedName>
    <definedName name="iutyutytyu" localSheetId="1" hidden="1">{#N/A,#N/A,FALSE,"EXPENSE"}</definedName>
    <definedName name="iutyutytyu" localSheetId="9" hidden="1">{#N/A,#N/A,FALSE,"EXPENSE"}</definedName>
    <definedName name="iutyutytyu" hidden="1">{#N/A,#N/A,FALSE,"EXPENSE"}</definedName>
    <definedName name="JE_REV_ADJ">#REF!</definedName>
    <definedName name="jgjddd" localSheetId="8" hidden="1">{#N/A,#N/A,FALSE,"EXPENSE"}</definedName>
    <definedName name="jgjddd" localSheetId="1" hidden="1">{#N/A,#N/A,FALSE,"EXPENSE"}</definedName>
    <definedName name="jgjddd" localSheetId="9" hidden="1">{#N/A,#N/A,FALSE,"EXPENSE"}</definedName>
    <definedName name="jgjddd" hidden="1">{#N/A,#N/A,FALSE,"EXPENSE"}</definedName>
    <definedName name="jgjfgjghj" localSheetId="8" hidden="1">{#N/A,#N/A,FALSE,"EXPENSE"}</definedName>
    <definedName name="jgjfgjghj" localSheetId="1" hidden="1">{#N/A,#N/A,FALSE,"EXPENSE"}</definedName>
    <definedName name="jgjfgjghj" localSheetId="9" hidden="1">{#N/A,#N/A,FALSE,"EXPENSE"}</definedName>
    <definedName name="jgjfgjghj" hidden="1">{#N/A,#N/A,FALSE,"EXPENSE"}</definedName>
    <definedName name="jgjghfhd" localSheetId="8" hidden="1">{#N/A,#N/A,FALSE,"EXPENSE"}</definedName>
    <definedName name="jgjghfhd" localSheetId="1" hidden="1">{#N/A,#N/A,FALSE,"EXPENSE"}</definedName>
    <definedName name="jgjghfhd" localSheetId="9" hidden="1">{#N/A,#N/A,FALSE,"EXPENSE"}</definedName>
    <definedName name="jgjghfhd" hidden="1">{#N/A,#N/A,FALSE,"EXPENSE"}</definedName>
    <definedName name="jgjythfg" localSheetId="8" hidden="1">{#N/A,#N/A,FALSE,"EXPENSE"}</definedName>
    <definedName name="jgjythfg" localSheetId="1" hidden="1">{#N/A,#N/A,FALSE,"EXPENSE"}</definedName>
    <definedName name="jgjythfg" localSheetId="9" hidden="1">{#N/A,#N/A,FALSE,"EXPENSE"}</definedName>
    <definedName name="jgjythfg" hidden="1">{#N/A,#N/A,FALSE,"EXPENSE"}</definedName>
    <definedName name="jj" localSheetId="8" hidden="1">{"Page 1",#N/A,FALSE,"Sheet1";"Page 2",#N/A,FALSE,"Sheet1"}</definedName>
    <definedName name="jj" localSheetId="1" hidden="1">{"Page 1",#N/A,FALSE,"Sheet1";"Page 2",#N/A,FALSE,"Sheet1"}</definedName>
    <definedName name="jj" localSheetId="9" hidden="1">{"Page 1",#N/A,FALSE,"Sheet1";"Page 2",#N/A,FALSE,"Sheet1"}</definedName>
    <definedName name="jj" hidden="1">{"Page 1",#N/A,FALSE,"Sheet1";"Page 2",#N/A,FALSE,"Sheet1"}</definedName>
    <definedName name="jjj" localSheetId="8" hidden="1">{#N/A,#N/A,FALSE,"Assessment";#N/A,#N/A,FALSE,"Staffing";#N/A,#N/A,FALSE,"Hires";#N/A,#N/A,FALSE,"Assumptions"}</definedName>
    <definedName name="jjj" localSheetId="1" hidden="1">{#N/A,#N/A,FALSE,"Assessment";#N/A,#N/A,FALSE,"Staffing";#N/A,#N/A,FALSE,"Hires";#N/A,#N/A,FALSE,"Assumptions"}</definedName>
    <definedName name="jjj" localSheetId="9" hidden="1">{#N/A,#N/A,FALSE,"Assessment";#N/A,#N/A,FALSE,"Staffing";#N/A,#N/A,FALSE,"Hires";#N/A,#N/A,FALSE,"Assumptions"}</definedName>
    <definedName name="jjj" hidden="1">{#N/A,#N/A,FALSE,"Assessment";#N/A,#N/A,FALSE,"Staffing";#N/A,#N/A,FALSE,"Hires";#N/A,#N/A,FALSE,"Assumptions"}</definedName>
    <definedName name="jjjj" localSheetId="8" hidden="1">{#N/A,#N/A,FALSE,"EXPENSE"}</definedName>
    <definedName name="jjjj" localSheetId="1" hidden="1">{#N/A,#N/A,FALSE,"EXPENSE"}</definedName>
    <definedName name="jjjj" localSheetId="9" hidden="1">{#N/A,#N/A,FALSE,"EXPENSE"}</definedName>
    <definedName name="jjjj" hidden="1">{#N/A,#N/A,FALSE,"EXPENSE"}</definedName>
    <definedName name="jjjjjjjj" localSheetId="8" hidden="1">OFFSET(CompRange1Main,9,0,COUNTA(CompRange1Main)-COUNTA(#REF!),1)</definedName>
    <definedName name="jjjjjjjj" localSheetId="1" hidden="1">OFFSET(CompRange1Main,9,0,COUNTA(CompRange1Main)-COUNTA(#REF!),1)</definedName>
    <definedName name="jjjjjjjj" localSheetId="9" hidden="1">OFFSET([0]!CompRange1Main,9,0,COUNTA([0]!CompRange1Main)-COUNTA(#REF!),1)</definedName>
    <definedName name="jjjjjjjj" hidden="1">OFFSET(CompRange1Main,9,0,COUNTA(CompRange1Main)-COUNTA(#REF!),1)</definedName>
    <definedName name="jnhjhjggh" localSheetId="8" hidden="1">{#N/A,#N/A,FALSE,"EXPENSE"}</definedName>
    <definedName name="jnhjhjggh" localSheetId="1" hidden="1">{#N/A,#N/A,FALSE,"EXPENSE"}</definedName>
    <definedName name="jnhjhjggh" localSheetId="9" hidden="1">{#N/A,#N/A,FALSE,"EXPENSE"}</definedName>
    <definedName name="jnhjhjggh" hidden="1">{#N/A,#N/A,FALSE,"EXPENSE"}</definedName>
    <definedName name="jnmhgjdbcxbvc" localSheetId="8" hidden="1">{#N/A,#N/A,FALSE,"EXPENSE"}</definedName>
    <definedName name="jnmhgjdbcxbvc" localSheetId="1" hidden="1">{#N/A,#N/A,FALSE,"EXPENSE"}</definedName>
    <definedName name="jnmhgjdbcxbvc" localSheetId="9" hidden="1">{#N/A,#N/A,FALSE,"EXPENSE"}</definedName>
    <definedName name="jnmhgjdbcxbvc" hidden="1">{#N/A,#N/A,FALSE,"EXPENSE"}</definedName>
    <definedName name="Joint_owner">#REF!</definedName>
    <definedName name="jukyukyujkyjm" localSheetId="8" hidden="1">{#N/A,#N/A,FALSE,"EXPENSE"}</definedName>
    <definedName name="jukyukyujkyjm" localSheetId="1" hidden="1">{#N/A,#N/A,FALSE,"EXPENSE"}</definedName>
    <definedName name="jukyukyujkyjm" localSheetId="9" hidden="1">{#N/A,#N/A,FALSE,"EXPENSE"}</definedName>
    <definedName name="jukyukyujkyjm" hidden="1">{#N/A,#N/A,FALSE,"EXPENSE"}</definedName>
    <definedName name="JURIS" localSheetId="27">#REF!</definedName>
    <definedName name="JURIS" localSheetId="0">#REF!</definedName>
    <definedName name="JURIS" localSheetId="8">#REF!</definedName>
    <definedName name="JURIS" localSheetId="14">#REF!</definedName>
    <definedName name="JURIS" localSheetId="15">#REF!</definedName>
    <definedName name="JURIS" localSheetId="16">#REF!</definedName>
    <definedName name="JURIS" localSheetId="21">#REF!</definedName>
    <definedName name="JURIS" localSheetId="22">#REF!</definedName>
    <definedName name="JURIS" localSheetId="23">#REF!</definedName>
    <definedName name="JURIS" localSheetId="1">#REF!</definedName>
    <definedName name="JURIS" localSheetId="9">#REF!</definedName>
    <definedName name="JURIS">#REF!</definedName>
    <definedName name="juyjghjghjgt" localSheetId="8" hidden="1">{#N/A,#N/A,FALSE,"EXPENSE"}</definedName>
    <definedName name="juyjghjghjgt" localSheetId="1" hidden="1">{#N/A,#N/A,FALSE,"EXPENSE"}</definedName>
    <definedName name="juyjghjghjgt" localSheetId="9" hidden="1">{#N/A,#N/A,FALSE,"EXPENSE"}</definedName>
    <definedName name="juyjghjghjgt" hidden="1">{#N/A,#N/A,FALSE,"EXPENSE"}</definedName>
    <definedName name="jytuyutyu" localSheetId="8" hidden="1">{#N/A,#N/A,FALSE,"EXPENSE"}</definedName>
    <definedName name="jytuyutyu" localSheetId="1" hidden="1">{#N/A,#N/A,FALSE,"EXPENSE"}</definedName>
    <definedName name="jytuyutyu" localSheetId="9" hidden="1">{#N/A,#N/A,FALSE,"EXPENSE"}</definedName>
    <definedName name="jytuyutyu" hidden="1">{#N/A,#N/A,FALSE,"EXPENSE"}</definedName>
    <definedName name="k" localSheetId="8" hidden="1">{"Page 1",#N/A,FALSE,"Sheet1";"Page 2",#N/A,FALSE,"Sheet1"}</definedName>
    <definedName name="k" localSheetId="1" hidden="1">{"Page 1",#N/A,FALSE,"Sheet1";"Page 2",#N/A,FALSE,"Sheet1"}</definedName>
    <definedName name="k" localSheetId="9" hidden="1">{"Page 1",#N/A,FALSE,"Sheet1";"Page 2",#N/A,FALSE,"Sheet1"}</definedName>
    <definedName name="k" hidden="1">{"Page 1",#N/A,FALSE,"Sheet1";"Page 2",#N/A,FALSE,"Sheet1"}</definedName>
    <definedName name="K200_A">#REF!</definedName>
    <definedName name="K202_A">#REF!</definedName>
    <definedName name="K204_A">#REF!</definedName>
    <definedName name="K220_A">#REF!</definedName>
    <definedName name="K240_A">#REF!</definedName>
    <definedName name="K242_A">#REF!</definedName>
    <definedName name="K244_A">#REF!</definedName>
    <definedName name="K246_A">#REF!</definedName>
    <definedName name="K248_A">#REF!</definedName>
    <definedName name="K627_A">#REF!</definedName>
    <definedName name="KAW" localSheetId="8" hidden="1">#REF!</definedName>
    <definedName name="KAW" localSheetId="1" hidden="1">#REF!</definedName>
    <definedName name="KAW" localSheetId="9" hidden="1">#REF!</definedName>
    <definedName name="KAW" hidden="1">#REF!</definedName>
    <definedName name="kgkgjkghkj" localSheetId="8" hidden="1">{#N/A,#N/A,FALSE,"EXPENSE"}</definedName>
    <definedName name="kgkgjkghkj" localSheetId="1" hidden="1">{#N/A,#N/A,FALSE,"EXPENSE"}</definedName>
    <definedName name="kgkgjkghkj" localSheetId="9" hidden="1">{#N/A,#N/A,FALSE,"EXPENSE"}</definedName>
    <definedName name="kgkgjkghkj" hidden="1">{#N/A,#N/A,FALSE,"EXPENSE"}</definedName>
    <definedName name="khgkjgkghkhj" localSheetId="8" hidden="1">{#N/A,#N/A,FALSE,"EXPENSE"}</definedName>
    <definedName name="khgkjgkghkhj" localSheetId="1" hidden="1">{#N/A,#N/A,FALSE,"EXPENSE"}</definedName>
    <definedName name="khgkjgkghkhj" localSheetId="9" hidden="1">{#N/A,#N/A,FALSE,"EXPENSE"}</definedName>
    <definedName name="khgkjgkghkhj" hidden="1">{#N/A,#N/A,FALSE,"EXPENSE"}</definedName>
    <definedName name="khkhkhkh" localSheetId="8" hidden="1">{#N/A,#N/A,FALSE,"EXPENSE"}</definedName>
    <definedName name="khkhkhkh" localSheetId="1" hidden="1">{#N/A,#N/A,FALSE,"EXPENSE"}</definedName>
    <definedName name="khkhkhkh" localSheetId="9" hidden="1">{#N/A,#N/A,FALSE,"EXPENSE"}</definedName>
    <definedName name="khkhkhkh" hidden="1">{#N/A,#N/A,FALSE,"EXPENSE"}</definedName>
    <definedName name="kkhkjhkjh" localSheetId="8" hidden="1">{#N/A,#N/A,FALSE,"EXPENSE"}</definedName>
    <definedName name="kkhkjhkjh" localSheetId="1" hidden="1">{#N/A,#N/A,FALSE,"EXPENSE"}</definedName>
    <definedName name="kkhkjhkjh" localSheetId="9" hidden="1">{#N/A,#N/A,FALSE,"EXPENSE"}</definedName>
    <definedName name="kkhkjhkjh" hidden="1">{#N/A,#N/A,FALSE,"EXPENSE"}</definedName>
    <definedName name="kkk" localSheetId="8" hidden="1">{#N/A,#N/A,FALSE,"Aging Summary";#N/A,#N/A,FALSE,"Ratio Analysis";#N/A,#N/A,FALSE,"Test 120 Day Accts";#N/A,#N/A,FALSE,"Tickmarks"}</definedName>
    <definedName name="kkk" localSheetId="1" hidden="1">{#N/A,#N/A,FALSE,"Aging Summary";#N/A,#N/A,FALSE,"Ratio Analysis";#N/A,#N/A,FALSE,"Test 120 Day Accts";#N/A,#N/A,FALSE,"Tickmarks"}</definedName>
    <definedName name="kkk" localSheetId="9" hidden="1">{#N/A,#N/A,FALSE,"Aging Summary";#N/A,#N/A,FALSE,"Ratio Analysis";#N/A,#N/A,FALSE,"Test 120 Day Accts";#N/A,#N/A,FALSE,"Tickmarks"}</definedName>
    <definedName name="kkk" hidden="1">{#N/A,#N/A,FALSE,"Aging Summary";#N/A,#N/A,FALSE,"Ratio Analysis";#N/A,#N/A,FALSE,"Test 120 Day Accts";#N/A,#N/A,FALSE,"Tickmarks"}</definedName>
    <definedName name="kuhgjghjghj" localSheetId="8" hidden="1">{#N/A,#N/A,FALSE,"ALLOC"}</definedName>
    <definedName name="kuhgjghjghj" localSheetId="1" hidden="1">{#N/A,#N/A,FALSE,"ALLOC"}</definedName>
    <definedName name="kuhgjghjghj" localSheetId="9" hidden="1">{#N/A,#N/A,FALSE,"ALLOC"}</definedName>
    <definedName name="kuhgjghjghj" hidden="1">{#N/A,#N/A,FALSE,"ALLOC"}</definedName>
    <definedName name="kyukytjgdhfgfd" localSheetId="8" hidden="1">{#N/A,#N/A,FALSE,"EXPENSE"}</definedName>
    <definedName name="kyukytjgdhfgfd" localSheetId="1" hidden="1">{#N/A,#N/A,FALSE,"EXPENSE"}</definedName>
    <definedName name="kyukytjgdhfgfd" localSheetId="9" hidden="1">{#N/A,#N/A,FALSE,"EXPENSE"}</definedName>
    <definedName name="kyukytjgdhfgfd" hidden="1">{#N/A,#N/A,FALSE,"EXPENSE"}</definedName>
    <definedName name="LABOR_DATA">#REF!</definedName>
    <definedName name="LIAISON" localSheetId="8">#REF!</definedName>
    <definedName name="LIAISON" localSheetId="1">#REF!</definedName>
    <definedName name="LIAISON" localSheetId="9">#REF!</definedName>
    <definedName name="LIAISON">#REF!</definedName>
    <definedName name="Lightning2002">#REF!</definedName>
    <definedName name="Lightning2003">#REF!</definedName>
    <definedName name="Lightning2004">#REF!</definedName>
    <definedName name="limcount" hidden="1">1</definedName>
    <definedName name="LineOps2004" localSheetId="8">#REF!</definedName>
    <definedName name="LineOps2004" localSheetId="1">#REF!</definedName>
    <definedName name="LineOps2004" localSheetId="9">#REF!</definedName>
    <definedName name="LineOps2004">#REF!</definedName>
    <definedName name="ListOffset" hidden="1">1</definedName>
    <definedName name="lk" localSheetId="8" hidden="1">{#N/A,#N/A,FALSE,"Aging Summary";#N/A,#N/A,FALSE,"Ratio Analysis";#N/A,#N/A,FALSE,"Test 120 Day Accts";#N/A,#N/A,FALSE,"Tickmarks"}</definedName>
    <definedName name="lk" localSheetId="1" hidden="1">{#N/A,#N/A,FALSE,"Aging Summary";#N/A,#N/A,FALSE,"Ratio Analysis";#N/A,#N/A,FALSE,"Test 120 Day Accts";#N/A,#N/A,FALSE,"Tickmarks"}</definedName>
    <definedName name="lk" localSheetId="9" hidden="1">{#N/A,#N/A,FALSE,"Aging Summary";#N/A,#N/A,FALSE,"Ratio Analysis";#N/A,#N/A,FALSE,"Test 120 Day Accts";#N/A,#N/A,FALSE,"Tickmarks"}</definedName>
    <definedName name="lk" hidden="1">{#N/A,#N/A,FALSE,"Aging Summary";#N/A,#N/A,FALSE,"Ratio Analysis";#N/A,#N/A,FALSE,"Test 120 Day Accts";#N/A,#N/A,FALSE,"Tickmarks"}</definedName>
    <definedName name="lkfyhjfghfdgdgf" localSheetId="8" hidden="1">{#N/A,#N/A,FALSE,"ALLOC"}</definedName>
    <definedName name="lkfyhjfghfdgdgf" localSheetId="1" hidden="1">{#N/A,#N/A,FALSE,"ALLOC"}</definedName>
    <definedName name="lkfyhjfghfdgdgf" localSheetId="9" hidden="1">{#N/A,#N/A,FALSE,"ALLOC"}</definedName>
    <definedName name="lkfyhjfghfdgdgf" hidden="1">{#N/A,#N/A,FALSE,"ALLOC"}</definedName>
    <definedName name="lkj" localSheetId="8" hidden="1">{#N/A,#N/A,FALSE,"Assessment";#N/A,#N/A,FALSE,"Staffing";#N/A,#N/A,FALSE,"Hires";#N/A,#N/A,FALSE,"Assumptions"}</definedName>
    <definedName name="lkj" localSheetId="1" hidden="1">{#N/A,#N/A,FALSE,"Assessment";#N/A,#N/A,FALSE,"Staffing";#N/A,#N/A,FALSE,"Hires";#N/A,#N/A,FALSE,"Assumptions"}</definedName>
    <definedName name="lkj" localSheetId="9" hidden="1">{#N/A,#N/A,FALSE,"Assessment";#N/A,#N/A,FALSE,"Staffing";#N/A,#N/A,FALSE,"Hires";#N/A,#N/A,FALSE,"Assumptions"}</definedName>
    <definedName name="lkj" hidden="1">{#N/A,#N/A,FALSE,"Assessment";#N/A,#N/A,FALSE,"Staffing";#N/A,#N/A,FALSE,"Hires";#N/A,#N/A,FALSE,"Assumptions"}</definedName>
    <definedName name="lkjh" localSheetId="8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lkjh" localSheetId="1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lkjh" localSheetId="9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lkjh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lku" localSheetId="8" hidden="1">{#N/A,#N/A,FALSE,"Aging Summary";#N/A,#N/A,FALSE,"Ratio Analysis";#N/A,#N/A,FALSE,"Test 120 Day Accts";#N/A,#N/A,FALSE,"Tickmarks"}</definedName>
    <definedName name="lku" localSheetId="1" hidden="1">{#N/A,#N/A,FALSE,"Aging Summary";#N/A,#N/A,FALSE,"Ratio Analysis";#N/A,#N/A,FALSE,"Test 120 Day Accts";#N/A,#N/A,FALSE,"Tickmarks"}</definedName>
    <definedName name="lku" localSheetId="9" hidden="1">{#N/A,#N/A,FALSE,"Aging Summary";#N/A,#N/A,FALSE,"Ratio Analysis";#N/A,#N/A,FALSE,"Test 120 Day Accts";#N/A,#N/A,FALSE,"Tickmarks"}</definedName>
    <definedName name="lku" hidden="1">{#N/A,#N/A,FALSE,"Aging Summary";#N/A,#N/A,FALSE,"Ratio Analysis";#N/A,#N/A,FALSE,"Test 120 Day Accts";#N/A,#N/A,FALSE,"Tickmarks"}</definedName>
    <definedName name="ll" localSheetId="8" hidden="1">{#N/A,#N/A,FALSE,"Aging Summary";#N/A,#N/A,FALSE,"Ratio Analysis";#N/A,#N/A,FALSE,"Test 120 Day Accts";#N/A,#N/A,FALSE,"Tickmarks"}</definedName>
    <definedName name="ll" localSheetId="1" hidden="1">{#N/A,#N/A,FALSE,"Aging Summary";#N/A,#N/A,FALSE,"Ratio Analysis";#N/A,#N/A,FALSE,"Test 120 Day Accts";#N/A,#N/A,FALSE,"Tickmarks"}</definedName>
    <definedName name="ll" localSheetId="9" hidden="1">{#N/A,#N/A,FALSE,"Aging Summary";#N/A,#N/A,FALSE,"Ratio Analysis";#N/A,#N/A,FALSE,"Test 120 Day Accts";#N/A,#N/A,FALSE,"Tickmarks"}</definedName>
    <definedName name="ll" hidden="1">{#N/A,#N/A,FALSE,"Aging Summary";#N/A,#N/A,FALSE,"Ratio Analysis";#N/A,#N/A,FALSE,"Test 120 Day Accts";#N/A,#N/A,FALSE,"Tickmarks"}</definedName>
    <definedName name="lll" localSheetId="8" hidden="1">{#N/A,#N/A,FALSE,"Aging Summary";#N/A,#N/A,FALSE,"Ratio Analysis";#N/A,#N/A,FALSE,"Test 120 Day Accts";#N/A,#N/A,FALSE,"Tickmarks"}</definedName>
    <definedName name="lll" localSheetId="1" hidden="1">{#N/A,#N/A,FALSE,"Aging Summary";#N/A,#N/A,FALSE,"Ratio Analysis";#N/A,#N/A,FALSE,"Test 120 Day Accts";#N/A,#N/A,FALSE,"Tickmarks"}</definedName>
    <definedName name="lll" localSheetId="9" hidden="1">{#N/A,#N/A,FALSE,"Aging Summary";#N/A,#N/A,FALSE,"Ratio Analysis";#N/A,#N/A,FALSE,"Test 120 Day Accts";#N/A,#N/A,FALSE,"Tickmarks"}</definedName>
    <definedName name="lll" hidden="1">{#N/A,#N/A,FALSE,"Aging Summary";#N/A,#N/A,FALSE,"Ratio Analysis";#N/A,#N/A,FALSE,"Test 120 Day Accts";#N/A,#N/A,FALSE,"Tickmarks"}</definedName>
    <definedName name="lllllll" localSheetId="8" hidden="1">{#N/A,#N/A,FALSE,"EXPENSE"}</definedName>
    <definedName name="lllllll" localSheetId="1" hidden="1">{#N/A,#N/A,FALSE,"EXPENSE"}</definedName>
    <definedName name="lllllll" localSheetId="9" hidden="1">{#N/A,#N/A,FALSE,"EXPENSE"}</definedName>
    <definedName name="lllllll" hidden="1">{#N/A,#N/A,FALSE,"EXPENSE"}</definedName>
    <definedName name="llmmn" localSheetId="8" hidden="1">{#N/A,#N/A,FALSE,"EXPENSE"}</definedName>
    <definedName name="llmmn" localSheetId="1" hidden="1">{#N/A,#N/A,FALSE,"EXPENSE"}</definedName>
    <definedName name="llmmn" localSheetId="9" hidden="1">{#N/A,#N/A,FALSE,"EXPENSE"}</definedName>
    <definedName name="llmmn" hidden="1">{#N/A,#N/A,FALSE,"EXPENSE"}</definedName>
    <definedName name="llw">#REF!</definedName>
    <definedName name="LOAD_GROWTH_PROJECTS2003">#REF!</definedName>
    <definedName name="LOAD_GROWTH_PROJECTS2004">#REF!</definedName>
    <definedName name="LoadGrowth">#REF!</definedName>
    <definedName name="LOBBYING" localSheetId="8">#REF!</definedName>
    <definedName name="LOBBYING" localSheetId="1">#REF!</definedName>
    <definedName name="LOBBYING" localSheetId="9">#REF!</definedName>
    <definedName name="LOBBYING">#REF!</definedName>
    <definedName name="LRC">#REF!</definedName>
    <definedName name="LRC_Costs">#REF!</definedName>
    <definedName name="m" localSheetId="8" hidden="1">{"Page 1",#N/A,FALSE,"Sheet1";"Page 2",#N/A,FALSE,"Sheet1"}</definedName>
    <definedName name="m" localSheetId="1" hidden="1">{"Page 1",#N/A,FALSE,"Sheet1";"Page 2",#N/A,FALSE,"Sheet1"}</definedName>
    <definedName name="m" localSheetId="9" hidden="1">{"Page 1",#N/A,FALSE,"Sheet1";"Page 2",#N/A,FALSE,"Sheet1"}</definedName>
    <definedName name="m" hidden="1">{"Page 1",#N/A,FALSE,"Sheet1";"Page 2",#N/A,FALSE,"Sheet1"}</definedName>
    <definedName name="M_PlaceofPath" hidden="1">"F:\HDEMOTT\DATA\vdf\amt_vdf.xls"</definedName>
    <definedName name="Map" localSheetId="8">#REF!</definedName>
    <definedName name="Map" localSheetId="1">#REF!</definedName>
    <definedName name="Map" localSheetId="9">#REF!</definedName>
    <definedName name="Map">#REF!</definedName>
    <definedName name="MapJobTypes" localSheetId="8">#REF!</definedName>
    <definedName name="MapJobTypes" localSheetId="1">#REF!</definedName>
    <definedName name="MapJobTypes" localSheetId="9">#REF!</definedName>
    <definedName name="MapJobTypes">#REF!</definedName>
    <definedName name="May1Forecast" localSheetId="8" hidden="1">{"Page 1",#N/A,FALSE,"Sheet1";"Page 2",#N/A,FALSE,"Sheet1"}</definedName>
    <definedName name="May1Forecast" localSheetId="1" hidden="1">{"Page 1",#N/A,FALSE,"Sheet1";"Page 2",#N/A,FALSE,"Sheet1"}</definedName>
    <definedName name="May1Forecast" localSheetId="9" hidden="1">{"Page 1",#N/A,FALSE,"Sheet1";"Page 2",#N/A,FALSE,"Sheet1"}</definedName>
    <definedName name="May1Forecast" hidden="1">{"Page 1",#N/A,FALSE,"Sheet1";"Page 2",#N/A,FALSE,"Sheet1"}</definedName>
    <definedName name="MayForecast" localSheetId="8" hidden="1">{"Page 1",#N/A,FALSE,"Sheet1";"Page 2",#N/A,FALSE,"Sheet1"}</definedName>
    <definedName name="MayForecast" localSheetId="1" hidden="1">{"Page 1",#N/A,FALSE,"Sheet1";"Page 2",#N/A,FALSE,"Sheet1"}</definedName>
    <definedName name="MayForecast" localSheetId="9" hidden="1">{"Page 1",#N/A,FALSE,"Sheet1";"Page 2",#N/A,FALSE,"Sheet1"}</definedName>
    <definedName name="MayForecast" hidden="1">{"Page 1",#N/A,FALSE,"Sheet1";"Page 2",#N/A,FALSE,"Sheet1"}</definedName>
    <definedName name="MenuItem.Caption">"RE2B - Budget Employee Headcount"</definedName>
    <definedName name="MeterReading2004" localSheetId="8">#REF!</definedName>
    <definedName name="MeterReading2004" localSheetId="1">#REF!</definedName>
    <definedName name="MeterReading2004" localSheetId="9">#REF!</definedName>
    <definedName name="MeterReading2004">#REF!</definedName>
    <definedName name="Meters_Transformers2004">#REF!</definedName>
    <definedName name="MFR_PP">#REF!</definedName>
    <definedName name="Mis" localSheetId="8">#REF!</definedName>
    <definedName name="Mis" localSheetId="1">#REF!</definedName>
    <definedName name="Mis" localSheetId="9">#REF!</definedName>
    <definedName name="Mis">#REF!</definedName>
    <definedName name="misc" hidden="1">#REF!</definedName>
    <definedName name="misc3" hidden="1">#REF!</definedName>
    <definedName name="misc4" hidden="1">#REF!</definedName>
    <definedName name="mmmmmmmm" localSheetId="8" hidden="1">{#N/A,#N/A,FALSE,"EXPENSE"}</definedName>
    <definedName name="mmmmmmmm" localSheetId="1" hidden="1">{#N/A,#N/A,FALSE,"EXPENSE"}</definedName>
    <definedName name="mmmmmmmm" localSheetId="9" hidden="1">{#N/A,#N/A,FALSE,"EXPENSE"}</definedName>
    <definedName name="mmmmmmmm" hidden="1">{#N/A,#N/A,FALSE,"EXPENSE"}</definedName>
    <definedName name="mn" localSheetId="8" hidden="1">{#N/A,#N/A,FALSE,"Aging Summary";#N/A,#N/A,FALSE,"Ratio Analysis";#N/A,#N/A,FALSE,"Test 120 Day Accts";#N/A,#N/A,FALSE,"Tickmarks"}</definedName>
    <definedName name="mn" localSheetId="1" hidden="1">{#N/A,#N/A,FALSE,"Aging Summary";#N/A,#N/A,FALSE,"Ratio Analysis";#N/A,#N/A,FALSE,"Test 120 Day Accts";#N/A,#N/A,FALSE,"Tickmarks"}</definedName>
    <definedName name="mn" localSheetId="9" hidden="1">{#N/A,#N/A,FALSE,"Aging Summary";#N/A,#N/A,FALSE,"Ratio Analysis";#N/A,#N/A,FALSE,"Test 120 Day Accts";#N/A,#N/A,FALSE,"Tickmarks"}</definedName>
    <definedName name="mn" hidden="1">{#N/A,#N/A,FALSE,"Aging Summary";#N/A,#N/A,FALSE,"Ratio Analysis";#N/A,#N/A,FALSE,"Test 120 Day Accts";#N/A,#N/A,FALSE,"Tickmarks"}</definedName>
    <definedName name="mnhngfxvbcvx" localSheetId="8" hidden="1">{#N/A,#N/A,FALSE,"EXPENSE"}</definedName>
    <definedName name="mnhngfxvbcvx" localSheetId="1" hidden="1">{#N/A,#N/A,FALSE,"EXPENSE"}</definedName>
    <definedName name="mnhngfxvbcvx" localSheetId="9" hidden="1">{#N/A,#N/A,FALSE,"EXPENSE"}</definedName>
    <definedName name="mnhngfxvbcvx" hidden="1">{#N/A,#N/A,FALSE,"EXPENSE"}</definedName>
    <definedName name="MONTHS">#N/A</definedName>
    <definedName name="mypassword" hidden="1">"chuck"</definedName>
    <definedName name="n" localSheetId="8" hidden="1">{"Page 1",#N/A,FALSE,"Sheet1";"Page 2",#N/A,FALSE,"Sheet1"}</definedName>
    <definedName name="n" localSheetId="1" hidden="1">{"Page 1",#N/A,FALSE,"Sheet1";"Page 2",#N/A,FALSE,"Sheet1"}</definedName>
    <definedName name="n" localSheetId="9" hidden="1">{"Page 1",#N/A,FALSE,"Sheet1";"Page 2",#N/A,FALSE,"Sheet1"}</definedName>
    <definedName name="n" hidden="1">{"Page 1",#N/A,FALSE,"Sheet1";"Page 2",#N/A,FALSE,"Sheet1"}</definedName>
    <definedName name="new" localSheetId="8" hidden="1">{#N/A,#N/A,FALSE,"EXPENSE"}</definedName>
    <definedName name="new" localSheetId="1" hidden="1">{#N/A,#N/A,FALSE,"EXPENSE"}</definedName>
    <definedName name="new" localSheetId="9" hidden="1">{#N/A,#N/A,FALSE,"EXPENSE"}</definedName>
    <definedName name="new" hidden="1">{#N/A,#N/A,FALSE,"EXPENSE"}</definedName>
    <definedName name="New_Customer_Units">#REF!</definedName>
    <definedName name="NEW_CUSTOMER_WORK2003">#REF!</definedName>
    <definedName name="NEW_CUSTOMER_WORK2004">#REF!</definedName>
    <definedName name="NewProject" localSheetId="8">#REF!</definedName>
    <definedName name="NewProject" localSheetId="1">#REF!</definedName>
    <definedName name="NewProject" localSheetId="9">#REF!</definedName>
    <definedName name="NewProject">#REF!</definedName>
    <definedName name="NFIP" localSheetId="8">#REF!</definedName>
    <definedName name="NFIP" localSheetId="1">#REF!</definedName>
    <definedName name="NFIP" localSheetId="9">#REF!</definedName>
    <definedName name="NFIP">#REF!</definedName>
    <definedName name="nghmndghbfdxgfd" localSheetId="8" hidden="1">{#N/A,#N/A,FALSE,"EXPENSE"}</definedName>
    <definedName name="nghmndghbfdxgfd" localSheetId="1" hidden="1">{#N/A,#N/A,FALSE,"EXPENSE"}</definedName>
    <definedName name="nghmndghbfdxgfd" localSheetId="9" hidden="1">{#N/A,#N/A,FALSE,"EXPENSE"}</definedName>
    <definedName name="nghmndghbfdxgfd" hidden="1">{#N/A,#N/A,FALSE,"EXPENSE"}</definedName>
    <definedName name="nhgmnbcvbvc" localSheetId="8" hidden="1">{#N/A,#N/A,FALSE,"EXPENSE"}</definedName>
    <definedName name="nhgmnbcvbvc" localSheetId="1" hidden="1">{#N/A,#N/A,FALSE,"EXPENSE"}</definedName>
    <definedName name="nhgmnbcvbvc" localSheetId="9" hidden="1">{#N/A,#N/A,FALSE,"EXPENSE"}</definedName>
    <definedName name="nhgmnbcvbvc" hidden="1">{#N/A,#N/A,FALSE,"EXPENSE"}</definedName>
    <definedName name="nhmhgnbvnvb" localSheetId="8" hidden="1">{#N/A,#N/A,FALSE,"ALLOC"}</definedName>
    <definedName name="nhmhgnbvnvb" localSheetId="1" hidden="1">{#N/A,#N/A,FALSE,"ALLOC"}</definedName>
    <definedName name="nhmhgnbvnvb" localSheetId="9" hidden="1">{#N/A,#N/A,FALSE,"ALLOC"}</definedName>
    <definedName name="nhmhgnbvnvb" hidden="1">{#N/A,#N/A,FALSE,"ALLOC"}</definedName>
    <definedName name="nhnjfgdzfvcv" localSheetId="8" hidden="1">{#N/A,#N/A,FALSE,"EXPENSE"}</definedName>
    <definedName name="nhnjfgdzfvcv" localSheetId="1" hidden="1">{#N/A,#N/A,FALSE,"EXPENSE"}</definedName>
    <definedName name="nhnjfgdzfvcv" localSheetId="9" hidden="1">{#N/A,#N/A,FALSE,"EXPENSE"}</definedName>
    <definedName name="nhnjfgdzfvcv" hidden="1">{#N/A,#N/A,FALSE,"EXPENSE"}</definedName>
    <definedName name="njhgnfgchfgbf" localSheetId="8" hidden="1">{#N/A,#N/A,FALSE,"EXPENSE"}</definedName>
    <definedName name="njhgnfgchfgbf" localSheetId="1" hidden="1">{#N/A,#N/A,FALSE,"EXPENSE"}</definedName>
    <definedName name="njhgnfgchfgbf" localSheetId="9" hidden="1">{#N/A,#N/A,FALSE,"EXPENSE"}</definedName>
    <definedName name="njhgnfgchfgbf" hidden="1">{#N/A,#N/A,FALSE,"EXPENSE"}</definedName>
    <definedName name="njhhgnbvbvcb" localSheetId="8" hidden="1">{#N/A,#N/A,FALSE,"ALLOC"}</definedName>
    <definedName name="njhhgnbvbvcb" localSheetId="1" hidden="1">{#N/A,#N/A,FALSE,"ALLOC"}</definedName>
    <definedName name="njhhgnbvbvcb" localSheetId="9" hidden="1">{#N/A,#N/A,FALSE,"ALLOC"}</definedName>
    <definedName name="njhhgnbvbvcb" hidden="1">{#N/A,#N/A,FALSE,"ALLOC"}</definedName>
    <definedName name="none" localSheetId="8" hidden="1">#REF!</definedName>
    <definedName name="none" localSheetId="1" hidden="1">#REF!</definedName>
    <definedName name="none" localSheetId="9" hidden="1">#REF!</definedName>
    <definedName name="none" hidden="1">#REF!</definedName>
    <definedName name="NONFUELREC" localSheetId="8">#REF!</definedName>
    <definedName name="NONFUELREC" localSheetId="1">#REF!</definedName>
    <definedName name="NONFUELREC" localSheetId="9">#REF!</definedName>
    <definedName name="NONFUELREC">#REF!</definedName>
    <definedName name="NPV_to_Risk_Labels" hidden="1">#REF!</definedName>
    <definedName name="NPV_to_Risk_X_Data" hidden="1">#REF!</definedName>
    <definedName name="NPV_to_Risk_Y_Data" hidden="1">#REF!</definedName>
    <definedName name="NPV_to_Risk_Z_Data" hidden="1">#REF!</definedName>
    <definedName name="NSC_2003_CandI_Units">#REF!</definedName>
    <definedName name="NSC_2003_Residential_Units">#REF!</definedName>
    <definedName name="NSC_CandI_CIAC">#REF!</definedName>
    <definedName name="NSC_CandI_Costs">#REF!</definedName>
    <definedName name="NSC_CandI_Units">#REF!</definedName>
    <definedName name="NSC_Combined_CIAC">#REF!</definedName>
    <definedName name="NSC_Combined_Costs">#REF!</definedName>
    <definedName name="NSC_Combined_Units">#REF!</definedName>
    <definedName name="NSC_Costs">#REF!</definedName>
    <definedName name="NSC_Residential_CIAC">#REF!</definedName>
    <definedName name="NSC_Residential_Costs">#REF!</definedName>
    <definedName name="NSC_Residential_Units">#REF!</definedName>
    <definedName name="NSC_Units">#REF!</definedName>
    <definedName name="NSC_Units2002">#REF!</definedName>
    <definedName name="NUMBER_OF_FEEDERS">#REF!</definedName>
    <definedName name="Number_of_Payments" localSheetId="25">MATCH(0.01,End_Bal,-1)+1</definedName>
    <definedName name="Number_of_Payments" localSheetId="5">MATCH(0.01,End_Bal,-1)+1</definedName>
    <definedName name="Number_of_Payments" localSheetId="12">MATCH(0.01,End_Bal,-1)+1</definedName>
    <definedName name="Number_of_Payments" localSheetId="8">MATCH(0.01,End_Bal,-1)+1</definedName>
    <definedName name="Number_of_Payments" localSheetId="1">MATCH(0.01,End_Bal,-1)+1</definedName>
    <definedName name="Number_of_Payments" localSheetId="9">MATCH(0.01,End_Bal,-1)+1</definedName>
    <definedName name="Number_of_Payments">MATCH(0.01,End_Bal,-1)+1</definedName>
    <definedName name="NvsASD">"V2001-12-31"</definedName>
    <definedName name="NvsAutoDrillOk">"VN"</definedName>
    <definedName name="NvsElapsedTime">0.00178425925696502</definedName>
    <definedName name="NvsEndTime">37277.5592229167</definedName>
    <definedName name="NvsInstSpec">"%"</definedName>
    <definedName name="NvsLayoutType">"M3"</definedName>
    <definedName name="NvsNplSpec">"%,X,RNF.ACCOUNT.robyn,CZF.."</definedName>
    <definedName name="NvsPanelEffdt">"V2000-01-01"</definedName>
    <definedName name="NvsPanelSetid">"VELECT"</definedName>
    <definedName name="NvsParentRef">#REF!</definedName>
    <definedName name="NvsReqBU">"V10008"</definedName>
    <definedName name="NvsReqBUOnly">"VN"</definedName>
    <definedName name="NvsTransLed">"VN"</definedName>
    <definedName name="NvsTreeASD">"V2001-12-31"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NvsValTbl.EAC">"EAC_TBL"</definedName>
    <definedName name="NvsValTbl.FERC_OTHER">"FERC_OTHER_TBL"</definedName>
    <definedName name="NvsValTbl.PRODUCT">"PRODUCT_TBL"</definedName>
    <definedName name="NvsValTbl.Z_FUNCTION">"Z_FUNCTION_TBL"</definedName>
    <definedName name="NvsValTbl.Z_REG_ID">"Z_REG_ID_TBL"</definedName>
    <definedName name="OAMORT_ADJ">#REF!</definedName>
    <definedName name="October_2108" localSheetId="8">#REF!</definedName>
    <definedName name="October_2108" localSheetId="1">#REF!</definedName>
    <definedName name="October_2108" localSheetId="9">#REF!</definedName>
    <definedName name="October_2108">#REF!</definedName>
    <definedName name="OH_PRIMARY">#REF!</definedName>
    <definedName name="OHPrimary_wBranch">#REF!</definedName>
    <definedName name="oiu" localSheetId="8" hidden="1">{#N/A,#N/A,FALSE,"Aging Summary";#N/A,#N/A,FALSE,"Ratio Analysis";#N/A,#N/A,FALSE,"Test 120 Day Accts";#N/A,#N/A,FALSE,"Tickmarks"}</definedName>
    <definedName name="oiu" localSheetId="1" hidden="1">{#N/A,#N/A,FALSE,"Aging Summary";#N/A,#N/A,FALSE,"Ratio Analysis";#N/A,#N/A,FALSE,"Test 120 Day Accts";#N/A,#N/A,FALSE,"Tickmarks"}</definedName>
    <definedName name="oiu" localSheetId="9" hidden="1">{#N/A,#N/A,FALSE,"Aging Summary";#N/A,#N/A,FALSE,"Ratio Analysis";#N/A,#N/A,FALSE,"Test 120 Day Accts";#N/A,#N/A,FALSE,"Tickmarks"}</definedName>
    <definedName name="oiu" hidden="1">{#N/A,#N/A,FALSE,"Aging Summary";#N/A,#N/A,FALSE,"Ratio Analysis";#N/A,#N/A,FALSE,"Test 120 Day Accts";#N/A,#N/A,FALSE,"Tickmarks"}</definedName>
    <definedName name="old">#REF!</definedName>
    <definedName name="OOM_ADJ">#REF!</definedName>
    <definedName name="op" localSheetId="8" hidden="1">{#N/A,#N/A,FALSE,"Aging Summary";#N/A,#N/A,FALSE,"Ratio Analysis";#N/A,#N/A,FALSE,"Test 120 Day Accts";#N/A,#N/A,FALSE,"Tickmarks"}</definedName>
    <definedName name="op" localSheetId="1" hidden="1">{#N/A,#N/A,FALSE,"Aging Summary";#N/A,#N/A,FALSE,"Ratio Analysis";#N/A,#N/A,FALSE,"Test 120 Day Accts";#N/A,#N/A,FALSE,"Tickmarks"}</definedName>
    <definedName name="op" localSheetId="9" hidden="1">{#N/A,#N/A,FALSE,"Aging Summary";#N/A,#N/A,FALSE,"Ratio Analysis";#N/A,#N/A,FALSE,"Test 120 Day Accts";#N/A,#N/A,FALSE,"Tickmarks"}</definedName>
    <definedName name="op" hidden="1">{#N/A,#N/A,FALSE,"Aging Summary";#N/A,#N/A,FALSE,"Ratio Analysis";#N/A,#N/A,FALSE,"Test 120 Day Accts";#N/A,#N/A,FALSE,"Tickmarks"}</definedName>
    <definedName name="OpCntr">#REF!</definedName>
    <definedName name="OpCntrConvList">#REF!</definedName>
    <definedName name="OpCntrRates">#REF!</definedName>
    <definedName name="Other2002">#REF!</definedName>
    <definedName name="Other2003">#REF!</definedName>
    <definedName name="Other2004">#REF!</definedName>
    <definedName name="OtherIndirect2003">#REF!</definedName>
    <definedName name="Outages">#REF!</definedName>
    <definedName name="Outages2002">#REF!</definedName>
    <definedName name="Outages2003">#REF!</definedName>
    <definedName name="Outages2004">#REF!</definedName>
    <definedName name="OVERCHECK">#REF!</definedName>
    <definedName name="P" localSheetId="27">#REF!</definedName>
    <definedName name="P" localSheetId="0">#REF!</definedName>
    <definedName name="p" localSheetId="8" hidden="1">{#N/A,#N/A,FALSE,"Aging Summary";#N/A,#N/A,FALSE,"Ratio Analysis";#N/A,#N/A,FALSE,"Test 120 Day Accts";#N/A,#N/A,FALSE,"Tickmarks"}</definedName>
    <definedName name="P" localSheetId="14">#REF!</definedName>
    <definedName name="P" localSheetId="15">#REF!</definedName>
    <definedName name="P" localSheetId="16">#REF!</definedName>
    <definedName name="P" localSheetId="21">#REF!</definedName>
    <definedName name="P" localSheetId="22">#REF!</definedName>
    <definedName name="P" localSheetId="23">#REF!</definedName>
    <definedName name="P" localSheetId="1">#REF!</definedName>
    <definedName name="p" localSheetId="9" hidden="1">{#N/A,#N/A,FALSE,"Aging Summary";#N/A,#N/A,FALSE,"Ratio Analysis";#N/A,#N/A,FALSE,"Test 120 Day Accts";#N/A,#N/A,FALSE,"Tickmarks"}</definedName>
    <definedName name="p" hidden="1">{#N/A,#N/A,FALSE,"Aging Summary";#N/A,#N/A,FALSE,"Ratio Analysis";#N/A,#N/A,FALSE,"Test 120 Day Accts";#N/A,#N/A,FALSE,"Tickmarks"}</definedName>
    <definedName name="page1" localSheetId="27">#REF!</definedName>
    <definedName name="page1" localSheetId="8">#REF!</definedName>
    <definedName name="page1" localSheetId="14">#REF!</definedName>
    <definedName name="page1" localSheetId="15">#REF!</definedName>
    <definedName name="page1" localSheetId="16">#REF!</definedName>
    <definedName name="page1" localSheetId="21">#REF!</definedName>
    <definedName name="page1" localSheetId="22">#REF!</definedName>
    <definedName name="page1" localSheetId="23">#REF!</definedName>
    <definedName name="page1" localSheetId="1">#REF!</definedName>
    <definedName name="page1" localSheetId="9">#REF!</definedName>
    <definedName name="page1">#REF!</definedName>
    <definedName name="page2" localSheetId="27">#REF!</definedName>
    <definedName name="page2" localSheetId="8">#REF!</definedName>
    <definedName name="page2" localSheetId="14">#REF!</definedName>
    <definedName name="page2" localSheetId="15">#REF!</definedName>
    <definedName name="page2" localSheetId="16">#REF!</definedName>
    <definedName name="page2" localSheetId="21">#REF!</definedName>
    <definedName name="page2" localSheetId="22">#REF!</definedName>
    <definedName name="page2" localSheetId="23">#REF!</definedName>
    <definedName name="page2" localSheetId="1">#REF!</definedName>
    <definedName name="page2" localSheetId="9">#REF!</definedName>
    <definedName name="page2">#REF!</definedName>
    <definedName name="page3" localSheetId="27">#REF!</definedName>
    <definedName name="page3" localSheetId="8">#REF!</definedName>
    <definedName name="page3" localSheetId="14">#REF!</definedName>
    <definedName name="page3" localSheetId="15">#REF!</definedName>
    <definedName name="page3" localSheetId="16">#REF!</definedName>
    <definedName name="page3" localSheetId="21">#REF!</definedName>
    <definedName name="page3" localSheetId="22">#REF!</definedName>
    <definedName name="page3" localSheetId="23">#REF!</definedName>
    <definedName name="page3" localSheetId="1">#REF!</definedName>
    <definedName name="page3" localSheetId="9">#REF!</definedName>
    <definedName name="page3">#REF!</definedName>
    <definedName name="PageOptions.page_1.Caption">"01A09S - POWER OPERATIONS PEC"</definedName>
    <definedName name="PageOptions.page_1.Caption.1">"01A09S - POWER OPERATIONS PEC"</definedName>
    <definedName name="PageOptions.page_1.Caption.Count">1</definedName>
    <definedName name="PageOptions.page_1.Key">"[ExpenditureOrg].[01A09S]"</definedName>
    <definedName name="PageOptions.page_1.Key.1">"[ExpenditureOrg].[01A09S]"</definedName>
    <definedName name="PageOptions.page_1.Key.Count">1</definedName>
    <definedName name="PageOptions.page_1.Name">"01A09S"</definedName>
    <definedName name="PageOptions.page_1.Name.1">"01A09S"</definedName>
    <definedName name="PageOptions.page_1.Name.Count">1</definedName>
    <definedName name="PageOptions.page_2.Caption">"FY2011"</definedName>
    <definedName name="PageOptions.page_2.Caption.1">"FY2011"</definedName>
    <definedName name="PageOptions.page_2.Caption.Count">1</definedName>
    <definedName name="PageOptions.page_2.Key">"[Year].[FY2011]"</definedName>
    <definedName name="PageOptions.page_2.Key.1">"[Year].[FY2011]"</definedName>
    <definedName name="PageOptions.page_2.Key.Count">1</definedName>
    <definedName name="PageOptions.page_2.Name">"FY2011"</definedName>
    <definedName name="PageOptions.page_2.Name.1">"FY2011"</definedName>
    <definedName name="PageOptions.page_2.Name.Count">1</definedName>
    <definedName name="Pal_Workbook_GUID" hidden="1">"1KSSGF3ZWY3E3EQEL76D82LV"</definedName>
    <definedName name="pam" localSheetId="8" hidden="1">{#N/A,#N/A,FALSE,"ALLOC"}</definedName>
    <definedName name="pam" localSheetId="1" hidden="1">{#N/A,#N/A,FALSE,"ALLOC"}</definedName>
    <definedName name="pam" localSheetId="9" hidden="1">{#N/A,#N/A,FALSE,"ALLOC"}</definedName>
    <definedName name="pam" hidden="1">{#N/A,#N/A,FALSE,"ALLOC"}</definedName>
    <definedName name="paul" localSheetId="27" hidden="1">#REF!</definedName>
    <definedName name="paul" localSheetId="11" hidden="1">#REF!</definedName>
    <definedName name="paul" localSheetId="12" hidden="1">#REF!</definedName>
    <definedName name="paul" localSheetId="8" hidden="1">#REF!</definedName>
    <definedName name="paul" localSheetId="13" hidden="1">#REF!</definedName>
    <definedName name="paul" localSheetId="14" hidden="1">#REF!</definedName>
    <definedName name="paul" localSheetId="15" hidden="1">#REF!</definedName>
    <definedName name="paul" localSheetId="16" hidden="1">#REF!</definedName>
    <definedName name="paul" localSheetId="21" hidden="1">#REF!</definedName>
    <definedName name="paul" localSheetId="22" hidden="1">#REF!</definedName>
    <definedName name="paul" localSheetId="23" hidden="1">#REF!</definedName>
    <definedName name="paul" localSheetId="1" hidden="1">#REF!</definedName>
    <definedName name="paul" localSheetId="9" hidden="1">#REF!</definedName>
    <definedName name="paul" hidden="1">#REF!</definedName>
    <definedName name="Payment_Date" localSheetId="25">DATE(YEAR(Loan_Start),MONTH(Loan_Start)+Payment_Number,DAY(Loan_Start))</definedName>
    <definedName name="Payment_Date" localSheetId="5">DATE(YEAR(Loan_Start),MONTH(Loan_Start)+Payment_Number,DAY(Loan_Start))</definedName>
    <definedName name="Payment_Date" localSheetId="12">DATE(YEAR(Loan_Start),MONTH(Loan_Start)+Payment_Number,DAY(Loan_Start))</definedName>
    <definedName name="Payment_Date" localSheetId="8">DATE(YEAR(Loan_Start),MONTH(Loan_Start)+Payment_Number,DAY(Loan_Start))</definedName>
    <definedName name="Payment_Date" localSheetId="1">DATE(YEAR(Loan_Start),MONTH(Loan_Start)+Payment_Number,DAY(Loan_Start))</definedName>
    <definedName name="Payment_Date" localSheetId="9">DATE(YEAR(Loan_Start),MONTH(Loan_Start)+Payment_Number,DAY(Loan_Start))</definedName>
    <definedName name="Payment_Date">DATE(YEAR(Loan_Start),MONTH(Loan_Start)+Payment_Number,DAY(Loan_Start))</definedName>
    <definedName name="pesc1" localSheetId="27" hidden="1">{#N/A,#N/A,FALSE,"Aging Summary";#N/A,#N/A,FALSE,"Ratio Analysis";#N/A,#N/A,FALSE,"Test 120 Day Accts";#N/A,#N/A,FALSE,"Tickmarks"}</definedName>
    <definedName name="pesc1" localSheetId="0" hidden="1">{#N/A,#N/A,FALSE,"Aging Summary";#N/A,#N/A,FALSE,"Ratio Analysis";#N/A,#N/A,FALSE,"Test 120 Day Accts";#N/A,#N/A,FALSE,"Tickmarks"}</definedName>
    <definedName name="pesc1" localSheetId="11" hidden="1">{#N/A,#N/A,FALSE,"Aging Summary";#N/A,#N/A,FALSE,"Ratio Analysis";#N/A,#N/A,FALSE,"Test 120 Day Accts";#N/A,#N/A,FALSE,"Tickmarks"}</definedName>
    <definedName name="pesc1" localSheetId="12" hidden="1">{#N/A,#N/A,FALSE,"Aging Summary";#N/A,#N/A,FALSE,"Ratio Analysis";#N/A,#N/A,FALSE,"Test 120 Day Accts";#N/A,#N/A,FALSE,"Tickmarks"}</definedName>
    <definedName name="pesc1" localSheetId="8" hidden="1">{#N/A,#N/A,FALSE,"Aging Summary";#N/A,#N/A,FALSE,"Ratio Analysis";#N/A,#N/A,FALSE,"Test 120 Day Accts";#N/A,#N/A,FALSE,"Tickmarks"}</definedName>
    <definedName name="pesc1" localSheetId="13" hidden="1">{#N/A,#N/A,FALSE,"Aging Summary";#N/A,#N/A,FALSE,"Ratio Analysis";#N/A,#N/A,FALSE,"Test 120 Day Accts";#N/A,#N/A,FALSE,"Tickmarks"}</definedName>
    <definedName name="pesc1" localSheetId="14" hidden="1">{#N/A,#N/A,FALSE,"Aging Summary";#N/A,#N/A,FALSE,"Ratio Analysis";#N/A,#N/A,FALSE,"Test 120 Day Accts";#N/A,#N/A,FALSE,"Tickmarks"}</definedName>
    <definedName name="pesc1" localSheetId="15" hidden="1">{#N/A,#N/A,FALSE,"Aging Summary";#N/A,#N/A,FALSE,"Ratio Analysis";#N/A,#N/A,FALSE,"Test 120 Day Accts";#N/A,#N/A,FALSE,"Tickmarks"}</definedName>
    <definedName name="pesc1" localSheetId="16" hidden="1">{#N/A,#N/A,FALSE,"Aging Summary";#N/A,#N/A,FALSE,"Ratio Analysis";#N/A,#N/A,FALSE,"Test 120 Day Accts";#N/A,#N/A,FALSE,"Tickmarks"}</definedName>
    <definedName name="pesc1" localSheetId="21" hidden="1">{#N/A,#N/A,FALSE,"Aging Summary";#N/A,#N/A,FALSE,"Ratio Analysis";#N/A,#N/A,FALSE,"Test 120 Day Accts";#N/A,#N/A,FALSE,"Tickmarks"}</definedName>
    <definedName name="pesc1" localSheetId="22" hidden="1">{#N/A,#N/A,FALSE,"Aging Summary";#N/A,#N/A,FALSE,"Ratio Analysis";#N/A,#N/A,FALSE,"Test 120 Day Accts";#N/A,#N/A,FALSE,"Tickmarks"}</definedName>
    <definedName name="pesc1" localSheetId="23" hidden="1">{#N/A,#N/A,FALSE,"Aging Summary";#N/A,#N/A,FALSE,"Ratio Analysis";#N/A,#N/A,FALSE,"Test 120 Day Accts";#N/A,#N/A,FALSE,"Tickmarks"}</definedName>
    <definedName name="pesc1" localSheetId="1" hidden="1">{#N/A,#N/A,FALSE,"Aging Summary";#N/A,#N/A,FALSE,"Ratio Analysis";#N/A,#N/A,FALSE,"Test 120 Day Accts";#N/A,#N/A,FALSE,"Tickmarks"}</definedName>
    <definedName name="pesc1" localSheetId="9" hidden="1">{#N/A,#N/A,FALSE,"Aging Summary";#N/A,#N/A,FALSE,"Ratio Analysis";#N/A,#N/A,FALSE,"Test 120 Day Accts";#N/A,#N/A,FALSE,"Tickmarks"}</definedName>
    <definedName name="pesc1" hidden="1">{#N/A,#N/A,FALSE,"Aging Summary";#N/A,#N/A,FALSE,"Ratio Analysis";#N/A,#N/A,FALSE,"Test 120 Day Accts";#N/A,#N/A,FALSE,"Tickmarks"}</definedName>
    <definedName name="piiiiii" localSheetId="8" hidden="1">{#N/A,#N/A,FALSE,"EXPENSE"}</definedName>
    <definedName name="piiiiii" localSheetId="1" hidden="1">{#N/A,#N/A,FALSE,"EXPENSE"}</definedName>
    <definedName name="piiiiii" localSheetId="9" hidden="1">{#N/A,#N/A,FALSE,"EXPENSE"}</definedName>
    <definedName name="piiiiii" hidden="1">{#N/A,#N/A,FALSE,"EXPENSE"}</definedName>
    <definedName name="po" localSheetId="8" hidden="1">{#N/A,#N/A,FALSE,"Aging Summary";#N/A,#N/A,FALSE,"Ratio Analysis";#N/A,#N/A,FALSE,"Test 120 Day Accts";#N/A,#N/A,FALSE,"Tickmarks"}</definedName>
    <definedName name="po" localSheetId="1" hidden="1">{#N/A,#N/A,FALSE,"Aging Summary";#N/A,#N/A,FALSE,"Ratio Analysis";#N/A,#N/A,FALSE,"Test 120 Day Accts";#N/A,#N/A,FALSE,"Tickmarks"}</definedName>
    <definedName name="po" localSheetId="9" hidden="1">{#N/A,#N/A,FALSE,"Aging Summary";#N/A,#N/A,FALSE,"Ratio Analysis";#N/A,#N/A,FALSE,"Test 120 Day Accts";#N/A,#N/A,FALSE,"Tickmarks"}</definedName>
    <definedName name="po" hidden="1">{#N/A,#N/A,FALSE,"Aging Summary";#N/A,#N/A,FALSE,"Ratio Analysis";#N/A,#N/A,FALSE,"Test 120 Day Accts";#N/A,#N/A,FALSE,"Tickmarks"}</definedName>
    <definedName name="Porfolio_One_Risk_Return_Labels" hidden="1">#REF!</definedName>
    <definedName name="Porfolio_One_Risk_Return_X_Data" hidden="1">#REF!</definedName>
    <definedName name="Porfolio_One_Risk_Return_Y_Data" hidden="1">#REF!</definedName>
    <definedName name="Porfolio_One_Risk_Return_Z_Data" hidden="1">#REF!</definedName>
    <definedName name="Port_One_Correct_Risk_Reward_Labels" hidden="1">#REF!</definedName>
    <definedName name="Port_One_Correct_Risk_Reward_X_Data" hidden="1">#REF!</definedName>
    <definedName name="Port_One_Correct_Risk_Reward_Y_Data" hidden="1">#REF!</definedName>
    <definedName name="Port_One_Correct_Risk_Reward_Z_Data" hidden="1">#REF!</definedName>
    <definedName name="Port_One_Tech_Risk_New_Labels" hidden="1">#REF!</definedName>
    <definedName name="Port_One_Tech_Risk_New_X_Data" hidden="1">#REF!</definedName>
    <definedName name="Port_One_Tech_Risk_New_Y_Data" hidden="1">#REF!</definedName>
    <definedName name="Port_One_Tech_Risk_New_Z_Data" hidden="1">#REF!</definedName>
    <definedName name="Port_Three_Risk_Return_Labels" hidden="1">#REF!</definedName>
    <definedName name="Port_Three_Risk_Return_X_Data" hidden="1">#REF!</definedName>
    <definedName name="Port_Three_Risk_Return_Y_Data" hidden="1">#REF!</definedName>
    <definedName name="Port_Three_Risk_Return_Z_Data" hidden="1">#REF!</definedName>
    <definedName name="ppp" localSheetId="8" hidden="1">{#N/A,#N/A,FALSE,"Aging Summary";#N/A,#N/A,FALSE,"Ratio Analysis";#N/A,#N/A,FALSE,"Test 120 Day Accts";#N/A,#N/A,FALSE,"Tickmarks"}</definedName>
    <definedName name="ppp" localSheetId="1" hidden="1">{#N/A,#N/A,FALSE,"Aging Summary";#N/A,#N/A,FALSE,"Ratio Analysis";#N/A,#N/A,FALSE,"Test 120 Day Accts";#N/A,#N/A,FALSE,"Tickmarks"}</definedName>
    <definedName name="ppp" localSheetId="9" hidden="1">{#N/A,#N/A,FALSE,"Aging Summary";#N/A,#N/A,FALSE,"Ratio Analysis";#N/A,#N/A,FALSE,"Test 120 Day Accts";#N/A,#N/A,FALSE,"Tickmarks"}</definedName>
    <definedName name="ppp" hidden="1">{#N/A,#N/A,FALSE,"Aging Summary";#N/A,#N/A,FALSE,"Ratio Analysis";#N/A,#N/A,FALSE,"Test 120 Day Accts";#N/A,#N/A,FALSE,"Tickmarks"}</definedName>
    <definedName name="ppppppp" localSheetId="8" hidden="1">{#N/A,#N/A,FALSE,"ALLOC"}</definedName>
    <definedName name="ppppppp" localSheetId="1" hidden="1">{#N/A,#N/A,FALSE,"ALLOC"}</definedName>
    <definedName name="ppppppp" localSheetId="9" hidden="1">{#N/A,#N/A,FALSE,"ALLOC"}</definedName>
    <definedName name="ppppppp" hidden="1">{#N/A,#N/A,FALSE,"ALLOC"}</definedName>
    <definedName name="pppppppp" localSheetId="8" hidden="1">{#N/A,#N/A,FALSE,"EXPENSE"}</definedName>
    <definedName name="pppppppp" localSheetId="1" hidden="1">{#N/A,#N/A,FALSE,"EXPENSE"}</definedName>
    <definedName name="pppppppp" localSheetId="9" hidden="1">{#N/A,#N/A,FALSE,"EXPENSE"}</definedName>
    <definedName name="pppppppp" hidden="1">{#N/A,#N/A,FALSE,"EXPENSE"}</definedName>
    <definedName name="PriceRange" localSheetId="8" hidden="1">OFFSET([0]!PriceRangeMain,5,0,COUNTA([0]!PriceRangeMain)-COUNTA(#REF!),1)</definedName>
    <definedName name="PriceRange" localSheetId="1" hidden="1">OFFSET([0]!PriceRangeMain,5,0,COUNTA([0]!PriceRangeMain)-COUNTA(#REF!),1)</definedName>
    <definedName name="PriceRange" localSheetId="9" hidden="1">OFFSET([0]!PriceRangeMain,5,0,COUNTA([0]!PriceRangeMain)-COUNTA(#REF!),1)</definedName>
    <definedName name="PriceRange" hidden="1">OFFSET([0]!PriceRangeMain,5,0,COUNTA([0]!PriceRangeMain)-COUNTA(#REF!),1)</definedName>
    <definedName name="PriceRangeMain" hidden="1">#REF!</definedName>
    <definedName name="PRINT" localSheetId="27">#REF!</definedName>
    <definedName name="PRINT" localSheetId="0">#REF!</definedName>
    <definedName name="PRINT" localSheetId="8">#REF!</definedName>
    <definedName name="PRINT" localSheetId="14">#REF!</definedName>
    <definedName name="PRINT" localSheetId="15">#REF!</definedName>
    <definedName name="PRINT" localSheetId="16">#REF!</definedName>
    <definedName name="PRINT" localSheetId="21">#REF!</definedName>
    <definedName name="PRINT" localSheetId="22">#REF!</definedName>
    <definedName name="PRINT" localSheetId="23">#REF!</definedName>
    <definedName name="PRINT" localSheetId="1">#REF!</definedName>
    <definedName name="PRINT" localSheetId="9">#REF!</definedName>
    <definedName name="PRINT">#REF!</definedName>
    <definedName name="_xlnm.Print_Area" localSheetId="24">'BA-1 Rates Current'!$B$3:$K$46</definedName>
    <definedName name="_xlnm.Print_Area" localSheetId="25">'BA-1 Rates Forecast'!$B$3:$K$46</definedName>
    <definedName name="_xlnm.Print_Area" localSheetId="27">DVC!$A$3:$H$47</definedName>
    <definedName name="_xlnm.Print_Area" localSheetId="0">'E-1 (1A) - (2-4)'!#REF!,'E-1 (1A) - (2-4)'!#REF!</definedName>
    <definedName name="_xlnm.Print_Area" localSheetId="6">'Exhibit MJC-2 - Old E-8a'!$B$3:$Y$46</definedName>
    <definedName name="_xlnm.Print_Area" localSheetId="12">'Exhibit MJC-3 - E-13c cal yr'!$A$3:$Q$60,'Exhibit MJC-3 - E-13c cal yr'!$A$62:$Q$123,'Exhibit MJC-3 - E-13c cal yr'!$A$125:$Q$163,'Exhibit MJC-3 - E-13c cal yr'!$A$165:$Q$220,'Exhibit MJC-3 - E-13c cal yr'!$A$222:$Q$277,'Exhibit MJC-3 - E-13c cal yr'!$A$279:$Q$333,'Exhibit MJC-3 - E-13c cal yr'!$A$335:$Q$391,'Exhibit MJC-3 - E-13c cal yr'!$A$393:$Q$451,'Exhibit MJC-3 - E-13c cal yr'!$A$453:$Q$511,'Exhibit MJC-3 - E-13c cal yr'!$A$513:$Q$572,'Exhibit MJC-3 - E-13c cal yr'!$A$574:$Q$633,'Exhibit MJC-3 - E-13c cal yr'!$A$635:$Q$691,'Exhibit MJC-3 - E-13c cal yr'!$A$693:$Q$751</definedName>
    <definedName name="_xlnm.Print_Area" localSheetId="7">'MFR E-12'!$B$2:$L$39</definedName>
    <definedName name="_xlnm.Print_Area" localSheetId="8">'MFR E-12 (2-4)'!$A$4:$P$96</definedName>
    <definedName name="_xlnm.Print_Area" localSheetId="10">'MFR E-13a'!$B$2:$R$39</definedName>
    <definedName name="_xlnm.Print_Area" localSheetId="13">'MFR E-13c'!$A$1:$Q$54,'MFR E-13c'!$A$56:$Q$113,'MFR E-13c'!$A$115:$Q$148,'MFR E-13c'!$A$150:$Q$202,'MFR E-13c'!$A$204:$Q$251,'MFR E-13c'!$A$253:$Q$302,'MFR E-13c'!$A$304:$Q$351,'MFR E-13c'!$A$353:$Q$403,'MFR E-13c'!$A$405:$Q$450,'MFR E-13c'!$A$452:$Q$485,'MFR E-13c'!$A$487:$Q$537,'MFR E-13c'!$A$539:$Q$588,'MFR E-13c'!$A$590:$Q$639</definedName>
    <definedName name="_xlnm.Print_Area" localSheetId="14">'MFR E-14'!$A$1:$N$39</definedName>
    <definedName name="_xlnm.Print_Area" localSheetId="15">'MFR E-14A'!$A$2:$L$299</definedName>
    <definedName name="_xlnm.Print_Area" localSheetId="16">'MFR E-14B'!$B$2:$J$54</definedName>
    <definedName name="_xlnm.Print_Area" localSheetId="17">'MFR E-14C'!$A$4:$N$54,'MFR E-14C'!$A$56:$N$105,'MFR E-14C'!$A$109:$N$163,'MFR E-14C'!$A$167:$N$221,'MFR E-14C'!$A$225:$N$279</definedName>
    <definedName name="_xlnm.Print_Area" localSheetId="18">'MFR E-14D1'!$B$2:$Q$50</definedName>
    <definedName name="_xlnm.Print_Area" localSheetId="19">'MFR E-14D2'!$B$2:$L$58</definedName>
    <definedName name="_xlnm.Print_Area" localSheetId="21">'MFR E-14E'!$B$2:$M$56</definedName>
    <definedName name="_xlnm.Print_Area" localSheetId="22">'MFR E-14G'!$A$1:$J$36</definedName>
    <definedName name="_xlnm.Print_Area" localSheetId="23">'MFR E-14H'!$B$3:$G$21</definedName>
    <definedName name="_xlnm.Print_Area" localSheetId="1">'MFR E-5 Yr4'!$A$2:$S$61</definedName>
    <definedName name="_xlnm.Print_Area" localSheetId="2">'MFR E-6b'!$A$3:$O$75</definedName>
    <definedName name="_xlnm.Print_Area" localSheetId="3">'MFR E-8'!$B$3:$W$43</definedName>
    <definedName name="_xlnm.Print_Area" localSheetId="9">'Unbilled to E-13c'!$A$4:$P$96</definedName>
    <definedName name="_xlnm.Print_Area">#REF!</definedName>
    <definedName name="Print_Area_0" localSheetId="8">#REF!</definedName>
    <definedName name="Print_Area_0" localSheetId="1">#REF!</definedName>
    <definedName name="Print_Area_0" localSheetId="9">#REF!</definedName>
    <definedName name="Print_Area_0">#REF!</definedName>
    <definedName name="Print_Area_1" localSheetId="8">#REF!</definedName>
    <definedName name="Print_Area_1" localSheetId="1">#REF!</definedName>
    <definedName name="Print_Area_1" localSheetId="9">#REF!</definedName>
    <definedName name="Print_Area_1">#REF!</definedName>
    <definedName name="Print_Area_2" localSheetId="1">#REF!</definedName>
    <definedName name="Print_Area_2">#REF!</definedName>
    <definedName name="Print_Area_3" localSheetId="1">#REF!</definedName>
    <definedName name="Print_Area_3">#REF!</definedName>
    <definedName name="Print_Area_4" localSheetId="1">#REF!</definedName>
    <definedName name="Print_Area_4">#REF!</definedName>
    <definedName name="Print_Area_9" localSheetId="1">#REF!</definedName>
    <definedName name="Print_Area_9">#REF!</definedName>
    <definedName name="Print_Area_MI" localSheetId="27">#REF!</definedName>
    <definedName name="Print_Area_MI" localSheetId="0">#REF!</definedName>
    <definedName name="Print_Area_MI" localSheetId="14">#REF!</definedName>
    <definedName name="Print_Area_MI" localSheetId="15">#REF!</definedName>
    <definedName name="Print_Area_MI" localSheetId="16">#REF!</definedName>
    <definedName name="Print_Area_MI" localSheetId="21">#REF!</definedName>
    <definedName name="Print_Area_MI" localSheetId="22">#REF!</definedName>
    <definedName name="Print_Area_MI" localSheetId="23">#REF!</definedName>
    <definedName name="Print_Area_MI" localSheetId="1">#REF!</definedName>
    <definedName name="Print_Area_MI">#REF!</definedName>
    <definedName name="Print_Area_Reset" localSheetId="25">OFFSET(Full_Print,0,0,Last_Row)</definedName>
    <definedName name="Print_Area_Reset" localSheetId="5">OFFSET(Full_Print,0,0,Last_Row)</definedName>
    <definedName name="Print_Area_Reset" localSheetId="12">OFFSET(Full_Print,0,0,Last_Row)</definedName>
    <definedName name="Print_Area_Reset" localSheetId="8">OFFSET(Full_Print,0,0,Last_Row)</definedName>
    <definedName name="Print_Area_Reset" localSheetId="1">OFFSET(Full_Print,0,0,Last_Row)</definedName>
    <definedName name="Print_Area_Reset" localSheetId="9">OFFSET(Full_Print,0,0,Last_Row)</definedName>
    <definedName name="Print_Area_Reset">OFFSET(Full_Print,0,0,Last_Row)</definedName>
    <definedName name="Print_Proj">#REF!,#REF!,#REF!</definedName>
    <definedName name="_xlnm.Print_Titles" localSheetId="27">#REF!,#REF!</definedName>
    <definedName name="_xlnm.Print_Titles" localSheetId="0">#REF!,#REF!</definedName>
    <definedName name="_xlnm.Print_Titles" localSheetId="8">'MFR E-12 (2-4)'!$4:$5</definedName>
    <definedName name="_xlnm.Print_Titles" localSheetId="14">#REF!,#REF!</definedName>
    <definedName name="_xlnm.Print_Titles" localSheetId="15">'MFR E-14A'!$2:$11</definedName>
    <definedName name="_xlnm.Print_Titles" localSheetId="21">#REF!,#REF!</definedName>
    <definedName name="_xlnm.Print_Titles" localSheetId="23">#REF!,#REF!</definedName>
    <definedName name="_xlnm.Print_Titles" localSheetId="1">#REF!,#REF!</definedName>
    <definedName name="_xlnm.Print_Titles" localSheetId="9">'Unbilled to E-13c'!$4:$5</definedName>
    <definedName name="_xlnm.Print_Titles">#N/A</definedName>
    <definedName name="Print_Titles_MI" localSheetId="27">#REF!,#REF!</definedName>
    <definedName name="Print_Titles_MI" localSheetId="0">#REF!,#REF!</definedName>
    <definedName name="Print_Titles_MI" localSheetId="8">#REF!,#REF!</definedName>
    <definedName name="Print_Titles_MI" localSheetId="14">#REF!,#REF!</definedName>
    <definedName name="Print_Titles_MI" localSheetId="15">#REF!,#REF!</definedName>
    <definedName name="Print_Titles_MI" localSheetId="16">#REF!,#REF!</definedName>
    <definedName name="Print_Titles_MI" localSheetId="21">#REF!,#REF!</definedName>
    <definedName name="Print_Titles_MI" localSheetId="22">#REF!,#REF!</definedName>
    <definedName name="Print_Titles_MI" localSheetId="23">#REF!,#REF!</definedName>
    <definedName name="Print_Titles_MI" localSheetId="1">#REF!,#REF!</definedName>
    <definedName name="Print_Titles_MI" localSheetId="9">#REF!,#REF!</definedName>
    <definedName name="Print_Titles_MI">#REF!,#REF!</definedName>
    <definedName name="PRIORMOACTUAL" localSheetId="8">#REF!</definedName>
    <definedName name="PRIORMOACTUAL" localSheetId="1">#REF!</definedName>
    <definedName name="PRIORMOACTUAL" localSheetId="9">#REF!</definedName>
    <definedName name="PRIORMOACTUAL">#REF!</definedName>
    <definedName name="PRIORMOBUDGET" localSheetId="8">#REF!</definedName>
    <definedName name="PRIORMOBUDGET" localSheetId="1">#REF!</definedName>
    <definedName name="PRIORMOBUDGET" localSheetId="9">#REF!</definedName>
    <definedName name="PRIORMOBUDGET">#REF!</definedName>
    <definedName name="PRIORYRACCURMO" localSheetId="8">#REF!</definedName>
    <definedName name="PRIORYRACCURMO" localSheetId="1">#REF!</definedName>
    <definedName name="PRIORYRACCURMO" localSheetId="9">#REF!</definedName>
    <definedName name="PRIORYRACCURMO">#REF!</definedName>
    <definedName name="Product_S_Curve_Labels" hidden="1">#REF!</definedName>
    <definedName name="Product_S_Curve_X_Data" hidden="1">#REF!</definedName>
    <definedName name="Projection" localSheetId="8">#REF!</definedName>
    <definedName name="Projection" localSheetId="1">#REF!</definedName>
    <definedName name="Projection" localSheetId="9">#REF!</definedName>
    <definedName name="Projection">#REF!</definedName>
    <definedName name="PSC_OM_ADJ">#REF!</definedName>
    <definedName name="qqq" localSheetId="27">#REF!</definedName>
    <definedName name="qqq" localSheetId="0">#REF!</definedName>
    <definedName name="qqq" localSheetId="8">#REF!</definedName>
    <definedName name="qqq" localSheetId="14">#REF!</definedName>
    <definedName name="qqq" localSheetId="15">#REF!</definedName>
    <definedName name="qqq" localSheetId="16">#REF!</definedName>
    <definedName name="qqq" localSheetId="21">#REF!</definedName>
    <definedName name="qqq" localSheetId="22">#REF!</definedName>
    <definedName name="qqq" localSheetId="23">#REF!</definedName>
    <definedName name="qqq" localSheetId="1">#REF!</definedName>
    <definedName name="qqq" localSheetId="9">#REF!</definedName>
    <definedName name="qqq">#REF!</definedName>
    <definedName name="qqqqq" localSheetId="8" hidden="1">{#N/A,#N/A,FALSE,"EXPENSE"}</definedName>
    <definedName name="qqqqq" localSheetId="1" hidden="1">{#N/A,#N/A,FALSE,"EXPENSE"}</definedName>
    <definedName name="qqqqq" localSheetId="9" hidden="1">{#N/A,#N/A,FALSE,"EXPENSE"}</definedName>
    <definedName name="qqqqq" hidden="1">{#N/A,#N/A,FALSE,"EXPENSE"}</definedName>
    <definedName name="qw" localSheetId="8" hidden="1">{#N/A,#N/A,FALSE,"Aging Summary";#N/A,#N/A,FALSE,"Ratio Analysis";#N/A,#N/A,FALSE,"Test 120 Day Accts";#N/A,#N/A,FALSE,"Tickmarks"}</definedName>
    <definedName name="qw" localSheetId="1" hidden="1">{#N/A,#N/A,FALSE,"Aging Summary";#N/A,#N/A,FALSE,"Ratio Analysis";#N/A,#N/A,FALSE,"Test 120 Day Accts";#N/A,#N/A,FALSE,"Tickmarks"}</definedName>
    <definedName name="qw" localSheetId="9" hidden="1">{#N/A,#N/A,FALSE,"Aging Summary";#N/A,#N/A,FALSE,"Ratio Analysis";#N/A,#N/A,FALSE,"Test 120 Day Accts";#N/A,#N/A,FALSE,"Tickmarks"}</definedName>
    <definedName name="qw" hidden="1">{#N/A,#N/A,FALSE,"Aging Summary";#N/A,#N/A,FALSE,"Ratio Analysis";#N/A,#N/A,FALSE,"Test 120 Day Accts";#N/A,#N/A,FALSE,"Tickmarks"}</definedName>
    <definedName name="rAllocatorList">#REF!</definedName>
    <definedName name="range" localSheetId="8" hidden="1">{#N/A,#N/A,FALSE,"EXPENSE"}</definedName>
    <definedName name="range" localSheetId="1" hidden="1">{#N/A,#N/A,FALSE,"EXPENSE"}</definedName>
    <definedName name="range" localSheetId="9" hidden="1">{#N/A,#N/A,FALSE,"EXPENSE"}</definedName>
    <definedName name="range" hidden="1">{#N/A,#N/A,FALSE,"EXPENSE"}</definedName>
    <definedName name="Range1">#NAME?</definedName>
    <definedName name="range2" localSheetId="8" hidden="1">{#N/A,#N/A,FALSE,"EXPENSE"}</definedName>
    <definedName name="range2" localSheetId="1" hidden="1">{#N/A,#N/A,FALSE,"EXPENSE"}</definedName>
    <definedName name="range2" localSheetId="9" hidden="1">{#N/A,#N/A,FALSE,"EXPENSE"}</definedName>
    <definedName name="range2" hidden="1">{#N/A,#N/A,FALSE,"EXPENSE"}</definedName>
    <definedName name="range3" localSheetId="8" hidden="1">{#N/A,#N/A,FALSE,"EXPENSE"}</definedName>
    <definedName name="range3" localSheetId="1" hidden="1">{#N/A,#N/A,FALSE,"EXPENSE"}</definedName>
    <definedName name="range3" localSheetId="9" hidden="1">{#N/A,#N/A,FALSE,"EXPENSE"}</definedName>
    <definedName name="range3" hidden="1">{#N/A,#N/A,FALSE,"EXPENSE"}</definedName>
    <definedName name="rap" localSheetId="8" hidden="1">{"Page 1",#N/A,FALSE,"Sheet1";"Page 2",#N/A,FALSE,"Sheet1"}</definedName>
    <definedName name="rap" localSheetId="1" hidden="1">{"Page 1",#N/A,FALSE,"Sheet1";"Page 2",#N/A,FALSE,"Sheet1"}</definedName>
    <definedName name="rap" localSheetId="9" hidden="1">{"Page 1",#N/A,FALSE,"Sheet1";"Page 2",#N/A,FALSE,"Sheet1"}</definedName>
    <definedName name="rap" hidden="1">{"Page 1",#N/A,FALSE,"Sheet1";"Page 2",#N/A,FALSE,"Sheet1"}</definedName>
    <definedName name="RBT_A">#REF!</definedName>
    <definedName name="RD_2004" localSheetId="8">#REF!</definedName>
    <definedName name="RD_2004" localSheetId="1">#REF!</definedName>
    <definedName name="RD_2004" localSheetId="9">#REF!</definedName>
    <definedName name="RD_2004">#REF!</definedName>
    <definedName name="RDReg2004" localSheetId="8">#REF!</definedName>
    <definedName name="RDReg2004" localSheetId="1">#REF!</definedName>
    <definedName name="RDReg2004" localSheetId="9">#REF!</definedName>
    <definedName name="RDReg2004">#REF!</definedName>
    <definedName name="reagsrgsrgfaefda" localSheetId="8" hidden="1">{#N/A,#N/A,FALSE,"ALLOC"}</definedName>
    <definedName name="reagsrgsrgfaefda" localSheetId="1" hidden="1">{#N/A,#N/A,FALSE,"ALLOC"}</definedName>
    <definedName name="reagsrgsrgfaefda" localSheetId="9" hidden="1">{#N/A,#N/A,FALSE,"ALLOC"}</definedName>
    <definedName name="reagsrgsrgfaefda" hidden="1">{#N/A,#N/A,FALSE,"ALLOC"}</definedName>
    <definedName name="REG_PRAC">#REF!</definedName>
    <definedName name="ReportGroup" hidden="1">0</definedName>
    <definedName name="RESIDENTIAL" localSheetId="27">#REF!</definedName>
    <definedName name="RESIDENTIAL" localSheetId="0">#REF!</definedName>
    <definedName name="RESIDENTIAL" localSheetId="8">#REF!</definedName>
    <definedName name="RESIDENTIAL" localSheetId="14">#REF!</definedName>
    <definedName name="RESIDENTIAL" localSheetId="15">#REF!</definedName>
    <definedName name="RESIDENTIAL" localSheetId="16">#REF!</definedName>
    <definedName name="RESIDENTIAL" localSheetId="21">#REF!</definedName>
    <definedName name="RESIDENTIAL" localSheetId="22">#REF!</definedName>
    <definedName name="RESIDENTIAL" localSheetId="23">#REF!</definedName>
    <definedName name="RESIDENTIAL" localSheetId="1">#REF!</definedName>
    <definedName name="RESIDENTIAL" localSheetId="9">#REF!</definedName>
    <definedName name="RESIDENTIAL">#REF!</definedName>
    <definedName name="rest" hidden="1">#REF!</definedName>
    <definedName name="RESTORATION2003">#REF!</definedName>
    <definedName name="RESTORATION2004">#REF!</definedName>
    <definedName name="RestorationbyGMOHUG_2003">#REF!</definedName>
    <definedName name="RestorationbyGMOHUG_2004">#REF!</definedName>
    <definedName name="ret" localSheetId="8" hidden="1">{#N/A,#N/A,FALSE,"Aging Summary";#N/A,#N/A,FALSE,"Ratio Analysis";#N/A,#N/A,FALSE,"Test 120 Day Accts";#N/A,#N/A,FALSE,"Tickmarks"}</definedName>
    <definedName name="ret" localSheetId="1" hidden="1">{#N/A,#N/A,FALSE,"Aging Summary";#N/A,#N/A,FALSE,"Ratio Analysis";#N/A,#N/A,FALSE,"Test 120 Day Accts";#N/A,#N/A,FALSE,"Tickmarks"}</definedName>
    <definedName name="ret" localSheetId="9" hidden="1">{#N/A,#N/A,FALSE,"Aging Summary";#N/A,#N/A,FALSE,"Ratio Analysis";#N/A,#N/A,FALSE,"Test 120 Day Accts";#N/A,#N/A,FALSE,"Tickmarks"}</definedName>
    <definedName name="ret" hidden="1">{#N/A,#N/A,FALSE,"Aging Summary";#N/A,#N/A,FALSE,"Ratio Analysis";#N/A,#N/A,FALSE,"Test 120 Day Accts";#N/A,#N/A,FALSE,"Tickmarks"}</definedName>
    <definedName name="RETPVVAR">#REF!</definedName>
    <definedName name="REVIEW" localSheetId="27">#REF!</definedName>
    <definedName name="REVIEW" localSheetId="0">#REF!</definedName>
    <definedName name="REVIEW" localSheetId="23">#REF!</definedName>
    <definedName name="REVIEW">#REF!</definedName>
    <definedName name="REVIEW2" localSheetId="0">#REF!</definedName>
    <definedName name="REVIEW2">#REF!</definedName>
    <definedName name="rew4wwer" localSheetId="8" hidden="1">{#N/A,#N/A,FALSE,"EXPENSE"}</definedName>
    <definedName name="rew4wwer" localSheetId="1" hidden="1">{#N/A,#N/A,FALSE,"EXPENSE"}</definedName>
    <definedName name="rew4wwer" localSheetId="9" hidden="1">{#N/A,#N/A,FALSE,"EXPENSE"}</definedName>
    <definedName name="rew4wwer" hidden="1">{#N/A,#N/A,FALSE,"EXPENSE"}</definedName>
    <definedName name="rfgfdcvc" localSheetId="8" hidden="1">{#N/A,#N/A,FALSE,"ALLOC"}</definedName>
    <definedName name="rfgfdcvc" localSheetId="1" hidden="1">{#N/A,#N/A,FALSE,"ALLOC"}</definedName>
    <definedName name="rfgfdcvc" localSheetId="9" hidden="1">{#N/A,#N/A,FALSE,"ALLOC"}</definedName>
    <definedName name="rfgfdcvc" hidden="1">{#N/A,#N/A,FALSE,"ALLOC"}</definedName>
    <definedName name="rfsetgthnyukmgff" localSheetId="8" hidden="1">{#N/A,#N/A,FALSE,"EXPENSE"}</definedName>
    <definedName name="rfsetgthnyukmgff" localSheetId="1" hidden="1">{#N/A,#N/A,FALSE,"EXPENSE"}</definedName>
    <definedName name="rfsetgthnyukmgff" localSheetId="9" hidden="1">{#N/A,#N/A,FALSE,"EXPENSE"}</definedName>
    <definedName name="rfsetgthnyukmgff" hidden="1">{#N/A,#N/A,FALSE,"EXPENSE"}</definedName>
    <definedName name="rfwaerwaerwerwe" localSheetId="8" hidden="1">{#N/A,#N/A,FALSE,"EXPENSE"}</definedName>
    <definedName name="rfwaerwaerwerwe" localSheetId="1" hidden="1">{#N/A,#N/A,FALSE,"EXPENSE"}</definedName>
    <definedName name="rfwaerwaerwerwe" localSheetId="9" hidden="1">{#N/A,#N/A,FALSE,"EXPENSE"}</definedName>
    <definedName name="rfwaerwaerwerwe" hidden="1">{#N/A,#N/A,FALSE,"EXPENSE"}</definedName>
    <definedName name="rgrg" localSheetId="11" hidden="1">#REF!</definedName>
    <definedName name="rgrg" localSheetId="12" hidden="1">#REF!</definedName>
    <definedName name="rgrg" localSheetId="8" hidden="1">#REF!</definedName>
    <definedName name="rgrg" localSheetId="13" hidden="1">#REF!</definedName>
    <definedName name="rgrg" localSheetId="1" hidden="1">#REF!</definedName>
    <definedName name="rgrg" localSheetId="9" hidden="1">#REF!</definedName>
    <definedName name="rgrg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ngAddonTemplate" hidden="1">#REF!</definedName>
    <definedName name="rngCopyFormulasSource" hidden="1">#REF!</definedName>
    <definedName name="RowRanges.Header" localSheetId="8">#REF!</definedName>
    <definedName name="RowRanges.Header" localSheetId="1">#REF!</definedName>
    <definedName name="RowRanges.Header" localSheetId="9">#REF!</definedName>
    <definedName name="RowRanges.Header">#REF!</definedName>
    <definedName name="Roxboro" localSheetId="8">#REF!</definedName>
    <definedName name="Roxboro" localSheetId="1">#REF!</definedName>
    <definedName name="Roxboro" localSheetId="9">#REF!</definedName>
    <definedName name="Roxboro">#REF!</definedName>
    <definedName name="rPeakPeriodDefinition">#REF!</definedName>
    <definedName name="rPeriodNames">#REF!</definedName>
    <definedName name="rrr" localSheetId="8" hidden="1">{"capital",#N/A,FALSE,"Analysis";"input data",#N/A,FALSE,"Analysis"}</definedName>
    <definedName name="rrr" localSheetId="1" hidden="1">{"capital",#N/A,FALSE,"Analysis";"input data",#N/A,FALSE,"Analysis"}</definedName>
    <definedName name="rrr" localSheetId="9" hidden="1">{"capital",#N/A,FALSE,"Analysis";"input data",#N/A,FALSE,"Analysis"}</definedName>
    <definedName name="rrr" hidden="1">{"capital",#N/A,FALSE,"Analysis";"input data",#N/A,FALSE,"Analysis"}</definedName>
    <definedName name="rt" localSheetId="8" hidden="1">{#N/A,#N/A,FALSE,"Aging Summary";#N/A,#N/A,FALSE,"Ratio Analysis";#N/A,#N/A,FALSE,"Test 120 Day Accts";#N/A,#N/A,FALSE,"Tickmarks"}</definedName>
    <definedName name="rt" localSheetId="1" hidden="1">{#N/A,#N/A,FALSE,"Aging Summary";#N/A,#N/A,FALSE,"Ratio Analysis";#N/A,#N/A,FALSE,"Test 120 Day Accts";#N/A,#N/A,FALSE,"Tickmarks"}</definedName>
    <definedName name="rt" localSheetId="9" hidden="1">{#N/A,#N/A,FALSE,"Aging Summary";#N/A,#N/A,FALSE,"Ratio Analysis";#N/A,#N/A,FALSE,"Test 120 Day Accts";#N/A,#N/A,FALSE,"Tickmarks"}</definedName>
    <definedName name="rt" hidden="1">{#N/A,#N/A,FALSE,"Aging Summary";#N/A,#N/A,FALSE,"Ratio Analysis";#N/A,#N/A,FALSE,"Test 120 Day Accts";#N/A,#N/A,FALSE,"Tickmarks"}</definedName>
    <definedName name="rtyrsygyuiukhjghgt" localSheetId="8" hidden="1">{#N/A,#N/A,FALSE,"EXPENSE"}</definedName>
    <definedName name="rtyrsygyuiukhjghgt" localSheetId="1" hidden="1">{#N/A,#N/A,FALSE,"EXPENSE"}</definedName>
    <definedName name="rtyrsygyuiukhjghgt" localSheetId="9" hidden="1">{#N/A,#N/A,FALSE,"EXPENSE"}</definedName>
    <definedName name="rtyrsygyuiukhjghgt" hidden="1">{#N/A,#N/A,FALSE,"EXPENSE"}</definedName>
    <definedName name="rtyrtyrty" localSheetId="8" hidden="1">{#N/A,#N/A,FALSE,"ALLOC"}</definedName>
    <definedName name="rtyrtyrty" localSheetId="1" hidden="1">{#N/A,#N/A,FALSE,"ALLOC"}</definedName>
    <definedName name="rtyrtyrty" localSheetId="9" hidden="1">{#N/A,#N/A,FALSE,"ALLOC"}</definedName>
    <definedName name="rtyrtyrty" hidden="1">{#N/A,#N/A,FALSE,"ALLOC"}</definedName>
    <definedName name="rWeekendReplacement">#REF!</definedName>
    <definedName name="rwerfwerewrew" localSheetId="8" hidden="1">{#N/A,#N/A,FALSE,"ALLOC"}</definedName>
    <definedName name="rwerfwerewrew" localSheetId="1" hidden="1">{#N/A,#N/A,FALSE,"ALLOC"}</definedName>
    <definedName name="rwerfwerewrew" localSheetId="9" hidden="1">{#N/A,#N/A,FALSE,"ALLOC"}</definedName>
    <definedName name="rwerfwerewrew" hidden="1">{#N/A,#N/A,FALSE,"ALLOC"}</definedName>
    <definedName name="rysrysrtygthgh" localSheetId="8" hidden="1">{#N/A,#N/A,FALSE,"EXPENSE"}</definedName>
    <definedName name="rysrysrtygthgh" localSheetId="1" hidden="1">{#N/A,#N/A,FALSE,"EXPENSE"}</definedName>
    <definedName name="rysrysrtygthgh" localSheetId="9" hidden="1">{#N/A,#N/A,FALSE,"EXPENSE"}</definedName>
    <definedName name="rysrysrtygthgh" hidden="1">{#N/A,#N/A,FALSE,"EXPENSE"}</definedName>
    <definedName name="s">#REF!</definedName>
    <definedName name="S1Qtr1" localSheetId="8">#REF!</definedName>
    <definedName name="S1Qtr1" localSheetId="1">#REF!</definedName>
    <definedName name="S1Qtr1" localSheetId="9">#REF!</definedName>
    <definedName name="S1Qtr1">#REF!</definedName>
    <definedName name="S1Qtr2" localSheetId="8">#REF!</definedName>
    <definedName name="S1Qtr2" localSheetId="1">#REF!</definedName>
    <definedName name="S1Qtr2" localSheetId="9">#REF!</definedName>
    <definedName name="S1Qtr2">#REF!</definedName>
    <definedName name="S1Qtr3" localSheetId="8">#REF!</definedName>
    <definedName name="S1Qtr3" localSheetId="1">#REF!</definedName>
    <definedName name="S1Qtr3" localSheetId="9">#REF!</definedName>
    <definedName name="S1Qtr3">#REF!</definedName>
    <definedName name="S1Qtr4" localSheetId="1">#REF!</definedName>
    <definedName name="S1Qtr4">#REF!</definedName>
    <definedName name="sa" localSheetId="8" hidden="1">{#N/A,#N/A,FALSE,"Aging Summary";#N/A,#N/A,FALSE,"Ratio Analysis";#N/A,#N/A,FALSE,"Test 120 Day Accts";#N/A,#N/A,FALSE,"Tickmarks"}</definedName>
    <definedName name="sa" localSheetId="1" hidden="1">{#N/A,#N/A,FALSE,"Aging Summary";#N/A,#N/A,FALSE,"Ratio Analysis";#N/A,#N/A,FALSE,"Test 120 Day Accts";#N/A,#N/A,FALSE,"Tickmarks"}</definedName>
    <definedName name="sa" localSheetId="9" hidden="1">{#N/A,#N/A,FALSE,"Aging Summary";#N/A,#N/A,FALSE,"Ratio Analysis";#N/A,#N/A,FALSE,"Test 120 Day Accts";#N/A,#N/A,FALSE,"Tickmarks"}</definedName>
    <definedName name="sa" hidden="1">{#N/A,#N/A,FALSE,"Aging Summary";#N/A,#N/A,FALSE,"Ratio Analysis";#N/A,#N/A,FALSE,"Test 120 Day Accts";#N/A,#N/A,FALSE,"Tickmarks"}</definedName>
    <definedName name="saf" localSheetId="8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saf" localSheetId="1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saf" localSheetId="9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saf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Safety_Training2004" localSheetId="8">#REF!</definedName>
    <definedName name="Safety_Training2004" localSheetId="1">#REF!</definedName>
    <definedName name="Safety_Training2004" localSheetId="9">#REF!</definedName>
    <definedName name="Safety_Training2004">#REF!</definedName>
    <definedName name="SAIDI2002">#REF!</definedName>
    <definedName name="SAIDI2003">#REF!</definedName>
    <definedName name="SAIDI2004">#REF!</definedName>
    <definedName name="SAPBEXdnldView" hidden="1">"446WX5JSQEDTJ1NXGMPPIICZ8"</definedName>
    <definedName name="SAPBEXsysID" hidden="1">"UGP"</definedName>
    <definedName name="sc" localSheetId="8" hidden="1">{"Page 1",#N/A,FALSE,"Sheet1";"Page 2",#N/A,FALSE,"Sheet1"}</definedName>
    <definedName name="sc" localSheetId="1" hidden="1">{"Page 1",#N/A,FALSE,"Sheet1";"Page 2",#N/A,FALSE,"Sheet1"}</definedName>
    <definedName name="sc" localSheetId="9" hidden="1">{"Page 1",#N/A,FALSE,"Sheet1";"Page 2",#N/A,FALSE,"Sheet1"}</definedName>
    <definedName name="sc" hidden="1">{"Page 1",#N/A,FALSE,"Sheet1";"Page 2",#N/A,FALSE,"Sheet1"}</definedName>
    <definedName name="Scatter_of_Projects_Labels" hidden="1">#REF!</definedName>
    <definedName name="Scatter_of_Projects_X_Data" hidden="1">#REF!</definedName>
    <definedName name="Scatter_of_Projects_Y_Data" hidden="1">#REF!</definedName>
    <definedName name="Scatter_of_Projects_Z_Data" hidden="1">#REF!</definedName>
    <definedName name="SCR_Feb02_Transactions" localSheetId="8">#REF!</definedName>
    <definedName name="SCR_Feb02_Transactions" localSheetId="1">#REF!</definedName>
    <definedName name="SCR_Feb02_Transactions" localSheetId="9">#REF!</definedName>
    <definedName name="SCR_Feb02_Transactions">#REF!</definedName>
    <definedName name="sdfg" localSheetId="8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sdfg" localSheetId="1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sdfg" localSheetId="9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sdfg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SEBRING">#REF!</definedName>
    <definedName name="SECTION_1341" localSheetId="8">#REF!</definedName>
    <definedName name="SECTION_1341" localSheetId="1">#REF!</definedName>
    <definedName name="SECTION_1341" localSheetId="9">#REF!</definedName>
    <definedName name="SECTION_1341">#REF!</definedName>
    <definedName name="sencount" hidden="1">1</definedName>
    <definedName name="SEP_FACTOR" localSheetId="27">#REF!</definedName>
    <definedName name="SEP_FACTOR" localSheetId="0">#REF!</definedName>
    <definedName name="SEP_FACTOR" localSheetId="8">#REF!</definedName>
    <definedName name="SEP_FACTOR" localSheetId="14">#REF!</definedName>
    <definedName name="SEP_FACTOR" localSheetId="15">#REF!</definedName>
    <definedName name="SEP_FACTOR" localSheetId="16">#REF!</definedName>
    <definedName name="SEP_FACTOR" localSheetId="21">#REF!</definedName>
    <definedName name="SEP_FACTOR" localSheetId="22">#REF!</definedName>
    <definedName name="SEP_FACTOR" localSheetId="23">#REF!</definedName>
    <definedName name="SEP_FACTOR" localSheetId="1">#REF!</definedName>
    <definedName name="SEP_FACTOR" localSheetId="9">#REF!</definedName>
    <definedName name="SEP_FACTOR">#REF!</definedName>
    <definedName name="SEPDEM" localSheetId="27">#REF!</definedName>
    <definedName name="SEPDEM" localSheetId="0">#REF!</definedName>
    <definedName name="SEPDEM" localSheetId="8">#REF!</definedName>
    <definedName name="SEPDEM" localSheetId="14">#REF!</definedName>
    <definedName name="SEPDEM" localSheetId="15">#REF!</definedName>
    <definedName name="SEPDEM" localSheetId="16">#REF!</definedName>
    <definedName name="SEPDEM" localSheetId="21">#REF!</definedName>
    <definedName name="SEPDEM" localSheetId="22">#REF!</definedName>
    <definedName name="SEPDEM" localSheetId="23">#REF!</definedName>
    <definedName name="SEPDEM" localSheetId="1">#REF!</definedName>
    <definedName name="SEPDEM" localSheetId="9">#REF!</definedName>
    <definedName name="SEPDEM">#REF!</definedName>
    <definedName name="sersadffasf" localSheetId="8" hidden="1">{#N/A,#N/A,FALSE,"ALLOC"}</definedName>
    <definedName name="sersadffasf" localSheetId="1" hidden="1">{#N/A,#N/A,FALSE,"ALLOC"}</definedName>
    <definedName name="sersadffasf" localSheetId="9" hidden="1">{#N/A,#N/A,FALSE,"ALLOC"}</definedName>
    <definedName name="sersadffasf" hidden="1">{#N/A,#N/A,FALSE,"ALLOC"}</definedName>
    <definedName name="sertearawertutyu" localSheetId="8" hidden="1">{#N/A,#N/A,FALSE,"EXPENSE"}</definedName>
    <definedName name="sertearawertutyu" localSheetId="1" hidden="1">{#N/A,#N/A,FALSE,"EXPENSE"}</definedName>
    <definedName name="sertearawertutyu" localSheetId="9" hidden="1">{#N/A,#N/A,FALSE,"EXPENSE"}</definedName>
    <definedName name="sertearawertutyu" hidden="1">{#N/A,#N/A,FALSE,"EXPENSE"}</definedName>
    <definedName name="sfsadfafsdaf" localSheetId="8" hidden="1">{#N/A,#N/A,FALSE,"EXPENSE"}</definedName>
    <definedName name="sfsadfafsdaf" localSheetId="1" hidden="1">{#N/A,#N/A,FALSE,"EXPENSE"}</definedName>
    <definedName name="sfsadfafsdaf" localSheetId="9" hidden="1">{#N/A,#N/A,FALSE,"EXPENSE"}</definedName>
    <definedName name="sfsadfafsdaf" hidden="1">{#N/A,#N/A,FALSE,"EXPENSE"}</definedName>
    <definedName name="spoc" localSheetId="8" hidden="1">{"Page 1",#N/A,FALSE,"Sheet1";"Page 2",#N/A,FALSE,"Sheet1"}</definedName>
    <definedName name="spoc" localSheetId="1" hidden="1">{"Page 1",#N/A,FALSE,"Sheet1";"Page 2",#N/A,FALSE,"Sheet1"}</definedName>
    <definedName name="spoc" localSheetId="9" hidden="1">{"Page 1",#N/A,FALSE,"Sheet1";"Page 2",#N/A,FALSE,"Sheet1"}</definedName>
    <definedName name="spoc" hidden="1">{"Page 1",#N/A,FALSE,"Sheet1";"Page 2",#N/A,FALSE,"Sheet1"}</definedName>
    <definedName name="srfaedtgthjtdhfdg" localSheetId="8" hidden="1">{#N/A,#N/A,FALSE,"EXPENSE"}</definedName>
    <definedName name="srfaedtgthjtdhfdg" localSheetId="1" hidden="1">{#N/A,#N/A,FALSE,"EXPENSE"}</definedName>
    <definedName name="srfaedtgthjtdhfdg" localSheetId="9" hidden="1">{#N/A,#N/A,FALSE,"EXPENSE"}</definedName>
    <definedName name="srfaedtgthjtdhfdg" hidden="1">{#N/A,#N/A,FALSE,"EXPENSE"}</definedName>
    <definedName name="ssss" localSheetId="8" hidden="1">{#N/A,#N/A,FALSE,"EXPENSE"}</definedName>
    <definedName name="ssss" localSheetId="1" hidden="1">{#N/A,#N/A,FALSE,"EXPENSE"}</definedName>
    <definedName name="ssss" localSheetId="9" hidden="1">{#N/A,#N/A,FALSE,"EXPENSE"}</definedName>
    <definedName name="ssss" hidden="1">{#N/A,#N/A,FALSE,"EXPENSE"}</definedName>
    <definedName name="staffing2" localSheetId="8" hidden="1">{#N/A,#N/A,FALSE,"Assessment";#N/A,#N/A,FALSE,"Staffing";#N/A,#N/A,FALSE,"Hires";#N/A,#N/A,FALSE,"Assumptions"}</definedName>
    <definedName name="staffing2" localSheetId="1" hidden="1">{#N/A,#N/A,FALSE,"Assessment";#N/A,#N/A,FALSE,"Staffing";#N/A,#N/A,FALSE,"Hires";#N/A,#N/A,FALSE,"Assumptions"}</definedName>
    <definedName name="staffing2" localSheetId="9" hidden="1">{#N/A,#N/A,FALSE,"Assessment";#N/A,#N/A,FALSE,"Staffing";#N/A,#N/A,FALSE,"Hires";#N/A,#N/A,FALSE,"Assumptions"}</definedName>
    <definedName name="staffing2" hidden="1">{#N/A,#N/A,FALSE,"Assessment";#N/A,#N/A,FALSE,"Staffing";#N/A,#N/A,FALSE,"Hires";#N/A,#N/A,FALSE,"Assumptions"}</definedName>
    <definedName name="Staffing3" localSheetId="8" hidden="1">{#N/A,#N/A,FALSE,"Assessment";#N/A,#N/A,FALSE,"Staffing";#N/A,#N/A,FALSE,"Hires";#N/A,#N/A,FALSE,"Assumptions"}</definedName>
    <definedName name="Staffing3" localSheetId="1" hidden="1">{#N/A,#N/A,FALSE,"Assessment";#N/A,#N/A,FALSE,"Staffing";#N/A,#N/A,FALSE,"Hires";#N/A,#N/A,FALSE,"Assumptions"}</definedName>
    <definedName name="Staffing3" localSheetId="9" hidden="1">{#N/A,#N/A,FALSE,"Assessment";#N/A,#N/A,FALSE,"Staffing";#N/A,#N/A,FALSE,"Hires";#N/A,#N/A,FALSE,"Assumptions"}</definedName>
    <definedName name="Staffing3" hidden="1">{#N/A,#N/A,FALSE,"Assessment";#N/A,#N/A,FALSE,"Staffing";#N/A,#N/A,FALSE,"Hires";#N/A,#N/A,FALSE,"Assumptions"}</definedName>
    <definedName name="Staging_List">#REF!</definedName>
    <definedName name="StagingSite">#REF!</definedName>
    <definedName name="StartingPoint" localSheetId="8" hidden="1">#REF!</definedName>
    <definedName name="StartingPoint" localSheetId="1" hidden="1">#REF!</definedName>
    <definedName name="StartingPoint" localSheetId="9" hidden="1">#REF!</definedName>
    <definedName name="StartingPoint" hidden="1">#REF!</definedName>
    <definedName name="STATE_TX_ADJ">#REF!</definedName>
    <definedName name="STD_13MoAve_OS">#REF!</definedName>
    <definedName name="Streetlight">#REF!</definedName>
    <definedName name="STREETLIGHT_MAINTENANCE">#REF!</definedName>
    <definedName name="STREETLIGHT_MAINTENANCE2003">#REF!</definedName>
    <definedName name="STREETLIGHT_MAINTENANCE2004">#REF!</definedName>
    <definedName name="STREETLIGHT2003">#REF!</definedName>
    <definedName name="STREETLIGHT2004">#REF!</definedName>
    <definedName name="StreetlightMaint2004" localSheetId="8">#REF!</definedName>
    <definedName name="StreetlightMaint2004" localSheetId="1">#REF!</definedName>
    <definedName name="StreetlightMaint2004" localSheetId="9">#REF!</definedName>
    <definedName name="StreetlightMaint2004">#REF!</definedName>
    <definedName name="STREETLIGHTS_INSTALLED">#REF!</definedName>
    <definedName name="StreetlightUnits">#REF!</definedName>
    <definedName name="stsaeryyjiutjdhg" localSheetId="8" hidden="1">{#N/A,#N/A,FALSE,"EXPENSE"}</definedName>
    <definedName name="stsaeryyjiutjdhg" localSheetId="1" hidden="1">{#N/A,#N/A,FALSE,"EXPENSE"}</definedName>
    <definedName name="stsaeryyjiutjdhg" localSheetId="9" hidden="1">{#N/A,#N/A,FALSE,"EXPENSE"}</definedName>
    <definedName name="stsaeryyjiutjdhg" hidden="1">{#N/A,#N/A,FALSE,"EXPENSE"}</definedName>
    <definedName name="Stupid" hidden="1">0</definedName>
    <definedName name="SUMRY_BY_TIME" localSheetId="27">#REF!</definedName>
    <definedName name="SUMRY_BY_TIME" localSheetId="0">#REF!</definedName>
    <definedName name="SUMRY_BY_TIME" localSheetId="14">#REF!</definedName>
    <definedName name="SUMRY_BY_TIME" localSheetId="15">#REF!</definedName>
    <definedName name="SUMRY_BY_TIME" localSheetId="16">#REF!</definedName>
    <definedName name="SUMRY_BY_TIME" localSheetId="21">#REF!</definedName>
    <definedName name="SUMRY_BY_TIME" localSheetId="22">#REF!</definedName>
    <definedName name="SUMRY_BY_TIME" localSheetId="23">#REF!</definedName>
    <definedName name="SUMRY_BY_TIME">#REF!</definedName>
    <definedName name="SUMRY_BY_YEAR" localSheetId="27">#REF!</definedName>
    <definedName name="SUMRY_BY_YEAR" localSheetId="14">#REF!</definedName>
    <definedName name="SUMRY_BY_YEAR" localSheetId="15">#REF!</definedName>
    <definedName name="SUMRY_BY_YEAR" localSheetId="16">#REF!</definedName>
    <definedName name="SUMRY_BY_YEAR" localSheetId="21">#REF!</definedName>
    <definedName name="SUMRY_BY_YEAR" localSheetId="22">#REF!</definedName>
    <definedName name="SUMRY_BY_YEAR" localSheetId="23">#REF!</definedName>
    <definedName name="SUMRY_BY_YEAR" localSheetId="1">#REF!</definedName>
    <definedName name="SUMRY_BY_YEAR">#REF!</definedName>
    <definedName name="SupportOrgRates">#REF!</definedName>
    <definedName name="SURVRPT" localSheetId="27">#REF!</definedName>
    <definedName name="SURVRPT" localSheetId="8">#REF!</definedName>
    <definedName name="SURVRPT" localSheetId="14">#REF!</definedName>
    <definedName name="SURVRPT" localSheetId="15">#REF!</definedName>
    <definedName name="SURVRPT" localSheetId="16">#REF!</definedName>
    <definedName name="SURVRPT" localSheetId="21">#REF!</definedName>
    <definedName name="SURVRPT" localSheetId="22">#REF!</definedName>
    <definedName name="SURVRPT" localSheetId="23">#REF!</definedName>
    <definedName name="SURVRPT" localSheetId="1">#REF!</definedName>
    <definedName name="SURVRPT" localSheetId="9">#REF!</definedName>
    <definedName name="SURVRPT">#REF!</definedName>
    <definedName name="Swvu.print2." localSheetId="8" hidden="1">#REF!</definedName>
    <definedName name="Swvu.print2." localSheetId="1" hidden="1">#REF!</definedName>
    <definedName name="Swvu.print2." localSheetId="9" hidden="1">#REF!</definedName>
    <definedName name="Swvu.print2." hidden="1">#REF!</definedName>
    <definedName name="Swvu.print3." localSheetId="8" hidden="1">#REF!</definedName>
    <definedName name="Swvu.print3." localSheetId="1" hidden="1">#REF!</definedName>
    <definedName name="Swvu.print3." localSheetId="9" hidden="1">#REF!</definedName>
    <definedName name="Swvu.print3." hidden="1">#REF!</definedName>
    <definedName name="T" localSheetId="8">#REF!</definedName>
    <definedName name="T" localSheetId="1">#REF!</definedName>
    <definedName name="T" localSheetId="9">#REF!</definedName>
    <definedName name="T">#REF!</definedName>
    <definedName name="t5terer" localSheetId="8" hidden="1">{#N/A,#N/A,FALSE,"EXPENSE"}</definedName>
    <definedName name="t5terer" localSheetId="1" hidden="1">{#N/A,#N/A,FALSE,"EXPENSE"}</definedName>
    <definedName name="t5terer" localSheetId="9" hidden="1">{#N/A,#N/A,FALSE,"EXPENSE"}</definedName>
    <definedName name="t5terer" hidden="1">{#N/A,#N/A,FALSE,"EXPENSE"}</definedName>
    <definedName name="table">#REF!</definedName>
    <definedName name="taxable_plant" localSheetId="25">INDEX(bs_netplant,1,period_summary_col)</definedName>
    <definedName name="taxable_plant" localSheetId="5">INDEX(bs_netplant,1,period_summary_col)</definedName>
    <definedName name="taxable_plant" localSheetId="12">INDEX(bs_netplant,1,period_summary_col)</definedName>
    <definedName name="taxable_plant" localSheetId="8">INDEX(bs_netplant,1,period_summary_col)</definedName>
    <definedName name="taxable_plant" localSheetId="1">INDEX(bs_netplant,1,period_summary_col)</definedName>
    <definedName name="taxable_plant" localSheetId="9">INDEX(bs_netplant,1,period_summary_col)</definedName>
    <definedName name="taxable_plant">INDEX(bs_netplant,1,period_summary_col)</definedName>
    <definedName name="team" hidden="1">255</definedName>
    <definedName name="Temp_2" localSheetId="8" hidden="1">{#N/A,#N/A,FALSE,"Assessment";#N/A,#N/A,FALSE,"Staffing";#N/A,#N/A,FALSE,"Hires";#N/A,#N/A,FALSE,"Assumptions"}</definedName>
    <definedName name="Temp_2" localSheetId="1" hidden="1">{#N/A,#N/A,FALSE,"Assessment";#N/A,#N/A,FALSE,"Staffing";#N/A,#N/A,FALSE,"Hires";#N/A,#N/A,FALSE,"Assumptions"}</definedName>
    <definedName name="Temp_2" localSheetId="9" hidden="1">{#N/A,#N/A,FALSE,"Assessment";#N/A,#N/A,FALSE,"Staffing";#N/A,#N/A,FALSE,"Hires";#N/A,#N/A,FALSE,"Assumptions"}</definedName>
    <definedName name="Temp_2" hidden="1">{#N/A,#N/A,FALSE,"Assessment";#N/A,#N/A,FALSE,"Staffing";#N/A,#N/A,FALSE,"Hires";#N/A,#N/A,FALSE,"Assumptions"}</definedName>
    <definedName name="Temp_3" localSheetId="8" hidden="1">{#N/A,#N/A,FALSE,"Assessment";#N/A,#N/A,FALSE,"Staffing";#N/A,#N/A,FALSE,"Hires";#N/A,#N/A,FALSE,"Assumptions"}</definedName>
    <definedName name="Temp_3" localSheetId="1" hidden="1">{#N/A,#N/A,FALSE,"Assessment";#N/A,#N/A,FALSE,"Staffing";#N/A,#N/A,FALSE,"Hires";#N/A,#N/A,FALSE,"Assumptions"}</definedName>
    <definedName name="Temp_3" localSheetId="9" hidden="1">{#N/A,#N/A,FALSE,"Assessment";#N/A,#N/A,FALSE,"Staffing";#N/A,#N/A,FALSE,"Hires";#N/A,#N/A,FALSE,"Assumptions"}</definedName>
    <definedName name="Temp_3" hidden="1">{#N/A,#N/A,FALSE,"Assessment";#N/A,#N/A,FALSE,"Staffing";#N/A,#N/A,FALSE,"Hires";#N/A,#N/A,FALSE,"Assumptions"}</definedName>
    <definedName name="Template.Build.End">40589.4973630556</definedName>
    <definedName name="Template.Build.Start">40589.4973388542</definedName>
    <definedName name="Template.Name">"RE2B-SummaryEmployeeHeadcount"</definedName>
    <definedName name="Template.SaveAll">"false"</definedName>
    <definedName name="TemplateNotes.HasNote">"False"</definedName>
    <definedName name="test" localSheetId="8" hidden="1">{"Reconciliation 151",#N/A,FALSE,"A"}</definedName>
    <definedName name="test" localSheetId="1" hidden="1">{"Reconciliation 151",#N/A,FALSE,"A"}</definedName>
    <definedName name="test" localSheetId="9" hidden="1">{"Reconciliation 151",#N/A,FALSE,"A"}</definedName>
    <definedName name="test" hidden="1">{"Reconciliation 151",#N/A,FALSE,"A"}</definedName>
    <definedName name="test1" localSheetId="8" hidden="1">{"Page 1",#N/A,FALSE,"Sheet1";"Page 2",#N/A,FALSE,"Sheet1"}</definedName>
    <definedName name="test1" localSheetId="1" hidden="1">{"Page 1",#N/A,FALSE,"Sheet1";"Page 2",#N/A,FALSE,"Sheet1"}</definedName>
    <definedName name="test1" localSheetId="9" hidden="1">{"Page 1",#N/A,FALSE,"Sheet1";"Page 2",#N/A,FALSE,"Sheet1"}</definedName>
    <definedName name="test1" hidden="1">{"Page 1",#N/A,FALSE,"Sheet1";"Page 2",#N/A,FALSE,"Sheet1"}</definedName>
    <definedName name="test2" localSheetId="8" hidden="1">{"Page 1",#N/A,FALSE,"Sheet1";"Page 2",#N/A,FALSE,"Sheet1"}</definedName>
    <definedName name="test2" localSheetId="1" hidden="1">{"Page 1",#N/A,FALSE,"Sheet1";"Page 2",#N/A,FALSE,"Sheet1"}</definedName>
    <definedName name="test2" localSheetId="9" hidden="1">{"Page 1",#N/A,FALSE,"Sheet1";"Page 2",#N/A,FALSE,"Sheet1"}</definedName>
    <definedName name="test2" hidden="1">{"Page 1",#N/A,FALSE,"Sheet1";"Page 2",#N/A,FALSE,"Sheet1"}</definedName>
    <definedName name="testpage" localSheetId="8" hidden="1">{"Page 1",#N/A,FALSE,"Sheet1";"Page 2",#N/A,FALSE,"Sheet1"}</definedName>
    <definedName name="testpage" localSheetId="1" hidden="1">{"Page 1",#N/A,FALSE,"Sheet1";"Page 2",#N/A,FALSE,"Sheet1"}</definedName>
    <definedName name="testpage" localSheetId="9" hidden="1">{"Page 1",#N/A,FALSE,"Sheet1";"Page 2",#N/A,FALSE,"Sheet1"}</definedName>
    <definedName name="testpage" hidden="1">{"Page 1",#N/A,FALSE,"Sheet1";"Page 2",#N/A,FALSE,"Sheet1"}</definedName>
    <definedName name="TextRefCopyRangeCount" hidden="1">6</definedName>
    <definedName name="tgrgfdgfdg" localSheetId="8" hidden="1">{#N/A,#N/A,FALSE,"EXPENSE"}</definedName>
    <definedName name="tgrgfdgfdg" localSheetId="1" hidden="1">{#N/A,#N/A,FALSE,"EXPENSE"}</definedName>
    <definedName name="tgrgfdgfdg" localSheetId="9" hidden="1">{#N/A,#N/A,FALSE,"EXPENSE"}</definedName>
    <definedName name="tgrgfdgfdg" hidden="1">{#N/A,#N/A,FALSE,"EXPENSE"}</definedName>
    <definedName name="tom" localSheetId="8" hidden="1">{#N/A,#N/A,FALSE,"EXPENSE"}</definedName>
    <definedName name="tom" localSheetId="1" hidden="1">{#N/A,#N/A,FALSE,"EXPENSE"}</definedName>
    <definedName name="tom" localSheetId="9" hidden="1">{#N/A,#N/A,FALSE,"EXPENSE"}</definedName>
    <definedName name="tom" hidden="1">{#N/A,#N/A,FALSE,"EXPENSE"}</definedName>
    <definedName name="ton" localSheetId="8" hidden="1">{#N/A,#N/A,FALSE,"EXPENSE"}</definedName>
    <definedName name="ton" localSheetId="1" hidden="1">{#N/A,#N/A,FALSE,"EXPENSE"}</definedName>
    <definedName name="ton" localSheetId="9" hidden="1">{#N/A,#N/A,FALSE,"EXPENSE"}</definedName>
    <definedName name="ton" hidden="1">{#N/A,#N/A,FALSE,"EXPENSE"}</definedName>
    <definedName name="Total_Emissions" localSheetId="27">#REF!</definedName>
    <definedName name="Total_Emissions" localSheetId="8">#REF!</definedName>
    <definedName name="Total_Emissions" localSheetId="14">#REF!</definedName>
    <definedName name="Total_Emissions" localSheetId="15">#REF!</definedName>
    <definedName name="Total_Emissions" localSheetId="16">#REF!</definedName>
    <definedName name="Total_Emissions" localSheetId="21">#REF!</definedName>
    <definedName name="Total_Emissions" localSheetId="22">#REF!</definedName>
    <definedName name="Total_Emissions" localSheetId="23">#REF!</definedName>
    <definedName name="Total_Emissions" localSheetId="1">#REF!</definedName>
    <definedName name="Total_Emissions" localSheetId="9">#REF!</definedName>
    <definedName name="Total_Emissions">#REF!</definedName>
    <definedName name="Total_Payment" localSheetId="25">Scheduled_Payment+Extra_Payment</definedName>
    <definedName name="Total_Payment" localSheetId="5">Scheduled_Payment+Extra_Payment</definedName>
    <definedName name="Total_Payment" localSheetId="12">Scheduled_Payment+Extra_Payment</definedName>
    <definedName name="Total_Payment" localSheetId="8">Scheduled_Payment+Extra_Payment</definedName>
    <definedName name="Total_Payment" localSheetId="1">Scheduled_Payment+Extra_Payment</definedName>
    <definedName name="Total_Payment" localSheetId="9">Scheduled_Payment+Extra_Payment</definedName>
    <definedName name="Total_Payment">Scheduled_Payment+Extra_Payment</definedName>
    <definedName name="TP_Footer_User" hidden="1">"combsk"</definedName>
    <definedName name="TP_Footer_Version" hidden="1">"v4.00"</definedName>
    <definedName name="TPAYNE" localSheetId="8" hidden="1">#REF!</definedName>
    <definedName name="TPAYNE" localSheetId="1" hidden="1">#REF!</definedName>
    <definedName name="TPAYNE" localSheetId="9" hidden="1">#REF!</definedName>
    <definedName name="TPAYNE" hidden="1">#REF!</definedName>
    <definedName name="TRANS_ALL">#REF!</definedName>
    <definedName name="TransMerchant">#REF!</definedName>
    <definedName name="tre" localSheetId="8" hidden="1">{#N/A,#N/A,FALSE,"Aging Summary";#N/A,#N/A,FALSE,"Ratio Analysis";#N/A,#N/A,FALSE,"Test 120 Day Accts";#N/A,#N/A,FALSE,"Tickmarks"}</definedName>
    <definedName name="tre" localSheetId="1" hidden="1">{#N/A,#N/A,FALSE,"Aging Summary";#N/A,#N/A,FALSE,"Ratio Analysis";#N/A,#N/A,FALSE,"Test 120 Day Accts";#N/A,#N/A,FALSE,"Tickmarks"}</definedName>
    <definedName name="tre" localSheetId="9" hidden="1">{#N/A,#N/A,FALSE,"Aging Summary";#N/A,#N/A,FALSE,"Ratio Analysis";#N/A,#N/A,FALSE,"Test 120 Day Accts";#N/A,#N/A,FALSE,"Tickmarks"}</definedName>
    <definedName name="tre" hidden="1">{#N/A,#N/A,FALSE,"Aging Summary";#N/A,#N/A,FALSE,"Ratio Analysis";#N/A,#N/A,FALSE,"Test 120 Day Accts";#N/A,#N/A,FALSE,"Tickmarks"}</definedName>
    <definedName name="TreeTrimming">#REF!</definedName>
    <definedName name="trend" localSheetId="8" hidden="1">{#N/A,#N/A,FALSE,"Aging Summary";#N/A,#N/A,FALSE,"Ratio Analysis";#N/A,#N/A,FALSE,"Test 120 Day Accts";#N/A,#N/A,FALSE,"Tickmarks"}</definedName>
    <definedName name="trend" localSheetId="1" hidden="1">{#N/A,#N/A,FALSE,"Aging Summary";#N/A,#N/A,FALSE,"Ratio Analysis";#N/A,#N/A,FALSE,"Test 120 Day Accts";#N/A,#N/A,FALSE,"Tickmarks"}</definedName>
    <definedName name="trend" localSheetId="9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esrtesrtresrftg" localSheetId="8" hidden="1">{#N/A,#N/A,FALSE,"EXPENSE"}</definedName>
    <definedName name="tresrtesrtresrftg" localSheetId="1" hidden="1">{#N/A,#N/A,FALSE,"EXPENSE"}</definedName>
    <definedName name="tresrtesrtresrftg" localSheetId="9" hidden="1">{#N/A,#N/A,FALSE,"EXPENSE"}</definedName>
    <definedName name="tresrtesrtresrftg" hidden="1">{#N/A,#N/A,FALSE,"EXPENSE"}</definedName>
    <definedName name="tresytyuijiukuyjfghgh" localSheetId="8" hidden="1">{#N/A,#N/A,FALSE,"EXPENSE"}</definedName>
    <definedName name="tresytyuijiukuyjfghgh" localSheetId="1" hidden="1">{#N/A,#N/A,FALSE,"EXPENSE"}</definedName>
    <definedName name="tresytyuijiukuyjfghgh" localSheetId="9" hidden="1">{#N/A,#N/A,FALSE,"EXPENSE"}</definedName>
    <definedName name="tresytyuijiukuyjfghgh" hidden="1">{#N/A,#N/A,FALSE,"EXPENSE"}</definedName>
    <definedName name="trtertertret" localSheetId="8" hidden="1">{#N/A,#N/A,FALSE,"EXPENSE"}</definedName>
    <definedName name="trtertertret" localSheetId="1" hidden="1">{#N/A,#N/A,FALSE,"EXPENSE"}</definedName>
    <definedName name="trtertertret" localSheetId="9" hidden="1">{#N/A,#N/A,FALSE,"EXPENSE"}</definedName>
    <definedName name="trtertertret" hidden="1">{#N/A,#N/A,FALSE,"EXPENSE"}</definedName>
    <definedName name="TST_YR">#REF!</definedName>
    <definedName name="tterr4r4" localSheetId="8" hidden="1">{#N/A,#N/A,FALSE,"ALLOC"}</definedName>
    <definedName name="tterr4r4" localSheetId="1" hidden="1">{#N/A,#N/A,FALSE,"ALLOC"}</definedName>
    <definedName name="tterr4r4" localSheetId="9" hidden="1">{#N/A,#N/A,FALSE,"ALLOC"}</definedName>
    <definedName name="tterr4r4" hidden="1">{#N/A,#N/A,FALSE,"ALLOC"}</definedName>
    <definedName name="ttttt" localSheetId="8" hidden="1">{#N/A,#N/A,FALSE,"EXPENSE"}</definedName>
    <definedName name="ttttt" localSheetId="1" hidden="1">{#N/A,#N/A,FALSE,"EXPENSE"}</definedName>
    <definedName name="ttttt" localSheetId="9" hidden="1">{#N/A,#N/A,FALSE,"EXPENSE"}</definedName>
    <definedName name="ttttt" hidden="1">{#N/A,#N/A,FALSE,"EXPENSE"}</definedName>
    <definedName name="ttttttt" localSheetId="8" hidden="1">{#N/A,#N/A,FALSE,"ALLOC"}</definedName>
    <definedName name="ttttttt" localSheetId="1" hidden="1">{#N/A,#N/A,FALSE,"ALLOC"}</definedName>
    <definedName name="ttttttt" localSheetId="9" hidden="1">{#N/A,#N/A,FALSE,"ALLOC"}</definedName>
    <definedName name="ttttttt" hidden="1">{#N/A,#N/A,FALSE,"ALLOC"}</definedName>
    <definedName name="ttttttttttttt" localSheetId="8" hidden="1">{#N/A,#N/A,FALSE,"EXPENSE"}</definedName>
    <definedName name="ttttttttttttt" localSheetId="1" hidden="1">{#N/A,#N/A,FALSE,"EXPENSE"}</definedName>
    <definedName name="ttttttttttttt" localSheetId="9" hidden="1">{#N/A,#N/A,FALSE,"EXPENSE"}</definedName>
    <definedName name="ttttttttttttt" hidden="1">{#N/A,#N/A,FALSE,"EXPENSE"}</definedName>
    <definedName name="tutututu" localSheetId="8" hidden="1">{#N/A,#N/A,FALSE,"ALLOC"}</definedName>
    <definedName name="tutututu" localSheetId="1" hidden="1">{#N/A,#N/A,FALSE,"ALLOC"}</definedName>
    <definedName name="tutututu" localSheetId="9" hidden="1">{#N/A,#N/A,FALSE,"ALLOC"}</definedName>
    <definedName name="tutututu" hidden="1">{#N/A,#N/A,FALSE,"ALLOC"}</definedName>
    <definedName name="twrtesrsf" localSheetId="8" hidden="1">{#N/A,#N/A,FALSE,"EXPENSE"}</definedName>
    <definedName name="twrtesrsf" localSheetId="1" hidden="1">{#N/A,#N/A,FALSE,"EXPENSE"}</definedName>
    <definedName name="twrtesrsf" localSheetId="9" hidden="1">{#N/A,#N/A,FALSE,"EXPENSE"}</definedName>
    <definedName name="twrtesrsf" hidden="1">{#N/A,#N/A,FALSE,"EXPENSE"}</definedName>
    <definedName name="ty" localSheetId="8" hidden="1">{#N/A,#N/A,FALSE,"Aging Summary";#N/A,#N/A,FALSE,"Ratio Analysis";#N/A,#N/A,FALSE,"Test 120 Day Accts";#N/A,#N/A,FALSE,"Tickmarks"}</definedName>
    <definedName name="ty" localSheetId="1" hidden="1">{#N/A,#N/A,FALSE,"Aging Summary";#N/A,#N/A,FALSE,"Ratio Analysis";#N/A,#N/A,FALSE,"Test 120 Day Accts";#N/A,#N/A,FALSE,"Tickmarks"}</definedName>
    <definedName name="ty" localSheetId="9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tyhtiiliklhjhgj" localSheetId="8" hidden="1">{#N/A,#N/A,FALSE,"ALLOC"}</definedName>
    <definedName name="tyhtiiliklhjhgj" localSheetId="1" hidden="1">{#N/A,#N/A,FALSE,"ALLOC"}</definedName>
    <definedName name="tyhtiiliklhjhgj" localSheetId="9" hidden="1">{#N/A,#N/A,FALSE,"ALLOC"}</definedName>
    <definedName name="tyhtiiliklhjhgj" hidden="1">{#N/A,#N/A,FALSE,"ALLOC"}</definedName>
    <definedName name="tyseryuykiiukhjg" localSheetId="8" hidden="1">{#N/A,#N/A,FALSE,"EXPENSE"}</definedName>
    <definedName name="tyseryuykiiukhjg" localSheetId="1" hidden="1">{#N/A,#N/A,FALSE,"EXPENSE"}</definedName>
    <definedName name="tyseryuykiiukhjg" localSheetId="9" hidden="1">{#N/A,#N/A,FALSE,"EXPENSE"}</definedName>
    <definedName name="tyseryuykiiukhjg" hidden="1">{#N/A,#N/A,FALSE,"EXPENSE"}</definedName>
    <definedName name="u6yr5y5yrty" localSheetId="8" hidden="1">{#N/A,#N/A,FALSE,"EXPENSE"}</definedName>
    <definedName name="u6yr5y5yrty" localSheetId="1" hidden="1">{#N/A,#N/A,FALSE,"EXPENSE"}</definedName>
    <definedName name="u6yr5y5yrty" localSheetId="9" hidden="1">{#N/A,#N/A,FALSE,"EXPENSE"}</definedName>
    <definedName name="u6yr5y5yrty" hidden="1">{#N/A,#N/A,FALSE,"EXPENSE"}</definedName>
    <definedName name="UG_PRIMARY">#REF!</definedName>
    <definedName name="UGPrimary_wBranch">#REF!</definedName>
    <definedName name="UI_BS_DATA">#REF!</definedName>
    <definedName name="UI_DATA_ANNUAL">#REF!</definedName>
    <definedName name="UnderOverCCR" localSheetId="8">#REF!</definedName>
    <definedName name="UnderOverCCR" localSheetId="1">#REF!</definedName>
    <definedName name="UnderOverCCR" localSheetId="9">#REF!</definedName>
    <definedName name="UnderOverCCR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Data">#REF!</definedName>
    <definedName name="uryryryry" localSheetId="8" hidden="1">{#N/A,#N/A,FALSE,"ALLOC"}</definedName>
    <definedName name="uryryryry" localSheetId="1" hidden="1">{#N/A,#N/A,FALSE,"ALLOC"}</definedName>
    <definedName name="uryryryry" localSheetId="9" hidden="1">{#N/A,#N/A,FALSE,"ALLOC"}</definedName>
    <definedName name="uryryryry" hidden="1">{#N/A,#N/A,FALSE,"ALLOC"}</definedName>
    <definedName name="usage" localSheetId="27">#REF!</definedName>
    <definedName name="usage" localSheetId="8">#REF!</definedName>
    <definedName name="usage" localSheetId="14">#REF!</definedName>
    <definedName name="usage" localSheetId="15">#REF!</definedName>
    <definedName name="usage" localSheetId="16">#REF!</definedName>
    <definedName name="usage" localSheetId="21">#REF!</definedName>
    <definedName name="usage" localSheetId="22">#REF!</definedName>
    <definedName name="usage" localSheetId="23">#REF!</definedName>
    <definedName name="usage" localSheetId="1">#REF!</definedName>
    <definedName name="usage" localSheetId="9">#REF!</definedName>
    <definedName name="usage">#REF!</definedName>
    <definedName name="User.Language">"en-US"</definedName>
    <definedName name="User.Name">"i42833"</definedName>
    <definedName name="User.Session">"xyrrmx55wpufl555puoa2cnq"</definedName>
    <definedName name="UserPass" hidden="1">"verify"</definedName>
    <definedName name="uturfhfh" localSheetId="8" hidden="1">{#N/A,#N/A,FALSE,"EXPENSE"}</definedName>
    <definedName name="uturfhfh" localSheetId="1" hidden="1">{#N/A,#N/A,FALSE,"EXPENSE"}</definedName>
    <definedName name="uturfhfh" localSheetId="9" hidden="1">{#N/A,#N/A,FALSE,"EXPENSE"}</definedName>
    <definedName name="uturfhfh" hidden="1">{#N/A,#N/A,FALSE,"EXPENSE"}</definedName>
    <definedName name="utututt" localSheetId="8" hidden="1">{#N/A,#N/A,FALSE,"EXPENSE"}</definedName>
    <definedName name="utututt" localSheetId="1" hidden="1">{#N/A,#N/A,FALSE,"EXPENSE"}</definedName>
    <definedName name="utututt" localSheetId="9" hidden="1">{#N/A,#N/A,FALSE,"EXPENSE"}</definedName>
    <definedName name="utututt" hidden="1">{#N/A,#N/A,FALSE,"EXPENSE"}</definedName>
    <definedName name="utututu" localSheetId="8" hidden="1">{#N/A,#N/A,FALSE,"EXPENSE"}</definedName>
    <definedName name="utututu" localSheetId="1" hidden="1">{#N/A,#N/A,FALSE,"EXPENSE"}</definedName>
    <definedName name="utututu" localSheetId="9" hidden="1">{#N/A,#N/A,FALSE,"EXPENSE"}</definedName>
    <definedName name="utututu" hidden="1">{#N/A,#N/A,FALSE,"EXPENSE"}</definedName>
    <definedName name="utuyututyu" localSheetId="8" hidden="1">{#N/A,#N/A,FALSE,"EXPENSE"}</definedName>
    <definedName name="utuyututyu" localSheetId="1" hidden="1">{#N/A,#N/A,FALSE,"EXPENSE"}</definedName>
    <definedName name="utuyututyu" localSheetId="9" hidden="1">{#N/A,#N/A,FALSE,"EXPENSE"}</definedName>
    <definedName name="utuyututyu" hidden="1">{#N/A,#N/A,FALSE,"EXPENSE"}</definedName>
    <definedName name="utyurturhfg" localSheetId="8" hidden="1">{#N/A,#N/A,FALSE,"EXPENSE"}</definedName>
    <definedName name="utyurturhfg" localSheetId="1" hidden="1">{#N/A,#N/A,FALSE,"EXPENSE"}</definedName>
    <definedName name="utyurturhfg" localSheetId="9" hidden="1">{#N/A,#N/A,FALSE,"EXPENSE"}</definedName>
    <definedName name="utyurturhfg" hidden="1">{#N/A,#N/A,FALSE,"EXPENSE"}</definedName>
    <definedName name="utyutfghgf" localSheetId="8" hidden="1">{#N/A,#N/A,FALSE,"EXPENSE"}</definedName>
    <definedName name="utyutfghgf" localSheetId="1" hidden="1">{#N/A,#N/A,FALSE,"EXPENSE"}</definedName>
    <definedName name="utyutfghgf" localSheetId="9" hidden="1">{#N/A,#N/A,FALSE,"EXPENSE"}</definedName>
    <definedName name="utyutfghgf" hidden="1">{#N/A,#N/A,FALSE,"EXPENSE"}</definedName>
    <definedName name="uuututu" localSheetId="8" hidden="1">{#N/A,#N/A,FALSE,"EXPENSE"}</definedName>
    <definedName name="uuututu" localSheetId="1" hidden="1">{#N/A,#N/A,FALSE,"EXPENSE"}</definedName>
    <definedName name="uuututu" localSheetId="9" hidden="1">{#N/A,#N/A,FALSE,"EXPENSE"}</definedName>
    <definedName name="uuututu" hidden="1">{#N/A,#N/A,FALSE,"EXPENSE"}</definedName>
    <definedName name="uuuuu" localSheetId="8" hidden="1">{#N/A,#N/A,FALSE,"EXPENSE"}</definedName>
    <definedName name="uuuuu" localSheetId="1" hidden="1">{#N/A,#N/A,FALSE,"EXPENSE"}</definedName>
    <definedName name="uuuuu" localSheetId="9" hidden="1">{#N/A,#N/A,FALSE,"EXPENSE"}</definedName>
    <definedName name="uuuuu" hidden="1">{#N/A,#N/A,FALSE,"EXPENSE"}</definedName>
    <definedName name="uuuuuu" localSheetId="8" hidden="1">{#N/A,#N/A,FALSE,"EXPENSE"}</definedName>
    <definedName name="uuuuuu" localSheetId="1" hidden="1">{#N/A,#N/A,FALSE,"EXPENSE"}</definedName>
    <definedName name="uuuuuu" localSheetId="9" hidden="1">{#N/A,#N/A,FALSE,"EXPENSE"}</definedName>
    <definedName name="uuuuuu" hidden="1">{#N/A,#N/A,FALSE,"EXPENSE"}</definedName>
    <definedName name="uytututut" localSheetId="8" hidden="1">{#N/A,#N/A,FALSE,"EXPENSE"}</definedName>
    <definedName name="uytututut" localSheetId="1" hidden="1">{#N/A,#N/A,FALSE,"EXPENSE"}</definedName>
    <definedName name="uytututut" localSheetId="9" hidden="1">{#N/A,#N/A,FALSE,"EXPENSE"}</definedName>
    <definedName name="uytututut" hidden="1">{#N/A,#N/A,FALSE,"EXPENSE"}</definedName>
    <definedName name="uytutyht" localSheetId="8" hidden="1">{#N/A,#N/A,FALSE,"ALLOC"}</definedName>
    <definedName name="uytutyht" localSheetId="1" hidden="1">{#N/A,#N/A,FALSE,"ALLOC"}</definedName>
    <definedName name="uytutyht" localSheetId="9" hidden="1">{#N/A,#N/A,FALSE,"ALLOC"}</definedName>
    <definedName name="uytutyht" hidden="1">{#N/A,#N/A,FALSE,"ALLOC"}</definedName>
    <definedName name="Values_Entered" localSheetId="25">IF(Loan_Amount*Interest_Rate*Loan_Years*Loan_Start&gt;0,1,0)</definedName>
    <definedName name="Values_Entered" localSheetId="5">IF(Loan_Amount*Interest_Rate*Loan_Years*Loan_Start&gt;0,1,0)</definedName>
    <definedName name="Values_Entered" localSheetId="12">IF(Loan_Amount*Interest_Rate*Loan_Years*Loan_Start&gt;0,1,0)</definedName>
    <definedName name="Values_Entered" localSheetId="8">IF(Loan_Amount*Interest_Rate*Loan_Years*Loan_Start&gt;0,1,0)</definedName>
    <definedName name="Values_Entered" localSheetId="1">IF(Loan_Amount*Interest_Rate*Loan_Years*Loan_Start&gt;0,1,0)</definedName>
    <definedName name="Values_Entered" localSheetId="9">IF(Loan_Amount*Interest_Rate*Loan_Years*Loan_Start&gt;0,1,0)</definedName>
    <definedName name="Values_Entered">IF(Loan_Amount*Interest_Rate*Loan_Years*Loan_Start&gt;0,1,0)</definedName>
    <definedName name="VARIANCE" localSheetId="1">#REF!,#REF!</definedName>
    <definedName name="VARIANCE">#REF!,#REF!</definedName>
    <definedName name="VARIANCE2" localSheetId="1">#REF!,#REF!</definedName>
    <definedName name="VARIANCE2">#REF!,#REF!</definedName>
    <definedName name="VARIANCESUMMARY" localSheetId="8">#REF!</definedName>
    <definedName name="VARIANCESUMMARY" localSheetId="1">#REF!</definedName>
    <definedName name="VARIANCESUMMARY" localSheetId="9">#REF!</definedName>
    <definedName name="VARIANCESUMMARY">#REF!</definedName>
    <definedName name="vcscvbxvbfvb" localSheetId="8" hidden="1">{#N/A,#N/A,FALSE,"EXPENSE"}</definedName>
    <definedName name="vcscvbxvbfvb" localSheetId="1" hidden="1">{#N/A,#N/A,FALSE,"EXPENSE"}</definedName>
    <definedName name="vcscvbxvbfvb" localSheetId="9" hidden="1">{#N/A,#N/A,FALSE,"EXPENSE"}</definedName>
    <definedName name="vcscvbxvbfvb" hidden="1">{#N/A,#N/A,FALSE,"EXPENSE"}</definedName>
    <definedName name="versionnumber">"2.00"</definedName>
    <definedName name="wearwaerwearfefr" localSheetId="8" hidden="1">{#N/A,#N/A,FALSE,"ALLOC"}</definedName>
    <definedName name="wearwaerwearfefr" localSheetId="1" hidden="1">{#N/A,#N/A,FALSE,"ALLOC"}</definedName>
    <definedName name="wearwaerwearfefr" localSheetId="9" hidden="1">{#N/A,#N/A,FALSE,"ALLOC"}</definedName>
    <definedName name="wearwaerwearfefr" hidden="1">{#N/A,#N/A,FALSE,"ALLOC"}</definedName>
    <definedName name="weqeqwewqewewe" localSheetId="8" hidden="1">{#N/A,#N/A,FALSE,"EXPENSE"}</definedName>
    <definedName name="weqeqwewqewewe" localSheetId="1" hidden="1">{#N/A,#N/A,FALSE,"EXPENSE"}</definedName>
    <definedName name="weqeqwewqewewe" localSheetId="9" hidden="1">{#N/A,#N/A,FALSE,"EXPENSE"}</definedName>
    <definedName name="weqeqwewqewewe" hidden="1">{#N/A,#N/A,FALSE,"EXPENSE"}</definedName>
    <definedName name="weqweqweqw" localSheetId="8" hidden="1">{#N/A,#N/A,FALSE,"EXPENSE"}</definedName>
    <definedName name="weqweqweqw" localSheetId="1" hidden="1">{#N/A,#N/A,FALSE,"EXPENSE"}</definedName>
    <definedName name="weqweqweqw" localSheetId="9" hidden="1">{#N/A,#N/A,FALSE,"EXPENSE"}</definedName>
    <definedName name="weqweqweqw" hidden="1">{#N/A,#N/A,FALSE,"EXPENSE"}</definedName>
    <definedName name="werwerwerwefrd" localSheetId="8" hidden="1">{#N/A,#N/A,FALSE,"ALLOC"}</definedName>
    <definedName name="werwerwerwefrd" localSheetId="1" hidden="1">{#N/A,#N/A,FALSE,"ALLOC"}</definedName>
    <definedName name="werwerwerwefrd" localSheetId="9" hidden="1">{#N/A,#N/A,FALSE,"ALLOC"}</definedName>
    <definedName name="werwerwerwefrd" hidden="1">{#N/A,#N/A,FALSE,"ALLOC"}</definedName>
    <definedName name="wfvsd" localSheetId="8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fvsd" localSheetId="1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fvsd" localSheetId="9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fvsd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H_DEPOSITS">#REF!</definedName>
    <definedName name="WHLPVVAR">#REF!</definedName>
    <definedName name="wrn.114." localSheetId="8" hidden="1">{#N/A,#N/A,FALSE,"PAGE-114";#N/A,#N/A,FALSE,"Directions"}</definedName>
    <definedName name="wrn.114." localSheetId="1" hidden="1">{#N/A,#N/A,FALSE,"PAGE-114";#N/A,#N/A,FALSE,"Directions"}</definedName>
    <definedName name="wrn.114." localSheetId="9" hidden="1">{#N/A,#N/A,FALSE,"PAGE-114";#N/A,#N/A,FALSE,"Directions"}</definedName>
    <definedName name="wrn.114." hidden="1">{#N/A,#N/A,FALSE,"PAGE-114";#N/A,#N/A,FALSE,"Directions"}</definedName>
    <definedName name="wrn.3cases." localSheetId="8" hidden="1">{#N/A,"Base",FALSE,"Dividend";#N/A,"Conservative",FALSE,"Dividend";#N/A,"Downside",FALSE,"Dividend"}</definedName>
    <definedName name="wrn.3cases." localSheetId="1" hidden="1">{#N/A,"Base",FALSE,"Dividend";#N/A,"Conservative",FALSE,"Dividend";#N/A,"Downside",FALSE,"Dividend"}</definedName>
    <definedName name="wrn.3cases." localSheetId="9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740._.Closeout._.Support." localSheetId="8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localSheetId="1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localSheetId="9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Accretion." localSheetId="8" hidden="1">{"Accretion",#N/A,FALSE,"Assum"}</definedName>
    <definedName name="wrn.Accretion." localSheetId="1" hidden="1">{"Accretion",#N/A,FALSE,"Assum"}</definedName>
    <definedName name="wrn.Accretion." localSheetId="9" hidden="1">{"Accretion",#N/A,FALSE,"Assum"}</definedName>
    <definedName name="wrn.Accretion." hidden="1">{"Accretion",#N/A,FALSE,"Assum"}</definedName>
    <definedName name="wrn.Aging._.and._.Trend._.Analysis." localSheetId="27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16" hidden="1">{#N/A,#N/A,FALSE,"Aging Summary";#N/A,#N/A,FALSE,"Ratio Analysis";#N/A,#N/A,FALSE,"Test 120 Day Accts";#N/A,#N/A,FALSE,"Tickmarks"}</definedName>
    <definedName name="wrn.Aging._.and._.Trend._.Analysis." localSheetId="21" hidden="1">{#N/A,#N/A,FALSE,"Aging Summary";#N/A,#N/A,FALSE,"Ratio Analysis";#N/A,#N/A,FALSE,"Test 120 Day Accts";#N/A,#N/A,FALSE,"Tickmarks"}</definedName>
    <definedName name="wrn.Aging._.and._.Trend._.Analysis." localSheetId="22" hidden="1">{#N/A,#N/A,FALSE,"Aging Summary";#N/A,#N/A,FALSE,"Ratio Analysis";#N/A,#N/A,FALSE,"Test 120 Day Accts";#N/A,#N/A,FALSE,"Tickmarks"}</definedName>
    <definedName name="wrn.Aging._.and._.Trend._.Analysis." localSheetId="23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chua." localSheetId="8" hidden="1">{#N/A,#N/A,TRUE,"Inv - Alac";#N/A,#N/A,TRUE,"Nuclear Fuel";#N/A,#N/A,TRUE,"Nuclear Invoice";#N/A,#N/A,TRUE,"Sch A - Alachua";#N/A,#N/A,TRUE,"Gen Replace Cap";#N/A,#N/A,TRUE,"SCHED C - Alachua"}</definedName>
    <definedName name="wrn.Alachua." localSheetId="1" hidden="1">{#N/A,#N/A,TRUE,"Inv - Alac";#N/A,#N/A,TRUE,"Nuclear Fuel";#N/A,#N/A,TRUE,"Nuclear Invoice";#N/A,#N/A,TRUE,"Sch A - Alachua";#N/A,#N/A,TRUE,"Gen Replace Cap";#N/A,#N/A,TRUE,"SCHED C - Alachua"}</definedName>
    <definedName name="wrn.Alachua." localSheetId="9" hidden="1">{#N/A,#N/A,TRUE,"Inv - Alac";#N/A,#N/A,TRUE,"Nuclear Fuel";#N/A,#N/A,TRUE,"Nuclear Invoice";#N/A,#N/A,TRUE,"Sch A - Alachua";#N/A,#N/A,TRUE,"Gen Replace Cap";#N/A,#N/A,TRUE,"SCHED C - Alachua"}</definedName>
    <definedName name="wrn.Alachua." hidden="1">{#N/A,#N/A,TRUE,"Inv - Alac";#N/A,#N/A,TRUE,"Nuclear Fuel";#N/A,#N/A,TRUE,"Nuclear Invoice";#N/A,#N/A,TRUE,"Sch A - Alachua";#N/A,#N/A,TRUE,"Gen Replace Cap";#N/A,#N/A,TRUE,"SCHED C - Alachua"}</definedName>
    <definedName name="wrn.All._.Pages." localSheetId="8" hidden="1">{"total page",#N/A,FALSE,"Gib 5 June 01";"WVPA Page",#N/A,FALSE,"Gib 5 June 01";"IMPA Page",#N/A,FALSE,"Gib 5 June 01"}</definedName>
    <definedName name="wrn.All._.Pages." localSheetId="1" hidden="1">{"total page",#N/A,FALSE,"Gib 5 June 01";"WVPA Page",#N/A,FALSE,"Gib 5 June 01";"IMPA Page",#N/A,FALSE,"Gib 5 June 01"}</definedName>
    <definedName name="wrn.All._.Pages." localSheetId="9" hidden="1">{"total page",#N/A,FALSE,"Gib 5 June 01";"WVPA Page",#N/A,FALSE,"Gib 5 June 01";"IMPA Page",#N/A,FALSE,"Gib 5 June 01"}</definedName>
    <definedName name="wrn.All._.Pages." hidden="1">{"total page",#N/A,FALSE,"Gib 5 June 01";"WVPA Page",#N/A,FALSE,"Gib 5 June 01";"IMPA Page",#N/A,FALSE,"Gib 5 June 01"}</definedName>
    <definedName name="wrn.All_Sheets." localSheetId="27" hidden="1">{#N/A,#N/A,FALSE,"CONT_MWH";#N/A,#N/A,FALSE,"CONT_MW";#N/A,#N/A,FALSE,"MIN_MWH";#N/A,#N/A,FALSE,"MIN_MW";#N/A,#N/A,FALSE,"BASECASE_MWH";#N/A,#N/A,FALSE,"BASECASE_MW"}</definedName>
    <definedName name="wrn.All_Sheets." localSheetId="0" hidden="1">{#N/A,#N/A,FALSE,"CONT_MWH";#N/A,#N/A,FALSE,"CONT_MW";#N/A,#N/A,FALSE,"MIN_MWH";#N/A,#N/A,FALSE,"MIN_MW";#N/A,#N/A,FALSE,"BASECASE_MWH";#N/A,#N/A,FALSE,"BASECASE_MW"}</definedName>
    <definedName name="wrn.All_Sheets." localSheetId="11" hidden="1">{#N/A,#N/A,FALSE,"CONT_MWH";#N/A,#N/A,FALSE,"CONT_MW";#N/A,#N/A,FALSE,"MIN_MWH";#N/A,#N/A,FALSE,"MIN_MW";#N/A,#N/A,FALSE,"BASECASE_MWH";#N/A,#N/A,FALSE,"BASECASE_MW"}</definedName>
    <definedName name="wrn.All_Sheets." localSheetId="12" hidden="1">{#N/A,#N/A,FALSE,"CONT_MWH";#N/A,#N/A,FALSE,"CONT_MW";#N/A,#N/A,FALSE,"MIN_MWH";#N/A,#N/A,FALSE,"MIN_MW";#N/A,#N/A,FALSE,"BASECASE_MWH";#N/A,#N/A,FALSE,"BASECASE_MW"}</definedName>
    <definedName name="wrn.All_Sheets." localSheetId="8" hidden="1">{#N/A,#N/A,FALSE,"CONT_MWH";#N/A,#N/A,FALSE,"CONT_MW";#N/A,#N/A,FALSE,"MIN_MWH";#N/A,#N/A,FALSE,"MIN_MW";#N/A,#N/A,FALSE,"BASECASE_MWH";#N/A,#N/A,FALSE,"BASECASE_MW"}</definedName>
    <definedName name="wrn.All_Sheets." localSheetId="13" hidden="1">{#N/A,#N/A,FALSE,"CONT_MWH";#N/A,#N/A,FALSE,"CONT_MW";#N/A,#N/A,FALSE,"MIN_MWH";#N/A,#N/A,FALSE,"MIN_MW";#N/A,#N/A,FALSE,"BASECASE_MWH";#N/A,#N/A,FALSE,"BASECASE_MW"}</definedName>
    <definedName name="wrn.All_Sheets." localSheetId="14" hidden="1">{#N/A,#N/A,FALSE,"CONT_MWH";#N/A,#N/A,FALSE,"CONT_MW";#N/A,#N/A,FALSE,"MIN_MWH";#N/A,#N/A,FALSE,"MIN_MW";#N/A,#N/A,FALSE,"BASECASE_MWH";#N/A,#N/A,FALSE,"BASECASE_MW"}</definedName>
    <definedName name="wrn.All_Sheets." localSheetId="15" hidden="1">{#N/A,#N/A,FALSE,"CONT_MWH";#N/A,#N/A,FALSE,"CONT_MW";#N/A,#N/A,FALSE,"MIN_MWH";#N/A,#N/A,FALSE,"MIN_MW";#N/A,#N/A,FALSE,"BASECASE_MWH";#N/A,#N/A,FALSE,"BASECASE_MW"}</definedName>
    <definedName name="wrn.All_Sheets." localSheetId="16" hidden="1">{#N/A,#N/A,FALSE,"CONT_MWH";#N/A,#N/A,FALSE,"CONT_MW";#N/A,#N/A,FALSE,"MIN_MWH";#N/A,#N/A,FALSE,"MIN_MW";#N/A,#N/A,FALSE,"BASECASE_MWH";#N/A,#N/A,FALSE,"BASECASE_MW"}</definedName>
    <definedName name="wrn.All_Sheets." localSheetId="21" hidden="1">{#N/A,#N/A,FALSE,"CONT_MWH";#N/A,#N/A,FALSE,"CONT_MW";#N/A,#N/A,FALSE,"MIN_MWH";#N/A,#N/A,FALSE,"MIN_MW";#N/A,#N/A,FALSE,"BASECASE_MWH";#N/A,#N/A,FALSE,"BASECASE_MW"}</definedName>
    <definedName name="wrn.All_Sheets." localSheetId="22" hidden="1">{#N/A,#N/A,FALSE,"CONT_MWH";#N/A,#N/A,FALSE,"CONT_MW";#N/A,#N/A,FALSE,"MIN_MWH";#N/A,#N/A,FALSE,"MIN_MW";#N/A,#N/A,FALSE,"BASECASE_MWH";#N/A,#N/A,FALSE,"BASECASE_MW"}</definedName>
    <definedName name="wrn.All_Sheets." localSheetId="23" hidden="1">{#N/A,#N/A,FALSE,"CONT_MWH";#N/A,#N/A,FALSE,"CONT_MW";#N/A,#N/A,FALSE,"MIN_MWH";#N/A,#N/A,FALSE,"MIN_MW";#N/A,#N/A,FALSE,"BASECASE_MWH";#N/A,#N/A,FALSE,"BASECASE_MW"}</definedName>
    <definedName name="wrn.All_Sheets." localSheetId="1" hidden="1">{#N/A,#N/A,FALSE,"CONT_MWH";#N/A,#N/A,FALSE,"CONT_MW";#N/A,#N/A,FALSE,"MIN_MWH";#N/A,#N/A,FALSE,"MIN_MW";#N/A,#N/A,FALSE,"BASECASE_MWH";#N/A,#N/A,FALSE,"BASECASE_MW"}</definedName>
    <definedName name="wrn.All_Sheets." localSheetId="9" hidden="1">{#N/A,#N/A,FALSE,"CONT_MWH";#N/A,#N/A,FALSE,"CONT_MW";#N/A,#N/A,FALSE,"MIN_MWH";#N/A,#N/A,FALSE,"MIN_MW";#N/A,#N/A,FALSE,"BASECASE_MWH";#N/A,#N/A,FALSE,"BASECASE_MW"}</definedName>
    <definedName name="wrn.All_Sheets." hidden="1">{#N/A,#N/A,FALSE,"CONT_MWH";#N/A,#N/A,FALSE,"CONT_MW";#N/A,#N/A,FALSE,"MIN_MWH";#N/A,#N/A,FALSE,"MIN_MW";#N/A,#N/A,FALSE,"BASECASE_MWH";#N/A,#N/A,FALSE,"BASECASE_MW"}</definedName>
    <definedName name="wrn.ALLOC." localSheetId="8" hidden="1">{#N/A,#N/A,FALSE,"ALLOC"}</definedName>
    <definedName name="wrn.ALLOC." localSheetId="1" hidden="1">{#N/A,#N/A,FALSE,"ALLOC"}</definedName>
    <definedName name="wrn.ALLOC." localSheetId="9" hidden="1">{#N/A,#N/A,FALSE,"ALLOC"}</definedName>
    <definedName name="wrn.ALLOC." hidden="1">{#N/A,#N/A,FALSE,"ALLOC"}</definedName>
    <definedName name="wrn.Analysis." localSheetId="8" hidden="1">{"Analysis",#N/A,FALSE,"Analysis";"Details",#N/A,FALSE,"Analysis"}</definedName>
    <definedName name="wrn.Analysis." localSheetId="1" hidden="1">{"Analysis",#N/A,FALSE,"Analysis";"Details",#N/A,FALSE,"Analysis"}</definedName>
    <definedName name="wrn.Analysis." localSheetId="9" hidden="1">{"Analysis",#N/A,FALSE,"Analysis";"Details",#N/A,FALSE,"Analysis"}</definedName>
    <definedName name="wrn.Analysis." hidden="1">{"Analysis",#N/A,FALSE,"Analysis";"Details",#N/A,FALSE,"Analysis"}</definedName>
    <definedName name="wrn.Assumptions." localSheetId="8" hidden="1">{"Assumptions",#N/A,FALSE,"Assum"}</definedName>
    <definedName name="wrn.Assumptions." localSheetId="1" hidden="1">{"Assumptions",#N/A,FALSE,"Assum"}</definedName>
    <definedName name="wrn.Assumptions." localSheetId="9" hidden="1">{"Assumptions",#N/A,FALSE,"Assum"}</definedName>
    <definedName name="wrn.Assumptions." hidden="1">{"Assumptions",#N/A,FALSE,"Assum"}</definedName>
    <definedName name="wrn.balsheet." localSheetId="8" hidden="1">{"balsheet",#N/A,FALSE,"A"}</definedName>
    <definedName name="wrn.balsheet." localSheetId="1" hidden="1">{"balsheet",#N/A,FALSE,"A"}</definedName>
    <definedName name="wrn.balsheet." localSheetId="9" hidden="1">{"balsheet",#N/A,FALSE,"A"}</definedName>
    <definedName name="wrn.balsheet." hidden="1">{"balsheet",#N/A,FALSE,"A"}</definedName>
    <definedName name="wrn.CAG." localSheetId="8" hidden="1">{#N/A,#N/A,FALSE,"CAG"}</definedName>
    <definedName name="wrn.CAG." localSheetId="1" hidden="1">{#N/A,#N/A,FALSE,"CAG"}</definedName>
    <definedName name="wrn.CAG." localSheetId="9" hidden="1">{#N/A,#N/A,FALSE,"CAG"}</definedName>
    <definedName name="wrn.CAG." hidden="1">{#N/A,#N/A,FALSE,"CAG"}</definedName>
    <definedName name="wrn.capandinputs." localSheetId="8" hidden="1">{"capital",#N/A,FALSE,"Analysis";"input data",#N/A,FALSE,"Analysis"}</definedName>
    <definedName name="wrn.capandinputs." localSheetId="1" hidden="1">{"capital",#N/A,FALSE,"Analysis";"input data",#N/A,FALSE,"Analysis"}</definedName>
    <definedName name="wrn.capandinputs." localSheetId="9" hidden="1">{"capital",#N/A,FALSE,"Analysis";"input data",#N/A,FALSE,"Analysis"}</definedName>
    <definedName name="wrn.capandinputs." hidden="1">{"capital",#N/A,FALSE,"Analysis";"input data",#N/A,FALSE,"Analysis"}</definedName>
    <definedName name="wrn.CGE" localSheetId="8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GE" localSheetId="1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GE" localSheetId="9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GE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heck." localSheetId="8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1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9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omplete." localSheetId="8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" localSheetId="1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" localSheetId="9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_.Report." localSheetId="11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12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8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13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1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9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nfig._.and._.Calcs." localSheetId="8" hidden="1">{#N/A,#N/A,FALSE,"Configuration";#N/A,#N/A,FALSE,"Summary of Transaction";#N/A,#N/A,FALSE,"Calculations"}</definedName>
    <definedName name="wrn.Config._.and._.Calcs." localSheetId="1" hidden="1">{#N/A,#N/A,FALSE,"Configuration";#N/A,#N/A,FALSE,"Summary of Transaction";#N/A,#N/A,FALSE,"Calculations"}</definedName>
    <definedName name="wrn.Config._.and._.Calcs." localSheetId="9" hidden="1">{#N/A,#N/A,FALSE,"Configuration";#N/A,#N/A,FALSE,"Summary of Transaction";#N/A,#N/A,FALSE,"Calculations"}</definedName>
    <definedName name="wrn.Config._.and._.Calcs." hidden="1">{#N/A,#N/A,FALSE,"Configuration";#N/A,#N/A,FALSE,"Summary of Transaction";#N/A,#N/A,FALSE,"Calculations"}</definedName>
    <definedName name="wrn.CPB." localSheetId="8" hidden="1">{#N/A,#N/A,FALSE,"CPB"}</definedName>
    <definedName name="wrn.CPB." localSheetId="1" hidden="1">{#N/A,#N/A,FALSE,"CPB"}</definedName>
    <definedName name="wrn.CPB." localSheetId="9" hidden="1">{#N/A,#N/A,FALSE,"CPB"}</definedName>
    <definedName name="wrn.CPB." hidden="1">{#N/A,#N/A,FALSE,"CPB"}</definedName>
    <definedName name="wrn.CR3._.All._.Invoices." localSheetId="8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localSheetId="1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localSheetId="9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edit._.Summary." localSheetId="8" hidden="1">{#N/A,#N/A,FALSE,"Credit Summary"}</definedName>
    <definedName name="wrn.Credit._.Summary." localSheetId="1" hidden="1">{#N/A,#N/A,FALSE,"Credit Summary"}</definedName>
    <definedName name="wrn.Credit._.Summary." localSheetId="9" hidden="1">{#N/A,#N/A,FALSE,"Credit Summary"}</definedName>
    <definedName name="wrn.Credit._.Summary." hidden="1">{#N/A,#N/A,FALSE,"Credit Summary"}</definedName>
    <definedName name="wrn.edcredit." localSheetId="8" hidden="1">{"edcredit",#N/A,FALSE,"edcredit"}</definedName>
    <definedName name="wrn.edcredit." localSheetId="1" hidden="1">{"edcredit",#N/A,FALSE,"edcredit"}</definedName>
    <definedName name="wrn.edcredit." localSheetId="9" hidden="1">{"edcredit",#N/A,FALSE,"edcredit"}</definedName>
    <definedName name="wrn.edcredit." hidden="1">{"edcredit",#N/A,FALSE,"edcredit"}</definedName>
    <definedName name="wrn.Executive._.Reports." localSheetId="8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Executive._.Reports." localSheetId="1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Executive._.Reports." localSheetId="9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Executive._.Reports.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Exhibits._.Clean." localSheetId="8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1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9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PENSE." localSheetId="8" hidden="1">{#N/A,#N/A,FALSE,"EXPENSE"}</definedName>
    <definedName name="wrn.EXPENSE." localSheetId="1" hidden="1">{#N/A,#N/A,FALSE,"EXPENSE"}</definedName>
    <definedName name="wrn.EXPENSE." localSheetId="9" hidden="1">{#N/A,#N/A,FALSE,"EXPENSE"}</definedName>
    <definedName name="wrn.EXPENSE." hidden="1">{#N/A,#N/A,FALSE,"EXPENSE"}</definedName>
    <definedName name="wrn.FCB." localSheetId="8" hidden="1">{"FCB_ALL",#N/A,FALSE,"FCB"}</definedName>
    <definedName name="wrn.FCB." localSheetId="1" hidden="1">{"FCB_ALL",#N/A,FALSE,"FCB"}</definedName>
    <definedName name="wrn.FCB." localSheetId="9" hidden="1">{"FCB_ALL",#N/A,FALSE,"FCB"}</definedName>
    <definedName name="wrn.FCB." hidden="1">{"FCB_ALL",#N/A,FALSE,"FCB"}</definedName>
    <definedName name="wrn.fcb2" localSheetId="8" hidden="1">{"FCB_ALL",#N/A,FALSE,"FCB"}</definedName>
    <definedName name="wrn.fcb2" localSheetId="1" hidden="1">{"FCB_ALL",#N/A,FALSE,"FCB"}</definedName>
    <definedName name="wrn.fcb2" localSheetId="9" hidden="1">{"FCB_ALL",#N/A,FALSE,"FCB"}</definedName>
    <definedName name="wrn.fcb2" hidden="1">{"FCB_ALL",#N/A,FALSE,"FCB"}</definedName>
    <definedName name="wrn.Financials." localSheetId="8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inancials." localSheetId="1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inancials." localSheetId="9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inancials.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ull." localSheetId="8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localSheetId="1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localSheetId="9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GIS." localSheetId="8" hidden="1">{#N/A,#N/A,FALSE,"GIS"}</definedName>
    <definedName name="wrn.GIS." localSheetId="1" hidden="1">{#N/A,#N/A,FALSE,"GIS"}</definedName>
    <definedName name="wrn.GIS." localSheetId="9" hidden="1">{#N/A,#N/A,FALSE,"GIS"}</definedName>
    <definedName name="wrn.GIS." hidden="1">{#N/A,#N/A,FALSE,"GIS"}</definedName>
    <definedName name="wrn.GL._.151._.FUEL._.REPORT." localSheetId="8" hidden="1">{#N/A,#N/A,FALSE,"ISSUES";#N/A,#N/A,FALSE,"BALANCE";#N/A,#N/A,FALSE,"RECEIPTS"}</definedName>
    <definedName name="wrn.GL._.151._.FUEL._.REPORT." localSheetId="1" hidden="1">{#N/A,#N/A,FALSE,"ISSUES";#N/A,#N/A,FALSE,"BALANCE";#N/A,#N/A,FALSE,"RECEIPTS"}</definedName>
    <definedName name="wrn.GL._.151._.FUEL._.REPORT." localSheetId="9" hidden="1">{#N/A,#N/A,FALSE,"ISSUES";#N/A,#N/A,FALSE,"BALANCE";#N/A,#N/A,FALSE,"RECEIPTS"}</definedName>
    <definedName name="wrn.GL._.151._.FUEL._.REPORT." hidden="1">{#N/A,#N/A,FALSE,"ISSUES";#N/A,#N/A,FALSE,"BALANCE";#N/A,#N/A,FALSE,"RECEIPTS"}</definedName>
    <definedName name="wrn.GL._.154._.BALANCE." localSheetId="27" hidden="1">{#N/A,#N/A,FALSE,"BALANCE"}</definedName>
    <definedName name="wrn.GL._.154._.BALANCE." localSheetId="0" hidden="1">{#N/A,#N/A,FALSE,"BALANCE"}</definedName>
    <definedName name="wrn.GL._.154._.BALANCE." localSheetId="11" hidden="1">{#N/A,#N/A,FALSE,"BALANCE"}</definedName>
    <definedName name="wrn.GL._.154._.BALANCE." localSheetId="12" hidden="1">{#N/A,#N/A,FALSE,"BALANCE"}</definedName>
    <definedName name="wrn.GL._.154._.BALANCE." localSheetId="8" hidden="1">{#N/A,#N/A,FALSE,"BALANCE"}</definedName>
    <definedName name="wrn.GL._.154._.BALANCE." localSheetId="13" hidden="1">{#N/A,#N/A,FALSE,"BALANCE"}</definedName>
    <definedName name="wrn.GL._.154._.BALANCE." localSheetId="14" hidden="1">{#N/A,#N/A,FALSE,"BALANCE"}</definedName>
    <definedName name="wrn.GL._.154._.BALANCE." localSheetId="15" hidden="1">{#N/A,#N/A,FALSE,"BALANCE"}</definedName>
    <definedName name="wrn.GL._.154._.BALANCE." localSheetId="16" hidden="1">{#N/A,#N/A,FALSE,"BALANCE"}</definedName>
    <definedName name="wrn.GL._.154._.BALANCE." localSheetId="21" hidden="1">{#N/A,#N/A,FALSE,"BALANCE"}</definedName>
    <definedName name="wrn.GL._.154._.BALANCE." localSheetId="22" hidden="1">{#N/A,#N/A,FALSE,"BALANCE"}</definedName>
    <definedName name="wrn.GL._.154._.BALANCE." localSheetId="23" hidden="1">{#N/A,#N/A,FALSE,"BALANCE"}</definedName>
    <definedName name="wrn.GL._.154._.BALANCE." localSheetId="1" hidden="1">{#N/A,#N/A,FALSE,"BALANCE"}</definedName>
    <definedName name="wrn.GL._.154._.BALANCE." localSheetId="9" hidden="1">{#N/A,#N/A,FALSE,"BALANCE"}</definedName>
    <definedName name="wrn.GL._.154._.BALANCE." hidden="1">{#N/A,#N/A,FALSE,"BALANCE"}</definedName>
    <definedName name="wrn.GL154._.ISSUES." localSheetId="27" hidden="1">{#N/A,#N/A,FALSE,"ISSUES"}</definedName>
    <definedName name="wrn.GL154._.ISSUES." localSheetId="0" hidden="1">{#N/A,#N/A,FALSE,"ISSUES"}</definedName>
    <definedName name="wrn.GL154._.ISSUES." localSheetId="11" hidden="1">{#N/A,#N/A,FALSE,"ISSUES"}</definedName>
    <definedName name="wrn.GL154._.ISSUES." localSheetId="12" hidden="1">{#N/A,#N/A,FALSE,"ISSUES"}</definedName>
    <definedName name="wrn.GL154._.ISSUES." localSheetId="8" hidden="1">{#N/A,#N/A,FALSE,"ISSUES"}</definedName>
    <definedName name="wrn.GL154._.ISSUES." localSheetId="13" hidden="1">{#N/A,#N/A,FALSE,"ISSUES"}</definedName>
    <definedName name="wrn.GL154._.ISSUES." localSheetId="14" hidden="1">{#N/A,#N/A,FALSE,"ISSUES"}</definedName>
    <definedName name="wrn.GL154._.ISSUES." localSheetId="15" hidden="1">{#N/A,#N/A,FALSE,"ISSUES"}</definedName>
    <definedName name="wrn.GL154._.ISSUES." localSheetId="16" hidden="1">{#N/A,#N/A,FALSE,"ISSUES"}</definedName>
    <definedName name="wrn.GL154._.ISSUES." localSheetId="21" hidden="1">{#N/A,#N/A,FALSE,"ISSUES"}</definedName>
    <definedName name="wrn.GL154._.ISSUES." localSheetId="22" hidden="1">{#N/A,#N/A,FALSE,"ISSUES"}</definedName>
    <definedName name="wrn.GL154._.ISSUES." localSheetId="23" hidden="1">{#N/A,#N/A,FALSE,"ISSUES"}</definedName>
    <definedName name="wrn.GL154._.ISSUES." localSheetId="1" hidden="1">{#N/A,#N/A,FALSE,"ISSUES"}</definedName>
    <definedName name="wrn.GL154._.ISSUES." localSheetId="9" hidden="1">{#N/A,#N/A,FALSE,"ISSUES"}</definedName>
    <definedName name="wrn.GL154._.ISSUES." hidden="1">{#N/A,#N/A,FALSE,"ISSUES"}</definedName>
    <definedName name="wrn.GL154._.RECEIPTS." localSheetId="27" hidden="1">{#N/A,#N/A,FALSE,"RECEIPTS"}</definedName>
    <definedName name="wrn.GL154._.RECEIPTS." localSheetId="0" hidden="1">{#N/A,#N/A,FALSE,"RECEIPTS"}</definedName>
    <definedName name="wrn.GL154._.RECEIPTS." localSheetId="11" hidden="1">{#N/A,#N/A,FALSE,"RECEIPTS"}</definedName>
    <definedName name="wrn.GL154._.RECEIPTS." localSheetId="12" hidden="1">{#N/A,#N/A,FALSE,"RECEIPTS"}</definedName>
    <definedName name="wrn.GL154._.RECEIPTS." localSheetId="8" hidden="1">{#N/A,#N/A,FALSE,"RECEIPTS"}</definedName>
    <definedName name="wrn.GL154._.RECEIPTS." localSheetId="13" hidden="1">{#N/A,#N/A,FALSE,"RECEIPTS"}</definedName>
    <definedName name="wrn.GL154._.RECEIPTS." localSheetId="14" hidden="1">{#N/A,#N/A,FALSE,"RECEIPTS"}</definedName>
    <definedName name="wrn.GL154._.RECEIPTS." localSheetId="15" hidden="1">{#N/A,#N/A,FALSE,"RECEIPTS"}</definedName>
    <definedName name="wrn.GL154._.RECEIPTS." localSheetId="16" hidden="1">{#N/A,#N/A,FALSE,"RECEIPTS"}</definedName>
    <definedName name="wrn.GL154._.RECEIPTS." localSheetId="21" hidden="1">{#N/A,#N/A,FALSE,"RECEIPTS"}</definedName>
    <definedName name="wrn.GL154._.RECEIPTS." localSheetId="22" hidden="1">{#N/A,#N/A,FALSE,"RECEIPTS"}</definedName>
    <definedName name="wrn.GL154._.RECEIPTS." localSheetId="23" hidden="1">{#N/A,#N/A,FALSE,"RECEIPTS"}</definedName>
    <definedName name="wrn.GL154._.RECEIPTS." localSheetId="1" hidden="1">{#N/A,#N/A,FALSE,"RECEIPTS"}</definedName>
    <definedName name="wrn.GL154._.RECEIPTS." localSheetId="9" hidden="1">{#N/A,#N/A,FALSE,"RECEIPTS"}</definedName>
    <definedName name="wrn.GL154._.RECEIPTS." hidden="1">{#N/A,#N/A,FALSE,"RECEIPTS"}</definedName>
    <definedName name="wrn.GL154._.SALVAGE." localSheetId="27" hidden="1">{#N/A,#N/A,FALSE,"SALVAGE"}</definedName>
    <definedName name="wrn.GL154._.SALVAGE." localSheetId="0" hidden="1">{#N/A,#N/A,FALSE,"SALVAGE"}</definedName>
    <definedName name="wrn.GL154._.SALVAGE." localSheetId="11" hidden="1">{#N/A,#N/A,FALSE,"SALVAGE"}</definedName>
    <definedName name="wrn.GL154._.SALVAGE." localSheetId="12" hidden="1">{#N/A,#N/A,FALSE,"SALVAGE"}</definedName>
    <definedName name="wrn.GL154._.SALVAGE." localSheetId="8" hidden="1">{#N/A,#N/A,FALSE,"SALVAGE"}</definedName>
    <definedName name="wrn.GL154._.SALVAGE." localSheetId="13" hidden="1">{#N/A,#N/A,FALSE,"SALVAGE"}</definedName>
    <definedName name="wrn.GL154._.SALVAGE." localSheetId="14" hidden="1">{#N/A,#N/A,FALSE,"SALVAGE"}</definedName>
    <definedName name="wrn.GL154._.SALVAGE." localSheetId="15" hidden="1">{#N/A,#N/A,FALSE,"SALVAGE"}</definedName>
    <definedName name="wrn.GL154._.SALVAGE." localSheetId="16" hidden="1">{#N/A,#N/A,FALSE,"SALVAGE"}</definedName>
    <definedName name="wrn.GL154._.SALVAGE." localSheetId="21" hidden="1">{#N/A,#N/A,FALSE,"SALVAGE"}</definedName>
    <definedName name="wrn.GL154._.SALVAGE." localSheetId="22" hidden="1">{#N/A,#N/A,FALSE,"SALVAGE"}</definedName>
    <definedName name="wrn.GL154._.SALVAGE." localSheetId="23" hidden="1">{#N/A,#N/A,FALSE,"SALVAGE"}</definedName>
    <definedName name="wrn.GL154._.SALVAGE." localSheetId="1" hidden="1">{#N/A,#N/A,FALSE,"SALVAGE"}</definedName>
    <definedName name="wrn.GL154._.SALVAGE." localSheetId="9" hidden="1">{#N/A,#N/A,FALSE,"SALVAGE"}</definedName>
    <definedName name="wrn.GL154._.SALVAGE." hidden="1">{#N/A,#N/A,FALSE,"SALVAGE"}</definedName>
    <definedName name="wrn.GL154._.SYSTEM._.LEDGER._.REPORTS." localSheetId="27" hidden="1">{#N/A,#N/A,FALSE,"BALANCE";#N/A,#N/A,FALSE,"ISSUES";#N/A,#N/A,FALSE,"RECEIPTS";#N/A,#N/A,FALSE,"SALVAGE"}</definedName>
    <definedName name="wrn.GL154._.SYSTEM._.LEDGER._.REPORTS." localSheetId="0" hidden="1">{#N/A,#N/A,FALSE,"BALANCE";#N/A,#N/A,FALSE,"ISSUES";#N/A,#N/A,FALSE,"RECEIPTS";#N/A,#N/A,FALSE,"SALVAGE"}</definedName>
    <definedName name="wrn.GL154._.SYSTEM._.LEDGER._.REPORTS." localSheetId="11" hidden="1">{#N/A,#N/A,FALSE,"BALANCE";#N/A,#N/A,FALSE,"ISSUES";#N/A,#N/A,FALSE,"RECEIPTS";#N/A,#N/A,FALSE,"SALVAGE"}</definedName>
    <definedName name="wrn.GL154._.SYSTEM._.LEDGER._.REPORTS." localSheetId="12" hidden="1">{#N/A,#N/A,FALSE,"BALANCE";#N/A,#N/A,FALSE,"ISSUES";#N/A,#N/A,FALSE,"RECEIPTS";#N/A,#N/A,FALSE,"SALVAGE"}</definedName>
    <definedName name="wrn.GL154._.SYSTEM._.LEDGER._.REPORTS." localSheetId="8" hidden="1">{#N/A,#N/A,FALSE,"BALANCE";#N/A,#N/A,FALSE,"ISSUES";#N/A,#N/A,FALSE,"RECEIPTS";#N/A,#N/A,FALSE,"SALVAGE"}</definedName>
    <definedName name="wrn.GL154._.SYSTEM._.LEDGER._.REPORTS." localSheetId="13" hidden="1">{#N/A,#N/A,FALSE,"BALANCE";#N/A,#N/A,FALSE,"ISSUES";#N/A,#N/A,FALSE,"RECEIPTS";#N/A,#N/A,FALSE,"SALVAGE"}</definedName>
    <definedName name="wrn.GL154._.SYSTEM._.LEDGER._.REPORTS." localSheetId="14" hidden="1">{#N/A,#N/A,FALSE,"BALANCE";#N/A,#N/A,FALSE,"ISSUES";#N/A,#N/A,FALSE,"RECEIPTS";#N/A,#N/A,FALSE,"SALVAGE"}</definedName>
    <definedName name="wrn.GL154._.SYSTEM._.LEDGER._.REPORTS." localSheetId="15" hidden="1">{#N/A,#N/A,FALSE,"BALANCE";#N/A,#N/A,FALSE,"ISSUES";#N/A,#N/A,FALSE,"RECEIPTS";#N/A,#N/A,FALSE,"SALVAGE"}</definedName>
    <definedName name="wrn.GL154._.SYSTEM._.LEDGER._.REPORTS." localSheetId="16" hidden="1">{#N/A,#N/A,FALSE,"BALANCE";#N/A,#N/A,FALSE,"ISSUES";#N/A,#N/A,FALSE,"RECEIPTS";#N/A,#N/A,FALSE,"SALVAGE"}</definedName>
    <definedName name="wrn.GL154._.SYSTEM._.LEDGER._.REPORTS." localSheetId="21" hidden="1">{#N/A,#N/A,FALSE,"BALANCE";#N/A,#N/A,FALSE,"ISSUES";#N/A,#N/A,FALSE,"RECEIPTS";#N/A,#N/A,FALSE,"SALVAGE"}</definedName>
    <definedName name="wrn.GL154._.SYSTEM._.LEDGER._.REPORTS." localSheetId="22" hidden="1">{#N/A,#N/A,FALSE,"BALANCE";#N/A,#N/A,FALSE,"ISSUES";#N/A,#N/A,FALSE,"RECEIPTS";#N/A,#N/A,FALSE,"SALVAGE"}</definedName>
    <definedName name="wrn.GL154._.SYSTEM._.LEDGER._.REPORTS." localSheetId="23" hidden="1">{#N/A,#N/A,FALSE,"BALANCE";#N/A,#N/A,FALSE,"ISSUES";#N/A,#N/A,FALSE,"RECEIPTS";#N/A,#N/A,FALSE,"SALVAGE"}</definedName>
    <definedName name="wrn.GL154._.SYSTEM._.LEDGER._.REPORTS." localSheetId="1" hidden="1">{#N/A,#N/A,FALSE,"BALANCE";#N/A,#N/A,FALSE,"ISSUES";#N/A,#N/A,FALSE,"RECEIPTS";#N/A,#N/A,FALSE,"SALVAGE"}</definedName>
    <definedName name="wrn.GL154._.SYSTEM._.LEDGER._.REPORTS." localSheetId="9" hidden="1">{#N/A,#N/A,FALSE,"BALANCE";#N/A,#N/A,FALSE,"ISSUES";#N/A,#N/A,FALSE,"RECEIPTS";#N/A,#N/A,FALSE,"SALVAGE"}</definedName>
    <definedName name="wrn.GL154._.SYSTEM._.LEDGER._.REPORTS." hidden="1">{#N/A,#N/A,FALSE,"BALANCE";#N/A,#N/A,FALSE,"ISSUES";#N/A,#N/A,FALSE,"RECEIPTS";#N/A,#N/A,FALSE,"SALVAGE"}</definedName>
    <definedName name="wrn.HNZ." localSheetId="8" hidden="1">{#N/A,#N/A,FALSE,"HNZ"}</definedName>
    <definedName name="wrn.HNZ." localSheetId="1" hidden="1">{#N/A,#N/A,FALSE,"HNZ"}</definedName>
    <definedName name="wrn.HNZ." localSheetId="9" hidden="1">{#N/A,#N/A,FALSE,"HNZ"}</definedName>
    <definedName name="wrn.HNZ." hidden="1">{#N/A,#N/A,FALSE,"HNZ"}</definedName>
    <definedName name="wrn.INT." localSheetId="8" hidden="1">{#N/A,#N/A,FALSE,"EXPENSE"}</definedName>
    <definedName name="wrn.INT." localSheetId="1" hidden="1">{#N/A,#N/A,FALSE,"EXPENSE"}</definedName>
    <definedName name="wrn.INT." localSheetId="9" hidden="1">{#N/A,#N/A,FALSE,"EXPENSE"}</definedName>
    <definedName name="wrn.INT." hidden="1">{#N/A,#N/A,FALSE,"EXPENSE"}</definedName>
    <definedName name="wrn.InterSystem." localSheetId="8" hidden="1">{"Purchases",#N/A,TRUE,"Sheet1";"Sales",#N/A,TRUE,"Sheet1"}</definedName>
    <definedName name="wrn.InterSystem." localSheetId="1" hidden="1">{"Purchases",#N/A,TRUE,"Sheet1";"Sales",#N/A,TRUE,"Sheet1"}</definedName>
    <definedName name="wrn.InterSystem." localSheetId="9" hidden="1">{"Purchases",#N/A,TRUE,"Sheet1";"Sales",#N/A,TRUE,"Sheet1"}</definedName>
    <definedName name="wrn.InterSystem." hidden="1">{"Purchases",#N/A,TRUE,"Sheet1";"Sales",#N/A,TRUE,"Sheet1"}</definedName>
    <definedName name="wrn.Jury." localSheetId="8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Jury." localSheetId="1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Jury." localSheetId="9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Jury.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K." localSheetId="8" hidden="1">{#N/A,#N/A,FALSE,"K"}</definedName>
    <definedName name="wrn.K." localSheetId="1" hidden="1">{#N/A,#N/A,FALSE,"K"}</definedName>
    <definedName name="wrn.K." localSheetId="9" hidden="1">{#N/A,#N/A,FALSE,"K"}</definedName>
    <definedName name="wrn.K." hidden="1">{#N/A,#N/A,FALSE,"K"}</definedName>
    <definedName name="wrn.Key._.Messages." localSheetId="8" hidden="1">{"mad0291 - Personal View",#N/A,FALSE,"FEG";#N/A,#N/A,FALSE,"Carolinas";#N/A,#N/A,FALSE,"OH-KY";#N/A,#N/A,FALSE,"Indiana";#N/A,#N/A,FALSE,"Other Retail";#N/A,#N/A,FALSE,"Other "}</definedName>
    <definedName name="wrn.Key._.Messages." localSheetId="1" hidden="1">{"mad0291 - Personal View",#N/A,FALSE,"FEG";#N/A,#N/A,FALSE,"Carolinas";#N/A,#N/A,FALSE,"OH-KY";#N/A,#N/A,FALSE,"Indiana";#N/A,#N/A,FALSE,"Other Retail";#N/A,#N/A,FALSE,"Other "}</definedName>
    <definedName name="wrn.Key._.Messages." localSheetId="9" hidden="1">{"mad0291 - Personal View",#N/A,FALSE,"FEG";#N/A,#N/A,FALSE,"Carolinas";#N/A,#N/A,FALSE,"OH-KY";#N/A,#N/A,FALSE,"Indiana";#N/A,#N/A,FALSE,"Other Retail";#N/A,#N/A,FALSE,"Other "}</definedName>
    <definedName name="wrn.Key._.Messages." hidden="1">{"mad0291 - Personal View",#N/A,FALSE,"FEG";#N/A,#N/A,FALSE,"Carolinas";#N/A,#N/A,FALSE,"OH-KY";#N/A,#N/A,FALSE,"Indiana";#N/A,#N/A,FALSE,"Other Retail";#N/A,#N/A,FALSE,"Other "}</definedName>
    <definedName name="wrn.KeyCorp._.Summary." localSheetId="8" hidden="1">{#N/A,#N/A,FALSE,"Mike"}</definedName>
    <definedName name="wrn.KeyCorp._.Summary." localSheetId="1" hidden="1">{#N/A,#N/A,FALSE,"Mike"}</definedName>
    <definedName name="wrn.KeyCorp._.Summary." localSheetId="9" hidden="1">{#N/A,#N/A,FALSE,"Mike"}</definedName>
    <definedName name="wrn.KeyCorp._.Summary." hidden="1">{#N/A,#N/A,FALSE,"Mike"}</definedName>
    <definedName name="wrn.LEM." localSheetId="8" hidden="1">{#N/A,#N/A,TRUE,"Summary";#N/A,#N/A,TRUE,"Sales";#N/A,#N/A,TRUE,"Inc. Stmt.";#N/A,#N/A,TRUE,"Cash Flow"}</definedName>
    <definedName name="wrn.LEM." localSheetId="1" hidden="1">{#N/A,#N/A,TRUE,"Summary";#N/A,#N/A,TRUE,"Sales";#N/A,#N/A,TRUE,"Inc. Stmt.";#N/A,#N/A,TRUE,"Cash Flow"}</definedName>
    <definedName name="wrn.LEM." localSheetId="9" hidden="1">{#N/A,#N/A,TRUE,"Summary";#N/A,#N/A,TRUE,"Sales";#N/A,#N/A,TRUE,"Inc. Stmt.";#N/A,#N/A,TRUE,"Cash Flow"}</definedName>
    <definedName name="wrn.LEM." hidden="1">{#N/A,#N/A,TRUE,"Summary";#N/A,#N/A,TRUE,"Sales";#N/A,#N/A,TRUE,"Inc. Stmt.";#N/A,#N/A,TRUE,"Cash Flow"}</definedName>
    <definedName name="wrn.MBTUs." localSheetId="8" hidden="1">{"MBTUs",#N/A,FALSE,"A"}</definedName>
    <definedName name="wrn.MBTUs." localSheetId="1" hidden="1">{"MBTUs",#N/A,FALSE,"A"}</definedName>
    <definedName name="wrn.MBTUs." localSheetId="9" hidden="1">{"MBTUs",#N/A,FALSE,"A"}</definedName>
    <definedName name="wrn.MBTUs." hidden="1">{"MBTUs",#N/A,FALSE,"A"}</definedName>
    <definedName name="wrn.MCCRK." localSheetId="8" hidden="1">{#N/A,#N/A,FALSE,"MCCRK"}</definedName>
    <definedName name="wrn.MCCRK." localSheetId="1" hidden="1">{#N/A,#N/A,FALSE,"MCCRK"}</definedName>
    <definedName name="wrn.MCCRK." localSheetId="9" hidden="1">{#N/A,#N/A,FALSE,"MCCRK"}</definedName>
    <definedName name="wrn.MCCRK." hidden="1">{#N/A,#N/A,FALSE,"MCCRK"}</definedName>
    <definedName name="wrn.Monthly._.Report." localSheetId="11" hidden="1">{"Mwh Monthly Analysis",#N/A,FALSE,"Mwh Analysis";"Burn Monthly Analysis",#N/A,FALSE,"Burned Analysis"}</definedName>
    <definedName name="wrn.Monthly._.Report." localSheetId="12" hidden="1">{"Mwh Monthly Analysis",#N/A,FALSE,"Mwh Analysis";"Burn Monthly Analysis",#N/A,FALSE,"Burned Analysis"}</definedName>
    <definedName name="wrn.Monthly._.Report." localSheetId="8" hidden="1">{"Mwh Monthly Analysis",#N/A,FALSE,"Mwh Analysis";"Burn Monthly Analysis",#N/A,FALSE,"Burned Analysis"}</definedName>
    <definedName name="wrn.Monthly._.Report." localSheetId="13" hidden="1">{"Mwh Monthly Analysis",#N/A,FALSE,"Mwh Analysis";"Burn Monthly Analysis",#N/A,FALSE,"Burned Analysis"}</definedName>
    <definedName name="wrn.Monthly._.Report." localSheetId="1" hidden="1">{"Mwh Monthly Analysis",#N/A,FALSE,"Mwh Analysis";"Burn Monthly Analysis",#N/A,FALSE,"Burned Analysis"}</definedName>
    <definedName name="wrn.Monthly._.Report." localSheetId="9" hidden="1">{"Mwh Monthly Analysis",#N/A,FALSE,"Mwh Analysis";"Burn Monthly Analysis",#N/A,FALSE,"Burned Analysis"}</definedName>
    <definedName name="wrn.Monthly._.Report." hidden="1">{"Mwh Monthly Analysis",#N/A,FALSE,"Mwh Analysis";"Burn Monthly Analysis",#N/A,FALSE,"Burned Analysis"}</definedName>
    <definedName name="wrn.NA." localSheetId="8" hidden="1">{#N/A,#N/A,FALSE,"NA"}</definedName>
    <definedName name="wrn.NA." localSheetId="1" hidden="1">{#N/A,#N/A,FALSE,"NA"}</definedName>
    <definedName name="wrn.NA." localSheetId="9" hidden="1">{#N/A,#N/A,FALSE,"NA"}</definedName>
    <definedName name="wrn.NA." hidden="1">{#N/A,#N/A,FALSE,"NA"}</definedName>
    <definedName name="wrn.NCDSM." localSheetId="8" hidden="1">{"NC DSM",#N/A,FALSE,"SCHEDULE A; NC"}</definedName>
    <definedName name="wrn.NCDSM." localSheetId="1" hidden="1">{"NC DSM",#N/A,FALSE,"SCHEDULE A; NC"}</definedName>
    <definedName name="wrn.NCDSM." localSheetId="9" hidden="1">{"NC DSM",#N/A,FALSE,"SCHEDULE A; NC"}</definedName>
    <definedName name="wrn.NCDSM." hidden="1">{"NC DSM",#N/A,FALSE,"SCHEDULE A; NC"}</definedName>
    <definedName name="wrn.ND._.Schedules._.Clean." localSheetId="8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1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9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cala" localSheetId="8" hidden="1">{#N/A,#N/A,TRUE,"Inv - Alac";#N/A,#N/A,TRUE,"Nuclear Fuel";#N/A,#N/A,TRUE,"Nuclear Invoice";#N/A,#N/A,TRUE,"Sch A - Alachua";#N/A,#N/A,TRUE,"Gen Replace Cap";#N/A,#N/A,TRUE,"SCHED C - Alachua"}</definedName>
    <definedName name="wrn.Ocala" localSheetId="1" hidden="1">{#N/A,#N/A,TRUE,"Inv - Alac";#N/A,#N/A,TRUE,"Nuclear Fuel";#N/A,#N/A,TRUE,"Nuclear Invoice";#N/A,#N/A,TRUE,"Sch A - Alachua";#N/A,#N/A,TRUE,"Gen Replace Cap";#N/A,#N/A,TRUE,"SCHED C - Alachua"}</definedName>
    <definedName name="wrn.Ocala" localSheetId="9" hidden="1">{#N/A,#N/A,TRUE,"Inv - Alac";#N/A,#N/A,TRUE,"Nuclear Fuel";#N/A,#N/A,TRUE,"Nuclear Invoice";#N/A,#N/A,TRUE,"Sch A - Alachua";#N/A,#N/A,TRUE,"Gen Replace Cap";#N/A,#N/A,TRUE,"SCHED C - Alachua"}</definedName>
    <definedName name="wrn.Ocala" hidden="1">{#N/A,#N/A,TRUE,"Inv - Alac";#N/A,#N/A,TRUE,"Nuclear Fuel";#N/A,#N/A,TRUE,"Nuclear Invoice";#N/A,#N/A,TRUE,"Sch A - Alachua";#N/A,#N/A,TRUE,"Gen Replace Cap";#N/A,#N/A,TRUE,"SCHED C - Alachua"}</definedName>
    <definedName name="wrn.Page._.1." localSheetId="8" hidden="1">{"Page 1",#N/A,FALSE,"Sheet1";"Page 2",#N/A,FALSE,"Sheet1"}</definedName>
    <definedName name="wrn.Page._.1." localSheetId="1" hidden="1">{"Page 1",#N/A,FALSE,"Sheet1";"Page 2",#N/A,FALSE,"Sheet1"}</definedName>
    <definedName name="wrn.Page._.1." localSheetId="9" hidden="1">{"Page 1",#N/A,FALSE,"Sheet1";"Page 2",#N/A,FALSE,"Sheet1"}</definedName>
    <definedName name="wrn.Page._.1." hidden="1">{"Page 1",#N/A,FALSE,"Sheet1";"Page 2",#N/A,FALSE,"Sheet1"}</definedName>
    <definedName name="wrn.PORTFOLIO." localSheetId="8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localSheetId="1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localSheetId="9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REMDISC." localSheetId="8" hidden="1">{#N/A,#N/A,FALSE,"EXPENSE"}</definedName>
    <definedName name="wrn.PREMDISC." localSheetId="1" hidden="1">{#N/A,#N/A,FALSE,"EXPENSE"}</definedName>
    <definedName name="wrn.PREMDISC." localSheetId="9" hidden="1">{#N/A,#N/A,FALSE,"EXPENSE"}</definedName>
    <definedName name="wrn.PREMDISC." hidden="1">{#N/A,#N/A,FALSE,"EXPENSE"}</definedName>
    <definedName name="wrn.print." localSheetId="8" hidden="1">{"Input",#N/A,FALSE,"Input";"trueup",#N/A,FALSE,"Input";"Interest",#N/A,FALSE,"Input"}</definedName>
    <definedName name="wrn.print." localSheetId="1" hidden="1">{"Input",#N/A,FALSE,"Input";"trueup",#N/A,FALSE,"Input";"Interest",#N/A,FALSE,"Input"}</definedName>
    <definedName name="wrn.print." localSheetId="9" hidden="1">{"Input",#N/A,FALSE,"Input";"trueup",#N/A,FALSE,"Input";"Interest",#N/A,FALSE,"Input"}</definedName>
    <definedName name="wrn.print." hidden="1">{"Input",#N/A,FALSE,"Input";"trueup",#N/A,FALSE,"Input";"Interest",#N/A,FALSE,"Input"}</definedName>
    <definedName name="wrn.print._.graphs." localSheetId="8" hidden="1">{"cap_structure",#N/A,FALSE,"Graph-Mkt Cap";"price",#N/A,FALSE,"Graph-Price";"ebit",#N/A,FALSE,"Graph-EBITDA";"ebitda",#N/A,FALSE,"Graph-EBITDA"}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localSheetId="9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8" hidden="1">{"inputs raw data",#N/A,TRUE,"INPUT"}</definedName>
    <definedName name="wrn.print._.raw._.data._.entry." localSheetId="1" hidden="1">{"inputs raw data",#N/A,TRUE,"INPUT"}</definedName>
    <definedName name="wrn.print._.raw._.data._.entry." localSheetId="9" hidden="1">{"inputs raw data",#N/A,TRUE,"INPUT"}</definedName>
    <definedName name="wrn.print._.raw._.data._.entry." hidden="1">{"inputs raw data",#N/A,TRUE,"INPUT"}</definedName>
    <definedName name="wrn.print._.summary._.sheets." localSheetId="8" hidden="1">{"summary1",#N/A,TRUE,"Comps";"summary2",#N/A,TRUE,"Comps";"summary3",#N/A,TRUE,"Comps"}</definedName>
    <definedName name="wrn.print._.summary._.sheets." localSheetId="1" hidden="1">{"summary1",#N/A,TRUE,"Comps";"summary2",#N/A,TRUE,"Comps";"summary3",#N/A,TRUE,"Comps"}</definedName>
    <definedName name="wrn.print._.summary._.sheets." localSheetId="9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8" hidden="1">{"summary1",#N/A,TRUE,"Comps";"summary2",#N/A,TRUE,"Comps";"summary3",#N/A,TRUE,"Comps"}</definedName>
    <definedName name="wrn.print._.summary._.sheets.2" localSheetId="1" hidden="1">{"summary1",#N/A,TRUE,"Comps";"summary2",#N/A,TRUE,"Comps";"summary3",#N/A,TRUE,"Comps"}</definedName>
    <definedName name="wrn.print._.summary._.sheets.2" localSheetId="9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_Buyer." localSheetId="8" hidden="1">{#N/A,"DR",FALSE,"increm pf";#N/A,"MAMSI",FALSE,"increm pf";#N/A,"MAXI",FALSE,"increm pf";#N/A,"PCAM",FALSE,"increm pf";#N/A,"PHSV",FALSE,"increm pf";#N/A,"SIE",FALSE,"increm pf"}</definedName>
    <definedName name="wrn.Print_Buyer." localSheetId="1" hidden="1">{#N/A,"DR",FALSE,"increm pf";#N/A,"MAMSI",FALSE,"increm pf";#N/A,"MAXI",FALSE,"increm pf";#N/A,"PCAM",FALSE,"increm pf";#N/A,"PHSV",FALSE,"increm pf";#N/A,"SIE",FALSE,"increm pf"}</definedName>
    <definedName name="wrn.Print_Buyer." localSheetId="9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8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9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Exhibits." localSheetId="8" hidden="1">{"EXHSPortrait1",#N/A,FALSE,"EXHIBITS";"EXHSLandscape",#N/A,FALSE,"EXHIBITS";"EXHSPortrait2",#N/A,FALSE,"EXHIBITS";"EXHSPortrait3",#N/A,FALSE,"EXHIBITS";"EXHSPortrait4",#N/A,FALSE,"EXHIBITS"}</definedName>
    <definedName name="wrn.PrintExhibits." localSheetId="1" hidden="1">{"EXHSPortrait1",#N/A,FALSE,"EXHIBITS";"EXHSLandscape",#N/A,FALSE,"EXHIBITS";"EXHSPortrait2",#N/A,FALSE,"EXHIBITS";"EXHSPortrait3",#N/A,FALSE,"EXHIBITS";"EXHSPortrait4",#N/A,FALSE,"EXHIBITS"}</definedName>
    <definedName name="wrn.PrintExhibits." localSheetId="9" hidden="1">{"EXHSPortrait1",#N/A,FALSE,"EXHIBITS";"EXHSLandscape",#N/A,FALSE,"EXHIBITS";"EXHSPortrait2",#N/A,FALSE,"EXHIBITS";"EXHSPortrait3",#N/A,FALSE,"EXHIBITS";"EXHSPortrait4",#N/A,FALSE,"EXHIBITS"}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Y_Sum." localSheetId="8" hidden="1">{"PY_SumDol",#N/A,TRUE,"Revenue";"PY_SumPct",#N/A,TRUE,"Revenue"}</definedName>
    <definedName name="wrn.PY_Sum." localSheetId="1" hidden="1">{"PY_SumDol",#N/A,TRUE,"Revenue";"PY_SumPct",#N/A,TRUE,"Revenue"}</definedName>
    <definedName name="wrn.PY_Sum." localSheetId="9" hidden="1">{"PY_SumDol",#N/A,TRUE,"Revenue";"PY_SumPct",#N/A,TRUE,"Revenue"}</definedName>
    <definedName name="wrn.PY_Sum." hidden="1">{"PY_SumDol",#N/A,TRUE,"Revenue";"PY_SumPct",#N/A,TRUE,"Revenue"}</definedName>
    <definedName name="wrn.Rate._.Reports." localSheetId="8" hidden="1">{#N/A,#N/A,FALSE,"Monthly Rate By Activity";#N/A,#N/A,FALSE,"Hourly Rate By Activity";#N/A,#N/A,FALSE,"Monthly Rate By Custom Resource";#N/A,#N/A,FALSE,"Hourly Rate By Custom Resource"}</definedName>
    <definedName name="wrn.Rate._.Reports." localSheetId="1" hidden="1">{#N/A,#N/A,FALSE,"Monthly Rate By Activity";#N/A,#N/A,FALSE,"Hourly Rate By Activity";#N/A,#N/A,FALSE,"Monthly Rate By Custom Resource";#N/A,#N/A,FALSE,"Hourly Rate By Custom Resource"}</definedName>
    <definedName name="wrn.Rate._.Reports." localSheetId="9" hidden="1">{#N/A,#N/A,FALSE,"Monthly Rate By Activity";#N/A,#N/A,FALSE,"Hourly Rate By Activity";#N/A,#N/A,FALSE,"Monthly Rate By Custom Resource";#N/A,#N/A,FALSE,"Hourly Rate By Custom Resource"}</definedName>
    <definedName name="wrn.Rate._.Reports." hidden="1">{#N/A,#N/A,FALSE,"Monthly Rate By Activity";#N/A,#N/A,FALSE,"Hourly Rate By Activity";#N/A,#N/A,FALSE,"Monthly Rate By Custom Resource";#N/A,#N/A,FALSE,"Hourly Rate By Custom Resource"}</definedName>
    <definedName name="wrn.Reconciliation._.151." localSheetId="8" hidden="1">{"Reconciliation 151",#N/A,FALSE,"A"}</definedName>
    <definedName name="wrn.Reconciliation._.151." localSheetId="1" hidden="1">{"Reconciliation 151",#N/A,FALSE,"A"}</definedName>
    <definedName name="wrn.Reconciliation._.151." localSheetId="9" hidden="1">{"Reconciliation 151",#N/A,FALSE,"A"}</definedName>
    <definedName name="wrn.Reconciliation._.151." hidden="1">{"Reconciliation 151",#N/A,FALSE,"A"}</definedName>
    <definedName name="wrn.Rippert." localSheetId="8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Rippert." localSheetId="1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Rippert." localSheetId="9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Rippert.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SCDSM." localSheetId="8" hidden="1">{"SC DSM",#N/A,FALSE,"SCHEDULE A; SC"}</definedName>
    <definedName name="wrn.SCDSM." localSheetId="1" hidden="1">{"SC DSM",#N/A,FALSE,"SCHEDULE A; SC"}</definedName>
    <definedName name="wrn.SCDSM." localSheetId="9" hidden="1">{"SC DSM",#N/A,FALSE,"SCHEDULE A; SC"}</definedName>
    <definedName name="wrn.SCDSM." hidden="1">{"SC DSM",#N/A,FALSE,"SCHEDULE A; SC"}</definedName>
    <definedName name="wrn.Schedule._.2c." localSheetId="8" hidden="1">{"Schedule 2c",#N/A,FALSE,"SCHEDULE2c"}</definedName>
    <definedName name="wrn.Schedule._.2c." localSheetId="1" hidden="1">{"Schedule 2c",#N/A,FALSE,"SCHEDULE2c"}</definedName>
    <definedName name="wrn.Schedule._.2c." localSheetId="9" hidden="1">{"Schedule 2c",#N/A,FALSE,"SCHEDULE2c"}</definedName>
    <definedName name="wrn.Schedule._.2c." hidden="1">{"Schedule 2c",#N/A,FALSE,"SCHEDULE2c"}</definedName>
    <definedName name="wrn.Schedule._.5." localSheetId="8" hidden="1">{"Schedule 5",#N/A,FALSE,"A"}</definedName>
    <definedName name="wrn.Schedule._.5." localSheetId="1" hidden="1">{"Schedule 5",#N/A,FALSE,"A"}</definedName>
    <definedName name="wrn.Schedule._.5." localSheetId="9" hidden="1">{"Schedule 5",#N/A,FALSE,"A"}</definedName>
    <definedName name="wrn.Schedule._.5." hidden="1">{"Schedule 5",#N/A,FALSE,"A"}</definedName>
    <definedName name="wrn.Staffing." localSheetId="8" hidden="1">{#N/A,#N/A,FALSE,"Assessment";#N/A,#N/A,FALSE,"Staffing";#N/A,#N/A,FALSE,"Hires";#N/A,#N/A,FALSE,"Assumptions"}</definedName>
    <definedName name="wrn.Staffing." localSheetId="1" hidden="1">{#N/A,#N/A,FALSE,"Assessment";#N/A,#N/A,FALSE,"Staffing";#N/A,#N/A,FALSE,"Hires";#N/A,#N/A,FALSE,"Assumptions"}</definedName>
    <definedName name="wrn.Staffing." localSheetId="9" hidden="1">{#N/A,#N/A,FALSE,"Assessment";#N/A,#N/A,FALSE,"Staffing";#N/A,#N/A,FALSE,"Hires";#N/A,#N/A,FALSE,"Assumptions"}</definedName>
    <definedName name="wrn.Staffing." hidden="1">{#N/A,#N/A,FALSE,"Assessment";#N/A,#N/A,FALSE,"Staffing";#N/A,#N/A,FALSE,"Hires";#N/A,#N/A,FALSE,"Assumptions"}</definedName>
    <definedName name="wrn.Staffing._.Inputs." localSheetId="8" hidden="1">{#N/A,#N/A,FALSE,"Overall Staffing Review";#N/A,#N/A,FALSE,"Detailed Resource Mix Review";#N/A,#N/A,FALSE,"Detailed Pyramid Review";#N/A,#N/A,FALSE,"Hours By Activity";#N/A,#N/A,FALSE,"Hours By Custom Resource"}</definedName>
    <definedName name="wrn.Staffing._.Inputs." localSheetId="1" hidden="1">{#N/A,#N/A,FALSE,"Overall Staffing Review";#N/A,#N/A,FALSE,"Detailed Resource Mix Review";#N/A,#N/A,FALSE,"Detailed Pyramid Review";#N/A,#N/A,FALSE,"Hours By Activity";#N/A,#N/A,FALSE,"Hours By Custom Resource"}</definedName>
    <definedName name="wrn.Staffing._.Inputs." localSheetId="9" hidden="1">{#N/A,#N/A,FALSE,"Overall Staffing Review";#N/A,#N/A,FALSE,"Detailed Resource Mix Review";#N/A,#N/A,FALSE,"Detailed Pyramid Review";#N/A,#N/A,FALSE,"Hours By Activity";#N/A,#N/A,FALSE,"Hours By Custom Resource"}</definedName>
    <definedName name="wrn.Staffing._.Inputs." hidden="1">{#N/A,#N/A,FALSE,"Overall Staffing Review";#N/A,#N/A,FALSE,"Detailed Resource Mix Review";#N/A,#N/A,FALSE,"Detailed Pyramid Review";#N/A,#N/A,FALSE,"Hours By Activity";#N/A,#N/A,FALSE,"Hours By Custom Resource"}</definedName>
    <definedName name="wrn.Staffing1" localSheetId="8" hidden="1">{#N/A,#N/A,FALSE,"Assessment";#N/A,#N/A,FALSE,"Staffing";#N/A,#N/A,FALSE,"Hires";#N/A,#N/A,FALSE,"Assumptions"}</definedName>
    <definedName name="wrn.Staffing1" localSheetId="1" hidden="1">{#N/A,#N/A,FALSE,"Assessment";#N/A,#N/A,FALSE,"Staffing";#N/A,#N/A,FALSE,"Hires";#N/A,#N/A,FALSE,"Assumptions"}</definedName>
    <definedName name="wrn.Staffing1" localSheetId="9" hidden="1">{#N/A,#N/A,FALSE,"Assessment";#N/A,#N/A,FALSE,"Staffing";#N/A,#N/A,FALSE,"Hires";#N/A,#N/A,FALSE,"Assumptions"}</definedName>
    <definedName name="wrn.Staffing1" hidden="1">{#N/A,#N/A,FALSE,"Assessment";#N/A,#N/A,FALSE,"Staffing";#N/A,#N/A,FALSE,"Hires";#N/A,#N/A,FALSE,"Assumptions"}</definedName>
    <definedName name="wrn.STAND_ALONE_BOTH." localSheetId="8" hidden="1">{"FCB_ALL",#N/A,FALSE,"FCB";"GREY_ALL",#N/A,FALSE,"GREY"}</definedName>
    <definedName name="wrn.STAND_ALONE_BOTH." localSheetId="1" hidden="1">{"FCB_ALL",#N/A,FALSE,"FCB";"GREY_ALL",#N/A,FALSE,"GREY"}</definedName>
    <definedName name="wrn.STAND_ALONE_BOTH." localSheetId="9" hidden="1">{"FCB_ALL",#N/A,FALSE,"FCB";"GREY_ALL",#N/A,FALSE,"GREY"}</definedName>
    <definedName name="wrn.STAND_ALONE_BOTH." hidden="1">{"FCB_ALL",#N/A,FALSE,"FCB";"GREY_ALL",#N/A,FALSE,"GREY"}</definedName>
    <definedName name="wrn.STETSON." localSheetId="8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1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9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ve._.Package." localSheetId="8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localSheetId="1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localSheetId="9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ummary._.Report." localSheetId="11" hidden="1">{"Mwh Summary",#N/A,FALSE,"Mwh Analysis";"Burn Summary",#N/A,FALSE,"Burned Analysis";"Summary 2008",#N/A,FALSE,"Summary 2008"}</definedName>
    <definedName name="wrn.Summary._.Report." localSheetId="12" hidden="1">{"Mwh Summary",#N/A,FALSE,"Mwh Analysis";"Burn Summary",#N/A,FALSE,"Burned Analysis";"Summary 2008",#N/A,FALSE,"Summary 2008"}</definedName>
    <definedName name="wrn.Summary._.Report." localSheetId="8" hidden="1">{"Mwh Summary",#N/A,FALSE,"Mwh Analysis";"Burn Summary",#N/A,FALSE,"Burned Analysis";"Summary 2008",#N/A,FALSE,"Summary 2008"}</definedName>
    <definedName name="wrn.Summary._.Report." localSheetId="13" hidden="1">{"Mwh Summary",#N/A,FALSE,"Mwh Analysis";"Burn Summary",#N/A,FALSE,"Burned Analysis";"Summary 2008",#N/A,FALSE,"Summary 2008"}</definedName>
    <definedName name="wrn.Summary._.Report." localSheetId="1" hidden="1">{"Mwh Summary",#N/A,FALSE,"Mwh Analysis";"Burn Summary",#N/A,FALSE,"Burned Analysis";"Summary 2008",#N/A,FALSE,"Summary 2008"}</definedName>
    <definedName name="wrn.Summary._.Report." localSheetId="9" hidden="1">{"Mwh Summary",#N/A,FALSE,"Mwh Analysis";"Burn Summary",#N/A,FALSE,"Burned Analysis";"Summary 2008",#N/A,FALSE,"Summary 2008"}</definedName>
    <definedName name="wrn.Summary._.Report." hidden="1">{"Mwh Summary",#N/A,FALSE,"Mwh Analysis";"Burn Summary",#N/A,FALSE,"Burned Analysis";"Summary 2008",#N/A,FALSE,"Summary 2008"}</definedName>
    <definedName name="wrn.Supplemental._.Information." localSheetId="8" hidden="1">{#N/A,#N/A,FALSE,"Assumptions";#N/A,#N/A,FALSE,"DNP Expense Summary";#N/A,#N/A,FALSE,"Sensitivity Analysis"}</definedName>
    <definedName name="wrn.Supplemental._.Information." localSheetId="1" hidden="1">{#N/A,#N/A,FALSE,"Assumptions";#N/A,#N/A,FALSE,"DNP Expense Summary";#N/A,#N/A,FALSE,"Sensitivity Analysis"}</definedName>
    <definedName name="wrn.Supplemental._.Information." localSheetId="9" hidden="1">{#N/A,#N/A,FALSE,"Assumptions";#N/A,#N/A,FALSE,"DNP Expense Summary";#N/A,#N/A,FALSE,"Sensitivity Analysis"}</definedName>
    <definedName name="wrn.Supplemental._.Information." hidden="1">{#N/A,#N/A,FALSE,"Assumptions";#N/A,#N/A,FALSE,"DNP Expense Summary";#N/A,#N/A,FALSE,"Sensitivity Analysis"}</definedName>
    <definedName name="wrn.TESTS." localSheetId="8" hidden="1">{"PAGE_1",#N/A,FALSE,"MONTH"}</definedName>
    <definedName name="wrn.TESTS." localSheetId="1" hidden="1">{"PAGE_1",#N/A,FALSE,"MONTH"}</definedName>
    <definedName name="wrn.TESTS." localSheetId="9" hidden="1">{"PAGE_1",#N/A,FALSE,"MONTH"}</definedName>
    <definedName name="wrn.TESTS." hidden="1">{"PAGE_1",#N/A,FALSE,"MONTH"}</definedName>
    <definedName name="wrn.Trading._.Summary." localSheetId="8" hidden="1">{#N/A,#N/A,FALSE,"Trading Summary"}</definedName>
    <definedName name="wrn.Trading._.Summary." localSheetId="1" hidden="1">{#N/A,#N/A,FALSE,"Trading Summary"}</definedName>
    <definedName name="wrn.Trading._.Summary." localSheetId="9" hidden="1">{#N/A,#N/A,FALSE,"Trading Summary"}</definedName>
    <definedName name="wrn.Trading._.Summary." hidden="1">{#N/A,#N/A,FALSE,"Trading Summary"}</definedName>
    <definedName name="wrn.Unit._.Financials." localSheetId="8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nit._.Financials." localSheetId="1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nit._.Financials." localSheetId="9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nit._.Financials.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SA." localSheetId="8" hidden="1">{#N/A,#N/A,FALSE,"USA"}</definedName>
    <definedName name="wrn.USA." localSheetId="1" hidden="1">{#N/A,#N/A,FALSE,"USA"}</definedName>
    <definedName name="wrn.USA." localSheetId="9" hidden="1">{#N/A,#N/A,FALSE,"USA"}</definedName>
    <definedName name="wrn.USA." hidden="1">{#N/A,#N/A,FALSE,"USA"}</definedName>
    <definedName name="wrn.Workfile." localSheetId="8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1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9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localSheetId="8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1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9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WY." localSheetId="8" hidden="1">{#N/A,#N/A,FALSE,"WWY"}</definedName>
    <definedName name="wrn.WWY." localSheetId="1" hidden="1">{#N/A,#N/A,FALSE,"WWY"}</definedName>
    <definedName name="wrn.WWY." localSheetId="9" hidden="1">{#N/A,#N/A,FALSE,"WWY"}</definedName>
    <definedName name="wrn.WWY." hidden="1">{#N/A,#N/A,FALSE,"WWY"}</definedName>
    <definedName name="wrt" localSheetId="8" hidden="1">{#N/A,#N/A,FALSE,"EXPENSE"}</definedName>
    <definedName name="wrt" localSheetId="1" hidden="1">{#N/A,#N/A,FALSE,"EXPENSE"}</definedName>
    <definedName name="wrt" localSheetId="9" hidden="1">{#N/A,#N/A,FALSE,"EXPENSE"}</definedName>
    <definedName name="wrt" hidden="1">{#N/A,#N/A,FALSE,"EXPENSE"}</definedName>
    <definedName name="wrwerrwer" localSheetId="8" hidden="1">{#N/A,#N/A,FALSE,"ALLOC"}</definedName>
    <definedName name="wrwerrwer" localSheetId="1" hidden="1">{#N/A,#N/A,FALSE,"ALLOC"}</definedName>
    <definedName name="wrwerrwer" localSheetId="9" hidden="1">{#N/A,#N/A,FALSE,"ALLOC"}</definedName>
    <definedName name="wrwerrwer" hidden="1">{#N/A,#N/A,FALSE,"ALLOC"}</definedName>
    <definedName name="wtyu" localSheetId="8" hidden="1">{#N/A,#N/A,FALSE,"Aging Summary";#N/A,#N/A,FALSE,"Ratio Analysis";#N/A,#N/A,FALSE,"Test 120 Day Accts";#N/A,#N/A,FALSE,"Tickmarks"}</definedName>
    <definedName name="wtyu" localSheetId="1" hidden="1">{#N/A,#N/A,FALSE,"Aging Summary";#N/A,#N/A,FALSE,"Ratio Analysis";#N/A,#N/A,FALSE,"Test 120 Day Accts";#N/A,#N/A,FALSE,"Tickmarks"}</definedName>
    <definedName name="wtyu" localSheetId="9" hidden="1">{#N/A,#N/A,FALSE,"Aging Summary";#N/A,#N/A,FALSE,"Ratio Analysis";#N/A,#N/A,FALSE,"Test 120 Day Accts";#N/A,#N/A,FALSE,"Tickmarks"}</definedName>
    <definedName name="wtyu" hidden="1">{#N/A,#N/A,FALSE,"Aging Summary";#N/A,#N/A,FALSE,"Ratio Analysis";#N/A,#N/A,FALSE,"Test 120 Day Accts";#N/A,#N/A,FALSE,"Tickmarks"}</definedName>
    <definedName name="wvu.inputs._.raw._.data." localSheetId="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9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int1." localSheetId="8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localSheetId="1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localSheetId="9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2." localSheetId="8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localSheetId="1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localSheetId="9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3." localSheetId="8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localSheetId="1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localSheetId="9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summary1." localSheetId="8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9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8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9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9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wwww" localSheetId="8" hidden="1">{#N/A,#N/A,FALSE,"EXPENSE"}</definedName>
    <definedName name="wwwwwww" localSheetId="1" hidden="1">{#N/A,#N/A,FALSE,"EXPENSE"}</definedName>
    <definedName name="wwwwwww" localSheetId="9" hidden="1">{#N/A,#N/A,FALSE,"EXPENSE"}</definedName>
    <definedName name="wwwwwww" hidden="1">{#N/A,#N/A,FALSE,"EXPENSE"}</definedName>
    <definedName name="X" localSheetId="27">#REF!</definedName>
    <definedName name="X" localSheetId="0">#REF!</definedName>
    <definedName name="x" localSheetId="8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14">#REF!</definedName>
    <definedName name="X" localSheetId="15">#REF!</definedName>
    <definedName name="X" localSheetId="16">#REF!</definedName>
    <definedName name="X" localSheetId="21">#REF!</definedName>
    <definedName name="X" localSheetId="22">#REF!</definedName>
    <definedName name="X" localSheetId="23">#REF!</definedName>
    <definedName name="X" localSheetId="1">#REF!</definedName>
    <definedName name="x" localSheetId="9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brl_Tag_02ead093_8098_4561_b1a6_35aad0b3b539" hidden="1">#REF!</definedName>
    <definedName name="Xbrl_Tag_075d33f9_8d44_4b5e_8fc8_85eada4f464a" hidden="1">#REF!</definedName>
    <definedName name="Xbrl_Tag_0a527475_1b41_4c03_bf3e_82e631232d6b" hidden="1">#REF!</definedName>
    <definedName name="Xbrl_Tag_0bc4560b_9d42_4e7c_bfcf_072f8e0e087b" hidden="1">#REF!</definedName>
    <definedName name="Xbrl_Tag_0c54907b_74c4_4d3a_b16d_9d5b6191a8f0" hidden="1">#REF!</definedName>
    <definedName name="Xbrl_Tag_0f074d5a_3373_452d_affc_9e3adc16f0cc" hidden="1">#REF!</definedName>
    <definedName name="Xbrl_Tag_10857a19_f8a4_4178_b6d5_1f56875498d8" hidden="1">#REF!</definedName>
    <definedName name="Xbrl_Tag_157035cb_bd67_4700_bac9_8654f3e0e9d9" hidden="1">#REF!</definedName>
    <definedName name="Xbrl_Tag_1a17ee58_77be_41d6_a839_b459b55e8e50" hidden="1">#REF!</definedName>
    <definedName name="Xbrl_Tag_1d7e0664_9af3_4cfd_93bd_b4acb420ada8" hidden="1">#REF!</definedName>
    <definedName name="Xbrl_Tag_1f22c9c6_d780_4c43_95fb_8b6123261b05" hidden="1">#REF!</definedName>
    <definedName name="Xbrl_Tag_25b41a93_9486_45f9_8873_cc646f7592ac" hidden="1">#REF!</definedName>
    <definedName name="Xbrl_Tag_3389f7d8_f533_46e1_b4e3_fbec1f4d27f5" hidden="1">#REF!</definedName>
    <definedName name="Xbrl_Tag_359d872e_df59_485a_a441_e3067597753f" hidden="1">#REF!</definedName>
    <definedName name="Xbrl_Tag_359eab43_6bae_4f5a_8af7_8f81553cd43d" hidden="1">#REF!</definedName>
    <definedName name="Xbrl_Tag_3a2d5606_5470_4db9_9313_3dc1f43a8b30" hidden="1">#REF!</definedName>
    <definedName name="Xbrl_Tag_3b572db0_b5be_49cb_9497_3be0c26ec438" hidden="1">#REF!</definedName>
    <definedName name="Xbrl_Tag_3e2a4b0f_a9ba_404c_8c83_bbd3862592e4" hidden="1">#REF!</definedName>
    <definedName name="Xbrl_Tag_3f1c33f0_bff2_4296_9181_d7cc1cb508ad" hidden="1">#REF!</definedName>
    <definedName name="Xbrl_Tag_43160aa8_61a0_4559_8ee5_d6da660cfd7b" hidden="1">#REF!</definedName>
    <definedName name="Xbrl_Tag_47e22a59_7971_444b_8e73_01e5291185bb" hidden="1">#REF!</definedName>
    <definedName name="Xbrl_Tag_5225a8bc_9d76_4e4d_8197_37f70d298267" hidden="1">#REF!</definedName>
    <definedName name="Xbrl_Tag_56e27846_9e07_4473_ad08_7bb4a5bf7faa" hidden="1">#REF!</definedName>
    <definedName name="Xbrl_Tag_5b7286ee_d427_4e54_9399_1a836cd32976" hidden="1">#REF!</definedName>
    <definedName name="Xbrl_Tag_5e2f6e4c_effc_4374_9096_f6a66490bc43" hidden="1">#REF!</definedName>
    <definedName name="Xbrl_Tag_5e4ed468_08c0_4e10_b780_063e9fad75bb" hidden="1">#REF!</definedName>
    <definedName name="Xbrl_Tag_5efedf90_6eb4_4d47_8343_cb1307f08d80" hidden="1">#REF!</definedName>
    <definedName name="Xbrl_Tag_60671786_7f0e_4efe_b101_fc89065bbbc4" hidden="1">#REF!</definedName>
    <definedName name="Xbrl_Tag_60802841_ecf0_4e57_a96e_084d65541dcb" hidden="1">#REF!</definedName>
    <definedName name="Xbrl_Tag_6b90dd42_fcd8_4968_8afd_6736492259b1" hidden="1">#REF!</definedName>
    <definedName name="Xbrl_Tag_6e1527a0_8e9b_41c7_b670_b6099df9c72f" hidden="1">#REF!</definedName>
    <definedName name="Xbrl_Tag_7003e101_ef6f_40fd_959a_81c14d2cf88a" hidden="1">#REF!</definedName>
    <definedName name="Xbrl_Tag_7120f3c6_2d5d_417b_9dd0_ecab9471dbc9" hidden="1">#REF!</definedName>
    <definedName name="Xbrl_Tag_717e1b49_4a4d_41a2_8691_a3ef7d067cf1" hidden="1">#REF!</definedName>
    <definedName name="Xbrl_Tag_729b319e_8812_4e23_9b44_cd813ffaf1fe" hidden="1">#REF!</definedName>
    <definedName name="Xbrl_Tag_74e27f18_3a0d_499e_a65b_355cefde250d" hidden="1">#REF!</definedName>
    <definedName name="Xbrl_Tag_76377ee8_44ec_4706_b36c_e475d4a6cffc" hidden="1">#REF!</definedName>
    <definedName name="Xbrl_Tag_7bfd249d_4459_4a20_97f6_779ca44ada3b" hidden="1">#REF!</definedName>
    <definedName name="Xbrl_Tag_848a3bbd_ffb9_4097_93bf_014229938d6a" hidden="1">#REF!</definedName>
    <definedName name="Xbrl_Tag_8d5cd3d4_55e4_4713_bce9_54948c631266" hidden="1">#REF!</definedName>
    <definedName name="Xbrl_Tag_9265a09f_3d1f_4e90_8181_a55f534abcf7" hidden="1">#REF!</definedName>
    <definedName name="Xbrl_Tag_94cf5a67_ea28_42d1_b071_8f24a2864445" hidden="1">#REF!</definedName>
    <definedName name="Xbrl_Tag_95086fc4_6c0f_4a0f_bf5f_c393cf959e9a" hidden="1">#REF!</definedName>
    <definedName name="Xbrl_Tag_99933dd6_f0fc_421a_9b9b_634b2b60dec3" hidden="1">#REF!</definedName>
    <definedName name="Xbrl_Tag_a862d720_9241_4a30_a271_b70e9c381f31" hidden="1">#REF!</definedName>
    <definedName name="Xbrl_Tag_adfbba3c_68ad_4b08_a539_0ed55d3f9d5a" hidden="1">#REF!</definedName>
    <definedName name="Xbrl_Tag_ae50734f_518c_403d_9d12_e2a921b026bb" hidden="1">#REF!</definedName>
    <definedName name="Xbrl_Tag_b0241925_c1ae_46bf_a767_386c3caff01d" hidden="1">#REF!</definedName>
    <definedName name="Xbrl_Tag_b5d40829_0fdd_433d_a950_71e472d9ef83" hidden="1">#REF!</definedName>
    <definedName name="Xbrl_Tag_b649d62e_a6bc_4241_a6b7_068087ca85f4" hidden="1">#REF!</definedName>
    <definedName name="Xbrl_Tag_b8bf6112_e4b6_49dc_ba78_da6302bc43e7" hidden="1">#REF!</definedName>
    <definedName name="Xbrl_Tag_bae390fc_4591_4996_aba5_07899907ff02" hidden="1">#REF!</definedName>
    <definedName name="Xbrl_Tag_c251f426_b699_40b7_ba72_06cdc2336bb3" hidden="1">#REF!</definedName>
    <definedName name="Xbrl_Tag_c9749016_30d3_4a1c_a478_72760a5958e3" hidden="1">#REF!</definedName>
    <definedName name="Xbrl_Tag_c9f670e1_f64d_4c34_a82b_5400bfb21c56" hidden="1">#REF!</definedName>
    <definedName name="Xbrl_Tag_cd60a268_2a82_4c24_ac15_f0f7ad874107" hidden="1">#REF!</definedName>
    <definedName name="Xbrl_Tag_cedeaf5a_67a1_461e_8505_b0f9b2659e01" hidden="1">#REF!</definedName>
    <definedName name="Xbrl_Tag_d4afa79e_d64b_4386_af66_81110932cac7" hidden="1">#REF!</definedName>
    <definedName name="Xbrl_Tag_d646885a_13e7_48b6_a22b_b23dd67119ff" hidden="1">#REF!</definedName>
    <definedName name="Xbrl_Tag_d9ae9ca8_593c_41e1_a638_114bebca7596" hidden="1">#REF!</definedName>
    <definedName name="Xbrl_Tag_e18ec5c4_a090_4244_ac37_0dcecc7c81d8" hidden="1">#REF!</definedName>
    <definedName name="Xbrl_Tag_e1ea8c88_b797_4407_a87d_9da2892362e4" hidden="1">#REF!</definedName>
    <definedName name="Xbrl_Tag_e75da760_6958_4085_aa7d_1b3c5e32dd34" hidden="1">#REF!</definedName>
    <definedName name="Xbrl_Tag_e8bfc542_785c_45ec_9dbe_3b93db69332e" hidden="1">#REF!</definedName>
    <definedName name="Xbrl_Tag_eade47b0_2243_4d32_861b_8c3268e26cf3" hidden="1">#REF!</definedName>
    <definedName name="Xbrl_Tag_ed34a669_2210_43e3_8d94_63f3a7a48c96" hidden="1">#REF!</definedName>
    <definedName name="Xbrl_Tag_ee7a2416_a975_4201_9277_8290d8908ccf" hidden="1">#REF!</definedName>
    <definedName name="Xbrl_Tag_ee8a51a9_161a_4f09_82e8_d18efd1119a1" hidden="1">#REF!</definedName>
    <definedName name="Xbrl_Tag_efa044fd_a1b2_40a5_b1f9_72090c947b21" hidden="1">#REF!</definedName>
    <definedName name="Xbrl_Tag_f5d3fddf_4f85_4525_871f_f5d116e6ca67" hidden="1">#REF!</definedName>
    <definedName name="Xbrl_Tag_f80d63c5_ffff_4f9e_a25e_9c37480fc1ae" hidden="1">#REF!</definedName>
    <definedName name="Xbrl_Tag_f91e44a0_2671_4cea_8dec_43ad8dbe440f" hidden="1">#REF!</definedName>
    <definedName name="Xbrl_Tag_fab5f0e9_4198_47ff_9b56_c2280e7e2d27" hidden="1">#REF!</definedName>
    <definedName name="Xbrl_Tag_fc82f321_49fd_456c_a7a3_9e9b572f9fad" hidden="1">#REF!</definedName>
    <definedName name="Xbrl_Tag_fd0762ba_faef_48ae_8f93_3b1682db973d" hidden="1">#REF!</definedName>
    <definedName name="Xbrl_Tag_fdbfb964_4eb0_44bd_ba7a_9dfdfb13f3a4" hidden="1">#REF!</definedName>
    <definedName name="XRefActiveRow" localSheetId="27" hidden="1">#REF!</definedName>
    <definedName name="XRefActiveRow" localSheetId="0" hidden="1">#REF!</definedName>
    <definedName name="XRefActiveRow" localSheetId="11" hidden="1">#REF!</definedName>
    <definedName name="XRefActiveRow" localSheetId="12" hidden="1">#REF!</definedName>
    <definedName name="XRefActiveRow" localSheetId="8" hidden="1">#REF!</definedName>
    <definedName name="XRefActiveRow" localSheetId="13" hidden="1">#REF!</definedName>
    <definedName name="XRefActiveRow" localSheetId="14" hidden="1">#REF!</definedName>
    <definedName name="XRefActiveRow" localSheetId="15" hidden="1">#REF!</definedName>
    <definedName name="XRefActiveRow" localSheetId="16" hidden="1">#REF!</definedName>
    <definedName name="XRefActiveRow" localSheetId="21" hidden="1">#REF!</definedName>
    <definedName name="XRefActiveRow" localSheetId="22" hidden="1">#REF!</definedName>
    <definedName name="XRefActiveRow" localSheetId="23" hidden="1">#REF!</definedName>
    <definedName name="XRefActiveRow" localSheetId="1" hidden="1">#REF!</definedName>
    <definedName name="XRefActiveRow" localSheetId="9" hidden="1">#REF!</definedName>
    <definedName name="XRefActiveRow" hidden="1">#REF!</definedName>
    <definedName name="XRefColumnsCount" hidden="1">3</definedName>
    <definedName name="XRefCopy1Row" localSheetId="27" hidden="1">#REF!</definedName>
    <definedName name="XRefCopy1Row" localSheetId="0" hidden="1">#REF!</definedName>
    <definedName name="XRefCopy1Row" localSheetId="11" hidden="1">#REF!</definedName>
    <definedName name="XRefCopy1Row" localSheetId="12" hidden="1">#REF!</definedName>
    <definedName name="XRefCopy1Row" localSheetId="8" hidden="1">#REF!</definedName>
    <definedName name="XRefCopy1Row" localSheetId="13" hidden="1">#REF!</definedName>
    <definedName name="XRefCopy1Row" localSheetId="14" hidden="1">#REF!</definedName>
    <definedName name="XRefCopy1Row" localSheetId="15" hidden="1">#REF!</definedName>
    <definedName name="XRefCopy1Row" localSheetId="16" hidden="1">#REF!</definedName>
    <definedName name="XRefCopy1Row" localSheetId="21" hidden="1">#REF!</definedName>
    <definedName name="XRefCopy1Row" localSheetId="22" hidden="1">#REF!</definedName>
    <definedName name="XRefCopy1Row" localSheetId="23" hidden="1">#REF!</definedName>
    <definedName name="XRefCopy1Row" localSheetId="1" hidden="1">#REF!</definedName>
    <definedName name="XRefCopy1Row" localSheetId="9" hidden="1">#REF!</definedName>
    <definedName name="XRefCopy1Row" hidden="1">#REF!</definedName>
    <definedName name="XRefCopy2Row" localSheetId="27" hidden="1">#REF!</definedName>
    <definedName name="XRefCopy2Row" localSheetId="0" hidden="1">#REF!</definedName>
    <definedName name="XRefCopy2Row" localSheetId="11" hidden="1">#REF!</definedName>
    <definedName name="XRefCopy2Row" localSheetId="12" hidden="1">#REF!</definedName>
    <definedName name="XRefCopy2Row" localSheetId="8" hidden="1">#REF!</definedName>
    <definedName name="XRefCopy2Row" localSheetId="13" hidden="1">#REF!</definedName>
    <definedName name="XRefCopy2Row" localSheetId="14" hidden="1">#REF!</definedName>
    <definedName name="XRefCopy2Row" localSheetId="15" hidden="1">#REF!</definedName>
    <definedName name="XRefCopy2Row" localSheetId="16" hidden="1">#REF!</definedName>
    <definedName name="XRefCopy2Row" localSheetId="21" hidden="1">#REF!</definedName>
    <definedName name="XRefCopy2Row" localSheetId="22" hidden="1">#REF!</definedName>
    <definedName name="XRefCopy2Row" localSheetId="23" hidden="1">#REF!</definedName>
    <definedName name="XRefCopy2Row" localSheetId="1" hidden="1">#REF!</definedName>
    <definedName name="XRefCopy2Row" localSheetId="9" hidden="1">#REF!</definedName>
    <definedName name="XRefCopy2Row" hidden="1">#REF!</definedName>
    <definedName name="XRefCopy3Row" localSheetId="27" hidden="1">#REF!</definedName>
    <definedName name="XRefCopy3Row" localSheetId="0" hidden="1">#REF!</definedName>
    <definedName name="XRefCopy3Row" localSheetId="11" hidden="1">#REF!</definedName>
    <definedName name="XRefCopy3Row" localSheetId="12" hidden="1">#REF!</definedName>
    <definedName name="XRefCopy3Row" localSheetId="8" hidden="1">#REF!</definedName>
    <definedName name="XRefCopy3Row" localSheetId="13" hidden="1">#REF!</definedName>
    <definedName name="XRefCopy3Row" localSheetId="14" hidden="1">#REF!</definedName>
    <definedName name="XRefCopy3Row" localSheetId="15" hidden="1">#REF!</definedName>
    <definedName name="XRefCopy3Row" localSheetId="16" hidden="1">#REF!</definedName>
    <definedName name="XRefCopy3Row" localSheetId="21" hidden="1">#REF!</definedName>
    <definedName name="XRefCopy3Row" localSheetId="22" hidden="1">#REF!</definedName>
    <definedName name="XRefCopy3Row" localSheetId="23" hidden="1">#REF!</definedName>
    <definedName name="XRefCopy3Row" localSheetId="1" hidden="1">#REF!</definedName>
    <definedName name="XRefCopy3Row" localSheetId="9" hidden="1">#REF!</definedName>
    <definedName name="XRefCopy3Row" hidden="1">#REF!</definedName>
    <definedName name="XRefCopyRangeCount" hidden="1">3</definedName>
    <definedName name="XRefPaste1Row" localSheetId="27" hidden="1">#REF!</definedName>
    <definedName name="XRefPaste1Row" localSheetId="0" hidden="1">#REF!</definedName>
    <definedName name="XRefPaste1Row" localSheetId="11" hidden="1">#REF!</definedName>
    <definedName name="XRefPaste1Row" localSheetId="12" hidden="1">#REF!</definedName>
    <definedName name="XRefPaste1Row" localSheetId="8" hidden="1">#REF!</definedName>
    <definedName name="XRefPaste1Row" localSheetId="13" hidden="1">#REF!</definedName>
    <definedName name="XRefPaste1Row" localSheetId="14" hidden="1">#REF!</definedName>
    <definedName name="XRefPaste1Row" localSheetId="15" hidden="1">#REF!</definedName>
    <definedName name="XRefPaste1Row" localSheetId="16" hidden="1">#REF!</definedName>
    <definedName name="XRefPaste1Row" localSheetId="21" hidden="1">#REF!</definedName>
    <definedName name="XRefPaste1Row" localSheetId="22" hidden="1">#REF!</definedName>
    <definedName name="XRefPaste1Row" localSheetId="23" hidden="1">#REF!</definedName>
    <definedName name="XRefPaste1Row" localSheetId="1" hidden="1">#REF!</definedName>
    <definedName name="XRefPaste1Row" localSheetId="9" hidden="1">#REF!</definedName>
    <definedName name="XRefPaste1Row" hidden="1">#REF!</definedName>
    <definedName name="XRefPaste2Row" localSheetId="27" hidden="1">#REF!</definedName>
    <definedName name="XRefPaste2Row" localSheetId="0" hidden="1">#REF!</definedName>
    <definedName name="XRefPaste2Row" localSheetId="11" hidden="1">#REF!</definedName>
    <definedName name="XRefPaste2Row" localSheetId="12" hidden="1">#REF!</definedName>
    <definedName name="XRefPaste2Row" localSheetId="8" hidden="1">#REF!</definedName>
    <definedName name="XRefPaste2Row" localSheetId="13" hidden="1">#REF!</definedName>
    <definedName name="XRefPaste2Row" localSheetId="14" hidden="1">#REF!</definedName>
    <definedName name="XRefPaste2Row" localSheetId="15" hidden="1">#REF!</definedName>
    <definedName name="XRefPaste2Row" localSheetId="16" hidden="1">#REF!</definedName>
    <definedName name="XRefPaste2Row" localSheetId="21" hidden="1">#REF!</definedName>
    <definedName name="XRefPaste2Row" localSheetId="22" hidden="1">#REF!</definedName>
    <definedName name="XRefPaste2Row" localSheetId="23" hidden="1">#REF!</definedName>
    <definedName name="XRefPaste2Row" localSheetId="1" hidden="1">#REF!</definedName>
    <definedName name="XRefPaste2Row" localSheetId="9" hidden="1">#REF!</definedName>
    <definedName name="XRefPaste2Row" hidden="1">#REF!</definedName>
    <definedName name="XRefPasteRangeCount" hidden="1">2</definedName>
    <definedName name="xx" localSheetId="27">#REF!</definedName>
    <definedName name="xx" localSheetId="0">#REF!</definedName>
    <definedName name="xx" localSheetId="8">#REF!</definedName>
    <definedName name="xx" localSheetId="14">#REF!</definedName>
    <definedName name="xx" localSheetId="15">#REF!</definedName>
    <definedName name="xx" localSheetId="16">#REF!</definedName>
    <definedName name="xx" localSheetId="21">#REF!</definedName>
    <definedName name="xx" localSheetId="22">#REF!</definedName>
    <definedName name="xx" localSheetId="23">#REF!</definedName>
    <definedName name="xx" localSheetId="1">#REF!</definedName>
    <definedName name="xx" localSheetId="9">#REF!</definedName>
    <definedName name="xx">#REF!</definedName>
    <definedName name="xxx" localSheetId="8" hidden="1">{"capital",#N/A,FALSE,"Analysis";"input data",#N/A,FALSE,"Analysis"}</definedName>
    <definedName name="xxx" localSheetId="1" hidden="1">{"capital",#N/A,FALSE,"Analysis";"input data",#N/A,FALSE,"Analysis"}</definedName>
    <definedName name="xxx" localSheetId="9" hidden="1">{"capital",#N/A,FALSE,"Analysis";"input data",#N/A,FALSE,"Analysis"}</definedName>
    <definedName name="xxx" hidden="1">{"capital",#N/A,FALSE,"Analysis";"input data",#N/A,FALSE,"Analysis"}</definedName>
    <definedName name="xxxxxxxxxxxxxxxxxxxxxx" localSheetId="8" hidden="1">{#N/A,#N/A,FALSE,"EXPENSE"}</definedName>
    <definedName name="xxxxxxxxxxxxxxxxxxxxxx" localSheetId="1" hidden="1">{#N/A,#N/A,FALSE,"EXPENSE"}</definedName>
    <definedName name="xxxxxxxxxxxxxxxxxxxxxx" localSheetId="9" hidden="1">{#N/A,#N/A,FALSE,"EXPENSE"}</definedName>
    <definedName name="xxxxxxxxxxxxxxxxxxxxxx" hidden="1">{#N/A,#N/A,FALSE,"EXPENSE"}</definedName>
    <definedName name="XYZ" localSheetId="8" hidden="1">{"PAGE_1",#N/A,FALSE,"MONTH"}</definedName>
    <definedName name="XYZ" localSheetId="1" hidden="1">{"PAGE_1",#N/A,FALSE,"MONTH"}</definedName>
    <definedName name="XYZ" localSheetId="9" hidden="1">{"PAGE_1",#N/A,FALSE,"MONTH"}</definedName>
    <definedName name="XYZ" hidden="1">{"PAGE_1",#N/A,FALSE,"MONTH"}</definedName>
    <definedName name="xyzUserPassword" hidden="1">"abcd"</definedName>
    <definedName name="xz" localSheetId="8" hidden="1">{#N/A,#N/A,FALSE,"Aging Summary";#N/A,#N/A,FALSE,"Ratio Analysis";#N/A,#N/A,FALSE,"Test 120 Day Accts";#N/A,#N/A,FALSE,"Tickmarks"}</definedName>
    <definedName name="xz" localSheetId="1" hidden="1">{#N/A,#N/A,FALSE,"Aging Summary";#N/A,#N/A,FALSE,"Ratio Analysis";#N/A,#N/A,FALSE,"Test 120 Day Accts";#N/A,#N/A,FALSE,"Tickmarks"}</definedName>
    <definedName name="xz" localSheetId="9" hidden="1">{#N/A,#N/A,FALSE,"Aging Summary";#N/A,#N/A,FALSE,"Ratio Analysis";#N/A,#N/A,FALSE,"Test 120 Day Accts";#N/A,#N/A,FALSE,"Tickmarks"}</definedName>
    <definedName name="xz" hidden="1">{#N/A,#N/A,FALSE,"Aging Summary";#N/A,#N/A,FALSE,"Ratio Analysis";#N/A,#N/A,FALSE,"Test 120 Day Accts";#N/A,#N/A,FALSE,"Tickmarks"}</definedName>
    <definedName name="xzy" localSheetId="8" hidden="1">{#N/A,#N/A,FALSE,"ALLOC"}</definedName>
    <definedName name="xzy" localSheetId="1" hidden="1">{#N/A,#N/A,FALSE,"ALLOC"}</definedName>
    <definedName name="xzy" localSheetId="9" hidden="1">{#N/A,#N/A,FALSE,"ALLOC"}</definedName>
    <definedName name="xzy" hidden="1">{#N/A,#N/A,FALSE,"ALLOC"}</definedName>
    <definedName name="y" hidden="1">#REF!</definedName>
    <definedName name="ydrtydgdg" localSheetId="8" hidden="1">{#N/A,#N/A,FALSE,"EXPENSE"}</definedName>
    <definedName name="ydrtydgdg" localSheetId="1" hidden="1">{#N/A,#N/A,FALSE,"EXPENSE"}</definedName>
    <definedName name="ydrtydgdg" localSheetId="9" hidden="1">{#N/A,#N/A,FALSE,"EXPENSE"}</definedName>
    <definedName name="ydrtydgdg" hidden="1">{#N/A,#N/A,FALSE,"EXPENSE"}</definedName>
    <definedName name="Yes.No">#REF!</definedName>
    <definedName name="yeteterter" localSheetId="8" hidden="1">{#N/A,#N/A,FALSE,"ALLOC"}</definedName>
    <definedName name="yeteterter" localSheetId="1" hidden="1">{#N/A,#N/A,FALSE,"ALLOC"}</definedName>
    <definedName name="yeteterter" localSheetId="9" hidden="1">{#N/A,#N/A,FALSE,"ALLOC"}</definedName>
    <definedName name="yeteterter" hidden="1">{#N/A,#N/A,FALSE,"ALLOC"}</definedName>
    <definedName name="yeyertrt" localSheetId="8" hidden="1">{#N/A,#N/A,FALSE,"ALLOC"}</definedName>
    <definedName name="yeyertrt" localSheetId="1" hidden="1">{#N/A,#N/A,FALSE,"ALLOC"}</definedName>
    <definedName name="yeyertrt" localSheetId="9" hidden="1">{#N/A,#N/A,FALSE,"ALLOC"}</definedName>
    <definedName name="yeyertrt" hidden="1">{#N/A,#N/A,FALSE,"ALLOC"}</definedName>
    <definedName name="yjtdhjhtshbrfgadf" localSheetId="8" hidden="1">{#N/A,#N/A,FALSE,"EXPENSE"}</definedName>
    <definedName name="yjtdhjhtshbrfgadf" localSheetId="1" hidden="1">{#N/A,#N/A,FALSE,"EXPENSE"}</definedName>
    <definedName name="yjtdhjhtshbrfgadf" localSheetId="9" hidden="1">{#N/A,#N/A,FALSE,"EXPENSE"}</definedName>
    <definedName name="yjtdhjhtshbrfgadf" hidden="1">{#N/A,#N/A,FALSE,"EXPENSE"}</definedName>
    <definedName name="YR">#REF!</definedName>
    <definedName name="yr00" localSheetId="27">#REF!</definedName>
    <definedName name="yr00" localSheetId="0">#REF!</definedName>
    <definedName name="yr00" localSheetId="8">#REF!</definedName>
    <definedName name="yr00" localSheetId="14">#REF!</definedName>
    <definedName name="yr00" localSheetId="15">#REF!</definedName>
    <definedName name="yr00" localSheetId="16">#REF!</definedName>
    <definedName name="yr00" localSheetId="21">#REF!</definedName>
    <definedName name="yr00" localSheetId="22">#REF!</definedName>
    <definedName name="yr00" localSheetId="23">#REF!</definedName>
    <definedName name="yr00" localSheetId="1">#REF!</definedName>
    <definedName name="yr00" localSheetId="9">#REF!</definedName>
    <definedName name="yr00">#REF!</definedName>
    <definedName name="yrtyrtyrt" localSheetId="8" hidden="1">{#N/A,#N/A,FALSE,"ALLOC"}</definedName>
    <definedName name="yrtyrtyrt" localSheetId="1" hidden="1">{#N/A,#N/A,FALSE,"ALLOC"}</definedName>
    <definedName name="yrtyrtyrt" localSheetId="9" hidden="1">{#N/A,#N/A,FALSE,"ALLOC"}</definedName>
    <definedName name="yrtyrtyrt" hidden="1">{#N/A,#N/A,FALSE,"ALLOC"}</definedName>
    <definedName name="yrtyryryf" localSheetId="8" hidden="1">{#N/A,#N/A,FALSE,"EXPENSE"}</definedName>
    <definedName name="yrtyryryf" localSheetId="1" hidden="1">{#N/A,#N/A,FALSE,"EXPENSE"}</definedName>
    <definedName name="yrtyryryf" localSheetId="9" hidden="1">{#N/A,#N/A,FALSE,"EXPENSE"}</definedName>
    <definedName name="yrtyryryf" hidden="1">{#N/A,#N/A,FALSE,"EXPENSE"}</definedName>
    <definedName name="yryrtyrty" localSheetId="8" hidden="1">{#N/A,#N/A,FALSE,"EXPENSE"}</definedName>
    <definedName name="yryrtyrty" localSheetId="1" hidden="1">{#N/A,#N/A,FALSE,"EXPENSE"}</definedName>
    <definedName name="yryrtyrty" localSheetId="9" hidden="1">{#N/A,#N/A,FALSE,"EXPENSE"}</definedName>
    <definedName name="yryrtyrty" hidden="1">{#N/A,#N/A,FALSE,"EXPENSE"}</definedName>
    <definedName name="yt" localSheetId="8" hidden="1">{#N/A,#N/A,FALSE,"Aging Summary";#N/A,#N/A,FALSE,"Ratio Analysis";#N/A,#N/A,FALSE,"Test 120 Day Accts";#N/A,#N/A,FALSE,"Tickmarks"}</definedName>
    <definedName name="yt" localSheetId="1" hidden="1">{#N/A,#N/A,FALSE,"Aging Summary";#N/A,#N/A,FALSE,"Ratio Analysis";#N/A,#N/A,FALSE,"Test 120 Day Accts";#N/A,#N/A,FALSE,"Tickmarks"}</definedName>
    <definedName name="yt" localSheetId="9" hidden="1">{#N/A,#N/A,FALSE,"Aging Summary";#N/A,#N/A,FALSE,"Ratio Analysis";#N/A,#N/A,FALSE,"Test 120 Day Accts";#N/A,#N/A,FALSE,"Tickmarks"}</definedName>
    <definedName name="yt" hidden="1">{#N/A,#N/A,FALSE,"Aging Summary";#N/A,#N/A,FALSE,"Ratio Analysis";#N/A,#N/A,FALSE,"Test 120 Day Accts";#N/A,#N/A,FALSE,"Tickmarks"}</definedName>
    <definedName name="ytetetet" localSheetId="8" hidden="1">{#N/A,#N/A,FALSE,"EXPENSE"}</definedName>
    <definedName name="ytetetet" localSheetId="1" hidden="1">{#N/A,#N/A,FALSE,"EXPENSE"}</definedName>
    <definedName name="ytetetet" localSheetId="9" hidden="1">{#N/A,#N/A,FALSE,"EXPENSE"}</definedName>
    <definedName name="ytetetet" hidden="1">{#N/A,#N/A,FALSE,"EXPENSE"}</definedName>
    <definedName name="ytrysrtertrtyhfgh" localSheetId="8" hidden="1">{#N/A,#N/A,FALSE,"EXPENSE"}</definedName>
    <definedName name="ytrysrtertrtyhfgh" localSheetId="1" hidden="1">{#N/A,#N/A,FALSE,"EXPENSE"}</definedName>
    <definedName name="ytrysrtertrtyhfgh" localSheetId="9" hidden="1">{#N/A,#N/A,FALSE,"EXPENSE"}</definedName>
    <definedName name="ytrysrtertrtyhfgh" hidden="1">{#N/A,#N/A,FALSE,"EXPENSE"}</definedName>
    <definedName name="ytyrtyhrbfgbv" localSheetId="8" hidden="1">{#N/A,#N/A,FALSE,"EXPENSE"}</definedName>
    <definedName name="ytyrtyhrbfgbv" localSheetId="1" hidden="1">{#N/A,#N/A,FALSE,"EXPENSE"}</definedName>
    <definedName name="ytyrtyhrbfgbv" localSheetId="9" hidden="1">{#N/A,#N/A,FALSE,"EXPENSE"}</definedName>
    <definedName name="ytyrtyhrbfgbv" hidden="1">{#N/A,#N/A,FALSE,"EXPENSE"}</definedName>
    <definedName name="yyyyy" localSheetId="8" hidden="1">{#N/A,#N/A,FALSE,"EXPENSE"}</definedName>
    <definedName name="yyyyy" localSheetId="1" hidden="1">{#N/A,#N/A,FALSE,"EXPENSE"}</definedName>
    <definedName name="yyyyy" localSheetId="9" hidden="1">{#N/A,#N/A,FALSE,"EXPENSE"}</definedName>
    <definedName name="yyyyy" hidden="1">{#N/A,#N/A,FALSE,"EXPENSE"}</definedName>
    <definedName name="yyyyyyy" localSheetId="8" hidden="1">{#N/A,#N/A,FALSE,"EXPENSE"}</definedName>
    <definedName name="yyyyyyy" localSheetId="1" hidden="1">{#N/A,#N/A,FALSE,"EXPENSE"}</definedName>
    <definedName name="yyyyyyy" localSheetId="9" hidden="1">{#N/A,#N/A,FALSE,"EXPENSE"}</definedName>
    <definedName name="yyyyyyy" hidden="1">{#N/A,#N/A,FALSE,"EXPENSE"}</definedName>
    <definedName name="z" localSheetId="8" hidden="1">{"Page 1",#N/A,FALSE,"Sheet1";"Page 2",#N/A,FALSE,"Sheet1"}</definedName>
    <definedName name="z" localSheetId="1" hidden="1">{"Page 1",#N/A,FALSE,"Sheet1";"Page 2",#N/A,FALSE,"Sheet1"}</definedName>
    <definedName name="z" localSheetId="9" hidden="1">{"Page 1",#N/A,FALSE,"Sheet1";"Page 2",#N/A,FALSE,"Sheet1"}</definedName>
    <definedName name="z" hidden="1">{"Page 1",#N/A,FALSE,"Sheet1";"Page 2",#N/A,FALSE,"Sheet1"}</definedName>
    <definedName name="zbfgbzxcvxzcv" localSheetId="8" hidden="1">{#N/A,#N/A,FALSE,"EXPENSE"}</definedName>
    <definedName name="zbfgbzxcvxzcv" localSheetId="1" hidden="1">{#N/A,#N/A,FALSE,"EXPENSE"}</definedName>
    <definedName name="zbfgbzxcvxzcv" localSheetId="9" hidden="1">{#N/A,#N/A,FALSE,"EXPENSE"}</definedName>
    <definedName name="zbfgbzxcvxzcv" hidden="1">{#N/A,#N/A,FALSE,"EXPENSE"}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7" i="43" l="1"/>
  <c r="A28" i="43" s="1"/>
  <c r="A25" i="4"/>
  <c r="A26" i="4"/>
  <c r="M226" i="10" l="1"/>
  <c r="M168" i="10"/>
  <c r="M110" i="10"/>
  <c r="M57" i="10"/>
  <c r="N441" i="4" l="1"/>
  <c r="H441" i="4"/>
  <c r="N241" i="4"/>
  <c r="H241" i="4"/>
  <c r="F45" i="28" l="1"/>
  <c r="F44" i="28"/>
  <c r="F43" i="28"/>
  <c r="G43" i="28" s="1"/>
  <c r="G44" i="28" s="1"/>
  <c r="G45" i="28" s="1"/>
  <c r="E40" i="28"/>
  <c r="D40" i="28"/>
  <c r="C40" i="28"/>
  <c r="D36" i="28"/>
  <c r="F36" i="28" s="1"/>
  <c r="G36" i="28" s="1"/>
  <c r="F31" i="28"/>
  <c r="F30" i="28"/>
  <c r="F29" i="28"/>
  <c r="G29" i="28" s="1"/>
  <c r="G30" i="28" s="1"/>
  <c r="G31" i="28" s="1"/>
  <c r="E26" i="28"/>
  <c r="D26" i="28"/>
  <c r="C26" i="28"/>
  <c r="D22" i="28"/>
  <c r="F22" i="28" s="1"/>
  <c r="G22" i="28" s="1"/>
  <c r="F16" i="28"/>
  <c r="F15" i="28"/>
  <c r="F14" i="28"/>
  <c r="G14" i="28" s="1"/>
  <c r="G15" i="28" s="1"/>
  <c r="G16" i="28" s="1"/>
  <c r="E11" i="28"/>
  <c r="D11" i="28"/>
  <c r="C11" i="28"/>
  <c r="D7" i="28"/>
  <c r="F7" i="28" s="1"/>
  <c r="G7" i="28" s="1"/>
  <c r="D244" i="43" l="1"/>
  <c r="D243" i="35"/>
  <c r="D242" i="35"/>
  <c r="D241" i="35"/>
  <c r="O6" i="35" l="1"/>
  <c r="O65" i="35"/>
  <c r="O128" i="35" s="1"/>
  <c r="O168" i="35" s="1"/>
  <c r="O225" i="35" s="1"/>
  <c r="O282" i="35" s="1"/>
  <c r="O338" i="35" s="1"/>
  <c r="O396" i="35" s="1"/>
  <c r="O456" i="35" s="1"/>
  <c r="O516" i="35" s="1"/>
  <c r="O577" i="35" s="1"/>
  <c r="O638" i="35" s="1"/>
  <c r="O696" i="35" s="1"/>
  <c r="O60" i="32" l="1"/>
  <c r="G60" i="32"/>
  <c r="H60" i="32"/>
  <c r="I60" i="32"/>
  <c r="J60" i="32"/>
  <c r="K60" i="32"/>
  <c r="L60" i="32"/>
  <c r="M60" i="32"/>
  <c r="N60" i="32"/>
  <c r="F60" i="32"/>
  <c r="E60" i="32"/>
  <c r="D60" i="32"/>
  <c r="J518" i="4" l="1"/>
  <c r="J515" i="4"/>
  <c r="J570" i="4"/>
  <c r="J664" i="35"/>
  <c r="J661" i="35"/>
  <c r="J567" i="4" s="1"/>
  <c r="J722" i="35"/>
  <c r="J621" i="4" s="1"/>
  <c r="J719" i="35"/>
  <c r="J618" i="4" s="1"/>
  <c r="J724" i="43"/>
  <c r="J721" i="43"/>
  <c r="J666" i="43"/>
  <c r="J663" i="43"/>
  <c r="J603" i="35"/>
  <c r="J600" i="35"/>
  <c r="J599" i="35"/>
  <c r="J602" i="35"/>
  <c r="J605" i="43"/>
  <c r="J602" i="43"/>
  <c r="L719" i="43" l="1"/>
  <c r="Z265" i="10" l="1"/>
  <c r="Z207" i="10"/>
  <c r="Z96" i="10"/>
  <c r="Z98" i="10"/>
  <c r="Z47" i="10"/>
  <c r="I54" i="8"/>
  <c r="G54" i="8"/>
  <c r="G101" i="8"/>
  <c r="G212" i="8" s="1"/>
  <c r="G137" i="8"/>
  <c r="G280" i="8" s="1"/>
  <c r="I101" i="8"/>
  <c r="I170" i="8" s="1"/>
  <c r="I246" i="8" s="1"/>
  <c r="I137" i="8"/>
  <c r="I280" i="8" s="1"/>
  <c r="I212" i="8"/>
  <c r="G274" i="8"/>
  <c r="G240" i="8"/>
  <c r="G206" i="8"/>
  <c r="I88" i="8"/>
  <c r="I123" i="8" s="1"/>
  <c r="I157" i="8" s="1"/>
  <c r="I205" i="8" s="1"/>
  <c r="I239" i="8" s="1"/>
  <c r="I273" i="8" s="1"/>
  <c r="I87" i="8"/>
  <c r="I122" i="8" s="1"/>
  <c r="I156" i="8" s="1"/>
  <c r="I204" i="8" s="1"/>
  <c r="I238" i="8" s="1"/>
  <c r="I272" i="8" s="1"/>
  <c r="I86" i="8"/>
  <c r="I121" i="8" s="1"/>
  <c r="I155" i="8" s="1"/>
  <c r="I203" i="8" s="1"/>
  <c r="I237" i="8" s="1"/>
  <c r="I271" i="8" s="1"/>
  <c r="G170" i="8" l="1"/>
  <c r="G246" i="8" s="1"/>
  <c r="F42" i="4"/>
  <c r="F49" i="4"/>
  <c r="F49" i="35"/>
  <c r="F51" i="43"/>
  <c r="D435" i="4" l="1"/>
  <c r="D434" i="4"/>
  <c r="D433" i="4"/>
  <c r="D431" i="4"/>
  <c r="D430" i="4"/>
  <c r="D429" i="4"/>
  <c r="D427" i="4"/>
  <c r="D426" i="4"/>
  <c r="D425" i="4"/>
  <c r="D480" i="35"/>
  <c r="J480" i="35" s="1"/>
  <c r="D481" i="35"/>
  <c r="J481" i="35" s="1"/>
  <c r="D479" i="35"/>
  <c r="J479" i="35" s="1"/>
  <c r="D476" i="35"/>
  <c r="J476" i="35" s="1"/>
  <c r="D477" i="35"/>
  <c r="J477" i="35" s="1"/>
  <c r="D475" i="35"/>
  <c r="D471" i="35"/>
  <c r="J471" i="35" s="1"/>
  <c r="J475" i="35"/>
  <c r="J472" i="35"/>
  <c r="J473" i="35"/>
  <c r="D472" i="35"/>
  <c r="D473" i="35"/>
  <c r="D335" i="4"/>
  <c r="D334" i="4"/>
  <c r="D333" i="4"/>
  <c r="D331" i="4"/>
  <c r="D330" i="4"/>
  <c r="D329" i="4"/>
  <c r="D326" i="4"/>
  <c r="D327" i="4"/>
  <c r="D325" i="4"/>
  <c r="D363" i="35"/>
  <c r="J363" i="35" s="1"/>
  <c r="D364" i="35"/>
  <c r="J364" i="35" s="1"/>
  <c r="D362" i="35"/>
  <c r="D359" i="35"/>
  <c r="J359" i="35" s="1"/>
  <c r="D360" i="35"/>
  <c r="J360" i="35" s="1"/>
  <c r="D358" i="35"/>
  <c r="D355" i="35"/>
  <c r="D356" i="35"/>
  <c r="J356" i="35" s="1"/>
  <c r="D354" i="35"/>
  <c r="J355" i="35"/>
  <c r="J362" i="35"/>
  <c r="J358" i="35"/>
  <c r="J354" i="35"/>
  <c r="J251" i="35" l="1"/>
  <c r="J250" i="35"/>
  <c r="J249" i="35"/>
  <c r="J247" i="35"/>
  <c r="J246" i="35"/>
  <c r="J245" i="35"/>
  <c r="J243" i="35"/>
  <c r="J242" i="35"/>
  <c r="J241" i="35"/>
  <c r="D250" i="35"/>
  <c r="D234" i="4" s="1"/>
  <c r="J234" i="4" s="1"/>
  <c r="D251" i="35"/>
  <c r="D235" i="4" s="1"/>
  <c r="J235" i="4" s="1"/>
  <c r="D246" i="35"/>
  <c r="D230" i="4" s="1"/>
  <c r="J230" i="4" s="1"/>
  <c r="D247" i="35"/>
  <c r="D231" i="4" s="1"/>
  <c r="J231" i="4" s="1"/>
  <c r="D245" i="35"/>
  <c r="D229" i="4" s="1"/>
  <c r="J229" i="4" s="1"/>
  <c r="D249" i="35"/>
  <c r="D233" i="4"/>
  <c r="J233" i="4" s="1"/>
  <c r="D227" i="4"/>
  <c r="J227" i="4" s="1"/>
  <c r="D226" i="4"/>
  <c r="J226" i="4" s="1"/>
  <c r="D225" i="4"/>
  <c r="J225" i="4" s="1"/>
  <c r="J103" i="35"/>
  <c r="J102" i="35"/>
  <c r="J101" i="35"/>
  <c r="J99" i="35"/>
  <c r="J98" i="35"/>
  <c r="J97" i="35"/>
  <c r="J94" i="35"/>
  <c r="J95" i="35"/>
  <c r="J93" i="35"/>
  <c r="D102" i="35"/>
  <c r="D103" i="35"/>
  <c r="D101" i="35"/>
  <c r="D97" i="4" s="1"/>
  <c r="J97" i="4" s="1"/>
  <c r="D98" i="35"/>
  <c r="D99" i="35"/>
  <c r="D97" i="35"/>
  <c r="D93" i="35"/>
  <c r="D89" i="4" s="1"/>
  <c r="J89" i="4" s="1"/>
  <c r="D94" i="35"/>
  <c r="D90" i="4" s="1"/>
  <c r="J90" i="4" s="1"/>
  <c r="D95" i="35"/>
  <c r="D91" i="4" s="1"/>
  <c r="J91" i="4" s="1"/>
  <c r="D99" i="4"/>
  <c r="J99" i="4" s="1"/>
  <c r="D98" i="4"/>
  <c r="J98" i="4" s="1"/>
  <c r="D95" i="4"/>
  <c r="J95" i="4" s="1"/>
  <c r="D94" i="4"/>
  <c r="J94" i="4" s="1"/>
  <c r="D93" i="4"/>
  <c r="J93" i="4" s="1"/>
  <c r="AB481" i="35"/>
  <c r="AC481" i="35"/>
  <c r="AD481" i="35"/>
  <c r="AE481" i="35"/>
  <c r="AF481" i="35"/>
  <c r="AB477" i="35"/>
  <c r="AC477" i="35"/>
  <c r="AD477" i="35"/>
  <c r="AE477" i="35"/>
  <c r="AF477" i="35"/>
  <c r="AB473" i="35"/>
  <c r="AC473" i="35"/>
  <c r="AD473" i="35"/>
  <c r="AE473" i="35"/>
  <c r="AF473" i="35"/>
  <c r="AB364" i="35"/>
  <c r="AC364" i="35"/>
  <c r="AD364" i="35"/>
  <c r="AE364" i="35"/>
  <c r="AF364" i="35"/>
  <c r="AB360" i="35"/>
  <c r="AC360" i="35"/>
  <c r="AD360" i="35"/>
  <c r="AE360" i="35"/>
  <c r="AF360" i="35"/>
  <c r="AB356" i="35"/>
  <c r="AC356" i="35"/>
  <c r="AD356" i="35"/>
  <c r="AE356" i="35"/>
  <c r="AF356" i="35"/>
  <c r="AB251" i="35"/>
  <c r="AC251" i="35"/>
  <c r="AD251" i="35"/>
  <c r="AE251" i="35"/>
  <c r="AF251" i="35"/>
  <c r="AB247" i="35"/>
  <c r="AC247" i="35"/>
  <c r="AD247" i="35"/>
  <c r="AE247" i="35"/>
  <c r="AF247" i="35"/>
  <c r="AB243" i="35"/>
  <c r="AC243" i="35"/>
  <c r="AD243" i="35"/>
  <c r="AE243" i="35"/>
  <c r="AF243" i="35"/>
  <c r="AB103" i="35"/>
  <c r="AC103" i="35"/>
  <c r="AD103" i="35"/>
  <c r="AE103" i="35"/>
  <c r="AF103" i="35"/>
  <c r="AB99" i="35"/>
  <c r="AC99" i="35"/>
  <c r="AD99" i="35"/>
  <c r="AE99" i="35"/>
  <c r="AF99" i="35"/>
  <c r="AB95" i="35"/>
  <c r="AC95" i="35"/>
  <c r="AD95" i="35"/>
  <c r="AE95" i="35"/>
  <c r="AF95" i="35"/>
  <c r="AB91" i="4"/>
  <c r="AC91" i="4"/>
  <c r="AD91" i="4"/>
  <c r="AE91" i="4"/>
  <c r="AF91" i="4"/>
  <c r="AB95" i="4"/>
  <c r="AC95" i="4"/>
  <c r="AD95" i="4"/>
  <c r="AE95" i="4"/>
  <c r="AF95" i="4"/>
  <c r="AB99" i="4"/>
  <c r="AC99" i="4"/>
  <c r="AD99" i="4"/>
  <c r="AE99" i="4"/>
  <c r="AF99" i="4"/>
  <c r="AB227" i="4"/>
  <c r="AC227" i="4"/>
  <c r="AD227" i="4"/>
  <c r="AE227" i="4"/>
  <c r="AF227" i="4"/>
  <c r="AB231" i="4"/>
  <c r="AC231" i="4"/>
  <c r="AD231" i="4"/>
  <c r="AE231" i="4"/>
  <c r="AF231" i="4"/>
  <c r="AB235" i="4"/>
  <c r="AC235" i="4"/>
  <c r="AD235" i="4"/>
  <c r="AE235" i="4"/>
  <c r="AF235" i="4"/>
  <c r="AB327" i="4"/>
  <c r="AC327" i="4"/>
  <c r="AD327" i="4"/>
  <c r="AE327" i="4"/>
  <c r="AF327" i="4"/>
  <c r="AB331" i="4"/>
  <c r="AC331" i="4"/>
  <c r="AD331" i="4"/>
  <c r="AE331" i="4"/>
  <c r="AF331" i="4"/>
  <c r="AB335" i="4"/>
  <c r="AC335" i="4"/>
  <c r="AD335" i="4"/>
  <c r="AE335" i="4"/>
  <c r="AF335" i="4"/>
  <c r="AB427" i="4"/>
  <c r="AC427" i="4"/>
  <c r="AD427" i="4"/>
  <c r="AE427" i="4"/>
  <c r="AF427" i="4"/>
  <c r="AB431" i="4"/>
  <c r="AC431" i="4"/>
  <c r="AD431" i="4"/>
  <c r="AE431" i="4"/>
  <c r="AF431" i="4"/>
  <c r="AB435" i="4"/>
  <c r="AC435" i="4"/>
  <c r="AD435" i="4"/>
  <c r="AE435" i="4"/>
  <c r="AF435" i="4"/>
  <c r="J435" i="4"/>
  <c r="J434" i="4"/>
  <c r="J433" i="4"/>
  <c r="J431" i="4"/>
  <c r="J430" i="4"/>
  <c r="J429" i="4"/>
  <c r="J427" i="4"/>
  <c r="J426" i="4"/>
  <c r="J425" i="4"/>
  <c r="J335" i="4"/>
  <c r="J334" i="4"/>
  <c r="J333" i="4"/>
  <c r="J331" i="4"/>
  <c r="J330" i="4"/>
  <c r="J329" i="4"/>
  <c r="J327" i="4"/>
  <c r="J326" i="4"/>
  <c r="J325" i="4"/>
  <c r="D38" i="4"/>
  <c r="D39" i="4"/>
  <c r="D37" i="4"/>
  <c r="AB483" i="43"/>
  <c r="AC483" i="43"/>
  <c r="AD483" i="43"/>
  <c r="AE483" i="43"/>
  <c r="AF483" i="43"/>
  <c r="AB479" i="43"/>
  <c r="AC479" i="43"/>
  <c r="AD479" i="43"/>
  <c r="AE479" i="43"/>
  <c r="AF479" i="43"/>
  <c r="AB475" i="43"/>
  <c r="AC475" i="43"/>
  <c r="AD475" i="43"/>
  <c r="AE475" i="43"/>
  <c r="AF475" i="43"/>
  <c r="AB358" i="43"/>
  <c r="AC358" i="43"/>
  <c r="AD358" i="43"/>
  <c r="AE358" i="43"/>
  <c r="AF358" i="43"/>
  <c r="AB366" i="43"/>
  <c r="AC366" i="43"/>
  <c r="AD366" i="43"/>
  <c r="AE366" i="43"/>
  <c r="AF366" i="43"/>
  <c r="AB362" i="43"/>
  <c r="AC362" i="43"/>
  <c r="AD362" i="43"/>
  <c r="AE362" i="43"/>
  <c r="AF362" i="43"/>
  <c r="AB253" i="43"/>
  <c r="AC253" i="43"/>
  <c r="AD253" i="43"/>
  <c r="AE253" i="43"/>
  <c r="AF253" i="43"/>
  <c r="AB249" i="43"/>
  <c r="AC249" i="43"/>
  <c r="AD249" i="43"/>
  <c r="AE249" i="43"/>
  <c r="AF249" i="43"/>
  <c r="AB245" i="43"/>
  <c r="AC245" i="43"/>
  <c r="AD245" i="43"/>
  <c r="AE245" i="43"/>
  <c r="AF245" i="43"/>
  <c r="AB105" i="43"/>
  <c r="AC105" i="43"/>
  <c r="AD105" i="43"/>
  <c r="AE105" i="43"/>
  <c r="AF105" i="43"/>
  <c r="AB101" i="43"/>
  <c r="AC101" i="43"/>
  <c r="AD101" i="43"/>
  <c r="AE101" i="43"/>
  <c r="AF101" i="43"/>
  <c r="AB97" i="43"/>
  <c r="AC97" i="43"/>
  <c r="AD97" i="43"/>
  <c r="AE97" i="43"/>
  <c r="AF97" i="43"/>
  <c r="J39" i="4"/>
  <c r="J38" i="4"/>
  <c r="J37" i="4"/>
  <c r="J40" i="43"/>
  <c r="J41" i="43"/>
  <c r="J39" i="43"/>
  <c r="D40" i="43"/>
  <c r="D41" i="43"/>
  <c r="D39" i="43"/>
  <c r="J39" i="35"/>
  <c r="J38" i="35"/>
  <c r="J37" i="35"/>
  <c r="D38" i="35"/>
  <c r="D39" i="35"/>
  <c r="D37" i="35"/>
  <c r="L49" i="35" l="1"/>
  <c r="D433" i="43"/>
  <c r="D432" i="43"/>
  <c r="D200" i="43"/>
  <c r="D431" i="35"/>
  <c r="D430" i="35"/>
  <c r="L13" i="35"/>
  <c r="F13" i="35"/>
  <c r="D13" i="35"/>
  <c r="D198" i="35"/>
  <c r="D23" i="41"/>
  <c r="E23" i="41"/>
  <c r="F23" i="41"/>
  <c r="G23" i="41"/>
  <c r="H23" i="41"/>
  <c r="I23" i="41"/>
  <c r="J23" i="41"/>
  <c r="K23" i="41"/>
  <c r="L23" i="41"/>
  <c r="M23" i="41"/>
  <c r="N23" i="41"/>
  <c r="O23" i="41"/>
  <c r="D24" i="41"/>
  <c r="E24" i="41"/>
  <c r="F24" i="41"/>
  <c r="G24" i="41"/>
  <c r="H24" i="41"/>
  <c r="I24" i="41"/>
  <c r="J24" i="41"/>
  <c r="K24" i="41"/>
  <c r="L24" i="41"/>
  <c r="M24" i="41"/>
  <c r="N24" i="41"/>
  <c r="O24" i="41"/>
  <c r="D25" i="41"/>
  <c r="E25" i="41"/>
  <c r="F25" i="41"/>
  <c r="G25" i="41"/>
  <c r="H25" i="41"/>
  <c r="I25" i="41"/>
  <c r="J25" i="41"/>
  <c r="K25" i="41"/>
  <c r="L25" i="41"/>
  <c r="M25" i="41"/>
  <c r="N25" i="41"/>
  <c r="O25" i="41"/>
  <c r="D26" i="41"/>
  <c r="E26" i="41"/>
  <c r="F26" i="41"/>
  <c r="G26" i="41"/>
  <c r="H26" i="41"/>
  <c r="I26" i="41"/>
  <c r="J26" i="41"/>
  <c r="K26" i="41"/>
  <c r="L26" i="41"/>
  <c r="M26" i="41"/>
  <c r="N26" i="41"/>
  <c r="O26" i="41"/>
  <c r="D27" i="41"/>
  <c r="E27" i="41"/>
  <c r="F27" i="41"/>
  <c r="G27" i="41"/>
  <c r="H27" i="41"/>
  <c r="I27" i="41"/>
  <c r="J27" i="41"/>
  <c r="K27" i="41"/>
  <c r="L27" i="41"/>
  <c r="M27" i="41"/>
  <c r="N27" i="41"/>
  <c r="O27" i="41"/>
  <c r="D28" i="41"/>
  <c r="E28" i="41"/>
  <c r="F28" i="41"/>
  <c r="G28" i="41"/>
  <c r="H28" i="41"/>
  <c r="I28" i="41"/>
  <c r="J28" i="41"/>
  <c r="K28" i="41"/>
  <c r="L28" i="41"/>
  <c r="M28" i="41"/>
  <c r="N28" i="41"/>
  <c r="O28" i="41"/>
  <c r="D29" i="41"/>
  <c r="E29" i="41"/>
  <c r="F29" i="41"/>
  <c r="G29" i="41"/>
  <c r="H29" i="41"/>
  <c r="I29" i="41"/>
  <c r="J29" i="41"/>
  <c r="K29" i="41"/>
  <c r="L29" i="41"/>
  <c r="M29" i="41"/>
  <c r="N29" i="41"/>
  <c r="O29" i="41"/>
  <c r="D30" i="41"/>
  <c r="E30" i="41"/>
  <c r="F30" i="41"/>
  <c r="G30" i="41"/>
  <c r="H30" i="41"/>
  <c r="I30" i="41"/>
  <c r="J30" i="41"/>
  <c r="K30" i="41"/>
  <c r="L30" i="41"/>
  <c r="M30" i="41"/>
  <c r="N30" i="41"/>
  <c r="O30" i="41"/>
  <c r="D31" i="41"/>
  <c r="E31" i="41"/>
  <c r="F31" i="41"/>
  <c r="G31" i="41"/>
  <c r="H31" i="41"/>
  <c r="I31" i="41"/>
  <c r="J31" i="41"/>
  <c r="K31" i="41"/>
  <c r="L31" i="41"/>
  <c r="M31" i="41"/>
  <c r="N31" i="41"/>
  <c r="O31" i="41"/>
  <c r="E22" i="41"/>
  <c r="F22" i="41"/>
  <c r="G22" i="41"/>
  <c r="H22" i="41"/>
  <c r="I22" i="41"/>
  <c r="J22" i="41"/>
  <c r="K22" i="41"/>
  <c r="L22" i="41"/>
  <c r="M22" i="41"/>
  <c r="N22" i="41"/>
  <c r="O22" i="41"/>
  <c r="D22" i="41"/>
  <c r="D9" i="41"/>
  <c r="E9" i="41"/>
  <c r="F9" i="41"/>
  <c r="G9" i="41"/>
  <c r="H9" i="41"/>
  <c r="I9" i="41"/>
  <c r="J9" i="41"/>
  <c r="K9" i="41"/>
  <c r="L9" i="41"/>
  <c r="M9" i="41"/>
  <c r="N9" i="41"/>
  <c r="O9" i="41"/>
  <c r="D10" i="41"/>
  <c r="E10" i="41"/>
  <c r="F10" i="41"/>
  <c r="G10" i="41"/>
  <c r="H10" i="41"/>
  <c r="I10" i="41"/>
  <c r="J10" i="41"/>
  <c r="K10" i="41"/>
  <c r="L10" i="41"/>
  <c r="M10" i="41"/>
  <c r="N10" i="41"/>
  <c r="O10" i="41"/>
  <c r="D11" i="41"/>
  <c r="E11" i="41"/>
  <c r="F11" i="41"/>
  <c r="G11" i="41"/>
  <c r="H11" i="41"/>
  <c r="I11" i="41"/>
  <c r="J11" i="41"/>
  <c r="K11" i="41"/>
  <c r="L11" i="41"/>
  <c r="M11" i="41"/>
  <c r="N11" i="41"/>
  <c r="O11" i="41"/>
  <c r="D12" i="41"/>
  <c r="E12" i="41"/>
  <c r="F12" i="41"/>
  <c r="G12" i="41"/>
  <c r="H12" i="41"/>
  <c r="I12" i="41"/>
  <c r="J12" i="41"/>
  <c r="K12" i="41"/>
  <c r="L12" i="41"/>
  <c r="M12" i="41"/>
  <c r="N12" i="41"/>
  <c r="O12" i="41"/>
  <c r="D13" i="41"/>
  <c r="E13" i="41"/>
  <c r="F13" i="41"/>
  <c r="G13" i="41"/>
  <c r="H13" i="41"/>
  <c r="I13" i="41"/>
  <c r="J13" i="41"/>
  <c r="K13" i="41"/>
  <c r="L13" i="41"/>
  <c r="M13" i="41"/>
  <c r="N13" i="41"/>
  <c r="O13" i="41"/>
  <c r="D14" i="41"/>
  <c r="E14" i="41"/>
  <c r="F14" i="41"/>
  <c r="G14" i="41"/>
  <c r="H14" i="41"/>
  <c r="I14" i="41"/>
  <c r="J14" i="41"/>
  <c r="K14" i="41"/>
  <c r="L14" i="41"/>
  <c r="M14" i="41"/>
  <c r="N14" i="41"/>
  <c r="O14" i="41"/>
  <c r="D15" i="41"/>
  <c r="E15" i="41"/>
  <c r="F15" i="41"/>
  <c r="G15" i="41"/>
  <c r="H15" i="41"/>
  <c r="I15" i="41"/>
  <c r="J15" i="41"/>
  <c r="K15" i="41"/>
  <c r="L15" i="41"/>
  <c r="M15" i="41"/>
  <c r="N15" i="41"/>
  <c r="O15" i="41"/>
  <c r="D16" i="41"/>
  <c r="E16" i="41"/>
  <c r="F16" i="41"/>
  <c r="G16" i="41"/>
  <c r="H16" i="41"/>
  <c r="I16" i="41"/>
  <c r="J16" i="41"/>
  <c r="K16" i="41"/>
  <c r="L16" i="41"/>
  <c r="M16" i="41"/>
  <c r="N16" i="41"/>
  <c r="O16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E8" i="41"/>
  <c r="F8" i="41"/>
  <c r="G8" i="41"/>
  <c r="H8" i="41"/>
  <c r="I8" i="41"/>
  <c r="J8" i="41"/>
  <c r="K8" i="41"/>
  <c r="L8" i="41"/>
  <c r="M8" i="41"/>
  <c r="N8" i="41"/>
  <c r="O8" i="41"/>
  <c r="D8" i="41"/>
  <c r="A1" i="41"/>
  <c r="E5" i="41"/>
  <c r="F5" i="41"/>
  <c r="G5" i="41"/>
  <c r="H5" i="41"/>
  <c r="I5" i="41"/>
  <c r="J5" i="41"/>
  <c r="K5" i="41"/>
  <c r="L5" i="41"/>
  <c r="M5" i="41"/>
  <c r="N5" i="41"/>
  <c r="O5" i="41"/>
  <c r="D5" i="41"/>
  <c r="P55" i="24" l="1"/>
  <c r="O55" i="24"/>
  <c r="N55" i="24"/>
  <c r="M55" i="24"/>
  <c r="L55" i="24"/>
  <c r="K55" i="24"/>
  <c r="J55" i="24"/>
  <c r="I55" i="24"/>
  <c r="H55" i="24"/>
  <c r="R54" i="24"/>
  <c r="R55" i="24" s="1"/>
  <c r="Q54" i="24"/>
  <c r="Q55" i="24" s="1"/>
  <c r="F54" i="24"/>
  <c r="F53" i="24"/>
  <c r="F55" i="24" s="1"/>
  <c r="H50" i="24"/>
  <c r="U58" i="24" l="1"/>
  <c r="U56" i="24"/>
  <c r="U53" i="24"/>
  <c r="U52" i="24"/>
  <c r="U51" i="24"/>
  <c r="H57" i="24"/>
  <c r="U47" i="24"/>
  <c r="U46" i="24"/>
  <c r="U43" i="24"/>
  <c r="BB42" i="24"/>
  <c r="BA42" i="24"/>
  <c r="AE42" i="24"/>
  <c r="AE44" i="24" s="1"/>
  <c r="Z42" i="24"/>
  <c r="Z44" i="24" s="1"/>
  <c r="BA41" i="24"/>
  <c r="AZ41" i="24"/>
  <c r="AS41" i="24"/>
  <c r="AX41" i="24" s="1"/>
  <c r="Y41" i="24"/>
  <c r="BB40" i="24"/>
  <c r="AS40" i="24"/>
  <c r="BA40" i="24" s="1"/>
  <c r="BD39" i="24"/>
  <c r="CI39" i="24" s="1"/>
  <c r="AZ39" i="24"/>
  <c r="AS39" i="24"/>
  <c r="BB39" i="24" s="1"/>
  <c r="AD39" i="24"/>
  <c r="AF39" i="24" s="1"/>
  <c r="AY38" i="24"/>
  <c r="AV38" i="24"/>
  <c r="AS38" i="24"/>
  <c r="BA38" i="24" s="1"/>
  <c r="AF38" i="24"/>
  <c r="U38" i="24"/>
  <c r="CH37" i="24"/>
  <c r="BZ37" i="24"/>
  <c r="BB37" i="24"/>
  <c r="AS37" i="24"/>
  <c r="AX37" i="24" s="1"/>
  <c r="AA37" i="24"/>
  <c r="AA42" i="24" s="1"/>
  <c r="AA44" i="24" s="1"/>
  <c r="BZ36" i="24"/>
  <c r="BD36" i="24"/>
  <c r="BI36" i="24" s="1"/>
  <c r="AS36" i="24"/>
  <c r="BB36" i="24" s="1"/>
  <c r="CA35" i="24"/>
  <c r="BZ35" i="24"/>
  <c r="CH35" i="24" s="1"/>
  <c r="BD35" i="24"/>
  <c r="CT35" i="24" s="1"/>
  <c r="AS35" i="24"/>
  <c r="BB35" i="24" s="1"/>
  <c r="AF35" i="24"/>
  <c r="AB35" i="24"/>
  <c r="AB42" i="24" s="1"/>
  <c r="AB44" i="24" s="1"/>
  <c r="AS34" i="24"/>
  <c r="AV34" i="24" s="1"/>
  <c r="BZ33" i="24"/>
  <c r="CA33" i="24" s="1"/>
  <c r="BD33" i="24"/>
  <c r="BB33" i="24"/>
  <c r="BA33" i="24"/>
  <c r="AV33" i="24"/>
  <c r="AS33" i="24"/>
  <c r="R33" i="24"/>
  <c r="BZ32" i="24"/>
  <c r="BD32" i="24"/>
  <c r="BA32" i="24"/>
  <c r="AV32" i="24"/>
  <c r="AU32" i="24"/>
  <c r="AT32" i="24"/>
  <c r="AS32" i="24"/>
  <c r="CK31" i="24"/>
  <c r="BZ31" i="24"/>
  <c r="CA31" i="24" s="1"/>
  <c r="BD31" i="24"/>
  <c r="BJ31" i="24" s="1"/>
  <c r="AS31" i="24"/>
  <c r="AF31" i="24"/>
  <c r="U31" i="24"/>
  <c r="BZ30" i="24"/>
  <c r="CA30" i="24" s="1"/>
  <c r="R30" i="24" s="1"/>
  <c r="BD30" i="24"/>
  <c r="CI30" i="24" s="1"/>
  <c r="BB30" i="24"/>
  <c r="BA30" i="24"/>
  <c r="AS30" i="24"/>
  <c r="AZ30" i="24" s="1"/>
  <c r="AF30" i="24"/>
  <c r="AT29" i="24"/>
  <c r="AS29" i="24"/>
  <c r="AV29" i="24" s="1"/>
  <c r="BZ28" i="24"/>
  <c r="CB28" i="24" s="1"/>
  <c r="BD28" i="24"/>
  <c r="CI28" i="24" s="1"/>
  <c r="BA28" i="24"/>
  <c r="AZ28" i="24"/>
  <c r="AV28" i="24"/>
  <c r="AU28" i="24"/>
  <c r="AS28" i="24"/>
  <c r="AD28" i="24"/>
  <c r="BZ23" i="24"/>
  <c r="CC23" i="24" s="1"/>
  <c r="BD23" i="24"/>
  <c r="BX23" i="24" s="1"/>
  <c r="R23" i="24"/>
  <c r="Z23" i="24"/>
  <c r="CK22" i="24"/>
  <c r="CP22" i="24" s="1"/>
  <c r="BO22" i="24"/>
  <c r="BP22" i="24" s="1"/>
  <c r="Z22" i="24"/>
  <c r="AS22" i="24" s="1"/>
  <c r="R22" i="24"/>
  <c r="I21" i="24"/>
  <c r="BO20" i="24"/>
  <c r="AS20" i="24"/>
  <c r="AX20" i="24" s="1"/>
  <c r="I20" i="24"/>
  <c r="X20" i="24" s="1"/>
  <c r="AF20" i="24"/>
  <c r="BO19" i="24"/>
  <c r="BS19" i="24" s="1"/>
  <c r="AS19" i="24"/>
  <c r="AW19" i="24" s="1"/>
  <c r="I19" i="24"/>
  <c r="X19" i="24" s="1"/>
  <c r="AF19" i="24" s="1"/>
  <c r="AE18" i="24"/>
  <c r="AD18" i="24"/>
  <c r="AC18" i="24"/>
  <c r="AB18" i="24"/>
  <c r="AA18" i="24"/>
  <c r="Z18" i="24"/>
  <c r="Y18" i="24"/>
  <c r="R18" i="24"/>
  <c r="Q18" i="24"/>
  <c r="W17" i="24"/>
  <c r="W16" i="24"/>
  <c r="W18" i="24" s="1"/>
  <c r="A16" i="24"/>
  <c r="A17" i="24" s="1"/>
  <c r="A18" i="24" s="1"/>
  <c r="A19" i="24" s="1"/>
  <c r="A20" i="24" s="1"/>
  <c r="A21" i="24" s="1"/>
  <c r="A22" i="24" s="1"/>
  <c r="A23" i="24" s="1"/>
  <c r="A24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CD23" i="24"/>
  <c r="BL31" i="24"/>
  <c r="BH36" i="24"/>
  <c r="BG33" i="24"/>
  <c r="BF33" i="24"/>
  <c r="AZ37" i="24"/>
  <c r="AY33" i="24"/>
  <c r="AU20" i="24"/>
  <c r="AT35" i="24"/>
  <c r="AH30" i="24"/>
  <c r="H12" i="24"/>
  <c r="I12" i="24" s="1"/>
  <c r="J12" i="24" s="1"/>
  <c r="K12" i="24" s="1"/>
  <c r="L12" i="24" s="1"/>
  <c r="M12" i="24" s="1"/>
  <c r="N12" i="24" s="1"/>
  <c r="O12" i="24" s="1"/>
  <c r="P12" i="24" s="1"/>
  <c r="Q12" i="24" s="1"/>
  <c r="R12" i="24" s="1"/>
  <c r="AY35" i="24" l="1"/>
  <c r="BB41" i="24"/>
  <c r="CR22" i="24"/>
  <c r="AX38" i="24"/>
  <c r="CS22" i="24"/>
  <c r="CF28" i="24"/>
  <c r="BA36" i="24"/>
  <c r="BB38" i="24"/>
  <c r="BB19" i="24"/>
  <c r="AX29" i="24"/>
  <c r="BI31" i="24"/>
  <c r="AZ19" i="24"/>
  <c r="AW29" i="24"/>
  <c r="BB29" i="24"/>
  <c r="AX19" i="24"/>
  <c r="AZ38" i="24"/>
  <c r="AZ29" i="24"/>
  <c r="AX34" i="24"/>
  <c r="BA29" i="24"/>
  <c r="BX31" i="24"/>
  <c r="AW20" i="24"/>
  <c r="AZ20" i="24"/>
  <c r="CH23" i="24"/>
  <c r="CI31" i="24"/>
  <c r="AY34" i="24"/>
  <c r="AF37" i="24"/>
  <c r="BM30" i="24"/>
  <c r="AV19" i="24"/>
  <c r="R24" i="24"/>
  <c r="BA20" i="24"/>
  <c r="CT23" i="24"/>
  <c r="AT30" i="24"/>
  <c r="AZ34" i="24"/>
  <c r="BE35" i="24"/>
  <c r="BE31" i="24"/>
  <c r="AY29" i="24"/>
  <c r="BB20" i="24"/>
  <c r="AV30" i="24"/>
  <c r="CT31" i="24"/>
  <c r="AY37" i="24"/>
  <c r="AV40" i="24"/>
  <c r="AV36" i="24"/>
  <c r="AY36" i="24"/>
  <c r="CB23" i="24"/>
  <c r="BA37" i="24"/>
  <c r="AO30" i="24"/>
  <c r="AN30" i="24"/>
  <c r="AM30" i="24"/>
  <c r="AQ30" i="24"/>
  <c r="AP30" i="24"/>
  <c r="AL30" i="24"/>
  <c r="AK30" i="24"/>
  <c r="AJ30" i="24"/>
  <c r="AI30" i="24"/>
  <c r="A45" i="24"/>
  <c r="A46" i="24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BH33" i="24"/>
  <c r="CG31" i="24"/>
  <c r="CD31" i="24"/>
  <c r="CC31" i="24"/>
  <c r="CB31" i="24"/>
  <c r="H19" i="24"/>
  <c r="BU22" i="24"/>
  <c r="BR22" i="24"/>
  <c r="BQ22" i="24"/>
  <c r="BV22" i="24"/>
  <c r="BT22" i="24"/>
  <c r="BS22" i="24"/>
  <c r="CG30" i="24"/>
  <c r="CF30" i="24"/>
  <c r="CE30" i="24"/>
  <c r="CC30" i="24"/>
  <c r="CH30" i="24"/>
  <c r="CD30" i="24"/>
  <c r="CE31" i="24"/>
  <c r="Q33" i="24"/>
  <c r="AY22" i="24"/>
  <c r="O22" i="24" s="1"/>
  <c r="AV22" i="24"/>
  <c r="L22" i="24" s="1"/>
  <c r="AU22" i="24"/>
  <c r="K22" i="24" s="1"/>
  <c r="BA22" i="24"/>
  <c r="Q22" i="24" s="1"/>
  <c r="AZ22" i="24"/>
  <c r="P22" i="24" s="1"/>
  <c r="AX22" i="24"/>
  <c r="N22" i="24" s="1"/>
  <c r="AW22" i="24"/>
  <c r="M22" i="24" s="1"/>
  <c r="AT22" i="24"/>
  <c r="J22" i="24" s="1"/>
  <c r="AF22" i="24"/>
  <c r="CF31" i="24"/>
  <c r="BR19" i="24"/>
  <c r="BW22" i="24"/>
  <c r="CB30" i="24"/>
  <c r="CH31" i="24"/>
  <c r="CB36" i="24"/>
  <c r="CA36" i="24"/>
  <c r="CH36" i="24"/>
  <c r="CG36" i="24"/>
  <c r="CF36" i="24"/>
  <c r="CC36" i="24"/>
  <c r="CD36" i="24"/>
  <c r="CE36" i="24"/>
  <c r="CQ22" i="24"/>
  <c r="CN22" i="24"/>
  <c r="CM22" i="24"/>
  <c r="BH23" i="24"/>
  <c r="AY31" i="24"/>
  <c r="AX31" i="24"/>
  <c r="AV31" i="24"/>
  <c r="AU31" i="24"/>
  <c r="AT31" i="24"/>
  <c r="BA31" i="24"/>
  <c r="BB31" i="24"/>
  <c r="AU37" i="24"/>
  <c r="AU40" i="24"/>
  <c r="AU34" i="24"/>
  <c r="AU33" i="24"/>
  <c r="AU36" i="24"/>
  <c r="AU30" i="24"/>
  <c r="BQ19" i="24"/>
  <c r="BP19" i="24"/>
  <c r="BW19" i="24"/>
  <c r="BV19" i="24"/>
  <c r="BU19" i="24"/>
  <c r="BT19" i="24"/>
  <c r="CL22" i="24"/>
  <c r="BB28" i="24"/>
  <c r="AS42" i="24"/>
  <c r="AY28" i="24"/>
  <c r="AX28" i="24"/>
  <c r="AW28" i="24"/>
  <c r="CQ31" i="24"/>
  <c r="CP31" i="24"/>
  <c r="CN31" i="24"/>
  <c r="CM31" i="24"/>
  <c r="CL31" i="24"/>
  <c r="CO31" i="24"/>
  <c r="CS31" i="24"/>
  <c r="CR31" i="24"/>
  <c r="CO22" i="24"/>
  <c r="CA23" i="24"/>
  <c r="CG23" i="24"/>
  <c r="CF23" i="24"/>
  <c r="CE23" i="24"/>
  <c r="AT28" i="24"/>
  <c r="BB32" i="24"/>
  <c r="AY32" i="24"/>
  <c r="AX32" i="24"/>
  <c r="AW32" i="24"/>
  <c r="AZ32" i="24"/>
  <c r="BK33" i="24"/>
  <c r="BJ33" i="24"/>
  <c r="BI33" i="24"/>
  <c r="CT33" i="24"/>
  <c r="BX33" i="24"/>
  <c r="BL33" i="24"/>
  <c r="BE33" i="24"/>
  <c r="CI33" i="24"/>
  <c r="BM33" i="24"/>
  <c r="AH38" i="24"/>
  <c r="AH19" i="24"/>
  <c r="AH29" i="24"/>
  <c r="AH40" i="24"/>
  <c r="AH34" i="24"/>
  <c r="AH22" i="24"/>
  <c r="AH20" i="24"/>
  <c r="AH39" i="24"/>
  <c r="AH37" i="24"/>
  <c r="AH31" i="24"/>
  <c r="AH23" i="24"/>
  <c r="AH32" i="24"/>
  <c r="AH28" i="24"/>
  <c r="AH35" i="24"/>
  <c r="AH33" i="24"/>
  <c r="BU20" i="24"/>
  <c r="BR20" i="24"/>
  <c r="BW20" i="24"/>
  <c r="BV20" i="24"/>
  <c r="BT20" i="24"/>
  <c r="BP20" i="24"/>
  <c r="BS20" i="24"/>
  <c r="BQ20" i="24"/>
  <c r="AS23" i="24"/>
  <c r="AF23" i="24"/>
  <c r="AW31" i="24"/>
  <c r="AZ31" i="24"/>
  <c r="CT32" i="24"/>
  <c r="BX32" i="24"/>
  <c r="BL32" i="24"/>
  <c r="BJ32" i="24"/>
  <c r="BK32" i="24"/>
  <c r="BI32" i="24"/>
  <c r="BH32" i="24"/>
  <c r="BG32" i="24"/>
  <c r="BF32" i="24"/>
  <c r="CI32" i="24"/>
  <c r="BM32" i="24"/>
  <c r="CK33" i="24"/>
  <c r="CK30" i="24"/>
  <c r="CK40" i="24"/>
  <c r="CK34" i="24"/>
  <c r="CK41" i="24"/>
  <c r="CK23" i="24"/>
  <c r="CK36" i="24"/>
  <c r="CK38" i="24"/>
  <c r="CK37" i="24"/>
  <c r="CK19" i="24"/>
  <c r="CK35" i="24"/>
  <c r="BB22" i="24"/>
  <c r="BE32" i="24"/>
  <c r="BO33" i="24"/>
  <c r="BO30" i="24"/>
  <c r="BO40" i="24"/>
  <c r="BO34" i="24"/>
  <c r="BO41" i="24"/>
  <c r="BO23" i="24"/>
  <c r="BO36" i="24"/>
  <c r="BO38" i="24"/>
  <c r="BO29" i="24"/>
  <c r="BO37" i="24"/>
  <c r="BO35" i="24"/>
  <c r="BO28" i="24"/>
  <c r="BO31" i="24"/>
  <c r="BO39" i="24"/>
  <c r="BO32" i="24"/>
  <c r="H20" i="24"/>
  <c r="CK20" i="24"/>
  <c r="CK28" i="24"/>
  <c r="CK32" i="24"/>
  <c r="CT28" i="24"/>
  <c r="BX28" i="24"/>
  <c r="BL28" i="24"/>
  <c r="BK28" i="24"/>
  <c r="BI28" i="24"/>
  <c r="BH28" i="24"/>
  <c r="BG28" i="24"/>
  <c r="BE28" i="24"/>
  <c r="BM28" i="24"/>
  <c r="BJ28" i="24"/>
  <c r="BF28" i="24"/>
  <c r="BE23" i="24"/>
  <c r="CI23" i="24"/>
  <c r="BM23" i="24"/>
  <c r="BK23" i="24"/>
  <c r="BJ23" i="24"/>
  <c r="BI23" i="24"/>
  <c r="BK31" i="24"/>
  <c r="BH31" i="24"/>
  <c r="BG31" i="24"/>
  <c r="BF31" i="24"/>
  <c r="BX35" i="24"/>
  <c r="BA39" i="24"/>
  <c r="BF23" i="24"/>
  <c r="AU19" i="24"/>
  <c r="AT19" i="24"/>
  <c r="BG23" i="24"/>
  <c r="CG35" i="24"/>
  <c r="CF35" i="24"/>
  <c r="CE35" i="24"/>
  <c r="CD35" i="24"/>
  <c r="CC35" i="24"/>
  <c r="CB35" i="24"/>
  <c r="BK39" i="24"/>
  <c r="BJ39" i="24"/>
  <c r="BI39" i="24"/>
  <c r="BH39" i="24"/>
  <c r="BG39" i="24"/>
  <c r="BF39" i="24"/>
  <c r="BL39" i="24"/>
  <c r="BD37" i="24"/>
  <c r="BE39" i="24"/>
  <c r="BM39" i="24"/>
  <c r="BL23" i="24"/>
  <c r="CG33" i="24"/>
  <c r="CF33" i="24"/>
  <c r="CE33" i="24"/>
  <c r="AW33" i="24"/>
  <c r="AW30" i="24"/>
  <c r="BK30" i="24"/>
  <c r="BJ30" i="24"/>
  <c r="BI30" i="24"/>
  <c r="CT30" i="24"/>
  <c r="BX30" i="24"/>
  <c r="CI35" i="24"/>
  <c r="AW36" i="24"/>
  <c r="AF41" i="24"/>
  <c r="AX33" i="24"/>
  <c r="AX30" i="24"/>
  <c r="AX40" i="24"/>
  <c r="AY19" i="24"/>
  <c r="BE30" i="24"/>
  <c r="BM31" i="24"/>
  <c r="CB33" i="24"/>
  <c r="AX36" i="24"/>
  <c r="AU38" i="24"/>
  <c r="AT40" i="24"/>
  <c r="H18" i="24"/>
  <c r="R32" i="24"/>
  <c r="BF30" i="24"/>
  <c r="CH32" i="24"/>
  <c r="CG32" i="24"/>
  <c r="CF32" i="24"/>
  <c r="CE32" i="24"/>
  <c r="CD32" i="24"/>
  <c r="CC32" i="24"/>
  <c r="CC33" i="24"/>
  <c r="AZ36" i="24"/>
  <c r="AZ33" i="24"/>
  <c r="AZ40" i="24"/>
  <c r="BZ38" i="24"/>
  <c r="BZ19" i="24"/>
  <c r="BZ29" i="24"/>
  <c r="BZ40" i="24"/>
  <c r="BZ41" i="24"/>
  <c r="BZ22" i="24"/>
  <c r="BZ20" i="24"/>
  <c r="BA19" i="24"/>
  <c r="AD29" i="24"/>
  <c r="CK29" i="24" s="1"/>
  <c r="BG30" i="24"/>
  <c r="CA32" i="24"/>
  <c r="CD33" i="24"/>
  <c r="BA35" i="24"/>
  <c r="AZ35" i="24"/>
  <c r="AX35" i="24"/>
  <c r="AW35" i="24"/>
  <c r="AV35" i="24"/>
  <c r="AW38" i="24"/>
  <c r="AW40" i="24"/>
  <c r="AY20" i="24"/>
  <c r="AV20" i="24"/>
  <c r="CH28" i="24"/>
  <c r="CG28" i="24"/>
  <c r="CE28" i="24"/>
  <c r="CD28" i="24"/>
  <c r="CC28" i="24"/>
  <c r="BH30" i="24"/>
  <c r="CB32" i="24"/>
  <c r="AT33" i="24"/>
  <c r="CH33" i="24"/>
  <c r="AW34" i="24"/>
  <c r="BF36" i="24"/>
  <c r="BE36" i="24"/>
  <c r="CT36" i="24"/>
  <c r="BX36" i="24"/>
  <c r="CI36" i="24"/>
  <c r="BM36" i="24"/>
  <c r="BL36" i="24"/>
  <c r="BK36" i="24"/>
  <c r="BJ36" i="24"/>
  <c r="BX39" i="24"/>
  <c r="BD38" i="24"/>
  <c r="BD19" i="24"/>
  <c r="BD29" i="24"/>
  <c r="BD40" i="24"/>
  <c r="BD34" i="24"/>
  <c r="BD41" i="24"/>
  <c r="BD22" i="24"/>
  <c r="BD20" i="24"/>
  <c r="AT20" i="24"/>
  <c r="CA28" i="24"/>
  <c r="BL30" i="24"/>
  <c r="AU35" i="24"/>
  <c r="BG36" i="24"/>
  <c r="BZ39" i="24"/>
  <c r="AH41" i="24"/>
  <c r="AF36" i="24"/>
  <c r="Y36" i="24"/>
  <c r="CF37" i="24"/>
  <c r="CE37" i="24"/>
  <c r="CC37" i="24"/>
  <c r="CB37" i="24"/>
  <c r="CA37" i="24"/>
  <c r="CG37" i="24"/>
  <c r="BK35" i="24"/>
  <c r="BJ35" i="24"/>
  <c r="BI35" i="24"/>
  <c r="BH35" i="24"/>
  <c r="BG35" i="24"/>
  <c r="BF35" i="24"/>
  <c r="CD37" i="24"/>
  <c r="CK39" i="24"/>
  <c r="U55" i="24"/>
  <c r="U54" i="24"/>
  <c r="AC34" i="24"/>
  <c r="AF34" i="24" s="1"/>
  <c r="BL35" i="24"/>
  <c r="BM35" i="24"/>
  <c r="CT39" i="24"/>
  <c r="W40" i="24"/>
  <c r="W42" i="24" s="1"/>
  <c r="W44" i="24" s="1"/>
  <c r="AF28" i="24"/>
  <c r="F42" i="24"/>
  <c r="AY39" i="24"/>
  <c r="AX39" i="24"/>
  <c r="AW39" i="24"/>
  <c r="AV39" i="24"/>
  <c r="AU39" i="24"/>
  <c r="AT39" i="24"/>
  <c r="AY41" i="24"/>
  <c r="BA34" i="24"/>
  <c r="BB34" i="24"/>
  <c r="AT37" i="24"/>
  <c r="AY40" i="24"/>
  <c r="AY30" i="24"/>
  <c r="AV37" i="24"/>
  <c r="AU29" i="24"/>
  <c r="AW37" i="24"/>
  <c r="AT38" i="24"/>
  <c r="AT36" i="24"/>
  <c r="AT41" i="24"/>
  <c r="AT34" i="24"/>
  <c r="AU41" i="24"/>
  <c r="AV41" i="24"/>
  <c r="AW41" i="24"/>
  <c r="I33" i="24" l="1"/>
  <c r="X33" i="24" s="1"/>
  <c r="AF33" i="24" s="1"/>
  <c r="BD42" i="24"/>
  <c r="AV42" i="24"/>
  <c r="AF29" i="24"/>
  <c r="AZ42" i="24"/>
  <c r="AU42" i="24"/>
  <c r="BO42" i="24"/>
  <c r="BU28" i="24"/>
  <c r="BT28" i="24"/>
  <c r="BS28" i="24"/>
  <c r="BW28" i="24"/>
  <c r="BV28" i="24"/>
  <c r="BP28" i="24"/>
  <c r="BR28" i="24"/>
  <c r="BQ28" i="24"/>
  <c r="BZ34" i="24"/>
  <c r="AC42" i="24"/>
  <c r="AC44" i="24" s="1"/>
  <c r="Y42" i="24"/>
  <c r="Y44" i="24" s="1"/>
  <c r="AH36" i="24"/>
  <c r="CC38" i="24"/>
  <c r="CB38" i="24"/>
  <c r="CH38" i="24"/>
  <c r="CG38" i="24"/>
  <c r="CD38" i="24"/>
  <c r="CF38" i="24"/>
  <c r="CE38" i="24"/>
  <c r="CA38" i="24"/>
  <c r="BW35" i="24"/>
  <c r="BV35" i="24"/>
  <c r="BT35" i="24"/>
  <c r="BS35" i="24"/>
  <c r="BR35" i="24"/>
  <c r="BQ35" i="24"/>
  <c r="BU35" i="24"/>
  <c r="BP35" i="24"/>
  <c r="CS23" i="24"/>
  <c r="CR23" i="24"/>
  <c r="CQ23" i="24"/>
  <c r="CP23" i="24"/>
  <c r="CO23" i="24"/>
  <c r="CN23" i="24"/>
  <c r="CM23" i="24"/>
  <c r="CL23" i="24"/>
  <c r="AM22" i="24"/>
  <c r="AL22" i="24"/>
  <c r="AJ22" i="24"/>
  <c r="AQ22" i="24"/>
  <c r="AO22" i="24"/>
  <c r="AN22" i="24"/>
  <c r="AK22" i="24"/>
  <c r="AP22" i="24"/>
  <c r="AI22" i="24"/>
  <c r="AW42" i="24"/>
  <c r="BT37" i="24"/>
  <c r="BS37" i="24"/>
  <c r="BR37" i="24"/>
  <c r="BQ37" i="24"/>
  <c r="BP37" i="24"/>
  <c r="BW37" i="24"/>
  <c r="BV37" i="24"/>
  <c r="BU37" i="24"/>
  <c r="CP41" i="24"/>
  <c r="CO41" i="24"/>
  <c r="CN41" i="24"/>
  <c r="CM41" i="24"/>
  <c r="CL41" i="24"/>
  <c r="CQ41" i="24"/>
  <c r="CS41" i="24"/>
  <c r="CR41" i="24"/>
  <c r="BA23" i="24"/>
  <c r="Q23" i="24" s="1"/>
  <c r="AZ23" i="24"/>
  <c r="P23" i="24" s="1"/>
  <c r="AU23" i="24"/>
  <c r="K23" i="24" s="1"/>
  <c r="AT23" i="24"/>
  <c r="J23" i="24" s="1"/>
  <c r="BB23" i="24"/>
  <c r="AV23" i="24"/>
  <c r="L23" i="24" s="1"/>
  <c r="AY23" i="24"/>
  <c r="O23" i="24" s="1"/>
  <c r="AX23" i="24"/>
  <c r="N23" i="24" s="1"/>
  <c r="AW23" i="24"/>
  <c r="M23" i="24" s="1"/>
  <c r="AQ34" i="24"/>
  <c r="AK34" i="24"/>
  <c r="AI34" i="24"/>
  <c r="AJ34" i="24"/>
  <c r="AL34" i="24"/>
  <c r="AP34" i="24"/>
  <c r="AO34" i="24"/>
  <c r="AN34" i="24"/>
  <c r="AM34" i="24"/>
  <c r="AX42" i="24"/>
  <c r="AM41" i="24"/>
  <c r="AL41" i="24"/>
  <c r="AK41" i="24"/>
  <c r="AJ41" i="24"/>
  <c r="AI41" i="24"/>
  <c r="AQ41" i="24"/>
  <c r="AP41" i="24"/>
  <c r="AO41" i="24"/>
  <c r="AN41" i="24"/>
  <c r="BR29" i="24"/>
  <c r="BQ29" i="24"/>
  <c r="BU29" i="24"/>
  <c r="BT29" i="24"/>
  <c r="BS29" i="24"/>
  <c r="BP29" i="24"/>
  <c r="BW29" i="24"/>
  <c r="BV29" i="24"/>
  <c r="CO34" i="24"/>
  <c r="CL34" i="24"/>
  <c r="CS34" i="24"/>
  <c r="CQ34" i="24"/>
  <c r="CM34" i="24"/>
  <c r="CR34" i="24"/>
  <c r="CP34" i="24"/>
  <c r="CN34" i="24"/>
  <c r="AQ40" i="24"/>
  <c r="AP40" i="24"/>
  <c r="AO40" i="24"/>
  <c r="AN40" i="24"/>
  <c r="AM40" i="24"/>
  <c r="AL40" i="24"/>
  <c r="AK40" i="24"/>
  <c r="AJ40" i="24"/>
  <c r="AI40" i="24"/>
  <c r="AY42" i="24"/>
  <c r="AD42" i="24"/>
  <c r="AD44" i="24" s="1"/>
  <c r="AM20" i="24"/>
  <c r="AL20" i="24"/>
  <c r="AJ20" i="24"/>
  <c r="AP20" i="24"/>
  <c r="AK20" i="24"/>
  <c r="AQ20" i="24"/>
  <c r="AO20" i="24"/>
  <c r="AN20" i="24"/>
  <c r="AI20" i="24"/>
  <c r="BW38" i="24"/>
  <c r="BQ38" i="24"/>
  <c r="BP38" i="24"/>
  <c r="BT38" i="24"/>
  <c r="BR38" i="24"/>
  <c r="BV38" i="24"/>
  <c r="BU38" i="24"/>
  <c r="BS38" i="24"/>
  <c r="CL40" i="24"/>
  <c r="CS40" i="24"/>
  <c r="CR40" i="24"/>
  <c r="CQ40" i="24"/>
  <c r="CP40" i="24"/>
  <c r="CM40" i="24"/>
  <c r="CO40" i="24"/>
  <c r="CN40" i="24"/>
  <c r="AL29" i="24"/>
  <c r="AI29" i="24"/>
  <c r="AQ29" i="24"/>
  <c r="AP29" i="24"/>
  <c r="AK29" i="24"/>
  <c r="AJ29" i="24"/>
  <c r="AM29" i="24"/>
  <c r="AO29" i="24"/>
  <c r="AN29" i="24"/>
  <c r="BV33" i="24"/>
  <c r="BW33" i="24"/>
  <c r="BU33" i="24"/>
  <c r="BT33" i="24"/>
  <c r="BS33" i="24"/>
  <c r="BR33" i="24"/>
  <c r="BQ33" i="24"/>
  <c r="BP33" i="24"/>
  <c r="CQ39" i="24"/>
  <c r="CP39" i="24"/>
  <c r="CO39" i="24"/>
  <c r="CN39" i="24"/>
  <c r="CM39" i="24"/>
  <c r="CL39" i="24"/>
  <c r="CS39" i="24"/>
  <c r="CR39" i="24"/>
  <c r="BJ37" i="24"/>
  <c r="BI37" i="24"/>
  <c r="BG37" i="24"/>
  <c r="BF37" i="24"/>
  <c r="BE37" i="24"/>
  <c r="BK37" i="24"/>
  <c r="CT37" i="24"/>
  <c r="CI37" i="24"/>
  <c r="BM37" i="24"/>
  <c r="BL37" i="24"/>
  <c r="BH37" i="24"/>
  <c r="BX37" i="24"/>
  <c r="BW36" i="24"/>
  <c r="BV36" i="24"/>
  <c r="BP36" i="24"/>
  <c r="BU36" i="24"/>
  <c r="BT36" i="24"/>
  <c r="BS36" i="24"/>
  <c r="BQ36" i="24"/>
  <c r="BR36" i="24"/>
  <c r="CS30" i="24"/>
  <c r="CQ30" i="24"/>
  <c r="CP30" i="24"/>
  <c r="CO30" i="24"/>
  <c r="M30" i="24" s="1"/>
  <c r="CL30" i="24"/>
  <c r="CR30" i="24"/>
  <c r="CN30" i="24"/>
  <c r="CM30" i="24"/>
  <c r="AK19" i="24"/>
  <c r="AQ19" i="24"/>
  <c r="AO19" i="24"/>
  <c r="AP19" i="24"/>
  <c r="AN19" i="24"/>
  <c r="AM19" i="24"/>
  <c r="AL19" i="24"/>
  <c r="AI19" i="24"/>
  <c r="AJ19" i="24"/>
  <c r="AT42" i="24"/>
  <c r="BW23" i="24"/>
  <c r="BV23" i="24"/>
  <c r="BU23" i="24"/>
  <c r="BT23" i="24"/>
  <c r="BS23" i="24"/>
  <c r="BR23" i="24"/>
  <c r="BQ23" i="24"/>
  <c r="BP23" i="24"/>
  <c r="CS33" i="24"/>
  <c r="CR33" i="24"/>
  <c r="CQ33" i="24"/>
  <c r="CP33" i="24"/>
  <c r="CO33" i="24"/>
  <c r="CN33" i="24"/>
  <c r="CL33" i="24"/>
  <c r="CM33" i="24"/>
  <c r="AK38" i="24"/>
  <c r="AJ38" i="24"/>
  <c r="AQ38" i="24"/>
  <c r="AP38" i="24"/>
  <c r="AO38" i="24"/>
  <c r="AL38" i="24"/>
  <c r="AN38" i="24"/>
  <c r="AM38" i="24"/>
  <c r="AI38" i="24"/>
  <c r="CC19" i="24"/>
  <c r="CG19" i="24"/>
  <c r="CH19" i="24"/>
  <c r="CE19" i="24"/>
  <c r="CF19" i="24"/>
  <c r="CD19" i="24"/>
  <c r="CB19" i="24"/>
  <c r="CA19" i="24"/>
  <c r="CS36" i="24"/>
  <c r="CR36" i="24"/>
  <c r="CL36" i="24"/>
  <c r="CQ36" i="24"/>
  <c r="CP36" i="24"/>
  <c r="CO36" i="24"/>
  <c r="CN36" i="24"/>
  <c r="CM36" i="24"/>
  <c r="CG39" i="24"/>
  <c r="CF39" i="24"/>
  <c r="CE39" i="24"/>
  <c r="CD39" i="24"/>
  <c r="CC39" i="24"/>
  <c r="CB39" i="24"/>
  <c r="CH39" i="24"/>
  <c r="CA39" i="24"/>
  <c r="BT41" i="24"/>
  <c r="BS41" i="24"/>
  <c r="BR41" i="24"/>
  <c r="BQ41" i="24"/>
  <c r="BP41" i="24"/>
  <c r="BU41" i="24"/>
  <c r="BW41" i="24"/>
  <c r="BV41" i="24"/>
  <c r="R28" i="24"/>
  <c r="BP40" i="24"/>
  <c r="BW40" i="24"/>
  <c r="BV40" i="24"/>
  <c r="BU40" i="24"/>
  <c r="BT40" i="24"/>
  <c r="BQ40" i="24"/>
  <c r="BS40" i="24"/>
  <c r="BR40" i="24"/>
  <c r="I22" i="24"/>
  <c r="H22" i="24" s="1"/>
  <c r="BI41" i="24"/>
  <c r="BH41" i="24"/>
  <c r="BG41" i="24"/>
  <c r="BF41" i="24"/>
  <c r="BE41" i="24"/>
  <c r="CT41" i="24"/>
  <c r="BX41" i="24"/>
  <c r="CI41" i="24"/>
  <c r="BM41" i="24"/>
  <c r="BL41" i="24"/>
  <c r="BK41" i="24"/>
  <c r="BJ41" i="24"/>
  <c r="CQ32" i="24"/>
  <c r="CP32" i="24"/>
  <c r="CO32" i="24"/>
  <c r="CR32" i="24"/>
  <c r="CL32" i="24"/>
  <c r="CM32" i="24"/>
  <c r="CS32" i="24"/>
  <c r="CN32" i="24"/>
  <c r="AO35" i="24"/>
  <c r="AN35" i="24"/>
  <c r="AM35" i="24"/>
  <c r="AL35" i="24"/>
  <c r="AK35" i="24"/>
  <c r="AJ35" i="24"/>
  <c r="AQ35" i="24"/>
  <c r="R35" i="24" s="1"/>
  <c r="AP35" i="24"/>
  <c r="AI35" i="24"/>
  <c r="I32" i="24"/>
  <c r="BI22" i="24"/>
  <c r="BH22" i="24"/>
  <c r="BF22" i="24"/>
  <c r="CI22" i="24"/>
  <c r="BX22" i="24"/>
  <c r="BJ22" i="24"/>
  <c r="BG22" i="24"/>
  <c r="CT22" i="24"/>
  <c r="BE22" i="24"/>
  <c r="BK22" i="24"/>
  <c r="BM22" i="24"/>
  <c r="BL22" i="24"/>
  <c r="CN29" i="24"/>
  <c r="CM29" i="24"/>
  <c r="CO29" i="24"/>
  <c r="CS29" i="24"/>
  <c r="CR29" i="24"/>
  <c r="CQ29" i="24"/>
  <c r="CP29" i="24"/>
  <c r="CL29" i="24"/>
  <c r="CK42" i="24"/>
  <c r="CQ28" i="24"/>
  <c r="CP28" i="24"/>
  <c r="CO28" i="24"/>
  <c r="CS28" i="24"/>
  <c r="CL28" i="24"/>
  <c r="CR28" i="24"/>
  <c r="CN28" i="24"/>
  <c r="CM28" i="24"/>
  <c r="CE20" i="24"/>
  <c r="CD20" i="24"/>
  <c r="CB20" i="24"/>
  <c r="CF20" i="24"/>
  <c r="CG20" i="24"/>
  <c r="CH20" i="24"/>
  <c r="CA20" i="24"/>
  <c r="CC20" i="24"/>
  <c r="CQ20" i="24"/>
  <c r="CN20" i="24"/>
  <c r="CM20" i="24"/>
  <c r="CS20" i="24"/>
  <c r="CR20" i="24"/>
  <c r="CP20" i="24"/>
  <c r="CL20" i="24"/>
  <c r="CO20" i="24"/>
  <c r="AP32" i="24"/>
  <c r="AO32" i="24"/>
  <c r="AN32" i="24"/>
  <c r="AM32" i="24"/>
  <c r="AL32" i="24"/>
  <c r="AK32" i="24"/>
  <c r="AQ32" i="24"/>
  <c r="AJ32" i="24"/>
  <c r="AI32" i="24"/>
  <c r="BW30" i="24"/>
  <c r="Q30" i="24" s="1"/>
  <c r="BU30" i="24"/>
  <c r="BT30" i="24"/>
  <c r="BS30" i="24"/>
  <c r="BP30" i="24"/>
  <c r="BV30" i="24"/>
  <c r="P30" i="24" s="1"/>
  <c r="BR30" i="24"/>
  <c r="L30" i="24" s="1"/>
  <c r="BQ30" i="24"/>
  <c r="K30" i="24" s="1"/>
  <c r="AF40" i="24"/>
  <c r="AH42" i="24"/>
  <c r="AP28" i="24"/>
  <c r="AO28" i="24"/>
  <c r="AM28" i="24"/>
  <c r="AL28" i="24"/>
  <c r="AK28" i="24"/>
  <c r="AN28" i="24"/>
  <c r="AJ28" i="24"/>
  <c r="AI28" i="24"/>
  <c r="AQ28" i="24"/>
  <c r="BH29" i="24"/>
  <c r="BE29" i="24"/>
  <c r="CT29" i="24"/>
  <c r="BX29" i="24"/>
  <c r="BX42" i="24" s="1"/>
  <c r="CI29" i="24"/>
  <c r="BM29" i="24"/>
  <c r="BL29" i="24"/>
  <c r="BI29" i="24"/>
  <c r="BG29" i="24"/>
  <c r="BK29" i="24"/>
  <c r="BJ29" i="24"/>
  <c r="BF29" i="24"/>
  <c r="CE22" i="24"/>
  <c r="CD22" i="24"/>
  <c r="CB22" i="24"/>
  <c r="CH22" i="24"/>
  <c r="CG22" i="24"/>
  <c r="CF22" i="24"/>
  <c r="CC22" i="24"/>
  <c r="CA22" i="24"/>
  <c r="CS35" i="24"/>
  <c r="CR35" i="24"/>
  <c r="CP35" i="24"/>
  <c r="CO35" i="24"/>
  <c r="CN35" i="24"/>
  <c r="CQ35" i="24"/>
  <c r="CM35" i="24"/>
  <c r="CL35" i="24"/>
  <c r="AI23" i="24"/>
  <c r="AQ23" i="24"/>
  <c r="AO23" i="24"/>
  <c r="AN23" i="24"/>
  <c r="AM23" i="24"/>
  <c r="AK23" i="24"/>
  <c r="AJ23" i="24"/>
  <c r="AP23" i="24"/>
  <c r="AL23" i="24"/>
  <c r="BS34" i="24"/>
  <c r="BP34" i="24"/>
  <c r="BW34" i="24"/>
  <c r="BV34" i="24"/>
  <c r="BU34" i="24"/>
  <c r="BT34" i="24"/>
  <c r="BQ34" i="24"/>
  <c r="BR34" i="24"/>
  <c r="AO33" i="24"/>
  <c r="AN33" i="24"/>
  <c r="AM33" i="24"/>
  <c r="AQ33" i="24"/>
  <c r="AK33" i="24"/>
  <c r="AP33" i="24"/>
  <c r="AL33" i="24"/>
  <c r="AJ33" i="24"/>
  <c r="AI33" i="24"/>
  <c r="CI34" i="24"/>
  <c r="BM34" i="24"/>
  <c r="BG34" i="24"/>
  <c r="BF34" i="24"/>
  <c r="BE34" i="24"/>
  <c r="CT34" i="24"/>
  <c r="BX34" i="24"/>
  <c r="BL34" i="24"/>
  <c r="BJ34" i="24"/>
  <c r="BI34" i="24"/>
  <c r="BH34" i="24"/>
  <c r="BK34" i="24"/>
  <c r="BG19" i="24"/>
  <c r="CI19" i="24"/>
  <c r="BM19" i="24"/>
  <c r="BK19" i="24"/>
  <c r="BE19" i="24"/>
  <c r="BF19" i="24"/>
  <c r="CT19" i="24"/>
  <c r="BX19" i="24"/>
  <c r="BH19" i="24"/>
  <c r="BL19" i="24"/>
  <c r="BJ19" i="24"/>
  <c r="BI19" i="24"/>
  <c r="CE41" i="24"/>
  <c r="CD41" i="24"/>
  <c r="CC41" i="24"/>
  <c r="CB41" i="24"/>
  <c r="CA41" i="24"/>
  <c r="CH41" i="24"/>
  <c r="CG41" i="24"/>
  <c r="CF41" i="24"/>
  <c r="BU32" i="24"/>
  <c r="BT32" i="24"/>
  <c r="BS32" i="24"/>
  <c r="BR32" i="24"/>
  <c r="BQ32" i="24"/>
  <c r="BW32" i="24"/>
  <c r="BV32" i="24"/>
  <c r="BP32" i="24"/>
  <c r="CM19" i="24"/>
  <c r="CL19" i="24"/>
  <c r="CR19" i="24"/>
  <c r="CS19" i="24"/>
  <c r="CO19" i="24"/>
  <c r="CN19" i="24"/>
  <c r="CQ19" i="24"/>
  <c r="CP19" i="24"/>
  <c r="AO31" i="24"/>
  <c r="AL31" i="24"/>
  <c r="AK31" i="24"/>
  <c r="AJ31" i="24"/>
  <c r="AQ31" i="24"/>
  <c r="AP31" i="24"/>
  <c r="AN31" i="24"/>
  <c r="AM31" i="24"/>
  <c r="AI31" i="24"/>
  <c r="H33" i="24"/>
  <c r="U33" i="24" s="1"/>
  <c r="CI40" i="24"/>
  <c r="BM40" i="24"/>
  <c r="BL40" i="24"/>
  <c r="BK40" i="24"/>
  <c r="BJ40" i="24"/>
  <c r="CT40" i="24"/>
  <c r="BX40" i="24"/>
  <c r="BI40" i="24"/>
  <c r="BH40" i="24"/>
  <c r="BG40" i="24"/>
  <c r="BF40" i="24"/>
  <c r="BE40" i="24"/>
  <c r="BG38" i="24"/>
  <c r="BF38" i="24"/>
  <c r="CT38" i="24"/>
  <c r="BX38" i="24"/>
  <c r="CI38" i="24"/>
  <c r="BM38" i="24"/>
  <c r="BL38" i="24"/>
  <c r="BK38" i="24"/>
  <c r="BH38" i="24"/>
  <c r="BJ38" i="24"/>
  <c r="BJ42" i="24" s="1"/>
  <c r="BI38" i="24"/>
  <c r="BE38" i="24"/>
  <c r="CH40" i="24"/>
  <c r="CG40" i="24"/>
  <c r="CF40" i="24"/>
  <c r="CB40" i="24"/>
  <c r="CA40" i="24"/>
  <c r="CE40" i="24"/>
  <c r="CC40" i="24"/>
  <c r="CD40" i="24"/>
  <c r="BU39" i="24"/>
  <c r="BT39" i="24"/>
  <c r="BS39" i="24"/>
  <c r="BR39" i="24"/>
  <c r="BQ39" i="24"/>
  <c r="BP39" i="24"/>
  <c r="BW39" i="24"/>
  <c r="BV39" i="24"/>
  <c r="CP37" i="24"/>
  <c r="CO37" i="24"/>
  <c r="CN37" i="24"/>
  <c r="CM37" i="24"/>
  <c r="CL37" i="24"/>
  <c r="CR37" i="24"/>
  <c r="CQ37" i="24"/>
  <c r="CS37" i="24"/>
  <c r="AN37" i="24"/>
  <c r="AM37" i="24"/>
  <c r="AK37" i="24"/>
  <c r="AJ37" i="24"/>
  <c r="AI37" i="24"/>
  <c r="AO37" i="24"/>
  <c r="AP37" i="24"/>
  <c r="AL37" i="24"/>
  <c r="AQ37" i="24"/>
  <c r="BI20" i="24"/>
  <c r="BH20" i="24"/>
  <c r="BF20" i="24"/>
  <c r="BX20" i="24"/>
  <c r="BM20" i="24"/>
  <c r="BL20" i="24"/>
  <c r="BK20" i="24"/>
  <c r="CI20" i="24"/>
  <c r="BJ20" i="24"/>
  <c r="BG20" i="24"/>
  <c r="BE20" i="24"/>
  <c r="CT20" i="24"/>
  <c r="CD29" i="24"/>
  <c r="CA29" i="24"/>
  <c r="R29" i="24" s="1"/>
  <c r="CH29" i="24"/>
  <c r="CE29" i="24"/>
  <c r="CC29" i="24"/>
  <c r="CB29" i="24"/>
  <c r="CF29" i="24"/>
  <c r="CG29" i="24"/>
  <c r="BU31" i="24"/>
  <c r="BT31" i="24"/>
  <c r="BR31" i="24"/>
  <c r="BQ31" i="24"/>
  <c r="BP31" i="24"/>
  <c r="BW31" i="24"/>
  <c r="BV31" i="24"/>
  <c r="BS31" i="24"/>
  <c r="CS38" i="24"/>
  <c r="CM38" i="24"/>
  <c r="CL38" i="24"/>
  <c r="CR38" i="24"/>
  <c r="CQ38" i="24"/>
  <c r="CP38" i="24"/>
  <c r="CO38" i="24"/>
  <c r="CN38" i="24"/>
  <c r="AO39" i="24"/>
  <c r="AN39" i="24"/>
  <c r="O39" i="24" s="1"/>
  <c r="AM39" i="24"/>
  <c r="AL39" i="24"/>
  <c r="AK39" i="24"/>
  <c r="AJ39" i="24"/>
  <c r="AP39" i="24"/>
  <c r="AI39" i="24"/>
  <c r="AQ39" i="24"/>
  <c r="R39" i="24" s="1"/>
  <c r="CL42" i="24" l="1"/>
  <c r="BF42" i="24"/>
  <c r="R41" i="24"/>
  <c r="BP42" i="24"/>
  <c r="BK42" i="24"/>
  <c r="Q29" i="24"/>
  <c r="L39" i="24"/>
  <c r="M39" i="24"/>
  <c r="BG42" i="24"/>
  <c r="N39" i="24"/>
  <c r="BL42" i="24"/>
  <c r="J30" i="24"/>
  <c r="I30" i="24" s="1"/>
  <c r="H30" i="24" s="1"/>
  <c r="U30" i="24" s="1"/>
  <c r="J35" i="24"/>
  <c r="N30" i="24"/>
  <c r="CT42" i="24"/>
  <c r="O30" i="24"/>
  <c r="O37" i="24"/>
  <c r="BH42" i="24"/>
  <c r="BM42" i="24"/>
  <c r="BI42" i="24"/>
  <c r="N35" i="24"/>
  <c r="BE42" i="24"/>
  <c r="O35" i="24"/>
  <c r="P28" i="24"/>
  <c r="CR42" i="24"/>
  <c r="Q40" i="24"/>
  <c r="P41" i="24"/>
  <c r="R34" i="24"/>
  <c r="CS42" i="24"/>
  <c r="P35" i="24"/>
  <c r="J29" i="24"/>
  <c r="CO42" i="24"/>
  <c r="M29" i="24"/>
  <c r="J41" i="24"/>
  <c r="I41" i="24" s="1"/>
  <c r="H41" i="24" s="1"/>
  <c r="U41" i="24" s="1"/>
  <c r="AJ36" i="24"/>
  <c r="K36" i="24" s="1"/>
  <c r="AI36" i="24"/>
  <c r="J36" i="24" s="1"/>
  <c r="AQ36" i="24"/>
  <c r="R36" i="24" s="1"/>
  <c r="AP36" i="24"/>
  <c r="Q36" i="24" s="1"/>
  <c r="AO36" i="24"/>
  <c r="P36" i="24" s="1"/>
  <c r="AN36" i="24"/>
  <c r="O36" i="24" s="1"/>
  <c r="AK36" i="24"/>
  <c r="L36" i="24" s="1"/>
  <c r="AM36" i="24"/>
  <c r="N36" i="24" s="1"/>
  <c r="AL36" i="24"/>
  <c r="M36" i="24" s="1"/>
  <c r="X32" i="24"/>
  <c r="H32" i="24"/>
  <c r="U32" i="24" s="1"/>
  <c r="R40" i="24"/>
  <c r="CP42" i="24"/>
  <c r="K41" i="24"/>
  <c r="Q41" i="24"/>
  <c r="CQ42" i="24"/>
  <c r="L41" i="24"/>
  <c r="J39" i="24"/>
  <c r="M41" i="24"/>
  <c r="I23" i="24"/>
  <c r="H23" i="24" s="1"/>
  <c r="H24" i="24" s="1"/>
  <c r="CC34" i="24"/>
  <c r="CC42" i="24" s="1"/>
  <c r="CA34" i="24"/>
  <c r="J34" i="24" s="1"/>
  <c r="CB34" i="24"/>
  <c r="K34" i="24" s="1"/>
  <c r="CH34" i="24"/>
  <c r="CH42" i="24" s="1"/>
  <c r="CG34" i="24"/>
  <c r="CG42" i="24" s="1"/>
  <c r="CF34" i="24"/>
  <c r="CE34" i="24"/>
  <c r="CE42" i="24" s="1"/>
  <c r="CD34" i="24"/>
  <c r="CD42" i="24" s="1"/>
  <c r="BZ42" i="24"/>
  <c r="Q39" i="24"/>
  <c r="N41" i="24"/>
  <c r="BQ42" i="24"/>
  <c r="K39" i="24"/>
  <c r="CI42" i="24"/>
  <c r="BR42" i="24"/>
  <c r="BV42" i="24"/>
  <c r="BW42" i="24"/>
  <c r="BS42" i="24"/>
  <c r="P39" i="24"/>
  <c r="M37" i="24"/>
  <c r="Q28" i="24"/>
  <c r="Q24" i="24"/>
  <c r="J40" i="24"/>
  <c r="O34" i="24"/>
  <c r="BT42" i="24"/>
  <c r="CF42" i="24"/>
  <c r="Q37" i="24"/>
  <c r="K28" i="24"/>
  <c r="Q35" i="24"/>
  <c r="O29" i="24"/>
  <c r="L40" i="24"/>
  <c r="J37" i="24"/>
  <c r="AN42" i="24"/>
  <c r="O28" i="24"/>
  <c r="P29" i="24"/>
  <c r="M40" i="24"/>
  <c r="M34" i="24"/>
  <c r="K37" i="24"/>
  <c r="L28" i="24"/>
  <c r="AK42" i="24"/>
  <c r="K35" i="24"/>
  <c r="I35" i="24" s="1"/>
  <c r="H35" i="24" s="1"/>
  <c r="U35" i="24" s="1"/>
  <c r="N29" i="24"/>
  <c r="N40" i="24"/>
  <c r="R37" i="24"/>
  <c r="BU42" i="24"/>
  <c r="L37" i="24"/>
  <c r="M28" i="24"/>
  <c r="CM42" i="24"/>
  <c r="L35" i="24"/>
  <c r="K29" i="24"/>
  <c r="O40" i="24"/>
  <c r="J28" i="24"/>
  <c r="K40" i="24"/>
  <c r="P37" i="24"/>
  <c r="N37" i="24"/>
  <c r="N28" i="24"/>
  <c r="AM42" i="24"/>
  <c r="CN42" i="24"/>
  <c r="M35" i="24"/>
  <c r="L29" i="24"/>
  <c r="P40" i="24"/>
  <c r="O41" i="24"/>
  <c r="AQ42" i="24" l="1"/>
  <c r="R42" i="24"/>
  <c r="R44" i="24" s="1"/>
  <c r="AI42" i="24"/>
  <c r="CA42" i="24"/>
  <c r="P34" i="24"/>
  <c r="AJ42" i="24"/>
  <c r="I29" i="24"/>
  <c r="H29" i="24" s="1"/>
  <c r="I40" i="24"/>
  <c r="H40" i="24" s="1"/>
  <c r="U40" i="24" s="1"/>
  <c r="Q42" i="24"/>
  <c r="Q44" i="24" s="1"/>
  <c r="X42" i="24"/>
  <c r="X44" i="24" s="1"/>
  <c r="AF32" i="24"/>
  <c r="AF42" i="24" s="1"/>
  <c r="AF44" i="24" s="1"/>
  <c r="AO42" i="24"/>
  <c r="N34" i="24"/>
  <c r="N42" i="24" s="1"/>
  <c r="J42" i="24"/>
  <c r="I28" i="24"/>
  <c r="M42" i="24"/>
  <c r="L34" i="24"/>
  <c r="L42" i="24" s="1"/>
  <c r="I36" i="24"/>
  <c r="H36" i="24" s="1"/>
  <c r="U36" i="24" s="1"/>
  <c r="CB42" i="24"/>
  <c r="I37" i="24"/>
  <c r="H37" i="24" s="1"/>
  <c r="U37" i="24" s="1"/>
  <c r="Q34" i="24"/>
  <c r="I39" i="24"/>
  <c r="H39" i="24" s="1"/>
  <c r="U39" i="24" s="1"/>
  <c r="O42" i="24"/>
  <c r="AL42" i="24"/>
  <c r="K42" i="24"/>
  <c r="AP42" i="24"/>
  <c r="P42" i="24"/>
  <c r="H28" i="24" l="1"/>
  <c r="I34" i="24"/>
  <c r="H34" i="24" s="1"/>
  <c r="U34" i="24" s="1"/>
  <c r="H42" i="24" l="1"/>
  <c r="I42" i="24"/>
  <c r="U42" i="24" l="1"/>
  <c r="H44" i="24"/>
  <c r="H59" i="24" l="1"/>
  <c r="L731" i="35" l="1"/>
  <c r="L673" i="35"/>
  <c r="L612" i="35"/>
  <c r="L430" i="35"/>
  <c r="L317" i="35"/>
  <c r="L203" i="35"/>
  <c r="L198" i="35"/>
  <c r="L436" i="35"/>
  <c r="L431" i="35"/>
  <c r="L322" i="35"/>
  <c r="L208" i="35"/>
  <c r="L437" i="35"/>
  <c r="L439" i="43"/>
  <c r="L438" i="43"/>
  <c r="L433" i="43"/>
  <c r="L324" i="43"/>
  <c r="L210" i="43"/>
  <c r="L733" i="43"/>
  <c r="L675" i="43"/>
  <c r="L614" i="43"/>
  <c r="L432" i="43"/>
  <c r="L319" i="43"/>
  <c r="L205" i="43"/>
  <c r="L200" i="43"/>
  <c r="F722" i="35"/>
  <c r="F721" i="35"/>
  <c r="F719" i="35"/>
  <c r="F718" i="35"/>
  <c r="F731" i="35"/>
  <c r="F728" i="35"/>
  <c r="F727" i="35"/>
  <c r="F714" i="35"/>
  <c r="F713" i="35"/>
  <c r="F708" i="35"/>
  <c r="F707" i="35"/>
  <c r="F706" i="35"/>
  <c r="F664" i="35"/>
  <c r="F663" i="35"/>
  <c r="F661" i="35"/>
  <c r="F660" i="35"/>
  <c r="F673" i="35"/>
  <c r="F670" i="35"/>
  <c r="F669" i="35"/>
  <c r="F655" i="35"/>
  <c r="F654" i="35"/>
  <c r="F649" i="35"/>
  <c r="F648" i="35"/>
  <c r="F614" i="35"/>
  <c r="F612" i="35"/>
  <c r="F609" i="35"/>
  <c r="F608" i="35"/>
  <c r="F603" i="35"/>
  <c r="F602" i="35"/>
  <c r="F600" i="35"/>
  <c r="F599" i="35"/>
  <c r="F595" i="35"/>
  <c r="F594" i="35"/>
  <c r="F589" i="35"/>
  <c r="F588" i="35"/>
  <c r="F587" i="35"/>
  <c r="F532" i="35"/>
  <c r="F527" i="35"/>
  <c r="F526" i="35"/>
  <c r="F481" i="35"/>
  <c r="F480" i="35"/>
  <c r="F479" i="35"/>
  <c r="F477" i="35"/>
  <c r="F476" i="35"/>
  <c r="F475" i="35"/>
  <c r="F473" i="35"/>
  <c r="F472" i="35"/>
  <c r="F471" i="35"/>
  <c r="F468" i="35"/>
  <c r="F467" i="35"/>
  <c r="F466" i="35"/>
  <c r="F437" i="35"/>
  <c r="F436" i="35"/>
  <c r="F435" i="35"/>
  <c r="F434" i="35"/>
  <c r="F433" i="35"/>
  <c r="F431" i="35"/>
  <c r="F430" i="35"/>
  <c r="F429" i="35"/>
  <c r="F428" i="35"/>
  <c r="F427" i="35"/>
  <c r="F425" i="35"/>
  <c r="F424" i="35"/>
  <c r="F423" i="35"/>
  <c r="F420" i="35"/>
  <c r="F419" i="35"/>
  <c r="F418" i="35"/>
  <c r="F417" i="35"/>
  <c r="F412" i="35"/>
  <c r="F411" i="35"/>
  <c r="F410" i="35"/>
  <c r="F408" i="35"/>
  <c r="F407" i="35"/>
  <c r="F406" i="35"/>
  <c r="F364" i="35"/>
  <c r="F363" i="35"/>
  <c r="F362" i="35"/>
  <c r="F360" i="35"/>
  <c r="F359" i="35"/>
  <c r="F358" i="35"/>
  <c r="F356" i="35"/>
  <c r="F355" i="35"/>
  <c r="F354" i="35"/>
  <c r="F351" i="35"/>
  <c r="F350" i="35"/>
  <c r="F349" i="35"/>
  <c r="F322" i="35"/>
  <c r="F321" i="35"/>
  <c r="F320" i="35"/>
  <c r="F319" i="35"/>
  <c r="F317" i="35"/>
  <c r="F316" i="35"/>
  <c r="F315" i="35"/>
  <c r="F314" i="35"/>
  <c r="F312" i="35"/>
  <c r="F311" i="35"/>
  <c r="F310" i="35"/>
  <c r="F307" i="35"/>
  <c r="F306" i="35"/>
  <c r="F305" i="35"/>
  <c r="F304" i="35"/>
  <c r="F299" i="35"/>
  <c r="F298" i="35"/>
  <c r="F297" i="35"/>
  <c r="F295" i="35"/>
  <c r="F294" i="35"/>
  <c r="F293" i="35"/>
  <c r="F251" i="35"/>
  <c r="F250" i="35"/>
  <c r="F249" i="35"/>
  <c r="F247" i="35"/>
  <c r="F246" i="35"/>
  <c r="F245" i="35"/>
  <c r="F243" i="35"/>
  <c r="F242" i="35"/>
  <c r="F241" i="35"/>
  <c r="F238" i="35"/>
  <c r="F237" i="35"/>
  <c r="F236" i="35"/>
  <c r="F210" i="35"/>
  <c r="F208" i="35"/>
  <c r="F207" i="35"/>
  <c r="F206" i="35"/>
  <c r="F205" i="35"/>
  <c r="F203" i="35"/>
  <c r="F202" i="35"/>
  <c r="F201" i="35"/>
  <c r="F200" i="35"/>
  <c r="F198" i="35"/>
  <c r="F197" i="35"/>
  <c r="F196" i="35"/>
  <c r="F195" i="35"/>
  <c r="F192" i="35"/>
  <c r="F191" i="35"/>
  <c r="F190" i="35"/>
  <c r="F189" i="35"/>
  <c r="F180" i="35"/>
  <c r="F179" i="35"/>
  <c r="F178" i="35"/>
  <c r="F145" i="35"/>
  <c r="F140" i="35"/>
  <c r="F139" i="35"/>
  <c r="F103" i="35"/>
  <c r="F102" i="35"/>
  <c r="F101" i="35"/>
  <c r="F99" i="35"/>
  <c r="F98" i="35"/>
  <c r="F97" i="35"/>
  <c r="F95" i="35"/>
  <c r="F94" i="35"/>
  <c r="F93" i="35"/>
  <c r="F90" i="35"/>
  <c r="F89" i="35"/>
  <c r="F88" i="35"/>
  <c r="F83" i="35"/>
  <c r="F82" i="35"/>
  <c r="F81" i="35"/>
  <c r="F79" i="35"/>
  <c r="F78" i="35"/>
  <c r="F77" i="35"/>
  <c r="F76" i="35"/>
  <c r="F39" i="35"/>
  <c r="F38" i="35"/>
  <c r="F37" i="35"/>
  <c r="F32" i="35"/>
  <c r="F31" i="35"/>
  <c r="F27" i="35"/>
  <c r="F26" i="35"/>
  <c r="F20" i="35"/>
  <c r="F19" i="35"/>
  <c r="F17" i="35"/>
  <c r="L15" i="43" l="1"/>
  <c r="F15" i="43"/>
  <c r="D15" i="43"/>
  <c r="Q693" i="43"/>
  <c r="Q635" i="43"/>
  <c r="Q574" i="43"/>
  <c r="Q513" i="43"/>
  <c r="Q453" i="43"/>
  <c r="Q393" i="43"/>
  <c r="Q335" i="43"/>
  <c r="Q279" i="43"/>
  <c r="Q222" i="43"/>
  <c r="Q165" i="43"/>
  <c r="Q125" i="43"/>
  <c r="Q62" i="43"/>
  <c r="Q3" i="43"/>
  <c r="O595" i="4"/>
  <c r="O544" i="4"/>
  <c r="O492" i="4"/>
  <c r="O457" i="4"/>
  <c r="O410" i="4"/>
  <c r="O358" i="4"/>
  <c r="O309" i="4"/>
  <c r="O258" i="4"/>
  <c r="O209" i="4"/>
  <c r="O155" i="4"/>
  <c r="O120" i="4"/>
  <c r="O61" i="4"/>
  <c r="E42" i="31" l="1"/>
  <c r="F32" i="6"/>
  <c r="F31" i="6"/>
  <c r="L51" i="43" l="1"/>
  <c r="L49" i="4" s="1"/>
  <c r="L139" i="35" l="1"/>
  <c r="X46" i="10" l="1"/>
  <c r="X47" i="10"/>
  <c r="X45" i="10"/>
  <c r="A638" i="4" l="1"/>
  <c r="L613" i="4" l="1"/>
  <c r="L561" i="4"/>
  <c r="L510" i="4"/>
  <c r="J89" i="35"/>
  <c r="J88" i="35"/>
  <c r="J27" i="35"/>
  <c r="J32" i="35"/>
  <c r="J31" i="35"/>
  <c r="J26" i="35"/>
  <c r="AF735" i="43" l="1"/>
  <c r="AE735" i="43"/>
  <c r="AD735" i="43"/>
  <c r="AC735" i="43"/>
  <c r="AB735" i="43"/>
  <c r="AF734" i="43"/>
  <c r="AE734" i="43"/>
  <c r="AD734" i="43"/>
  <c r="AC734" i="43"/>
  <c r="AB734" i="43"/>
  <c r="AF732" i="43"/>
  <c r="AE732" i="43"/>
  <c r="AD732" i="43"/>
  <c r="AC732" i="43"/>
  <c r="AB732" i="43"/>
  <c r="CO731" i="43"/>
  <c r="CN731" i="43"/>
  <c r="CM731" i="43"/>
  <c r="CL731" i="43"/>
  <c r="CK731" i="43"/>
  <c r="CJ731" i="43"/>
  <c r="CI731" i="43"/>
  <c r="CH731" i="43"/>
  <c r="CG731" i="43"/>
  <c r="CF731" i="43"/>
  <c r="CE731" i="43"/>
  <c r="CD731" i="43"/>
  <c r="CC731" i="43"/>
  <c r="CB731" i="43"/>
  <c r="CA731" i="43"/>
  <c r="BZ731" i="43"/>
  <c r="BY731" i="43"/>
  <c r="BX731" i="43"/>
  <c r="BW731" i="43"/>
  <c r="BV731" i="43"/>
  <c r="BU731" i="43"/>
  <c r="BT731" i="43"/>
  <c r="BS731" i="43"/>
  <c r="BR731" i="43"/>
  <c r="BQ731" i="43"/>
  <c r="BP731" i="43"/>
  <c r="BO731" i="43"/>
  <c r="BN731" i="43"/>
  <c r="BM731" i="43"/>
  <c r="BL731" i="43"/>
  <c r="BK731" i="43"/>
  <c r="BJ731" i="43"/>
  <c r="BI731" i="43"/>
  <c r="BH731" i="43"/>
  <c r="BG731" i="43"/>
  <c r="BF731" i="43"/>
  <c r="BE731" i="43"/>
  <c r="BD731" i="43"/>
  <c r="BC731" i="43"/>
  <c r="BB731" i="43"/>
  <c r="BA731" i="43"/>
  <c r="AZ731" i="43"/>
  <c r="AY731" i="43"/>
  <c r="AX731" i="43"/>
  <c r="AW731" i="43"/>
  <c r="AV731" i="43"/>
  <c r="AU731" i="43"/>
  <c r="AT731" i="43"/>
  <c r="AS731" i="43"/>
  <c r="AR731" i="43"/>
  <c r="AQ731" i="43"/>
  <c r="AP731" i="43"/>
  <c r="AO731" i="43"/>
  <c r="AN731" i="43"/>
  <c r="AM731" i="43"/>
  <c r="AL731" i="43"/>
  <c r="AK731" i="43"/>
  <c r="AJ731" i="43"/>
  <c r="AI731" i="43"/>
  <c r="AH731" i="43"/>
  <c r="AF730" i="43"/>
  <c r="AE730" i="43"/>
  <c r="AD730" i="43"/>
  <c r="AD731" i="43" s="1"/>
  <c r="AC730" i="43"/>
  <c r="AB730" i="43"/>
  <c r="AF729" i="43"/>
  <c r="AE729" i="43"/>
  <c r="AD729" i="43"/>
  <c r="AC729" i="43"/>
  <c r="AB729" i="43"/>
  <c r="AF724" i="43"/>
  <c r="AE724" i="43"/>
  <c r="AD724" i="43"/>
  <c r="AC724" i="43"/>
  <c r="AB724" i="43"/>
  <c r="D724" i="43"/>
  <c r="H724" i="43" s="1"/>
  <c r="AF723" i="43"/>
  <c r="AE723" i="43"/>
  <c r="AD723" i="43"/>
  <c r="AC723" i="43"/>
  <c r="AB723" i="43"/>
  <c r="J723" i="43"/>
  <c r="D723" i="43"/>
  <c r="H723" i="43" s="1"/>
  <c r="AF722" i="43"/>
  <c r="AE722" i="43"/>
  <c r="AD722" i="43"/>
  <c r="AC722" i="43"/>
  <c r="AB722" i="43"/>
  <c r="AF721" i="43"/>
  <c r="AE721" i="43"/>
  <c r="AD721" i="43"/>
  <c r="AC721" i="43"/>
  <c r="AB721" i="43"/>
  <c r="D721" i="43"/>
  <c r="H721" i="43" s="1"/>
  <c r="AF720" i="43"/>
  <c r="AE720" i="43"/>
  <c r="AD720" i="43"/>
  <c r="AC720" i="43"/>
  <c r="AB720" i="43"/>
  <c r="J720" i="43"/>
  <c r="D720" i="43"/>
  <c r="H720" i="43" s="1"/>
  <c r="AF716" i="43"/>
  <c r="AE716" i="43"/>
  <c r="AD716" i="43"/>
  <c r="AC716" i="43"/>
  <c r="AB716" i="43"/>
  <c r="J716" i="43"/>
  <c r="N716" i="43" s="1"/>
  <c r="D716" i="43"/>
  <c r="H716" i="43" s="1"/>
  <c r="AF715" i="43"/>
  <c r="AE715" i="43"/>
  <c r="AD715" i="43"/>
  <c r="AC715" i="43"/>
  <c r="AB715" i="43"/>
  <c r="J715" i="43"/>
  <c r="J733" i="43" s="1"/>
  <c r="D715" i="43"/>
  <c r="D733" i="43" s="1"/>
  <c r="H733" i="43" s="1"/>
  <c r="L714" i="43"/>
  <c r="AF712" i="43"/>
  <c r="AE712" i="43"/>
  <c r="AD712" i="43"/>
  <c r="AC712" i="43"/>
  <c r="AB712" i="43"/>
  <c r="CO711" i="43"/>
  <c r="CN711" i="43"/>
  <c r="CM711" i="43"/>
  <c r="CL711" i="43"/>
  <c r="CK711" i="43"/>
  <c r="CJ711" i="43"/>
  <c r="CI711" i="43"/>
  <c r="CH711" i="43"/>
  <c r="CG711" i="43"/>
  <c r="CF711" i="43"/>
  <c r="CE711" i="43"/>
  <c r="CD711" i="43"/>
  <c r="CC711" i="43"/>
  <c r="CB711" i="43"/>
  <c r="CA711" i="43"/>
  <c r="BZ711" i="43"/>
  <c r="BY711" i="43"/>
  <c r="BX711" i="43"/>
  <c r="BW711" i="43"/>
  <c r="BV711" i="43"/>
  <c r="BU711" i="43"/>
  <c r="BT711" i="43"/>
  <c r="BS711" i="43"/>
  <c r="BR711" i="43"/>
  <c r="BQ711" i="43"/>
  <c r="BP711" i="43"/>
  <c r="BO711" i="43"/>
  <c r="BN711" i="43"/>
  <c r="BM711" i="43"/>
  <c r="BL711" i="43"/>
  <c r="BK711" i="43"/>
  <c r="BJ711" i="43"/>
  <c r="BI711" i="43"/>
  <c r="BH711" i="43"/>
  <c r="BG711" i="43"/>
  <c r="BF711" i="43"/>
  <c r="BE711" i="43"/>
  <c r="BD711" i="43"/>
  <c r="BC711" i="43"/>
  <c r="BB711" i="43"/>
  <c r="BA711" i="43"/>
  <c r="AZ711" i="43"/>
  <c r="AY711" i="43"/>
  <c r="AX711" i="43"/>
  <c r="AW711" i="43"/>
  <c r="AV711" i="43"/>
  <c r="AU711" i="43"/>
  <c r="AT711" i="43"/>
  <c r="AS711" i="43"/>
  <c r="AR711" i="43"/>
  <c r="AQ711" i="43"/>
  <c r="AP711" i="43"/>
  <c r="AO711" i="43"/>
  <c r="AN711" i="43"/>
  <c r="AM711" i="43"/>
  <c r="AL711" i="43"/>
  <c r="AK711" i="43"/>
  <c r="AJ711" i="43"/>
  <c r="AI711" i="43"/>
  <c r="AH711" i="43"/>
  <c r="AF710" i="43"/>
  <c r="AE710" i="43"/>
  <c r="AD710" i="43"/>
  <c r="AC710" i="43"/>
  <c r="AB710" i="43"/>
  <c r="J710" i="43"/>
  <c r="D710" i="43"/>
  <c r="H710" i="43" s="1"/>
  <c r="AF709" i="43"/>
  <c r="AE709" i="43"/>
  <c r="AD709" i="43"/>
  <c r="AC709" i="43"/>
  <c r="AB709" i="43"/>
  <c r="J709" i="43"/>
  <c r="D709" i="43"/>
  <c r="H709" i="43" s="1"/>
  <c r="AF708" i="43"/>
  <c r="AF711" i="43" s="1"/>
  <c r="AE708" i="43"/>
  <c r="AD708" i="43"/>
  <c r="AC708" i="43"/>
  <c r="AB708" i="43"/>
  <c r="J708" i="43"/>
  <c r="D708" i="43"/>
  <c r="A707" i="43"/>
  <c r="A708" i="43" s="1"/>
  <c r="A709" i="43" s="1"/>
  <c r="A710" i="43" s="1"/>
  <c r="A711" i="43" s="1"/>
  <c r="A712" i="43" s="1"/>
  <c r="A713" i="43" s="1"/>
  <c r="A714" i="43" s="1"/>
  <c r="A715" i="43" s="1"/>
  <c r="A716" i="43" s="1"/>
  <c r="A717" i="43" s="1"/>
  <c r="A718" i="43" s="1"/>
  <c r="A719" i="43" s="1"/>
  <c r="A720" i="43" s="1"/>
  <c r="A721" i="43" s="1"/>
  <c r="A722" i="43" s="1"/>
  <c r="A723" i="43" s="1"/>
  <c r="A724" i="43" s="1"/>
  <c r="A725" i="43" s="1"/>
  <c r="A726" i="43" s="1"/>
  <c r="A727" i="43" s="1"/>
  <c r="A728" i="43" s="1"/>
  <c r="A729" i="43" s="1"/>
  <c r="A730" i="43" s="1"/>
  <c r="A731" i="43" s="1"/>
  <c r="A732" i="43" s="1"/>
  <c r="A733" i="43" s="1"/>
  <c r="A734" i="43" s="1"/>
  <c r="A735" i="43" s="1"/>
  <c r="A736" i="43" s="1"/>
  <c r="A737" i="43" s="1"/>
  <c r="A738" i="43" s="1"/>
  <c r="A739" i="43" s="1"/>
  <c r="A740" i="43" s="1"/>
  <c r="A741" i="43" s="1"/>
  <c r="A742" i="43" s="1"/>
  <c r="A743" i="43" s="1"/>
  <c r="A744" i="43" s="1"/>
  <c r="A745" i="43" s="1"/>
  <c r="A746" i="43" s="1"/>
  <c r="A747" i="43" s="1"/>
  <c r="A748" i="43" s="1"/>
  <c r="A749" i="43" s="1"/>
  <c r="A750" i="43" s="1"/>
  <c r="L705" i="43"/>
  <c r="F705" i="43"/>
  <c r="D705" i="43"/>
  <c r="AF677" i="43"/>
  <c r="AE677" i="43"/>
  <c r="AD677" i="43"/>
  <c r="AC677" i="43"/>
  <c r="AB677" i="43"/>
  <c r="AF676" i="43"/>
  <c r="AE676" i="43"/>
  <c r="AD676" i="43"/>
  <c r="AC676" i="43"/>
  <c r="AB676" i="43"/>
  <c r="AF674" i="43"/>
  <c r="AE674" i="43"/>
  <c r="AD674" i="43"/>
  <c r="AC674" i="43"/>
  <c r="AB674" i="43"/>
  <c r="CO673" i="43"/>
  <c r="CN673" i="43"/>
  <c r="CM673" i="43"/>
  <c r="CL673" i="43"/>
  <c r="CK673" i="43"/>
  <c r="CJ673" i="43"/>
  <c r="CI673" i="43"/>
  <c r="CH673" i="43"/>
  <c r="CG673" i="43"/>
  <c r="CF673" i="43"/>
  <c r="CE673" i="43"/>
  <c r="CD673" i="43"/>
  <c r="CC673" i="43"/>
  <c r="CB673" i="43"/>
  <c r="CA673" i="43"/>
  <c r="BZ673" i="43"/>
  <c r="BY673" i="43"/>
  <c r="BX673" i="43"/>
  <c r="BW673" i="43"/>
  <c r="BV673" i="43"/>
  <c r="BU673" i="43"/>
  <c r="BT673" i="43"/>
  <c r="BS673" i="43"/>
  <c r="BR673" i="43"/>
  <c r="BQ673" i="43"/>
  <c r="BP673" i="43"/>
  <c r="BO673" i="43"/>
  <c r="BN673" i="43"/>
  <c r="BM673" i="43"/>
  <c r="BL673" i="43"/>
  <c r="BK673" i="43"/>
  <c r="BJ673" i="43"/>
  <c r="BI673" i="43"/>
  <c r="BH673" i="43"/>
  <c r="BG673" i="43"/>
  <c r="BF673" i="43"/>
  <c r="BE673" i="43"/>
  <c r="BD673" i="43"/>
  <c r="BC673" i="43"/>
  <c r="BB673" i="43"/>
  <c r="BA673" i="43"/>
  <c r="AZ673" i="43"/>
  <c r="AY673" i="43"/>
  <c r="AX673" i="43"/>
  <c r="AW673" i="43"/>
  <c r="AV673" i="43"/>
  <c r="AU673" i="43"/>
  <c r="AT673" i="43"/>
  <c r="AS673" i="43"/>
  <c r="AR673" i="43"/>
  <c r="AQ673" i="43"/>
  <c r="AP673" i="43"/>
  <c r="AO673" i="43"/>
  <c r="AN673" i="43"/>
  <c r="AM673" i="43"/>
  <c r="AL673" i="43"/>
  <c r="AK673" i="43"/>
  <c r="AJ673" i="43"/>
  <c r="AI673" i="43"/>
  <c r="AH673" i="43"/>
  <c r="AF672" i="43"/>
  <c r="AE672" i="43"/>
  <c r="AD672" i="43"/>
  <c r="AC672" i="43"/>
  <c r="AB672" i="43"/>
  <c r="AF671" i="43"/>
  <c r="AE671" i="43"/>
  <c r="AE673" i="43" s="1"/>
  <c r="AD671" i="43"/>
  <c r="AC671" i="43"/>
  <c r="AB671" i="43"/>
  <c r="AF666" i="43"/>
  <c r="AE666" i="43"/>
  <c r="AD666" i="43"/>
  <c r="AC666" i="43"/>
  <c r="AB666" i="43"/>
  <c r="D666" i="43"/>
  <c r="H666" i="43" s="1"/>
  <c r="AF665" i="43"/>
  <c r="AE665" i="43"/>
  <c r="AD665" i="43"/>
  <c r="AC665" i="43"/>
  <c r="AB665" i="43"/>
  <c r="J665" i="43"/>
  <c r="D665" i="43"/>
  <c r="H665" i="43" s="1"/>
  <c r="AF664" i="43"/>
  <c r="AE664" i="43"/>
  <c r="AD664" i="43"/>
  <c r="AC664" i="43"/>
  <c r="AB664" i="43"/>
  <c r="AF663" i="43"/>
  <c r="AE663" i="43"/>
  <c r="AD663" i="43"/>
  <c r="AC663" i="43"/>
  <c r="AB663" i="43"/>
  <c r="AF662" i="43"/>
  <c r="AE662" i="43"/>
  <c r="AD662" i="43"/>
  <c r="AC662" i="43"/>
  <c r="AB662" i="43"/>
  <c r="J662" i="43"/>
  <c r="D662" i="43"/>
  <c r="H662" i="43" s="1"/>
  <c r="AF657" i="43"/>
  <c r="AE657" i="43"/>
  <c r="AD657" i="43"/>
  <c r="AC657" i="43"/>
  <c r="AB657" i="43"/>
  <c r="AB667" i="43" s="1"/>
  <c r="J657" i="43"/>
  <c r="N657" i="43" s="1"/>
  <c r="D657" i="43"/>
  <c r="H657" i="43" s="1"/>
  <c r="AF656" i="43"/>
  <c r="AE656" i="43"/>
  <c r="AD656" i="43"/>
  <c r="AC656" i="43"/>
  <c r="AB656" i="43"/>
  <c r="J656" i="43"/>
  <c r="J675" i="43" s="1"/>
  <c r="D656" i="43"/>
  <c r="D675" i="43" s="1"/>
  <c r="H675" i="43" s="1"/>
  <c r="AF653" i="43"/>
  <c r="AE653" i="43"/>
  <c r="AD653" i="43"/>
  <c r="AC653" i="43"/>
  <c r="AB653" i="43"/>
  <c r="CO652" i="43"/>
  <c r="CN652" i="43"/>
  <c r="CM652" i="43"/>
  <c r="CL652" i="43"/>
  <c r="CK652" i="43"/>
  <c r="CJ652" i="43"/>
  <c r="CI652" i="43"/>
  <c r="CH652" i="43"/>
  <c r="CG652" i="43"/>
  <c r="CF652" i="43"/>
  <c r="CE652" i="43"/>
  <c r="CD652" i="43"/>
  <c r="CC652" i="43"/>
  <c r="CB652" i="43"/>
  <c r="CA652" i="43"/>
  <c r="BZ652" i="43"/>
  <c r="BY652" i="43"/>
  <c r="BX652" i="43"/>
  <c r="BW652" i="43"/>
  <c r="BV652" i="43"/>
  <c r="BU652" i="43"/>
  <c r="BT652" i="43"/>
  <c r="BS652" i="43"/>
  <c r="BR652" i="43"/>
  <c r="BQ652" i="43"/>
  <c r="BP652" i="43"/>
  <c r="BO652" i="43"/>
  <c r="BN652" i="43"/>
  <c r="BM652" i="43"/>
  <c r="BL652" i="43"/>
  <c r="BK652" i="43"/>
  <c r="BJ652" i="43"/>
  <c r="BI652" i="43"/>
  <c r="BH652" i="43"/>
  <c r="BG652" i="43"/>
  <c r="BF652" i="43"/>
  <c r="BE652" i="43"/>
  <c r="BD652" i="43"/>
  <c r="BC652" i="43"/>
  <c r="BB652" i="43"/>
  <c r="BA652" i="43"/>
  <c r="AZ652" i="43"/>
  <c r="AY652" i="43"/>
  <c r="AX652" i="43"/>
  <c r="AW652" i="43"/>
  <c r="AV652" i="43"/>
  <c r="AU652" i="43"/>
  <c r="AT652" i="43"/>
  <c r="AS652" i="43"/>
  <c r="AR652" i="43"/>
  <c r="AQ652" i="43"/>
  <c r="AP652" i="43"/>
  <c r="AO652" i="43"/>
  <c r="AN652" i="43"/>
  <c r="AM652" i="43"/>
  <c r="AL652" i="43"/>
  <c r="AK652" i="43"/>
  <c r="AJ652" i="43"/>
  <c r="AI652" i="43"/>
  <c r="AH652" i="43"/>
  <c r="AF651" i="43"/>
  <c r="AE651" i="43"/>
  <c r="AD651" i="43"/>
  <c r="AD652" i="43" s="1"/>
  <c r="AC651" i="43"/>
  <c r="AB651" i="43"/>
  <c r="J651" i="43"/>
  <c r="D651" i="43"/>
  <c r="H651" i="43" s="1"/>
  <c r="AF650" i="43"/>
  <c r="AE650" i="43"/>
  <c r="AD650" i="43"/>
  <c r="AC650" i="43"/>
  <c r="AB650" i="43"/>
  <c r="J650" i="43"/>
  <c r="D650" i="43"/>
  <c r="H650" i="43" s="1"/>
  <c r="A649" i="43"/>
  <c r="A650" i="43" s="1"/>
  <c r="A651" i="43" s="1"/>
  <c r="A652" i="43" s="1"/>
  <c r="A653" i="43" s="1"/>
  <c r="A654" i="43" s="1"/>
  <c r="A655" i="43" s="1"/>
  <c r="A656" i="43" s="1"/>
  <c r="A657" i="43" s="1"/>
  <c r="A658" i="43" s="1"/>
  <c r="A659" i="43" s="1"/>
  <c r="A660" i="43" s="1"/>
  <c r="A661" i="43" s="1"/>
  <c r="A662" i="43" s="1"/>
  <c r="A663" i="43" s="1"/>
  <c r="A664" i="43" s="1"/>
  <c r="A665" i="43" s="1"/>
  <c r="A666" i="43" s="1"/>
  <c r="A667" i="43" s="1"/>
  <c r="A668" i="43" s="1"/>
  <c r="A669" i="43" s="1"/>
  <c r="A670" i="43" s="1"/>
  <c r="A671" i="43" s="1"/>
  <c r="A672" i="43" s="1"/>
  <c r="A673" i="43" s="1"/>
  <c r="A674" i="43" s="1"/>
  <c r="A675" i="43" s="1"/>
  <c r="A676" i="43" s="1"/>
  <c r="A677" i="43" s="1"/>
  <c r="A678" i="43" s="1"/>
  <c r="A679" i="43" s="1"/>
  <c r="A680" i="43" s="1"/>
  <c r="A681" i="43" s="1"/>
  <c r="A682" i="43" s="1"/>
  <c r="A683" i="43" s="1"/>
  <c r="A684" i="43" s="1"/>
  <c r="A685" i="43" s="1"/>
  <c r="A686" i="43" s="1"/>
  <c r="A687" i="43" s="1"/>
  <c r="A688" i="43" s="1"/>
  <c r="A689" i="43" s="1"/>
  <c r="A690" i="43" s="1"/>
  <c r="L647" i="43"/>
  <c r="F647" i="43"/>
  <c r="D647" i="43"/>
  <c r="AF617" i="43"/>
  <c r="AE617" i="43"/>
  <c r="AD617" i="43"/>
  <c r="AC617" i="43"/>
  <c r="AB617" i="43"/>
  <c r="AF616" i="43"/>
  <c r="AE616" i="43"/>
  <c r="AD616" i="43"/>
  <c r="AC616" i="43"/>
  <c r="AB616" i="43"/>
  <c r="J616" i="43"/>
  <c r="D616" i="43"/>
  <c r="H616" i="43" s="1"/>
  <c r="AF615" i="43"/>
  <c r="AE615" i="43"/>
  <c r="AD615" i="43"/>
  <c r="AC615" i="43"/>
  <c r="AB615" i="43"/>
  <c r="AF613" i="43"/>
  <c r="AE613" i="43"/>
  <c r="AD613" i="43"/>
  <c r="AC613" i="43"/>
  <c r="AB613" i="43"/>
  <c r="CO612" i="43"/>
  <c r="CN612" i="43"/>
  <c r="CM612" i="43"/>
  <c r="CL612" i="43"/>
  <c r="CK612" i="43"/>
  <c r="CJ612" i="43"/>
  <c r="CI612" i="43"/>
  <c r="CH612" i="43"/>
  <c r="CG612" i="43"/>
  <c r="CF612" i="43"/>
  <c r="CE612" i="43"/>
  <c r="CD612" i="43"/>
  <c r="CC612" i="43"/>
  <c r="CB612" i="43"/>
  <c r="CA612" i="43"/>
  <c r="BZ612" i="43"/>
  <c r="BY612" i="43"/>
  <c r="BX612" i="43"/>
  <c r="BW612" i="43"/>
  <c r="BV612" i="43"/>
  <c r="BU612" i="43"/>
  <c r="BT612" i="43"/>
  <c r="BS612" i="43"/>
  <c r="BR612" i="43"/>
  <c r="BQ612" i="43"/>
  <c r="BP612" i="43"/>
  <c r="BO612" i="43"/>
  <c r="BN612" i="43"/>
  <c r="BM612" i="43"/>
  <c r="BL612" i="43"/>
  <c r="BK612" i="43"/>
  <c r="BJ612" i="43"/>
  <c r="BI612" i="43"/>
  <c r="BH612" i="43"/>
  <c r="BG612" i="43"/>
  <c r="BF612" i="43"/>
  <c r="BE612" i="43"/>
  <c r="BD612" i="43"/>
  <c r="BC612" i="43"/>
  <c r="BB612" i="43"/>
  <c r="BA612" i="43"/>
  <c r="AZ612" i="43"/>
  <c r="AY612" i="43"/>
  <c r="AX612" i="43"/>
  <c r="AW612" i="43"/>
  <c r="AV612" i="43"/>
  <c r="AU612" i="43"/>
  <c r="AT612" i="43"/>
  <c r="AS612" i="43"/>
  <c r="AR612" i="43"/>
  <c r="AQ612" i="43"/>
  <c r="AP612" i="43"/>
  <c r="AO612" i="43"/>
  <c r="AN612" i="43"/>
  <c r="AM612" i="43"/>
  <c r="AL612" i="43"/>
  <c r="AK612" i="43"/>
  <c r="AJ612" i="43"/>
  <c r="AI612" i="43"/>
  <c r="AH612" i="43"/>
  <c r="AF611" i="43"/>
  <c r="AE611" i="43"/>
  <c r="AD611" i="43"/>
  <c r="AD612" i="43" s="1"/>
  <c r="AC611" i="43"/>
  <c r="AB611" i="43"/>
  <c r="AF610" i="43"/>
  <c r="AE610" i="43"/>
  <c r="AD610" i="43"/>
  <c r="AC610" i="43"/>
  <c r="AB610" i="43"/>
  <c r="AF605" i="43"/>
  <c r="AE605" i="43"/>
  <c r="AD605" i="43"/>
  <c r="AC605" i="43"/>
  <c r="AB605" i="43"/>
  <c r="D605" i="43"/>
  <c r="AF604" i="43"/>
  <c r="AE604" i="43"/>
  <c r="AD604" i="43"/>
  <c r="AC604" i="43"/>
  <c r="AB604" i="43"/>
  <c r="J604" i="43"/>
  <c r="D604" i="43"/>
  <c r="H604" i="43" s="1"/>
  <c r="AF603" i="43"/>
  <c r="AE603" i="43"/>
  <c r="AD603" i="43"/>
  <c r="AC603" i="43"/>
  <c r="AB603" i="43"/>
  <c r="AF602" i="43"/>
  <c r="AE602" i="43"/>
  <c r="AD602" i="43"/>
  <c r="AC602" i="43"/>
  <c r="AB602" i="43"/>
  <c r="D602" i="43"/>
  <c r="H602" i="43" s="1"/>
  <c r="AF601" i="43"/>
  <c r="AE601" i="43"/>
  <c r="AD601" i="43"/>
  <c r="AC601" i="43"/>
  <c r="AB601" i="43"/>
  <c r="J601" i="43"/>
  <c r="D601" i="43"/>
  <c r="H601" i="43" s="1"/>
  <c r="AF597" i="43"/>
  <c r="AE597" i="43"/>
  <c r="AD597" i="43"/>
  <c r="AC597" i="43"/>
  <c r="AB597" i="43"/>
  <c r="J597" i="43"/>
  <c r="N597" i="43" s="1"/>
  <c r="D597" i="43"/>
  <c r="AF596" i="43"/>
  <c r="AE596" i="43"/>
  <c r="AD596" i="43"/>
  <c r="AC596" i="43"/>
  <c r="AB596" i="43"/>
  <c r="J596" i="43"/>
  <c r="J614" i="43" s="1"/>
  <c r="D596" i="43"/>
  <c r="H596" i="43" s="1"/>
  <c r="AF593" i="43"/>
  <c r="AE593" i="43"/>
  <c r="AD593" i="43"/>
  <c r="AC593" i="43"/>
  <c r="AB593" i="43"/>
  <c r="CO592" i="43"/>
  <c r="CN592" i="43"/>
  <c r="CM592" i="43"/>
  <c r="CL592" i="43"/>
  <c r="CK592" i="43"/>
  <c r="CJ592" i="43"/>
  <c r="CI592" i="43"/>
  <c r="CH592" i="43"/>
  <c r="CG592" i="43"/>
  <c r="CF592" i="43"/>
  <c r="CE592" i="43"/>
  <c r="CD592" i="43"/>
  <c r="CC592" i="43"/>
  <c r="CB592" i="43"/>
  <c r="CA592" i="43"/>
  <c r="BZ592" i="43"/>
  <c r="BY592" i="43"/>
  <c r="BX592" i="43"/>
  <c r="BW592" i="43"/>
  <c r="BV592" i="43"/>
  <c r="BU592" i="43"/>
  <c r="BT592" i="43"/>
  <c r="BS592" i="43"/>
  <c r="BR592" i="43"/>
  <c r="BQ592" i="43"/>
  <c r="BP592" i="43"/>
  <c r="BO592" i="43"/>
  <c r="BN592" i="43"/>
  <c r="BM592" i="43"/>
  <c r="BL592" i="43"/>
  <c r="BK592" i="43"/>
  <c r="BJ592" i="43"/>
  <c r="BI592" i="43"/>
  <c r="BH592" i="43"/>
  <c r="BG592" i="43"/>
  <c r="BF592" i="43"/>
  <c r="BE592" i="43"/>
  <c r="BD592" i="43"/>
  <c r="BC592" i="43"/>
  <c r="BB592" i="43"/>
  <c r="BA592" i="43"/>
  <c r="AZ592" i="43"/>
  <c r="AY592" i="43"/>
  <c r="AX592" i="43"/>
  <c r="AW592" i="43"/>
  <c r="AV592" i="43"/>
  <c r="AU592" i="43"/>
  <c r="AT592" i="43"/>
  <c r="AS592" i="43"/>
  <c r="AR592" i="43"/>
  <c r="AQ592" i="43"/>
  <c r="AP592" i="43"/>
  <c r="AO592" i="43"/>
  <c r="AN592" i="43"/>
  <c r="AM592" i="43"/>
  <c r="AL592" i="43"/>
  <c r="AK592" i="43"/>
  <c r="AJ592" i="43"/>
  <c r="AI592" i="43"/>
  <c r="AH592" i="43"/>
  <c r="AF591" i="43"/>
  <c r="AE591" i="43"/>
  <c r="AD591" i="43"/>
  <c r="AC591" i="43"/>
  <c r="AB591" i="43"/>
  <c r="J591" i="43"/>
  <c r="D591" i="43"/>
  <c r="H591" i="43" s="1"/>
  <c r="AF590" i="43"/>
  <c r="AE590" i="43"/>
  <c r="AD590" i="43"/>
  <c r="AC590" i="43"/>
  <c r="AB590" i="43"/>
  <c r="J590" i="43"/>
  <c r="D590" i="43"/>
  <c r="H590" i="43" s="1"/>
  <c r="AF589" i="43"/>
  <c r="AE589" i="43"/>
  <c r="AD589" i="43"/>
  <c r="AC589" i="43"/>
  <c r="AB589" i="43"/>
  <c r="J589" i="43"/>
  <c r="D589" i="43"/>
  <c r="H589" i="43" s="1"/>
  <c r="A588" i="43"/>
  <c r="A589" i="43" s="1"/>
  <c r="A590" i="43" s="1"/>
  <c r="A591" i="43" s="1"/>
  <c r="A592" i="43" s="1"/>
  <c r="A593" i="43" s="1"/>
  <c r="A594" i="43" s="1"/>
  <c r="A595" i="43" s="1"/>
  <c r="A596" i="43" s="1"/>
  <c r="A597" i="43" s="1"/>
  <c r="A598" i="43" s="1"/>
  <c r="A599" i="43" s="1"/>
  <c r="A600" i="43" s="1"/>
  <c r="A601" i="43" s="1"/>
  <c r="A602" i="43" s="1"/>
  <c r="A603" i="43" s="1"/>
  <c r="A604" i="43" s="1"/>
  <c r="A605" i="43" s="1"/>
  <c r="A606" i="43" s="1"/>
  <c r="A607" i="43" s="1"/>
  <c r="A608" i="43" s="1"/>
  <c r="A609" i="43" s="1"/>
  <c r="A610" i="43" s="1"/>
  <c r="A611" i="43" s="1"/>
  <c r="A612" i="43" s="1"/>
  <c r="A613" i="43" s="1"/>
  <c r="A614" i="43" s="1"/>
  <c r="L586" i="43"/>
  <c r="F586" i="43"/>
  <c r="D586" i="43"/>
  <c r="H539" i="43"/>
  <c r="N539" i="43" s="1"/>
  <c r="H538" i="43"/>
  <c r="N538" i="43" s="1"/>
  <c r="AF535" i="43"/>
  <c r="AE535" i="43"/>
  <c r="AD535" i="43"/>
  <c r="AC535" i="43"/>
  <c r="AB535" i="43"/>
  <c r="AF534" i="43"/>
  <c r="AE534" i="43"/>
  <c r="AD534" i="43"/>
  <c r="AC534" i="43"/>
  <c r="AB534" i="43"/>
  <c r="AF531" i="43"/>
  <c r="AE531" i="43"/>
  <c r="AD531" i="43"/>
  <c r="AC531" i="43"/>
  <c r="AB531" i="43"/>
  <c r="CO530" i="43"/>
  <c r="CN530" i="43"/>
  <c r="CM530" i="43"/>
  <c r="CL530" i="43"/>
  <c r="CK530" i="43"/>
  <c r="CJ530" i="43"/>
  <c r="CI530" i="43"/>
  <c r="CH530" i="43"/>
  <c r="CG530" i="43"/>
  <c r="CF530" i="43"/>
  <c r="CE530" i="43"/>
  <c r="CD530" i="43"/>
  <c r="CC530" i="43"/>
  <c r="CB530" i="43"/>
  <c r="CA530" i="43"/>
  <c r="BZ530" i="43"/>
  <c r="BY530" i="43"/>
  <c r="BX530" i="43"/>
  <c r="BW530" i="43"/>
  <c r="BV530" i="43"/>
  <c r="BU530" i="43"/>
  <c r="BT530" i="43"/>
  <c r="BS530" i="43"/>
  <c r="BR530" i="43"/>
  <c r="BQ530" i="43"/>
  <c r="BP530" i="43"/>
  <c r="BO530" i="43"/>
  <c r="BN530" i="43"/>
  <c r="BM530" i="43"/>
  <c r="BL530" i="43"/>
  <c r="BK530" i="43"/>
  <c r="BJ530" i="43"/>
  <c r="BI530" i="43"/>
  <c r="BH530" i="43"/>
  <c r="BG530" i="43"/>
  <c r="BF530" i="43"/>
  <c r="BE530" i="43"/>
  <c r="BD530" i="43"/>
  <c r="BC530" i="43"/>
  <c r="BB530" i="43"/>
  <c r="BA530" i="43"/>
  <c r="AZ530" i="43"/>
  <c r="AY530" i="43"/>
  <c r="AX530" i="43"/>
  <c r="AW530" i="43"/>
  <c r="AV530" i="43"/>
  <c r="AU530" i="43"/>
  <c r="AT530" i="43"/>
  <c r="AS530" i="43"/>
  <c r="AR530" i="43"/>
  <c r="AQ530" i="43"/>
  <c r="AP530" i="43"/>
  <c r="AO530" i="43"/>
  <c r="AN530" i="43"/>
  <c r="AM530" i="43"/>
  <c r="AL530" i="43"/>
  <c r="AK530" i="43"/>
  <c r="AJ530" i="43"/>
  <c r="AI530" i="43"/>
  <c r="AH530" i="43"/>
  <c r="AF529" i="43"/>
  <c r="AE529" i="43"/>
  <c r="AD529" i="43"/>
  <c r="AC529" i="43"/>
  <c r="AB529" i="43"/>
  <c r="AB530" i="43" s="1"/>
  <c r="J529" i="43"/>
  <c r="D529" i="43"/>
  <c r="H529" i="43" s="1"/>
  <c r="AF528" i="43"/>
  <c r="AE528" i="43"/>
  <c r="AD528" i="43"/>
  <c r="AC528" i="43"/>
  <c r="AB528" i="43"/>
  <c r="J528" i="43"/>
  <c r="D528" i="43"/>
  <c r="A527" i="43"/>
  <c r="A528" i="43" s="1"/>
  <c r="A529" i="43" s="1"/>
  <c r="A530" i="43" s="1"/>
  <c r="A531" i="43" s="1"/>
  <c r="A532" i="43" s="1"/>
  <c r="A533" i="43" s="1"/>
  <c r="A534" i="43" s="1"/>
  <c r="A535" i="43" s="1"/>
  <c r="A536" i="43" s="1"/>
  <c r="A537" i="43" s="1"/>
  <c r="A538" i="43" s="1"/>
  <c r="A539" i="43" s="1"/>
  <c r="L525" i="43"/>
  <c r="F525" i="43"/>
  <c r="D525" i="43"/>
  <c r="H491" i="43"/>
  <c r="N491" i="43" s="1"/>
  <c r="H490" i="43"/>
  <c r="N490" i="43" s="1"/>
  <c r="AF488" i="43"/>
  <c r="AE488" i="43"/>
  <c r="AD488" i="43"/>
  <c r="AC488" i="43"/>
  <c r="AB488" i="43"/>
  <c r="AF487" i="43"/>
  <c r="AE487" i="43"/>
  <c r="AD487" i="43"/>
  <c r="AC487" i="43"/>
  <c r="AB487" i="43"/>
  <c r="AF485" i="43"/>
  <c r="AE485" i="43"/>
  <c r="AD485" i="43"/>
  <c r="AC485" i="43"/>
  <c r="AB485" i="43"/>
  <c r="CO484" i="43"/>
  <c r="CN484" i="43"/>
  <c r="CM484" i="43"/>
  <c r="CL484" i="43"/>
  <c r="CK484" i="43"/>
  <c r="CJ484" i="43"/>
  <c r="CI484" i="43"/>
  <c r="CH484" i="43"/>
  <c r="CG484" i="43"/>
  <c r="CF484" i="43"/>
  <c r="CE484" i="43"/>
  <c r="CD484" i="43"/>
  <c r="CC484" i="43"/>
  <c r="CB484" i="43"/>
  <c r="CA484" i="43"/>
  <c r="BZ484" i="43"/>
  <c r="BY484" i="43"/>
  <c r="BX484" i="43"/>
  <c r="BW484" i="43"/>
  <c r="BV484" i="43"/>
  <c r="BU484" i="43"/>
  <c r="BT484" i="43"/>
  <c r="BS484" i="43"/>
  <c r="BR484" i="43"/>
  <c r="BQ484" i="43"/>
  <c r="BP484" i="43"/>
  <c r="BO484" i="43"/>
  <c r="BN484" i="43"/>
  <c r="BM484" i="43"/>
  <c r="BL484" i="43"/>
  <c r="BK484" i="43"/>
  <c r="BJ484" i="43"/>
  <c r="BI484" i="43"/>
  <c r="BH484" i="43"/>
  <c r="BG484" i="43"/>
  <c r="BF484" i="43"/>
  <c r="BE484" i="43"/>
  <c r="BD484" i="43"/>
  <c r="BC484" i="43"/>
  <c r="BB484" i="43"/>
  <c r="BA484" i="43"/>
  <c r="AZ484" i="43"/>
  <c r="AY484" i="43"/>
  <c r="AX484" i="43"/>
  <c r="AW484" i="43"/>
  <c r="AV484" i="43"/>
  <c r="AU484" i="43"/>
  <c r="AT484" i="43"/>
  <c r="AS484" i="43"/>
  <c r="AR484" i="43"/>
  <c r="AQ484" i="43"/>
  <c r="AP484" i="43"/>
  <c r="AO484" i="43"/>
  <c r="AN484" i="43"/>
  <c r="AM484" i="43"/>
  <c r="AL484" i="43"/>
  <c r="AK484" i="43"/>
  <c r="AJ484" i="43"/>
  <c r="AI484" i="43"/>
  <c r="AH484" i="43"/>
  <c r="AF482" i="43"/>
  <c r="AE482" i="43"/>
  <c r="AD482" i="43"/>
  <c r="AC482" i="43"/>
  <c r="AB482" i="43"/>
  <c r="AF481" i="43"/>
  <c r="AE481" i="43"/>
  <c r="AD481" i="43"/>
  <c r="AC481" i="43"/>
  <c r="AB481" i="43"/>
  <c r="AF478" i="43"/>
  <c r="AE478" i="43"/>
  <c r="AD478" i="43"/>
  <c r="AC478" i="43"/>
  <c r="AB478" i="43"/>
  <c r="AF477" i="43"/>
  <c r="AE477" i="43"/>
  <c r="AD477" i="43"/>
  <c r="AC477" i="43"/>
  <c r="AB477" i="43"/>
  <c r="T475" i="43"/>
  <c r="AF474" i="43"/>
  <c r="AE474" i="43"/>
  <c r="AD474" i="43"/>
  <c r="AC474" i="43"/>
  <c r="AB474" i="43"/>
  <c r="T474" i="43"/>
  <c r="AF473" i="43"/>
  <c r="AE473" i="43"/>
  <c r="AD473" i="43"/>
  <c r="AC473" i="43"/>
  <c r="AB473" i="43"/>
  <c r="T473" i="43"/>
  <c r="AF470" i="43"/>
  <c r="AE470" i="43"/>
  <c r="AD470" i="43"/>
  <c r="AC470" i="43"/>
  <c r="AB470" i="43"/>
  <c r="AF469" i="43"/>
  <c r="AE469" i="43"/>
  <c r="AD469" i="43"/>
  <c r="AC469" i="43"/>
  <c r="AB469" i="43"/>
  <c r="AF468" i="43"/>
  <c r="AE468" i="43"/>
  <c r="AD468" i="43"/>
  <c r="AC468" i="43"/>
  <c r="AB468" i="43"/>
  <c r="A467" i="43"/>
  <c r="A468" i="43" s="1"/>
  <c r="A469" i="43" s="1"/>
  <c r="A470" i="43" s="1"/>
  <c r="A471" i="43" s="1"/>
  <c r="A472" i="43" s="1"/>
  <c r="A473" i="43" s="1"/>
  <c r="A474" i="43" s="1"/>
  <c r="A475" i="43" s="1"/>
  <c r="A476" i="43" s="1"/>
  <c r="A477" i="43" s="1"/>
  <c r="A478" i="43" s="1"/>
  <c r="A479" i="43" s="1"/>
  <c r="A480" i="43" s="1"/>
  <c r="A481" i="43" s="1"/>
  <c r="A482" i="43" s="1"/>
  <c r="A483" i="43" s="1"/>
  <c r="A484" i="43" s="1"/>
  <c r="A485" i="43" s="1"/>
  <c r="A486" i="43" s="1"/>
  <c r="A487" i="43" s="1"/>
  <c r="A488" i="43" s="1"/>
  <c r="A489" i="43" s="1"/>
  <c r="A490" i="43" s="1"/>
  <c r="A491" i="43" s="1"/>
  <c r="A492" i="43" s="1"/>
  <c r="A493" i="43" s="1"/>
  <c r="A494" i="43" s="1"/>
  <c r="A495" i="43" s="1"/>
  <c r="A496" i="43" s="1"/>
  <c r="A497" i="43" s="1"/>
  <c r="A498" i="43" s="1"/>
  <c r="A499" i="43" s="1"/>
  <c r="A500" i="43" s="1"/>
  <c r="A501" i="43" s="1"/>
  <c r="A502" i="43" s="1"/>
  <c r="A503" i="43" s="1"/>
  <c r="A504" i="43" s="1"/>
  <c r="A505" i="43" s="1"/>
  <c r="A506" i="43" s="1"/>
  <c r="A507" i="43" s="1"/>
  <c r="A508" i="43" s="1"/>
  <c r="A509" i="43" s="1"/>
  <c r="A510" i="43" s="1"/>
  <c r="L465" i="43"/>
  <c r="F465" i="43"/>
  <c r="D465" i="43"/>
  <c r="AF451" i="43"/>
  <c r="AE451" i="43"/>
  <c r="AD451" i="43"/>
  <c r="AC451" i="43"/>
  <c r="AB451" i="43"/>
  <c r="AF450" i="43"/>
  <c r="AE450" i="43"/>
  <c r="AD450" i="43"/>
  <c r="AC450" i="43"/>
  <c r="AB450" i="43"/>
  <c r="CO440" i="43"/>
  <c r="CN440" i="43"/>
  <c r="CM440" i="43"/>
  <c r="CL440" i="43"/>
  <c r="CK440" i="43"/>
  <c r="CJ440" i="43"/>
  <c r="CI440" i="43"/>
  <c r="CH440" i="43"/>
  <c r="CG440" i="43"/>
  <c r="CF440" i="43"/>
  <c r="CE440" i="43"/>
  <c r="CD440" i="43"/>
  <c r="CC440" i="43"/>
  <c r="CB440" i="43"/>
  <c r="CA440" i="43"/>
  <c r="BZ440" i="43"/>
  <c r="BY440" i="43"/>
  <c r="BX440" i="43"/>
  <c r="BW440" i="43"/>
  <c r="BV440" i="43"/>
  <c r="BU440" i="43"/>
  <c r="BT440" i="43"/>
  <c r="BS440" i="43"/>
  <c r="BR440" i="43"/>
  <c r="BQ440" i="43"/>
  <c r="BP440" i="43"/>
  <c r="BO440" i="43"/>
  <c r="BN440" i="43"/>
  <c r="BM440" i="43"/>
  <c r="BL440" i="43"/>
  <c r="BK440" i="43"/>
  <c r="BJ440" i="43"/>
  <c r="BI440" i="43"/>
  <c r="BH440" i="43"/>
  <c r="BG440" i="43"/>
  <c r="BF440" i="43"/>
  <c r="BE440" i="43"/>
  <c r="BD440" i="43"/>
  <c r="BC440" i="43"/>
  <c r="BB440" i="43"/>
  <c r="BA440" i="43"/>
  <c r="AZ440" i="43"/>
  <c r="AY440" i="43"/>
  <c r="AX440" i="43"/>
  <c r="AW440" i="43"/>
  <c r="AV440" i="43"/>
  <c r="AU440" i="43"/>
  <c r="AT440" i="43"/>
  <c r="AS440" i="43"/>
  <c r="AR440" i="43"/>
  <c r="AQ440" i="43"/>
  <c r="AP440" i="43"/>
  <c r="AO440" i="43"/>
  <c r="AN440" i="43"/>
  <c r="AM440" i="43"/>
  <c r="AL440" i="43"/>
  <c r="AK440" i="43"/>
  <c r="AJ440" i="43"/>
  <c r="AI440" i="43"/>
  <c r="AH440" i="43"/>
  <c r="J439" i="43"/>
  <c r="D439" i="43"/>
  <c r="H439" i="43" s="1"/>
  <c r="CO438" i="43"/>
  <c r="CN438" i="43"/>
  <c r="CM438" i="43"/>
  <c r="CL438" i="43"/>
  <c r="CK438" i="43"/>
  <c r="CJ438" i="43"/>
  <c r="CI438" i="43"/>
  <c r="CH438" i="43"/>
  <c r="CG438" i="43"/>
  <c r="CF438" i="43"/>
  <c r="CE438" i="43"/>
  <c r="CD438" i="43"/>
  <c r="CC438" i="43"/>
  <c r="CB438" i="43"/>
  <c r="CA438" i="43"/>
  <c r="BZ438" i="43"/>
  <c r="BY438" i="43"/>
  <c r="BX438" i="43"/>
  <c r="BW438" i="43"/>
  <c r="BV438" i="43"/>
  <c r="BU438" i="43"/>
  <c r="BT438" i="43"/>
  <c r="BS438" i="43"/>
  <c r="BR438" i="43"/>
  <c r="BQ438" i="43"/>
  <c r="BP438" i="43"/>
  <c r="BO438" i="43"/>
  <c r="BN438" i="43"/>
  <c r="BM438" i="43"/>
  <c r="BL438" i="43"/>
  <c r="BK438" i="43"/>
  <c r="BJ438" i="43"/>
  <c r="BI438" i="43"/>
  <c r="BH438" i="43"/>
  <c r="BG438" i="43"/>
  <c r="BF438" i="43"/>
  <c r="BE438" i="43"/>
  <c r="BD438" i="43"/>
  <c r="BC438" i="43"/>
  <c r="BB438" i="43"/>
  <c r="BA438" i="43"/>
  <c r="AZ438" i="43"/>
  <c r="AY438" i="43"/>
  <c r="AX438" i="43"/>
  <c r="AW438" i="43"/>
  <c r="AV438" i="43"/>
  <c r="AU438" i="43"/>
  <c r="AT438" i="43"/>
  <c r="AS438" i="43"/>
  <c r="AR438" i="43"/>
  <c r="AQ438" i="43"/>
  <c r="AP438" i="43"/>
  <c r="AO438" i="43"/>
  <c r="AN438" i="43"/>
  <c r="AM438" i="43"/>
  <c r="AL438" i="43"/>
  <c r="AK438" i="43"/>
  <c r="AJ438" i="43"/>
  <c r="AI438" i="43"/>
  <c r="AH438" i="43"/>
  <c r="AF437" i="43"/>
  <c r="AE437" i="43"/>
  <c r="AD437" i="43"/>
  <c r="AC437" i="43"/>
  <c r="AB437" i="43"/>
  <c r="J437" i="43"/>
  <c r="D437" i="43"/>
  <c r="H437" i="43" s="1"/>
  <c r="J436" i="43"/>
  <c r="D436" i="43"/>
  <c r="H436" i="43" s="1"/>
  <c r="AF435" i="43"/>
  <c r="AE435" i="43"/>
  <c r="AD435" i="43"/>
  <c r="AC435" i="43"/>
  <c r="AB435" i="43"/>
  <c r="J435" i="43"/>
  <c r="D435" i="43"/>
  <c r="H435" i="43" s="1"/>
  <c r="J433" i="43"/>
  <c r="H433" i="43"/>
  <c r="J432" i="43"/>
  <c r="H432" i="43"/>
  <c r="AF431" i="43"/>
  <c r="AE431" i="43"/>
  <c r="AD431" i="43"/>
  <c r="AC431" i="43"/>
  <c r="AB431" i="43"/>
  <c r="J431" i="43"/>
  <c r="D431" i="43"/>
  <c r="H431" i="43" s="1"/>
  <c r="J430" i="43"/>
  <c r="D430" i="43"/>
  <c r="H430" i="43" s="1"/>
  <c r="AF429" i="43"/>
  <c r="AE429" i="43"/>
  <c r="AD429" i="43"/>
  <c r="AC429" i="43"/>
  <c r="AB429" i="43"/>
  <c r="J429" i="43"/>
  <c r="D429" i="43"/>
  <c r="H429" i="43" s="1"/>
  <c r="AF427" i="43"/>
  <c r="AE427" i="43"/>
  <c r="AD427" i="43"/>
  <c r="AC427" i="43"/>
  <c r="AB427" i="43"/>
  <c r="J427" i="43"/>
  <c r="D427" i="43"/>
  <c r="H427" i="43" s="1"/>
  <c r="J426" i="43"/>
  <c r="D426" i="43"/>
  <c r="H426" i="43" s="1"/>
  <c r="AF425" i="43"/>
  <c r="AE425" i="43"/>
  <c r="AD425" i="43"/>
  <c r="AC425" i="43"/>
  <c r="AB425" i="43"/>
  <c r="J425" i="43"/>
  <c r="D425" i="43"/>
  <c r="H425" i="43" s="1"/>
  <c r="AF424" i="43"/>
  <c r="AE424" i="43"/>
  <c r="AD424" i="43"/>
  <c r="AC424" i="43"/>
  <c r="AB424" i="43"/>
  <c r="AF422" i="43"/>
  <c r="AE422" i="43"/>
  <c r="AD422" i="43"/>
  <c r="AC422" i="43"/>
  <c r="AB422" i="43"/>
  <c r="J422" i="43"/>
  <c r="D422" i="43"/>
  <c r="H422" i="43" s="1"/>
  <c r="AF421" i="43"/>
  <c r="AE421" i="43"/>
  <c r="AD421" i="43"/>
  <c r="AC421" i="43"/>
  <c r="AB421" i="43"/>
  <c r="J421" i="43"/>
  <c r="D421" i="43"/>
  <c r="H421" i="43" s="1"/>
  <c r="AF420" i="43"/>
  <c r="AE420" i="43"/>
  <c r="AD420" i="43"/>
  <c r="AC420" i="43"/>
  <c r="AB420" i="43"/>
  <c r="J420" i="43"/>
  <c r="D420" i="43"/>
  <c r="H420" i="43" s="1"/>
  <c r="AF419" i="43"/>
  <c r="AE419" i="43"/>
  <c r="AD419" i="43"/>
  <c r="AC419" i="43"/>
  <c r="AB419" i="43"/>
  <c r="J419" i="43"/>
  <c r="D419" i="43"/>
  <c r="H419" i="43" s="1"/>
  <c r="AF416" i="43"/>
  <c r="AE416" i="43"/>
  <c r="AD416" i="43"/>
  <c r="AC416" i="43"/>
  <c r="AB416" i="43"/>
  <c r="CO415" i="43"/>
  <c r="CN415" i="43"/>
  <c r="CM415" i="43"/>
  <c r="CL415" i="43"/>
  <c r="CK415" i="43"/>
  <c r="CJ415" i="43"/>
  <c r="CI415" i="43"/>
  <c r="CH415" i="43"/>
  <c r="CG415" i="43"/>
  <c r="CF415" i="43"/>
  <c r="CE415" i="43"/>
  <c r="CD415" i="43"/>
  <c r="CC415" i="43"/>
  <c r="CB415" i="43"/>
  <c r="CA415" i="43"/>
  <c r="BZ415" i="43"/>
  <c r="BY415" i="43"/>
  <c r="BX415" i="43"/>
  <c r="BW415" i="43"/>
  <c r="BV415" i="43"/>
  <c r="BU415" i="43"/>
  <c r="BT415" i="43"/>
  <c r="BS415" i="43"/>
  <c r="BR415" i="43"/>
  <c r="BQ415" i="43"/>
  <c r="BP415" i="43"/>
  <c r="BO415" i="43"/>
  <c r="BN415" i="43"/>
  <c r="BM415" i="43"/>
  <c r="BL415" i="43"/>
  <c r="BK415" i="43"/>
  <c r="BJ415" i="43"/>
  <c r="BI415" i="43"/>
  <c r="BH415" i="43"/>
  <c r="BG415" i="43"/>
  <c r="BF415" i="43"/>
  <c r="BE415" i="43"/>
  <c r="BD415" i="43"/>
  <c r="BC415" i="43"/>
  <c r="BB415" i="43"/>
  <c r="BA415" i="43"/>
  <c r="AZ415" i="43"/>
  <c r="AY415" i="43"/>
  <c r="AX415" i="43"/>
  <c r="AW415" i="43"/>
  <c r="AV415" i="43"/>
  <c r="AU415" i="43"/>
  <c r="AT415" i="43"/>
  <c r="AS415" i="43"/>
  <c r="AR415" i="43"/>
  <c r="AQ415" i="43"/>
  <c r="AP415" i="43"/>
  <c r="AO415" i="43"/>
  <c r="AN415" i="43"/>
  <c r="AM415" i="43"/>
  <c r="AL415" i="43"/>
  <c r="AK415" i="43"/>
  <c r="AJ415" i="43"/>
  <c r="AI415" i="43"/>
  <c r="AH415" i="43"/>
  <c r="AF414" i="43"/>
  <c r="AE414" i="43"/>
  <c r="AD414" i="43"/>
  <c r="AC414" i="43"/>
  <c r="AB414" i="43"/>
  <c r="J414" i="43"/>
  <c r="D414" i="43"/>
  <c r="H414" i="43" s="1"/>
  <c r="AF413" i="43"/>
  <c r="AE413" i="43"/>
  <c r="AD413" i="43"/>
  <c r="AC413" i="43"/>
  <c r="AB413" i="43"/>
  <c r="J413" i="43"/>
  <c r="D413" i="43"/>
  <c r="H413" i="43" s="1"/>
  <c r="AF412" i="43"/>
  <c r="AE412" i="43"/>
  <c r="AD412" i="43"/>
  <c r="AC412" i="43"/>
  <c r="AB412" i="43"/>
  <c r="J412" i="43"/>
  <c r="D412" i="43"/>
  <c r="H412" i="43" s="1"/>
  <c r="AF410" i="43"/>
  <c r="AE410" i="43"/>
  <c r="AD410" i="43"/>
  <c r="AC410" i="43"/>
  <c r="AB410" i="43"/>
  <c r="J410" i="43"/>
  <c r="D410" i="43"/>
  <c r="H410" i="43" s="1"/>
  <c r="AF409" i="43"/>
  <c r="AE409" i="43"/>
  <c r="AD409" i="43"/>
  <c r="AC409" i="43"/>
  <c r="AB409" i="43"/>
  <c r="J409" i="43"/>
  <c r="D409" i="43"/>
  <c r="H409" i="43" s="1"/>
  <c r="AF408" i="43"/>
  <c r="AE408" i="43"/>
  <c r="AD408" i="43"/>
  <c r="AC408" i="43"/>
  <c r="AB408" i="43"/>
  <c r="AB415" i="43" s="1"/>
  <c r="J408" i="43"/>
  <c r="D408" i="43"/>
  <c r="A407" i="43"/>
  <c r="A408" i="43" s="1"/>
  <c r="A409" i="43" s="1"/>
  <c r="A410" i="43" s="1"/>
  <c r="A411" i="43" s="1"/>
  <c r="A412" i="43" s="1"/>
  <c r="A413" i="43" s="1"/>
  <c r="A414" i="43" s="1"/>
  <c r="A415" i="43" s="1"/>
  <c r="A416" i="43" s="1"/>
  <c r="A417" i="43" s="1"/>
  <c r="A418" i="43" s="1"/>
  <c r="A419" i="43" s="1"/>
  <c r="A420" i="43" s="1"/>
  <c r="A421" i="43" s="1"/>
  <c r="A422" i="43" s="1"/>
  <c r="A423" i="43" s="1"/>
  <c r="A424" i="43" s="1"/>
  <c r="A425" i="43" s="1"/>
  <c r="A426" i="43" s="1"/>
  <c r="A427" i="43" s="1"/>
  <c r="A428" i="43" s="1"/>
  <c r="A429" i="43" s="1"/>
  <c r="A430" i="43" s="1"/>
  <c r="A431" i="43" s="1"/>
  <c r="A432" i="43" s="1"/>
  <c r="A433" i="43" s="1"/>
  <c r="A434" i="43" s="1"/>
  <c r="A435" i="43" s="1"/>
  <c r="A436" i="43" s="1"/>
  <c r="A437" i="43" s="1"/>
  <c r="A438" i="43" s="1"/>
  <c r="A439" i="43" s="1"/>
  <c r="A440" i="43" s="1"/>
  <c r="A441" i="43" s="1"/>
  <c r="A442" i="43" s="1"/>
  <c r="A443" i="43" s="1"/>
  <c r="A444" i="43" s="1"/>
  <c r="A445" i="43" s="1"/>
  <c r="A446" i="43" s="1"/>
  <c r="A447" i="43" s="1"/>
  <c r="A448" i="43" s="1"/>
  <c r="A449" i="43" s="1"/>
  <c r="A450" i="43" s="1"/>
  <c r="L405" i="43"/>
  <c r="F405" i="43"/>
  <c r="D405" i="43"/>
  <c r="H375" i="43"/>
  <c r="N375" i="43" s="1"/>
  <c r="H374" i="43"/>
  <c r="N374" i="43" s="1"/>
  <c r="AF373" i="43"/>
  <c r="AE373" i="43"/>
  <c r="AD373" i="43"/>
  <c r="AC373" i="43"/>
  <c r="AB373" i="43"/>
  <c r="AF372" i="43"/>
  <c r="AE372" i="43"/>
  <c r="AD372" i="43"/>
  <c r="AC372" i="43"/>
  <c r="AB372" i="43"/>
  <c r="AF371" i="43"/>
  <c r="AE371" i="43"/>
  <c r="AD371" i="43"/>
  <c r="AC371" i="43"/>
  <c r="AB371" i="43"/>
  <c r="AF368" i="43"/>
  <c r="AE368" i="43"/>
  <c r="AD368" i="43"/>
  <c r="AC368" i="43"/>
  <c r="AB368" i="43"/>
  <c r="CO367" i="43"/>
  <c r="CN367" i="43"/>
  <c r="CM367" i="43"/>
  <c r="CL367" i="43"/>
  <c r="CK367" i="43"/>
  <c r="CJ367" i="43"/>
  <c r="CI367" i="43"/>
  <c r="CH367" i="43"/>
  <c r="CG367" i="43"/>
  <c r="CF367" i="43"/>
  <c r="CE367" i="43"/>
  <c r="CD367" i="43"/>
  <c r="CC367" i="43"/>
  <c r="CB367" i="43"/>
  <c r="CA367" i="43"/>
  <c r="BZ367" i="43"/>
  <c r="BY367" i="43"/>
  <c r="BX367" i="43"/>
  <c r="BW367" i="43"/>
  <c r="BV367" i="43"/>
  <c r="BU367" i="43"/>
  <c r="BT367" i="43"/>
  <c r="BS367" i="43"/>
  <c r="BR367" i="43"/>
  <c r="BQ367" i="43"/>
  <c r="BP367" i="43"/>
  <c r="BO367" i="43"/>
  <c r="BN367" i="43"/>
  <c r="BM367" i="43"/>
  <c r="BL367" i="43"/>
  <c r="BK367" i="43"/>
  <c r="BJ367" i="43"/>
  <c r="BI367" i="43"/>
  <c r="BH367" i="43"/>
  <c r="BG367" i="43"/>
  <c r="BF367" i="43"/>
  <c r="BE367" i="43"/>
  <c r="BD367" i="43"/>
  <c r="BC367" i="43"/>
  <c r="BB367" i="43"/>
  <c r="BA367" i="43"/>
  <c r="AZ367" i="43"/>
  <c r="AY367" i="43"/>
  <c r="AX367" i="43"/>
  <c r="AW367" i="43"/>
  <c r="AV367" i="43"/>
  <c r="AU367" i="43"/>
  <c r="AT367" i="43"/>
  <c r="AS367" i="43"/>
  <c r="AR367" i="43"/>
  <c r="AQ367" i="43"/>
  <c r="AP367" i="43"/>
  <c r="AO367" i="43"/>
  <c r="AN367" i="43"/>
  <c r="AM367" i="43"/>
  <c r="AL367" i="43"/>
  <c r="AK367" i="43"/>
  <c r="AJ367" i="43"/>
  <c r="AI367" i="43"/>
  <c r="AH367" i="43"/>
  <c r="AF365" i="43"/>
  <c r="AE365" i="43"/>
  <c r="AD365" i="43"/>
  <c r="AC365" i="43"/>
  <c r="AB365" i="43"/>
  <c r="AF364" i="43"/>
  <c r="AE364" i="43"/>
  <c r="AD364" i="43"/>
  <c r="AC364" i="43"/>
  <c r="AB364" i="43"/>
  <c r="AF361" i="43"/>
  <c r="AE361" i="43"/>
  <c r="AD361" i="43"/>
  <c r="AC361" i="43"/>
  <c r="AB361" i="43"/>
  <c r="AF360" i="43"/>
  <c r="AE360" i="43"/>
  <c r="AD360" i="43"/>
  <c r="AC360" i="43"/>
  <c r="AB360" i="43"/>
  <c r="AF357" i="43"/>
  <c r="AE357" i="43"/>
  <c r="AD357" i="43"/>
  <c r="AC357" i="43"/>
  <c r="AB357" i="43"/>
  <c r="T357" i="43"/>
  <c r="AF356" i="43"/>
  <c r="AE356" i="43"/>
  <c r="AD356" i="43"/>
  <c r="AC356" i="43"/>
  <c r="AB356" i="43"/>
  <c r="T356" i="43"/>
  <c r="AF353" i="43"/>
  <c r="AE353" i="43"/>
  <c r="AD353" i="43"/>
  <c r="AC353" i="43"/>
  <c r="AB353" i="43"/>
  <c r="AF352" i="43"/>
  <c r="AE352" i="43"/>
  <c r="AD352" i="43"/>
  <c r="AC352" i="43"/>
  <c r="AB352" i="43"/>
  <c r="AF351" i="43"/>
  <c r="AE351" i="43"/>
  <c r="AD351" i="43"/>
  <c r="AC351" i="43"/>
  <c r="AB351" i="43"/>
  <c r="A349" i="43"/>
  <c r="A350" i="43" s="1"/>
  <c r="A351" i="43" s="1"/>
  <c r="A352" i="43" s="1"/>
  <c r="A353" i="43" s="1"/>
  <c r="A354" i="43" s="1"/>
  <c r="A355" i="43" s="1"/>
  <c r="A356" i="43" s="1"/>
  <c r="A357" i="43" s="1"/>
  <c r="A358" i="43" s="1"/>
  <c r="A359" i="43" s="1"/>
  <c r="A360" i="43" s="1"/>
  <c r="A361" i="43" s="1"/>
  <c r="A362" i="43" s="1"/>
  <c r="A363" i="43" s="1"/>
  <c r="A364" i="43" s="1"/>
  <c r="A365" i="43" s="1"/>
  <c r="A366" i="43" s="1"/>
  <c r="A367" i="43" s="1"/>
  <c r="A368" i="43" s="1"/>
  <c r="A369" i="43" s="1"/>
  <c r="A370" i="43" s="1"/>
  <c r="A371" i="43" s="1"/>
  <c r="A372" i="43" s="1"/>
  <c r="A373" i="43" s="1"/>
  <c r="A374" i="43" s="1"/>
  <c r="A375" i="43" s="1"/>
  <c r="A376" i="43" s="1"/>
  <c r="A377" i="43" s="1"/>
  <c r="A378" i="43" s="1"/>
  <c r="A379" i="43" s="1"/>
  <c r="A380" i="43" s="1"/>
  <c r="A381" i="43" s="1"/>
  <c r="A382" i="43" s="1"/>
  <c r="A383" i="43" s="1"/>
  <c r="A384" i="43" s="1"/>
  <c r="A385" i="43" s="1"/>
  <c r="A386" i="43" s="1"/>
  <c r="A387" i="43" s="1"/>
  <c r="A388" i="43" s="1"/>
  <c r="A389" i="43" s="1"/>
  <c r="A390" i="43" s="1"/>
  <c r="L347" i="43"/>
  <c r="F347" i="43"/>
  <c r="D347" i="43"/>
  <c r="AF327" i="43"/>
  <c r="AE327" i="43"/>
  <c r="AD327" i="43"/>
  <c r="AC327" i="43"/>
  <c r="AB327" i="43"/>
  <c r="AF326" i="43"/>
  <c r="AE326" i="43"/>
  <c r="AD326" i="43"/>
  <c r="AC326" i="43"/>
  <c r="AB326" i="43"/>
  <c r="CO325" i="43"/>
  <c r="CN325" i="43"/>
  <c r="CM325" i="43"/>
  <c r="CL325" i="43"/>
  <c r="CK325" i="43"/>
  <c r="CJ325" i="43"/>
  <c r="CI325" i="43"/>
  <c r="CH325" i="43"/>
  <c r="CG325" i="43"/>
  <c r="CF325" i="43"/>
  <c r="CE325" i="43"/>
  <c r="CD325" i="43"/>
  <c r="CC325" i="43"/>
  <c r="CB325" i="43"/>
  <c r="CA325" i="43"/>
  <c r="BZ325" i="43"/>
  <c r="BY325" i="43"/>
  <c r="BX325" i="43"/>
  <c r="BW325" i="43"/>
  <c r="BV325" i="43"/>
  <c r="BU325" i="43"/>
  <c r="BT325" i="43"/>
  <c r="BS325" i="43"/>
  <c r="BR325" i="43"/>
  <c r="BQ325" i="43"/>
  <c r="BP325" i="43"/>
  <c r="BO325" i="43"/>
  <c r="BN325" i="43"/>
  <c r="BM325" i="43"/>
  <c r="BL325" i="43"/>
  <c r="BK325" i="43"/>
  <c r="BJ325" i="43"/>
  <c r="BI325" i="43"/>
  <c r="BH325" i="43"/>
  <c r="BG325" i="43"/>
  <c r="BF325" i="43"/>
  <c r="BE325" i="43"/>
  <c r="BD325" i="43"/>
  <c r="BC325" i="43"/>
  <c r="BB325" i="43"/>
  <c r="BA325" i="43"/>
  <c r="AZ325" i="43"/>
  <c r="AY325" i="43"/>
  <c r="AX325" i="43"/>
  <c r="AW325" i="43"/>
  <c r="AV325" i="43"/>
  <c r="AU325" i="43"/>
  <c r="AT325" i="43"/>
  <c r="AS325" i="43"/>
  <c r="AR325" i="43"/>
  <c r="AQ325" i="43"/>
  <c r="AP325" i="43"/>
  <c r="AO325" i="43"/>
  <c r="AN325" i="43"/>
  <c r="AM325" i="43"/>
  <c r="AL325" i="43"/>
  <c r="AK325" i="43"/>
  <c r="AJ325" i="43"/>
  <c r="AI325" i="43"/>
  <c r="AH325" i="43"/>
  <c r="AF323" i="43"/>
  <c r="AE323" i="43"/>
  <c r="AD323" i="43"/>
  <c r="AC323" i="43"/>
  <c r="AB323" i="43"/>
  <c r="J323" i="43"/>
  <c r="D323" i="43"/>
  <c r="J322" i="43"/>
  <c r="J324" i="43" s="1"/>
  <c r="D322" i="43"/>
  <c r="H322" i="43" s="1"/>
  <c r="AF321" i="43"/>
  <c r="AE321" i="43"/>
  <c r="AD321" i="43"/>
  <c r="AC321" i="43"/>
  <c r="AB321" i="43"/>
  <c r="J321" i="43"/>
  <c r="D321" i="43"/>
  <c r="H321" i="43" s="1"/>
  <c r="AF318" i="43"/>
  <c r="AE318" i="43"/>
  <c r="AD318" i="43"/>
  <c r="AC318" i="43"/>
  <c r="AB318" i="43"/>
  <c r="J318" i="43"/>
  <c r="D318" i="43"/>
  <c r="H318" i="43" s="1"/>
  <c r="J317" i="43"/>
  <c r="J319" i="43" s="1"/>
  <c r="D317" i="43"/>
  <c r="D319" i="43" s="1"/>
  <c r="H319" i="43" s="1"/>
  <c r="AF316" i="43"/>
  <c r="AE316" i="43"/>
  <c r="AD316" i="43"/>
  <c r="AC316" i="43"/>
  <c r="AB316" i="43"/>
  <c r="J316" i="43"/>
  <c r="D316" i="43"/>
  <c r="H316" i="43" s="1"/>
  <c r="AF314" i="43"/>
  <c r="AE314" i="43"/>
  <c r="AD314" i="43"/>
  <c r="AC314" i="43"/>
  <c r="AB314" i="43"/>
  <c r="J314" i="43"/>
  <c r="D314" i="43"/>
  <c r="H314" i="43" s="1"/>
  <c r="J313" i="43"/>
  <c r="D313" i="43"/>
  <c r="H313" i="43" s="1"/>
  <c r="AF312" i="43"/>
  <c r="AE312" i="43"/>
  <c r="AD312" i="43"/>
  <c r="AC312" i="43"/>
  <c r="AB312" i="43"/>
  <c r="J312" i="43"/>
  <c r="D312" i="43"/>
  <c r="H312" i="43" s="1"/>
  <c r="J309" i="43"/>
  <c r="D309" i="43"/>
  <c r="H309" i="43" s="1"/>
  <c r="AF308" i="43"/>
  <c r="AE308" i="43"/>
  <c r="AD308" i="43"/>
  <c r="AC308" i="43"/>
  <c r="AB308" i="43"/>
  <c r="J308" i="43"/>
  <c r="D308" i="43"/>
  <c r="H308" i="43" s="1"/>
  <c r="AF307" i="43"/>
  <c r="AE307" i="43"/>
  <c r="AD307" i="43"/>
  <c r="AC307" i="43"/>
  <c r="AB307" i="43"/>
  <c r="J307" i="43"/>
  <c r="D307" i="43"/>
  <c r="H307" i="43" s="1"/>
  <c r="AF306" i="43"/>
  <c r="AE306" i="43"/>
  <c r="AD306" i="43"/>
  <c r="AC306" i="43"/>
  <c r="AB306" i="43"/>
  <c r="J306" i="43"/>
  <c r="D306" i="43"/>
  <c r="H306" i="43" s="1"/>
  <c r="AF303" i="43"/>
  <c r="AE303" i="43"/>
  <c r="AD303" i="43"/>
  <c r="AC303" i="43"/>
  <c r="AB303" i="43"/>
  <c r="CO302" i="43"/>
  <c r="CN302" i="43"/>
  <c r="CM302" i="43"/>
  <c r="CL302" i="43"/>
  <c r="CK302" i="43"/>
  <c r="CJ302" i="43"/>
  <c r="CI302" i="43"/>
  <c r="CH302" i="43"/>
  <c r="CG302" i="43"/>
  <c r="CF302" i="43"/>
  <c r="CE302" i="43"/>
  <c r="CD302" i="43"/>
  <c r="CC302" i="43"/>
  <c r="CB302" i="43"/>
  <c r="CA302" i="43"/>
  <c r="BZ302" i="43"/>
  <c r="BY302" i="43"/>
  <c r="BX302" i="43"/>
  <c r="BW302" i="43"/>
  <c r="BV302" i="43"/>
  <c r="BU302" i="43"/>
  <c r="BT302" i="43"/>
  <c r="BS302" i="43"/>
  <c r="BR302" i="43"/>
  <c r="BQ302" i="43"/>
  <c r="BP302" i="43"/>
  <c r="BO302" i="43"/>
  <c r="BN302" i="43"/>
  <c r="BM302" i="43"/>
  <c r="BL302" i="43"/>
  <c r="BK302" i="43"/>
  <c r="BJ302" i="43"/>
  <c r="BI302" i="43"/>
  <c r="BH302" i="43"/>
  <c r="BG302" i="43"/>
  <c r="BF302" i="43"/>
  <c r="BE302" i="43"/>
  <c r="BD302" i="43"/>
  <c r="BC302" i="43"/>
  <c r="BB302" i="43"/>
  <c r="BA302" i="43"/>
  <c r="AZ302" i="43"/>
  <c r="AY302" i="43"/>
  <c r="AX302" i="43"/>
  <c r="AW302" i="43"/>
  <c r="AV302" i="43"/>
  <c r="AU302" i="43"/>
  <c r="AT302" i="43"/>
  <c r="AS302" i="43"/>
  <c r="AR302" i="43"/>
  <c r="AQ302" i="43"/>
  <c r="AP302" i="43"/>
  <c r="AO302" i="43"/>
  <c r="AN302" i="43"/>
  <c r="AM302" i="43"/>
  <c r="AL302" i="43"/>
  <c r="AK302" i="43"/>
  <c r="AJ302" i="43"/>
  <c r="AI302" i="43"/>
  <c r="AH302" i="43"/>
  <c r="AF301" i="43"/>
  <c r="AE301" i="43"/>
  <c r="AD301" i="43"/>
  <c r="AC301" i="43"/>
  <c r="AB301" i="43"/>
  <c r="J301" i="43"/>
  <c r="D301" i="43"/>
  <c r="H301" i="43" s="1"/>
  <c r="AF300" i="43"/>
  <c r="AE300" i="43"/>
  <c r="AD300" i="43"/>
  <c r="AC300" i="43"/>
  <c r="AB300" i="43"/>
  <c r="J300" i="43"/>
  <c r="D300" i="43"/>
  <c r="H300" i="43" s="1"/>
  <c r="AF299" i="43"/>
  <c r="AE299" i="43"/>
  <c r="AD299" i="43"/>
  <c r="AC299" i="43"/>
  <c r="AB299" i="43"/>
  <c r="J299" i="43"/>
  <c r="D299" i="43"/>
  <c r="H299" i="43" s="1"/>
  <c r="AF297" i="43"/>
  <c r="AE297" i="43"/>
  <c r="AD297" i="43"/>
  <c r="AC297" i="43"/>
  <c r="AB297" i="43"/>
  <c r="J297" i="43"/>
  <c r="D297" i="43"/>
  <c r="H297" i="43" s="1"/>
  <c r="AF296" i="43"/>
  <c r="AE296" i="43"/>
  <c r="AD296" i="43"/>
  <c r="AC296" i="43"/>
  <c r="AB296" i="43"/>
  <c r="J296" i="43"/>
  <c r="D296" i="43"/>
  <c r="H296" i="43" s="1"/>
  <c r="AF295" i="43"/>
  <c r="AE295" i="43"/>
  <c r="AD295" i="43"/>
  <c r="AC295" i="43"/>
  <c r="AB295" i="43"/>
  <c r="J295" i="43"/>
  <c r="D295" i="43"/>
  <c r="A293" i="43"/>
  <c r="A294" i="43" s="1"/>
  <c r="A295" i="43" s="1"/>
  <c r="A296" i="43" s="1"/>
  <c r="A297" i="43" s="1"/>
  <c r="A298" i="43" s="1"/>
  <c r="A299" i="43" s="1"/>
  <c r="A300" i="43" s="1"/>
  <c r="A301" i="43" s="1"/>
  <c r="A302" i="43" s="1"/>
  <c r="A303" i="43" s="1"/>
  <c r="A304" i="43" s="1"/>
  <c r="A305" i="43" s="1"/>
  <c r="A306" i="43" s="1"/>
  <c r="A307" i="43" s="1"/>
  <c r="A308" i="43" s="1"/>
  <c r="A309" i="43" s="1"/>
  <c r="A310" i="43" s="1"/>
  <c r="A311" i="43" s="1"/>
  <c r="A312" i="43" s="1"/>
  <c r="A313" i="43" s="1"/>
  <c r="A314" i="43" s="1"/>
  <c r="A315" i="43" s="1"/>
  <c r="A316" i="43" s="1"/>
  <c r="A317" i="43" s="1"/>
  <c r="A318" i="43" s="1"/>
  <c r="A319" i="43" s="1"/>
  <c r="A320" i="43" s="1"/>
  <c r="A321" i="43" s="1"/>
  <c r="A322" i="43" s="1"/>
  <c r="A323" i="43" s="1"/>
  <c r="A324" i="43" s="1"/>
  <c r="A325" i="43" s="1"/>
  <c r="A326" i="43" s="1"/>
  <c r="A327" i="43" s="1"/>
  <c r="A328" i="43" s="1"/>
  <c r="A329" i="43" s="1"/>
  <c r="A330" i="43" s="1"/>
  <c r="A331" i="43" s="1"/>
  <c r="A332" i="43" s="1"/>
  <c r="L291" i="43"/>
  <c r="F291" i="43"/>
  <c r="D291" i="43"/>
  <c r="H262" i="43"/>
  <c r="N262" i="43" s="1"/>
  <c r="H261" i="43"/>
  <c r="N261" i="43" s="1"/>
  <c r="H260" i="43"/>
  <c r="N260" i="43" s="1"/>
  <c r="AF258" i="43"/>
  <c r="AE258" i="43"/>
  <c r="AD258" i="43"/>
  <c r="AC258" i="43"/>
  <c r="AB258" i="43"/>
  <c r="AF257" i="43"/>
  <c r="AE257" i="43"/>
  <c r="AD257" i="43"/>
  <c r="AC257" i="43"/>
  <c r="AB257" i="43"/>
  <c r="AF255" i="43"/>
  <c r="AE255" i="43"/>
  <c r="AD255" i="43"/>
  <c r="AC255" i="43"/>
  <c r="AB255" i="43"/>
  <c r="CO254" i="43"/>
  <c r="CN254" i="43"/>
  <c r="CM254" i="43"/>
  <c r="CL254" i="43"/>
  <c r="CK254" i="43"/>
  <c r="CJ254" i="43"/>
  <c r="CI254" i="43"/>
  <c r="CH254" i="43"/>
  <c r="CG254" i="43"/>
  <c r="CF254" i="43"/>
  <c r="CE254" i="43"/>
  <c r="CD254" i="43"/>
  <c r="CC254" i="43"/>
  <c r="CB254" i="43"/>
  <c r="CA254" i="43"/>
  <c r="BZ254" i="43"/>
  <c r="BY254" i="43"/>
  <c r="BX254" i="43"/>
  <c r="BW254" i="43"/>
  <c r="BV254" i="43"/>
  <c r="BU254" i="43"/>
  <c r="BT254" i="43"/>
  <c r="BS254" i="43"/>
  <c r="BR254" i="43"/>
  <c r="BQ254" i="43"/>
  <c r="BP254" i="43"/>
  <c r="BO254" i="43"/>
  <c r="BN254" i="43"/>
  <c r="BM254" i="43"/>
  <c r="BL254" i="43"/>
  <c r="BK254" i="43"/>
  <c r="BJ254" i="43"/>
  <c r="BI254" i="43"/>
  <c r="BH254" i="43"/>
  <c r="BG254" i="43"/>
  <c r="BF254" i="43"/>
  <c r="BE254" i="43"/>
  <c r="BD254" i="43"/>
  <c r="BC254" i="43"/>
  <c r="BB254" i="43"/>
  <c r="BA254" i="43"/>
  <c r="AZ254" i="43"/>
  <c r="AY254" i="43"/>
  <c r="AX254" i="43"/>
  <c r="AW254" i="43"/>
  <c r="AV254" i="43"/>
  <c r="AU254" i="43"/>
  <c r="AT254" i="43"/>
  <c r="AS254" i="43"/>
  <c r="AR254" i="43"/>
  <c r="AQ254" i="43"/>
  <c r="AP254" i="43"/>
  <c r="AO254" i="43"/>
  <c r="AN254" i="43"/>
  <c r="AM254" i="43"/>
  <c r="AL254" i="43"/>
  <c r="AK254" i="43"/>
  <c r="AJ254" i="43"/>
  <c r="AI254" i="43"/>
  <c r="AH254" i="43"/>
  <c r="AF252" i="43"/>
  <c r="AE252" i="43"/>
  <c r="AD252" i="43"/>
  <c r="AC252" i="43"/>
  <c r="AB252" i="43"/>
  <c r="AF251" i="43"/>
  <c r="AE251" i="43"/>
  <c r="AD251" i="43"/>
  <c r="AC251" i="43"/>
  <c r="AB251" i="43"/>
  <c r="AF250" i="43"/>
  <c r="AE250" i="43"/>
  <c r="AD250" i="43"/>
  <c r="AC250" i="43"/>
  <c r="AF248" i="43"/>
  <c r="AE248" i="43"/>
  <c r="AD248" i="43"/>
  <c r="AC248" i="43"/>
  <c r="AB248" i="43"/>
  <c r="AF247" i="43"/>
  <c r="AE247" i="43"/>
  <c r="AD247" i="43"/>
  <c r="AC247" i="43"/>
  <c r="AB247" i="43"/>
  <c r="AF246" i="43"/>
  <c r="AE246" i="43"/>
  <c r="AD246" i="43"/>
  <c r="AC246" i="43"/>
  <c r="AF244" i="43"/>
  <c r="AE244" i="43"/>
  <c r="AD244" i="43"/>
  <c r="AC244" i="43"/>
  <c r="AB244" i="43"/>
  <c r="T244" i="43"/>
  <c r="AF243" i="43"/>
  <c r="AE243" i="43"/>
  <c r="AD243" i="43"/>
  <c r="AC243" i="43"/>
  <c r="AB243" i="43"/>
  <c r="AF240" i="43"/>
  <c r="AE240" i="43"/>
  <c r="AD240" i="43"/>
  <c r="AC240" i="43"/>
  <c r="AB240" i="43"/>
  <c r="AF239" i="43"/>
  <c r="AE239" i="43"/>
  <c r="AD239" i="43"/>
  <c r="AC239" i="43"/>
  <c r="AB239" i="43"/>
  <c r="AF238" i="43"/>
  <c r="AE238" i="43"/>
  <c r="AD238" i="43"/>
  <c r="AC238" i="43"/>
  <c r="AB238" i="43"/>
  <c r="A236" i="43"/>
  <c r="A237" i="43" s="1"/>
  <c r="A238" i="43" s="1"/>
  <c r="A239" i="43" s="1"/>
  <c r="A240" i="43" s="1"/>
  <c r="A241" i="43" s="1"/>
  <c r="A242" i="43" s="1"/>
  <c r="A243" i="43" s="1"/>
  <c r="A244" i="43" s="1"/>
  <c r="A245" i="43" s="1"/>
  <c r="A246" i="43" s="1"/>
  <c r="A247" i="43" s="1"/>
  <c r="A248" i="43" s="1"/>
  <c r="A249" i="43" s="1"/>
  <c r="A250" i="43" s="1"/>
  <c r="A251" i="43" s="1"/>
  <c r="A252" i="43" s="1"/>
  <c r="A253" i="43" s="1"/>
  <c r="A254" i="43" s="1"/>
  <c r="A255" i="43" s="1"/>
  <c r="A256" i="43" s="1"/>
  <c r="A257" i="43" s="1"/>
  <c r="A258" i="43" s="1"/>
  <c r="A259" i="43" s="1"/>
  <c r="A260" i="43" s="1"/>
  <c r="A261" i="43" s="1"/>
  <c r="A262" i="43" s="1"/>
  <c r="A263" i="43" s="1"/>
  <c r="A264" i="43" s="1"/>
  <c r="A265" i="43" s="1"/>
  <c r="A266" i="43" s="1"/>
  <c r="A267" i="43" s="1"/>
  <c r="A268" i="43" s="1"/>
  <c r="A269" i="43" s="1"/>
  <c r="A270" i="43" s="1"/>
  <c r="A271" i="43" s="1"/>
  <c r="A272" i="43" s="1"/>
  <c r="A273" i="43" s="1"/>
  <c r="A274" i="43" s="1"/>
  <c r="A275" i="43" s="1"/>
  <c r="A276" i="43" s="1"/>
  <c r="L234" i="43"/>
  <c r="F234" i="43"/>
  <c r="D234" i="43"/>
  <c r="AF215" i="43"/>
  <c r="AE215" i="43"/>
  <c r="AD215" i="43"/>
  <c r="AC215" i="43"/>
  <c r="AB215" i="43"/>
  <c r="AF214" i="43"/>
  <c r="AE214" i="43"/>
  <c r="AD214" i="43"/>
  <c r="AC214" i="43"/>
  <c r="AB214" i="43"/>
  <c r="CO213" i="43"/>
  <c r="CN213" i="43"/>
  <c r="CM213" i="43"/>
  <c r="CL213" i="43"/>
  <c r="CK213" i="43"/>
  <c r="CJ213" i="43"/>
  <c r="CI213" i="43"/>
  <c r="CH213" i="43"/>
  <c r="CG213" i="43"/>
  <c r="CF213" i="43"/>
  <c r="CE213" i="43"/>
  <c r="CD213" i="43"/>
  <c r="CC213" i="43"/>
  <c r="CB213" i="43"/>
  <c r="CA213" i="43"/>
  <c r="BZ213" i="43"/>
  <c r="BY213" i="43"/>
  <c r="BX213" i="43"/>
  <c r="BW213" i="43"/>
  <c r="BV213" i="43"/>
  <c r="BU213" i="43"/>
  <c r="BT213" i="43"/>
  <c r="BS213" i="43"/>
  <c r="BR213" i="43"/>
  <c r="BQ213" i="43"/>
  <c r="BP213" i="43"/>
  <c r="BO213" i="43"/>
  <c r="BN213" i="43"/>
  <c r="BM213" i="43"/>
  <c r="BL213" i="43"/>
  <c r="BK213" i="43"/>
  <c r="BJ213" i="43"/>
  <c r="BI213" i="43"/>
  <c r="BH213" i="43"/>
  <c r="BG213" i="43"/>
  <c r="BF213" i="43"/>
  <c r="BE213" i="43"/>
  <c r="BD213" i="43"/>
  <c r="BC213" i="43"/>
  <c r="BB213" i="43"/>
  <c r="BA213" i="43"/>
  <c r="AZ213" i="43"/>
  <c r="AY213" i="43"/>
  <c r="AX213" i="43"/>
  <c r="AW213" i="43"/>
  <c r="AV213" i="43"/>
  <c r="AU213" i="43"/>
  <c r="AT213" i="43"/>
  <c r="AS213" i="43"/>
  <c r="AR213" i="43"/>
  <c r="AQ213" i="43"/>
  <c r="AP213" i="43"/>
  <c r="AO213" i="43"/>
  <c r="AN213" i="43"/>
  <c r="AM213" i="43"/>
  <c r="AL213" i="43"/>
  <c r="AK213" i="43"/>
  <c r="AJ213" i="43"/>
  <c r="AI213" i="43"/>
  <c r="AH213" i="43"/>
  <c r="AF212" i="43"/>
  <c r="AE212" i="43"/>
  <c r="AD212" i="43"/>
  <c r="AC212" i="43"/>
  <c r="AB212" i="43"/>
  <c r="J212" i="43"/>
  <c r="D212" i="43"/>
  <c r="H212" i="43" s="1"/>
  <c r="AF209" i="43"/>
  <c r="AE209" i="43"/>
  <c r="AD209" i="43"/>
  <c r="AC209" i="43"/>
  <c r="AB209" i="43"/>
  <c r="J209" i="43"/>
  <c r="D209" i="43"/>
  <c r="H209" i="43" s="1"/>
  <c r="AF208" i="43"/>
  <c r="AE208" i="43"/>
  <c r="AD208" i="43"/>
  <c r="AC208" i="43"/>
  <c r="AB208" i="43"/>
  <c r="J208" i="43"/>
  <c r="J210" i="43" s="1"/>
  <c r="D208" i="43"/>
  <c r="H208" i="43" s="1"/>
  <c r="AF207" i="43"/>
  <c r="AE207" i="43"/>
  <c r="AD207" i="43"/>
  <c r="AC207" i="43"/>
  <c r="AB207" i="43"/>
  <c r="J207" i="43"/>
  <c r="D207" i="43"/>
  <c r="H207" i="43" s="1"/>
  <c r="AF204" i="43"/>
  <c r="AE204" i="43"/>
  <c r="AD204" i="43"/>
  <c r="AC204" i="43"/>
  <c r="AB204" i="43"/>
  <c r="J204" i="43"/>
  <c r="D204" i="43"/>
  <c r="H204" i="43" s="1"/>
  <c r="J203" i="43"/>
  <c r="J205" i="43" s="1"/>
  <c r="D203" i="43"/>
  <c r="H203" i="43" s="1"/>
  <c r="AF202" i="43"/>
  <c r="AE202" i="43"/>
  <c r="AD202" i="43"/>
  <c r="AC202" i="43"/>
  <c r="AB202" i="43"/>
  <c r="J202" i="43"/>
  <c r="D202" i="43"/>
  <c r="H202" i="43" s="1"/>
  <c r="J200" i="43"/>
  <c r="H200" i="43"/>
  <c r="AF199" i="43"/>
  <c r="AE199" i="43"/>
  <c r="AD199" i="43"/>
  <c r="AC199" i="43"/>
  <c r="AB199" i="43"/>
  <c r="J199" i="43"/>
  <c r="D199" i="43"/>
  <c r="H199" i="43" s="1"/>
  <c r="J198" i="43"/>
  <c r="D198" i="43"/>
  <c r="H198" i="43" s="1"/>
  <c r="AF197" i="43"/>
  <c r="AE197" i="43"/>
  <c r="AD197" i="43"/>
  <c r="AC197" i="43"/>
  <c r="AB197" i="43"/>
  <c r="J197" i="43"/>
  <c r="D197" i="43"/>
  <c r="J194" i="43"/>
  <c r="D194" i="43"/>
  <c r="H194" i="43" s="1"/>
  <c r="J193" i="43"/>
  <c r="D193" i="43"/>
  <c r="H193" i="43" s="1"/>
  <c r="AF192" i="43"/>
  <c r="AE192" i="43"/>
  <c r="AD192" i="43"/>
  <c r="AC192" i="43"/>
  <c r="AB192" i="43"/>
  <c r="J192" i="43"/>
  <c r="D192" i="43"/>
  <c r="H192" i="43" s="1"/>
  <c r="AF191" i="43"/>
  <c r="AE191" i="43"/>
  <c r="AD191" i="43"/>
  <c r="AC191" i="43"/>
  <c r="AB191" i="43"/>
  <c r="J191" i="43"/>
  <c r="D191" i="43"/>
  <c r="AF188" i="43"/>
  <c r="AE188" i="43"/>
  <c r="AD188" i="43"/>
  <c r="AC188" i="43"/>
  <c r="AB188" i="43"/>
  <c r="CO187" i="43"/>
  <c r="CN187" i="43"/>
  <c r="CM187" i="43"/>
  <c r="CL187" i="43"/>
  <c r="CK187" i="43"/>
  <c r="CJ187" i="43"/>
  <c r="CI187" i="43"/>
  <c r="CH187" i="43"/>
  <c r="CG187" i="43"/>
  <c r="CF187" i="43"/>
  <c r="CE187" i="43"/>
  <c r="CD187" i="43"/>
  <c r="CC187" i="43"/>
  <c r="CB187" i="43"/>
  <c r="CA187" i="43"/>
  <c r="BZ187" i="43"/>
  <c r="BY187" i="43"/>
  <c r="BX187" i="43"/>
  <c r="BW187" i="43"/>
  <c r="BV187" i="43"/>
  <c r="BU187" i="43"/>
  <c r="BT187" i="43"/>
  <c r="BS187" i="43"/>
  <c r="BR187" i="43"/>
  <c r="BQ187" i="43"/>
  <c r="BP187" i="43"/>
  <c r="BO187" i="43"/>
  <c r="BN187" i="43"/>
  <c r="BM187" i="43"/>
  <c r="BL187" i="43"/>
  <c r="BK187" i="43"/>
  <c r="BJ187" i="43"/>
  <c r="BI187" i="43"/>
  <c r="BH187" i="43"/>
  <c r="BG187" i="43"/>
  <c r="BF187" i="43"/>
  <c r="BE187" i="43"/>
  <c r="BD187" i="43"/>
  <c r="BC187" i="43"/>
  <c r="BB187" i="43"/>
  <c r="BA187" i="43"/>
  <c r="AZ187" i="43"/>
  <c r="AY187" i="43"/>
  <c r="AX187" i="43"/>
  <c r="AW187" i="43"/>
  <c r="AV187" i="43"/>
  <c r="AU187" i="43"/>
  <c r="AT187" i="43"/>
  <c r="AS187" i="43"/>
  <c r="AR187" i="43"/>
  <c r="AQ187" i="43"/>
  <c r="AP187" i="43"/>
  <c r="AO187" i="43"/>
  <c r="AN187" i="43"/>
  <c r="AM187" i="43"/>
  <c r="AL187" i="43"/>
  <c r="AK187" i="43"/>
  <c r="AJ187" i="43"/>
  <c r="AI187" i="43"/>
  <c r="AH187" i="43"/>
  <c r="AF186" i="43"/>
  <c r="AE186" i="43"/>
  <c r="AD186" i="43"/>
  <c r="AC186" i="43"/>
  <c r="AB186" i="43"/>
  <c r="J186" i="43"/>
  <c r="D186" i="43"/>
  <c r="H186" i="43" s="1"/>
  <c r="AF185" i="43"/>
  <c r="AE185" i="43"/>
  <c r="AD185" i="43"/>
  <c r="AC185" i="43"/>
  <c r="AB185" i="43"/>
  <c r="J185" i="43"/>
  <c r="D185" i="43"/>
  <c r="AF184" i="43"/>
  <c r="AE184" i="43"/>
  <c r="AD184" i="43"/>
  <c r="AC184" i="43"/>
  <c r="AB184" i="43"/>
  <c r="J184" i="43"/>
  <c r="D184" i="43"/>
  <c r="AF182" i="43"/>
  <c r="AE182" i="43"/>
  <c r="AD182" i="43"/>
  <c r="AC182" i="43"/>
  <c r="AB182" i="43"/>
  <c r="J182" i="43"/>
  <c r="D182" i="43"/>
  <c r="H182" i="43" s="1"/>
  <c r="AF181" i="43"/>
  <c r="AE181" i="43"/>
  <c r="AD181" i="43"/>
  <c r="AC181" i="43"/>
  <c r="AB181" i="43"/>
  <c r="J181" i="43"/>
  <c r="D181" i="43"/>
  <c r="AF180" i="43"/>
  <c r="AE180" i="43"/>
  <c r="AD180" i="43"/>
  <c r="AC180" i="43"/>
  <c r="AB180" i="43"/>
  <c r="J180" i="43"/>
  <c r="D180" i="43"/>
  <c r="H180" i="43" s="1"/>
  <c r="A179" i="43"/>
  <c r="A180" i="43" s="1"/>
  <c r="A181" i="43" s="1"/>
  <c r="A182" i="43" s="1"/>
  <c r="A183" i="43" s="1"/>
  <c r="A184" i="43" s="1"/>
  <c r="A185" i="43" s="1"/>
  <c r="A186" i="43" s="1"/>
  <c r="A187" i="43" s="1"/>
  <c r="A188" i="43" s="1"/>
  <c r="A189" i="43" s="1"/>
  <c r="A190" i="43" s="1"/>
  <c r="A191" i="43" s="1"/>
  <c r="A192" i="43" s="1"/>
  <c r="A193" i="43" s="1"/>
  <c r="A194" i="43" s="1"/>
  <c r="A195" i="43" s="1"/>
  <c r="A196" i="43" s="1"/>
  <c r="A197" i="43" s="1"/>
  <c r="A198" i="43" s="1"/>
  <c r="A199" i="43" s="1"/>
  <c r="L177" i="43"/>
  <c r="F177" i="43"/>
  <c r="D177" i="43"/>
  <c r="H152" i="43"/>
  <c r="N152" i="43" s="1"/>
  <c r="H151" i="43"/>
  <c r="N151" i="43" s="1"/>
  <c r="AF148" i="43"/>
  <c r="AE148" i="43"/>
  <c r="AD148" i="43"/>
  <c r="AC148" i="43"/>
  <c r="AB148" i="43"/>
  <c r="AF147" i="43"/>
  <c r="AE147" i="43"/>
  <c r="AD147" i="43"/>
  <c r="AC147" i="43"/>
  <c r="AB147" i="43"/>
  <c r="AF144" i="43"/>
  <c r="AE144" i="43"/>
  <c r="AD144" i="43"/>
  <c r="AC144" i="43"/>
  <c r="AB144" i="43"/>
  <c r="CO143" i="43"/>
  <c r="CN143" i="43"/>
  <c r="CM143" i="43"/>
  <c r="CL143" i="43"/>
  <c r="CK143" i="43"/>
  <c r="CJ143" i="43"/>
  <c r="CI143" i="43"/>
  <c r="CH143" i="43"/>
  <c r="CG143" i="43"/>
  <c r="CF143" i="43"/>
  <c r="CE143" i="43"/>
  <c r="CD143" i="43"/>
  <c r="CC143" i="43"/>
  <c r="CB143" i="43"/>
  <c r="CA143" i="43"/>
  <c r="BZ143" i="43"/>
  <c r="BY143" i="43"/>
  <c r="BX143" i="43"/>
  <c r="BW143" i="43"/>
  <c r="BV143" i="43"/>
  <c r="BU143" i="43"/>
  <c r="BT143" i="43"/>
  <c r="BS143" i="43"/>
  <c r="BR143" i="43"/>
  <c r="BQ143" i="43"/>
  <c r="BP143" i="43"/>
  <c r="BO143" i="43"/>
  <c r="BN143" i="43"/>
  <c r="BM143" i="43"/>
  <c r="BL143" i="43"/>
  <c r="BK143" i="43"/>
  <c r="BJ143" i="43"/>
  <c r="BI143" i="43"/>
  <c r="BH143" i="43"/>
  <c r="BG143" i="43"/>
  <c r="BF143" i="43"/>
  <c r="BE143" i="43"/>
  <c r="BD143" i="43"/>
  <c r="BC143" i="43"/>
  <c r="BB143" i="43"/>
  <c r="BA143" i="43"/>
  <c r="AZ143" i="43"/>
  <c r="AY143" i="43"/>
  <c r="AX143" i="43"/>
  <c r="AW143" i="43"/>
  <c r="AV143" i="43"/>
  <c r="AU143" i="43"/>
  <c r="AT143" i="43"/>
  <c r="AS143" i="43"/>
  <c r="AR143" i="43"/>
  <c r="AQ143" i="43"/>
  <c r="AP143" i="43"/>
  <c r="AO143" i="43"/>
  <c r="AN143" i="43"/>
  <c r="AM143" i="43"/>
  <c r="AL143" i="43"/>
  <c r="AK143" i="43"/>
  <c r="AJ143" i="43"/>
  <c r="AI143" i="43"/>
  <c r="AH143" i="43"/>
  <c r="AF142" i="43"/>
  <c r="AE142" i="43"/>
  <c r="AD142" i="43"/>
  <c r="AC142" i="43"/>
  <c r="AB142" i="43"/>
  <c r="AB143" i="43" s="1"/>
  <c r="D142" i="43"/>
  <c r="J142" i="43" s="1"/>
  <c r="AF141" i="43"/>
  <c r="AF143" i="43" s="1"/>
  <c r="AE141" i="43"/>
  <c r="AD141" i="43"/>
  <c r="AC141" i="43"/>
  <c r="AB141" i="43"/>
  <c r="D141" i="43"/>
  <c r="J141" i="43" s="1"/>
  <c r="A139" i="43"/>
  <c r="A140" i="43" s="1"/>
  <c r="A141" i="43" s="1"/>
  <c r="A142" i="43" s="1"/>
  <c r="A143" i="43" s="1"/>
  <c r="A144" i="43" s="1"/>
  <c r="A145" i="43" s="1"/>
  <c r="A146" i="43" s="1"/>
  <c r="A147" i="43" s="1"/>
  <c r="A148" i="43" s="1"/>
  <c r="A149" i="43" s="1"/>
  <c r="A150" i="43" s="1"/>
  <c r="A151" i="43" s="1"/>
  <c r="L137" i="43"/>
  <c r="F137" i="43"/>
  <c r="D137" i="43"/>
  <c r="AC114" i="43"/>
  <c r="AC112" i="43"/>
  <c r="H112" i="43"/>
  <c r="N112" i="43" s="1"/>
  <c r="H111" i="43"/>
  <c r="N111" i="43" s="1"/>
  <c r="H110" i="43"/>
  <c r="N110" i="43" s="1"/>
  <c r="AF107" i="43"/>
  <c r="AE107" i="43"/>
  <c r="AD107" i="43"/>
  <c r="AC107" i="43"/>
  <c r="AB107" i="43"/>
  <c r="CO106" i="43"/>
  <c r="CN106" i="43"/>
  <c r="CM106" i="43"/>
  <c r="CL106" i="43"/>
  <c r="CK106" i="43"/>
  <c r="CJ106" i="43"/>
  <c r="CI106" i="43"/>
  <c r="CH106" i="43"/>
  <c r="CG106" i="43"/>
  <c r="CF106" i="43"/>
  <c r="CE106" i="43"/>
  <c r="CD106" i="43"/>
  <c r="CC106" i="43"/>
  <c r="CB106" i="43"/>
  <c r="CA106" i="43"/>
  <c r="BZ106" i="43"/>
  <c r="BY106" i="43"/>
  <c r="BX106" i="43"/>
  <c r="BW106" i="43"/>
  <c r="BV106" i="43"/>
  <c r="BU106" i="43"/>
  <c r="BT106" i="43"/>
  <c r="BS106" i="43"/>
  <c r="BR106" i="43"/>
  <c r="BQ106" i="43"/>
  <c r="BP106" i="43"/>
  <c r="BO106" i="43"/>
  <c r="BN106" i="43"/>
  <c r="BM106" i="43"/>
  <c r="BL106" i="43"/>
  <c r="BK106" i="43"/>
  <c r="BJ106" i="43"/>
  <c r="BI106" i="43"/>
  <c r="BH106" i="43"/>
  <c r="BG106" i="43"/>
  <c r="BF106" i="43"/>
  <c r="BE106" i="43"/>
  <c r="BD106" i="43"/>
  <c r="BC106" i="43"/>
  <c r="BB106" i="43"/>
  <c r="BA106" i="43"/>
  <c r="AZ106" i="43"/>
  <c r="AY106" i="43"/>
  <c r="AX106" i="43"/>
  <c r="AW106" i="43"/>
  <c r="AV106" i="43"/>
  <c r="AU106" i="43"/>
  <c r="AT106" i="43"/>
  <c r="AS106" i="43"/>
  <c r="AR106" i="43"/>
  <c r="AQ106" i="43"/>
  <c r="AP106" i="43"/>
  <c r="AO106" i="43"/>
  <c r="AN106" i="43"/>
  <c r="AM106" i="43"/>
  <c r="AL106" i="43"/>
  <c r="AK106" i="43"/>
  <c r="AJ106" i="43"/>
  <c r="AI106" i="43"/>
  <c r="AH106" i="43"/>
  <c r="AF104" i="43"/>
  <c r="AE104" i="43"/>
  <c r="AD104" i="43"/>
  <c r="AC104" i="43"/>
  <c r="AB104" i="43"/>
  <c r="AF103" i="43"/>
  <c r="AE103" i="43"/>
  <c r="AD103" i="43"/>
  <c r="AC103" i="43"/>
  <c r="AB103" i="43"/>
  <c r="AF100" i="43"/>
  <c r="AE100" i="43"/>
  <c r="AD100" i="43"/>
  <c r="AC100" i="43"/>
  <c r="AB100" i="43"/>
  <c r="AF99" i="43"/>
  <c r="AE99" i="43"/>
  <c r="AD99" i="43"/>
  <c r="AC99" i="43"/>
  <c r="AB99" i="43"/>
  <c r="AF96" i="43"/>
  <c r="AE96" i="43"/>
  <c r="AD96" i="43"/>
  <c r="AC96" i="43"/>
  <c r="AB96" i="43"/>
  <c r="T96" i="43"/>
  <c r="AF95" i="43"/>
  <c r="AE95" i="43"/>
  <c r="AD95" i="43"/>
  <c r="AC95" i="43"/>
  <c r="AB95" i="43"/>
  <c r="T95" i="43"/>
  <c r="AF92" i="43"/>
  <c r="AE92" i="43"/>
  <c r="AD92" i="43"/>
  <c r="AC92" i="43"/>
  <c r="AB92" i="43"/>
  <c r="AF91" i="43"/>
  <c r="AE91" i="43"/>
  <c r="AD91" i="43"/>
  <c r="AC91" i="43"/>
  <c r="AB91" i="43"/>
  <c r="AF90" i="43"/>
  <c r="AE90" i="43"/>
  <c r="AD90" i="43"/>
  <c r="AC90" i="43"/>
  <c r="AB90" i="43"/>
  <c r="AF87" i="43"/>
  <c r="AE87" i="43"/>
  <c r="AD87" i="43"/>
  <c r="AC87" i="43"/>
  <c r="AB87" i="43"/>
  <c r="CO86" i="43"/>
  <c r="CN86" i="43"/>
  <c r="CM86" i="43"/>
  <c r="CL86" i="43"/>
  <c r="CK86" i="43"/>
  <c r="CJ86" i="43"/>
  <c r="CI86" i="43"/>
  <c r="CH86" i="43"/>
  <c r="CG86" i="43"/>
  <c r="CF86" i="43"/>
  <c r="CE86" i="43"/>
  <c r="CD86" i="43"/>
  <c r="CC86" i="43"/>
  <c r="CB86" i="43"/>
  <c r="CA86" i="43"/>
  <c r="BZ86" i="43"/>
  <c r="BY86" i="43"/>
  <c r="BX86" i="43"/>
  <c r="BW86" i="43"/>
  <c r="BV86" i="43"/>
  <c r="BU86" i="43"/>
  <c r="BT86" i="43"/>
  <c r="BS86" i="43"/>
  <c r="BR86" i="43"/>
  <c r="BQ86" i="43"/>
  <c r="BP86" i="43"/>
  <c r="BO86" i="43"/>
  <c r="BN86" i="43"/>
  <c r="BM86" i="43"/>
  <c r="BL86" i="43"/>
  <c r="BK86" i="43"/>
  <c r="BJ86" i="43"/>
  <c r="BI86" i="43"/>
  <c r="BH86" i="43"/>
  <c r="BG86" i="43"/>
  <c r="BF86" i="43"/>
  <c r="BE86" i="43"/>
  <c r="BD86" i="43"/>
  <c r="BC86" i="43"/>
  <c r="BB86" i="43"/>
  <c r="BA86" i="43"/>
  <c r="AZ86" i="43"/>
  <c r="AY86" i="43"/>
  <c r="AX86" i="43"/>
  <c r="AW86" i="43"/>
  <c r="AV86" i="43"/>
  <c r="AU86" i="43"/>
  <c r="AT86" i="43"/>
  <c r="AS86" i="43"/>
  <c r="AR86" i="43"/>
  <c r="AQ86" i="43"/>
  <c r="AP86" i="43"/>
  <c r="AO86" i="43"/>
  <c r="AN86" i="43"/>
  <c r="AM86" i="43"/>
  <c r="AL86" i="43"/>
  <c r="AK86" i="43"/>
  <c r="AJ86" i="43"/>
  <c r="AI86" i="43"/>
  <c r="AH86" i="43"/>
  <c r="AF85" i="43"/>
  <c r="AE85" i="43"/>
  <c r="AD85" i="43"/>
  <c r="AC85" i="43"/>
  <c r="AB85" i="43"/>
  <c r="J85" i="43"/>
  <c r="D85" i="43"/>
  <c r="H85" i="43" s="1"/>
  <c r="AF84" i="43"/>
  <c r="AE84" i="43"/>
  <c r="AD84" i="43"/>
  <c r="AC84" i="43"/>
  <c r="AB84" i="43"/>
  <c r="J84" i="43"/>
  <c r="D84" i="43"/>
  <c r="H84" i="43" s="1"/>
  <c r="AF83" i="43"/>
  <c r="AE83" i="43"/>
  <c r="AD83" i="43"/>
  <c r="AC83" i="43"/>
  <c r="AB83" i="43"/>
  <c r="J83" i="43"/>
  <c r="D83" i="43"/>
  <c r="H83" i="43" s="1"/>
  <c r="J81" i="43"/>
  <c r="D81" i="43"/>
  <c r="H81" i="43" s="1"/>
  <c r="AF80" i="43"/>
  <c r="AE80" i="43"/>
  <c r="AD80" i="43"/>
  <c r="AC80" i="43"/>
  <c r="AB80" i="43"/>
  <c r="J80" i="43"/>
  <c r="D80" i="43"/>
  <c r="H80" i="43" s="1"/>
  <c r="AF79" i="43"/>
  <c r="AE79" i="43"/>
  <c r="AD79" i="43"/>
  <c r="AC79" i="43"/>
  <c r="AB79" i="43"/>
  <c r="J79" i="43"/>
  <c r="D79" i="43"/>
  <c r="H79" i="43" s="1"/>
  <c r="AF78" i="43"/>
  <c r="AE78" i="43"/>
  <c r="AD78" i="43"/>
  <c r="AC78" i="43"/>
  <c r="AB78" i="43"/>
  <c r="J78" i="43"/>
  <c r="D78" i="43"/>
  <c r="H78" i="43" s="1"/>
  <c r="A76" i="43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L74" i="43"/>
  <c r="F74" i="43"/>
  <c r="D74" i="43"/>
  <c r="AC53" i="43"/>
  <c r="AC51" i="43"/>
  <c r="H51" i="43"/>
  <c r="H50" i="43"/>
  <c r="N50" i="43" s="1"/>
  <c r="H49" i="43"/>
  <c r="N49" i="43" s="1"/>
  <c r="H48" i="43"/>
  <c r="N48" i="43" s="1"/>
  <c r="H47" i="43"/>
  <c r="N47" i="43" s="1"/>
  <c r="AF45" i="43"/>
  <c r="AE45" i="43"/>
  <c r="AD45" i="43"/>
  <c r="AC45" i="43"/>
  <c r="AB45" i="43"/>
  <c r="CO42" i="43"/>
  <c r="CN42" i="43"/>
  <c r="CM42" i="43"/>
  <c r="CL42" i="43"/>
  <c r="CK42" i="43"/>
  <c r="CK44" i="43" s="1"/>
  <c r="CJ42" i="43"/>
  <c r="CI42" i="43"/>
  <c r="CH42" i="43"/>
  <c r="CG42" i="43"/>
  <c r="CF42" i="43"/>
  <c r="CE42" i="43"/>
  <c r="CD42" i="43"/>
  <c r="CC42" i="43"/>
  <c r="CB42" i="43"/>
  <c r="CA42" i="43"/>
  <c r="BZ42" i="43"/>
  <c r="BY42" i="43"/>
  <c r="BX42" i="43"/>
  <c r="BW42" i="43"/>
  <c r="BV42" i="43"/>
  <c r="BU42" i="43"/>
  <c r="BT42" i="43"/>
  <c r="BS42" i="43"/>
  <c r="BR42" i="43"/>
  <c r="BQ42" i="43"/>
  <c r="BQ44" i="43" s="1"/>
  <c r="BP42" i="43"/>
  <c r="BO42" i="43"/>
  <c r="BN42" i="43"/>
  <c r="BM42" i="43"/>
  <c r="BL42" i="43"/>
  <c r="BK42" i="43"/>
  <c r="BJ42" i="43"/>
  <c r="BI42" i="43"/>
  <c r="BH42" i="43"/>
  <c r="BG42" i="43"/>
  <c r="BF42" i="43"/>
  <c r="BE42" i="43"/>
  <c r="BD42" i="43"/>
  <c r="BC42" i="43"/>
  <c r="BB42" i="43"/>
  <c r="BA42" i="43"/>
  <c r="AZ42" i="43"/>
  <c r="AY42" i="43"/>
  <c r="AX42" i="43"/>
  <c r="AW42" i="43"/>
  <c r="AW44" i="43" s="1"/>
  <c r="AV42" i="43"/>
  <c r="AU42" i="43"/>
  <c r="AT42" i="43"/>
  <c r="AS42" i="43"/>
  <c r="AR42" i="43"/>
  <c r="AQ42" i="43"/>
  <c r="AP42" i="43"/>
  <c r="AO42" i="43"/>
  <c r="AN42" i="43"/>
  <c r="AM42" i="43"/>
  <c r="AL42" i="43"/>
  <c r="AK42" i="43"/>
  <c r="AJ42" i="43"/>
  <c r="AI42" i="43"/>
  <c r="AH42" i="43"/>
  <c r="AF41" i="43"/>
  <c r="AE41" i="43"/>
  <c r="AD41" i="43"/>
  <c r="AC41" i="43"/>
  <c r="AB41" i="43"/>
  <c r="AF40" i="43"/>
  <c r="AE40" i="43"/>
  <c r="AD40" i="43"/>
  <c r="AC40" i="43"/>
  <c r="AB40" i="43"/>
  <c r="T40" i="43"/>
  <c r="AF39" i="43"/>
  <c r="AE39" i="43"/>
  <c r="AD39" i="43"/>
  <c r="AC39" i="43"/>
  <c r="AB39" i="43"/>
  <c r="T39" i="43"/>
  <c r="CO35" i="43"/>
  <c r="CN35" i="43"/>
  <c r="CM35" i="43"/>
  <c r="CL35" i="43"/>
  <c r="CK35" i="43"/>
  <c r="CJ35" i="43"/>
  <c r="CI35" i="43"/>
  <c r="CH35" i="43"/>
  <c r="CG35" i="43"/>
  <c r="CF35" i="43"/>
  <c r="CE35" i="43"/>
  <c r="CD35" i="43"/>
  <c r="CC35" i="43"/>
  <c r="CB35" i="43"/>
  <c r="CA35" i="43"/>
  <c r="BZ35" i="43"/>
  <c r="BY35" i="43"/>
  <c r="BX35" i="43"/>
  <c r="BW35" i="43"/>
  <c r="BV35" i="43"/>
  <c r="BU35" i="43"/>
  <c r="BT35" i="43"/>
  <c r="BS35" i="43"/>
  <c r="BR35" i="43"/>
  <c r="BQ35" i="43"/>
  <c r="BP35" i="43"/>
  <c r="BO35" i="43"/>
  <c r="BN35" i="43"/>
  <c r="BM35" i="43"/>
  <c r="BL35" i="43"/>
  <c r="BK35" i="43"/>
  <c r="BJ35" i="43"/>
  <c r="BI35" i="43"/>
  <c r="BH35" i="43"/>
  <c r="BG35" i="43"/>
  <c r="BF35" i="43"/>
  <c r="BE35" i="43"/>
  <c r="BD35" i="43"/>
  <c r="BC35" i="43"/>
  <c r="BB35" i="43"/>
  <c r="BA35" i="43"/>
  <c r="AZ35" i="43"/>
  <c r="AY35" i="43"/>
  <c r="AX35" i="43"/>
  <c r="AW35" i="43"/>
  <c r="AV35" i="43"/>
  <c r="AU35" i="43"/>
  <c r="AT35" i="43"/>
  <c r="AS35" i="43"/>
  <c r="AR35" i="43"/>
  <c r="AQ35" i="43"/>
  <c r="AP35" i="43"/>
  <c r="AO35" i="43"/>
  <c r="AN35" i="43"/>
  <c r="AM35" i="43"/>
  <c r="AL35" i="43"/>
  <c r="AK35" i="43"/>
  <c r="AJ35" i="43"/>
  <c r="AI35" i="43"/>
  <c r="AH35" i="43"/>
  <c r="AF34" i="43"/>
  <c r="AE34" i="43"/>
  <c r="AD34" i="43"/>
  <c r="AC34" i="43"/>
  <c r="AB34" i="43"/>
  <c r="T34" i="43"/>
  <c r="AF33" i="43"/>
  <c r="AE33" i="43"/>
  <c r="AD33" i="43"/>
  <c r="AC33" i="43"/>
  <c r="AB33" i="43"/>
  <c r="T33" i="43"/>
  <c r="CO30" i="43"/>
  <c r="CO44" i="43" s="1"/>
  <c r="CN30" i="43"/>
  <c r="CM30" i="43"/>
  <c r="CL30" i="43"/>
  <c r="CK30" i="43"/>
  <c r="CJ30" i="43"/>
  <c r="CI30" i="43"/>
  <c r="CH30" i="43"/>
  <c r="CG30" i="43"/>
  <c r="CF30" i="43"/>
  <c r="CE30" i="43"/>
  <c r="CD30" i="43"/>
  <c r="CD44" i="43" s="1"/>
  <c r="CC30" i="43"/>
  <c r="CB30" i="43"/>
  <c r="CA30" i="43"/>
  <c r="BZ30" i="43"/>
  <c r="BY30" i="43"/>
  <c r="BX30" i="43"/>
  <c r="BW30" i="43"/>
  <c r="BV30" i="43"/>
  <c r="BV44" i="43" s="1"/>
  <c r="BU30" i="43"/>
  <c r="BU44" i="43" s="1"/>
  <c r="BT30" i="43"/>
  <c r="BS30" i="43"/>
  <c r="BR30" i="43"/>
  <c r="BQ30" i="43"/>
  <c r="BP30" i="43"/>
  <c r="BO30" i="43"/>
  <c r="BN30" i="43"/>
  <c r="BM30" i="43"/>
  <c r="BL30" i="43"/>
  <c r="BK30" i="43"/>
  <c r="BJ30" i="43"/>
  <c r="BJ44" i="43" s="1"/>
  <c r="BI30" i="43"/>
  <c r="BH30" i="43"/>
  <c r="BG30" i="43"/>
  <c r="BF30" i="43"/>
  <c r="BE30" i="43"/>
  <c r="BD30" i="43"/>
  <c r="BC30" i="43"/>
  <c r="BB30" i="43"/>
  <c r="BB44" i="43" s="1"/>
  <c r="BA30" i="43"/>
  <c r="BA44" i="43" s="1"/>
  <c r="AZ30" i="43"/>
  <c r="AY30" i="43"/>
  <c r="AX30" i="43"/>
  <c r="AW30" i="43"/>
  <c r="AV30" i="43"/>
  <c r="AU30" i="43"/>
  <c r="AT30" i="43"/>
  <c r="AS30" i="43"/>
  <c r="AR30" i="43"/>
  <c r="AQ30" i="43"/>
  <c r="AP30" i="43"/>
  <c r="AP44" i="43" s="1"/>
  <c r="AO30" i="43"/>
  <c r="AN30" i="43"/>
  <c r="AM30" i="43"/>
  <c r="AL30" i="43"/>
  <c r="AK30" i="43"/>
  <c r="AJ30" i="43"/>
  <c r="AI30" i="43"/>
  <c r="AH30" i="43"/>
  <c r="AH44" i="43" s="1"/>
  <c r="AF29" i="43"/>
  <c r="AE29" i="43"/>
  <c r="AD29" i="43"/>
  <c r="AC29" i="43"/>
  <c r="AB29" i="43"/>
  <c r="T29" i="43"/>
  <c r="AF28" i="43"/>
  <c r="AE28" i="43"/>
  <c r="AD28" i="43"/>
  <c r="AC28" i="43"/>
  <c r="AB28" i="43"/>
  <c r="T28" i="43"/>
  <c r="A29" i="43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CO25" i="43"/>
  <c r="CN25" i="43"/>
  <c r="CM25" i="43"/>
  <c r="CL25" i="43"/>
  <c r="CK25" i="43"/>
  <c r="CJ25" i="43"/>
  <c r="CI25" i="43"/>
  <c r="CH25" i="43"/>
  <c r="CG25" i="43"/>
  <c r="CF25" i="43"/>
  <c r="CE25" i="43"/>
  <c r="CD25" i="43"/>
  <c r="CC25" i="43"/>
  <c r="CB25" i="43"/>
  <c r="CA25" i="43"/>
  <c r="BZ25" i="43"/>
  <c r="BY25" i="43"/>
  <c r="BX25" i="43"/>
  <c r="BW25" i="43"/>
  <c r="BV25" i="43"/>
  <c r="BU25" i="43"/>
  <c r="BT25" i="43"/>
  <c r="BS25" i="43"/>
  <c r="BR25" i="43"/>
  <c r="BQ25" i="43"/>
  <c r="BP25" i="43"/>
  <c r="BO25" i="43"/>
  <c r="BN25" i="43"/>
  <c r="BM25" i="43"/>
  <c r="BL25" i="43"/>
  <c r="BK25" i="43"/>
  <c r="BJ25" i="43"/>
  <c r="BI25" i="43"/>
  <c r="BH25" i="43"/>
  <c r="BG25" i="43"/>
  <c r="BF25" i="43"/>
  <c r="BE25" i="43"/>
  <c r="BD25" i="43"/>
  <c r="BC25" i="43"/>
  <c r="BB25" i="43"/>
  <c r="BA25" i="43"/>
  <c r="AZ25" i="43"/>
  <c r="AY25" i="43"/>
  <c r="AX25" i="43"/>
  <c r="AW25" i="43"/>
  <c r="AV25" i="43"/>
  <c r="AU25" i="43"/>
  <c r="AT25" i="43"/>
  <c r="AS25" i="43"/>
  <c r="AR25" i="43"/>
  <c r="AQ25" i="43"/>
  <c r="AP25" i="43"/>
  <c r="AO25" i="43"/>
  <c r="AN25" i="43"/>
  <c r="AM25" i="43"/>
  <c r="AL25" i="43"/>
  <c r="AK25" i="43"/>
  <c r="AJ25" i="43"/>
  <c r="AI25" i="43"/>
  <c r="AH25" i="43"/>
  <c r="AF24" i="43"/>
  <c r="AE24" i="43"/>
  <c r="AD24" i="43"/>
  <c r="AC24" i="43"/>
  <c r="AB24" i="43"/>
  <c r="CO23" i="43"/>
  <c r="CN23" i="43"/>
  <c r="CM23" i="43"/>
  <c r="CL23" i="43"/>
  <c r="CK23" i="43"/>
  <c r="CJ23" i="43"/>
  <c r="CI23" i="43"/>
  <c r="CH23" i="43"/>
  <c r="CG23" i="43"/>
  <c r="CF23" i="43"/>
  <c r="CE23" i="43"/>
  <c r="CD23" i="43"/>
  <c r="CC23" i="43"/>
  <c r="CB23" i="43"/>
  <c r="CA23" i="43"/>
  <c r="BZ23" i="43"/>
  <c r="BY23" i="43"/>
  <c r="BX23" i="43"/>
  <c r="BW23" i="43"/>
  <c r="BV23" i="43"/>
  <c r="BU23" i="43"/>
  <c r="BT23" i="43"/>
  <c r="BS23" i="43"/>
  <c r="BR23" i="43"/>
  <c r="BQ23" i="43"/>
  <c r="BP23" i="43"/>
  <c r="BO23" i="43"/>
  <c r="BN23" i="43"/>
  <c r="BM23" i="43"/>
  <c r="BL23" i="43"/>
  <c r="BK23" i="43"/>
  <c r="BJ23" i="43"/>
  <c r="BI23" i="43"/>
  <c r="BH23" i="43"/>
  <c r="BG23" i="43"/>
  <c r="BF23" i="43"/>
  <c r="BE23" i="43"/>
  <c r="BD23" i="43"/>
  <c r="BC23" i="43"/>
  <c r="BB23" i="43"/>
  <c r="BA23" i="43"/>
  <c r="AZ23" i="43"/>
  <c r="AY23" i="43"/>
  <c r="AX23" i="43"/>
  <c r="AW23" i="43"/>
  <c r="AV23" i="43"/>
  <c r="AU23" i="43"/>
  <c r="AT23" i="43"/>
  <c r="AS23" i="43"/>
  <c r="AR23" i="43"/>
  <c r="AQ23" i="43"/>
  <c r="AP23" i="43"/>
  <c r="AO23" i="43"/>
  <c r="AN23" i="43"/>
  <c r="AM23" i="43"/>
  <c r="AL23" i="43"/>
  <c r="AK23" i="43"/>
  <c r="AJ23" i="43"/>
  <c r="AI23" i="43"/>
  <c r="AH23" i="43"/>
  <c r="AF22" i="43"/>
  <c r="AE22" i="43"/>
  <c r="AD22" i="43"/>
  <c r="AC22" i="43"/>
  <c r="AB22" i="43"/>
  <c r="J22" i="43"/>
  <c r="D22" i="43"/>
  <c r="H22" i="43" s="1"/>
  <c r="AF21" i="43"/>
  <c r="AE21" i="43"/>
  <c r="AD21" i="43"/>
  <c r="AC21" i="43"/>
  <c r="AB21" i="43"/>
  <c r="J21" i="43"/>
  <c r="D21" i="43"/>
  <c r="AF19" i="43"/>
  <c r="AE19" i="43"/>
  <c r="AD19" i="43"/>
  <c r="AC19" i="43"/>
  <c r="AB19" i="43"/>
  <c r="J19" i="43"/>
  <c r="D19" i="43"/>
  <c r="H19" i="43" s="1"/>
  <c r="A17" i="43"/>
  <c r="A18" i="43" s="1"/>
  <c r="A19" i="43" s="1"/>
  <c r="A20" i="43" s="1"/>
  <c r="A21" i="43" s="1"/>
  <c r="A22" i="43" s="1"/>
  <c r="A23" i="43" s="1"/>
  <c r="A24" i="43" s="1"/>
  <c r="A25" i="43" s="1"/>
  <c r="A26" i="43" s="1"/>
  <c r="J20" i="4"/>
  <c r="J19" i="4"/>
  <c r="J17" i="4"/>
  <c r="N51" i="43" l="1"/>
  <c r="J51" i="43" s="1"/>
  <c r="J49" i="4" s="1"/>
  <c r="D51" i="43"/>
  <c r="D49" i="4" s="1"/>
  <c r="D143" i="43"/>
  <c r="J592" i="43"/>
  <c r="J21" i="4"/>
  <c r="BI44" i="43"/>
  <c r="AF606" i="43"/>
  <c r="AE725" i="43"/>
  <c r="AB30" i="43"/>
  <c r="H317" i="43"/>
  <c r="AB592" i="43"/>
  <c r="J440" i="43"/>
  <c r="AD30" i="43"/>
  <c r="AB673" i="43"/>
  <c r="AC30" i="43"/>
  <c r="AC44" i="43" s="1"/>
  <c r="AD530" i="43"/>
  <c r="AE652" i="43"/>
  <c r="AD484" i="43"/>
  <c r="AE667" i="43"/>
  <c r="D652" i="43"/>
  <c r="D213" i="43"/>
  <c r="AE606" i="43"/>
  <c r="AC612" i="43"/>
  <c r="AC23" i="43"/>
  <c r="BF44" i="43"/>
  <c r="AM44" i="43"/>
  <c r="BG44" i="43"/>
  <c r="CA44" i="43"/>
  <c r="H715" i="43"/>
  <c r="H725" i="43" s="1"/>
  <c r="AR44" i="43"/>
  <c r="BL44" i="43"/>
  <c r="CF44" i="43"/>
  <c r="AF725" i="43"/>
  <c r="AB254" i="43"/>
  <c r="AB86" i="43"/>
  <c r="AE254" i="43"/>
  <c r="AF325" i="43"/>
  <c r="AC673" i="43"/>
  <c r="J325" i="43"/>
  <c r="AC484" i="43"/>
  <c r="AC606" i="43"/>
  <c r="AB725" i="43"/>
  <c r="D86" i="43"/>
  <c r="BO44" i="43"/>
  <c r="AE30" i="43"/>
  <c r="BR44" i="43"/>
  <c r="AD440" i="43"/>
  <c r="AF254" i="43"/>
  <c r="AY44" i="43"/>
  <c r="BS44" i="43"/>
  <c r="AF530" i="43"/>
  <c r="AZ44" i="43"/>
  <c r="BT44" i="43"/>
  <c r="CN44" i="43"/>
  <c r="J23" i="43"/>
  <c r="AI44" i="43"/>
  <c r="BC44" i="43"/>
  <c r="BW44" i="43"/>
  <c r="AC42" i="43"/>
  <c r="AC652" i="43"/>
  <c r="AE731" i="43"/>
  <c r="H197" i="43"/>
  <c r="AF302" i="43"/>
  <c r="D530" i="43"/>
  <c r="AC667" i="43"/>
  <c r="D187" i="43"/>
  <c r="AD667" i="43"/>
  <c r="AF35" i="43"/>
  <c r="AV44" i="43"/>
  <c r="BP44" i="43"/>
  <c r="CJ44" i="43"/>
  <c r="AF652" i="43"/>
  <c r="AD35" i="43"/>
  <c r="AD592" i="43"/>
  <c r="H652" i="43"/>
  <c r="AF667" i="43"/>
  <c r="AC731" i="43"/>
  <c r="H597" i="43"/>
  <c r="H605" i="43"/>
  <c r="AF106" i="43"/>
  <c r="AN44" i="43"/>
  <c r="CB44" i="43"/>
  <c r="H191" i="43"/>
  <c r="AB484" i="43"/>
  <c r="BH44" i="43"/>
  <c r="AO44" i="43"/>
  <c r="CC44" i="43"/>
  <c r="AE143" i="43"/>
  <c r="AB440" i="43"/>
  <c r="AE530" i="43"/>
  <c r="D592" i="43"/>
  <c r="AC440" i="43"/>
  <c r="AE612" i="43"/>
  <c r="D711" i="43"/>
  <c r="AF612" i="43"/>
  <c r="AF30" i="43"/>
  <c r="AC106" i="43"/>
  <c r="H142" i="43"/>
  <c r="AB187" i="43"/>
  <c r="AE23" i="43"/>
  <c r="AD187" i="43"/>
  <c r="D302" i="43"/>
  <c r="AQ44" i="43"/>
  <c r="BK44" i="43"/>
  <c r="CE44" i="43"/>
  <c r="H184" i="43"/>
  <c r="D205" i="43"/>
  <c r="H205" i="43" s="1"/>
  <c r="H295" i="43"/>
  <c r="H302" i="43" s="1"/>
  <c r="AC592" i="43"/>
  <c r="AB652" i="43"/>
  <c r="H656" i="43"/>
  <c r="AD42" i="43"/>
  <c r="AD44" i="43" s="1"/>
  <c r="AE106" i="43"/>
  <c r="CI44" i="43"/>
  <c r="AB606" i="43"/>
  <c r="AC711" i="43"/>
  <c r="AU44" i="43"/>
  <c r="AF213" i="43"/>
  <c r="AC530" i="43"/>
  <c r="AE592" i="43"/>
  <c r="AD673" i="43"/>
  <c r="AD711" i="43"/>
  <c r="AC187" i="43"/>
  <c r="AB23" i="43"/>
  <c r="AD143" i="43"/>
  <c r="AB302" i="43"/>
  <c r="AE325" i="43"/>
  <c r="D440" i="43"/>
  <c r="AF592" i="43"/>
  <c r="AD606" i="43"/>
  <c r="D663" i="43"/>
  <c r="H663" i="43" s="1"/>
  <c r="AE711" i="43"/>
  <c r="AC302" i="43"/>
  <c r="AF673" i="43"/>
  <c r="AF731" i="43"/>
  <c r="D415" i="43"/>
  <c r="AC415" i="43"/>
  <c r="AC725" i="43"/>
  <c r="AB42" i="43"/>
  <c r="CL44" i="43"/>
  <c r="AE187" i="43"/>
  <c r="AB35" i="43"/>
  <c r="AB106" i="43"/>
  <c r="H528" i="43"/>
  <c r="H530" i="43" s="1"/>
  <c r="AX44" i="43"/>
  <c r="BD44" i="43"/>
  <c r="J143" i="43"/>
  <c r="J530" i="43"/>
  <c r="AD106" i="43"/>
  <c r="AF23" i="43"/>
  <c r="AJ44" i="43"/>
  <c r="AC35" i="43"/>
  <c r="D23" i="43"/>
  <c r="AK44" i="43"/>
  <c r="BY44" i="43"/>
  <c r="AF86" i="43"/>
  <c r="AF187" i="43"/>
  <c r="AE440" i="43"/>
  <c r="AD23" i="43"/>
  <c r="CM44" i="43"/>
  <c r="BX44" i="43"/>
  <c r="BE44" i="43"/>
  <c r="AE42" i="43"/>
  <c r="AE44" i="43" s="1"/>
  <c r="H185" i="43"/>
  <c r="AL44" i="43"/>
  <c r="BZ44" i="43"/>
  <c r="AE35" i="43"/>
  <c r="AF42" i="43"/>
  <c r="AE86" i="43"/>
  <c r="AF440" i="43"/>
  <c r="H86" i="43"/>
  <c r="A200" i="43"/>
  <c r="A201" i="43"/>
  <c r="A202" i="43" s="1"/>
  <c r="A203" i="43" s="1"/>
  <c r="A204" i="43" s="1"/>
  <c r="A205" i="43" s="1"/>
  <c r="A206" i="43" s="1"/>
  <c r="A207" i="43" s="1"/>
  <c r="A208" i="43" s="1"/>
  <c r="A209" i="43" s="1"/>
  <c r="A210" i="43" s="1"/>
  <c r="A211" i="43" s="1"/>
  <c r="A212" i="43" s="1"/>
  <c r="A213" i="43" s="1"/>
  <c r="A214" i="43" s="1"/>
  <c r="A215" i="43" s="1"/>
  <c r="A216" i="43" s="1"/>
  <c r="A217" i="43" s="1"/>
  <c r="A218" i="43" s="1"/>
  <c r="A219" i="43" s="1"/>
  <c r="A616" i="43"/>
  <c r="A615" i="43"/>
  <c r="A617" i="43" s="1"/>
  <c r="A618" i="43" s="1"/>
  <c r="A619" i="43" s="1"/>
  <c r="A620" i="43" s="1"/>
  <c r="A621" i="43" s="1"/>
  <c r="A622" i="43" s="1"/>
  <c r="A623" i="43" s="1"/>
  <c r="A624" i="43" s="1"/>
  <c r="A625" i="43" s="1"/>
  <c r="A626" i="43" s="1"/>
  <c r="A627" i="43" s="1"/>
  <c r="A628" i="43" s="1"/>
  <c r="A629" i="43" s="1"/>
  <c r="A630" i="43" s="1"/>
  <c r="A631" i="43" s="1"/>
  <c r="A632" i="43" s="1"/>
  <c r="AB44" i="43"/>
  <c r="A153" i="43"/>
  <c r="A154" i="43" s="1"/>
  <c r="A155" i="43" s="1"/>
  <c r="A156" i="43" s="1"/>
  <c r="A157" i="43" s="1"/>
  <c r="A158" i="43" s="1"/>
  <c r="A159" i="43" s="1"/>
  <c r="A160" i="43" s="1"/>
  <c r="A161" i="43" s="1"/>
  <c r="A162" i="43" s="1"/>
  <c r="A152" i="43"/>
  <c r="AS44" i="43"/>
  <c r="BM44" i="43"/>
  <c r="CG44" i="43"/>
  <c r="AD86" i="43"/>
  <c r="AC143" i="43"/>
  <c r="J187" i="43"/>
  <c r="AC213" i="43"/>
  <c r="CH44" i="43"/>
  <c r="AE213" i="43"/>
  <c r="H592" i="43"/>
  <c r="AB731" i="43"/>
  <c r="BN44" i="43"/>
  <c r="J86" i="43"/>
  <c r="AC325" i="43"/>
  <c r="H323" i="43"/>
  <c r="D324" i="43"/>
  <c r="H324" i="43" s="1"/>
  <c r="AB367" i="43"/>
  <c r="J213" i="43"/>
  <c r="AD325" i="43"/>
  <c r="AC367" i="43"/>
  <c r="AD367" i="43"/>
  <c r="AD415" i="43"/>
  <c r="AB213" i="43"/>
  <c r="AT44" i="43"/>
  <c r="AE367" i="43"/>
  <c r="A540" i="43"/>
  <c r="A541" i="43" s="1"/>
  <c r="A542" i="43" s="1"/>
  <c r="A543" i="43" s="1"/>
  <c r="A544" i="43" s="1"/>
  <c r="A545" i="43" s="1"/>
  <c r="A546" i="43" s="1"/>
  <c r="A547" i="43" s="1"/>
  <c r="A548" i="43" s="1"/>
  <c r="A549" i="43" s="1"/>
  <c r="A550" i="43" s="1"/>
  <c r="A551" i="43" s="1"/>
  <c r="A552" i="43" s="1"/>
  <c r="A553" i="43" s="1"/>
  <c r="A554" i="43" s="1"/>
  <c r="A555" i="43" s="1"/>
  <c r="A556" i="43" s="1"/>
  <c r="A557" i="43" s="1"/>
  <c r="A558" i="43" s="1"/>
  <c r="A559" i="43" s="1"/>
  <c r="A560" i="43" s="1"/>
  <c r="A561" i="43" s="1"/>
  <c r="A562" i="43" s="1"/>
  <c r="A563" i="43" s="1"/>
  <c r="A564" i="43" s="1"/>
  <c r="A565" i="43" s="1"/>
  <c r="A566" i="43" s="1"/>
  <c r="A567" i="43" s="1"/>
  <c r="A568" i="43" s="1"/>
  <c r="A569" i="43" s="1"/>
  <c r="A570" i="43" s="1"/>
  <c r="A571" i="43" s="1"/>
  <c r="AB612" i="43"/>
  <c r="AD725" i="43"/>
  <c r="AD213" i="43"/>
  <c r="AC86" i="43"/>
  <c r="AF367" i="43"/>
  <c r="J415" i="43"/>
  <c r="J438" i="43"/>
  <c r="J302" i="43"/>
  <c r="AD254" i="43"/>
  <c r="H408" i="43"/>
  <c r="H415" i="43" s="1"/>
  <c r="AF484" i="43"/>
  <c r="AC254" i="43"/>
  <c r="H21" i="43"/>
  <c r="H23" i="43" s="1"/>
  <c r="H181" i="43"/>
  <c r="D210" i="43"/>
  <c r="H210" i="43" s="1"/>
  <c r="J652" i="43"/>
  <c r="AB325" i="43"/>
  <c r="D438" i="43"/>
  <c r="H438" i="43" s="1"/>
  <c r="AE302" i="43"/>
  <c r="AB711" i="43"/>
  <c r="D325" i="43"/>
  <c r="AE415" i="43"/>
  <c r="AD302" i="43"/>
  <c r="AF415" i="43"/>
  <c r="AE484" i="43"/>
  <c r="J711" i="43"/>
  <c r="D614" i="43"/>
  <c r="H614" i="43" s="1"/>
  <c r="H708" i="43"/>
  <c r="H711" i="43" s="1"/>
  <c r="H141" i="43"/>
  <c r="H213" i="43" l="1"/>
  <c r="AF44" i="43"/>
  <c r="H667" i="43"/>
  <c r="H606" i="43"/>
  <c r="H187" i="43"/>
  <c r="H143" i="43"/>
  <c r="H325" i="43"/>
  <c r="H440" i="43"/>
  <c r="O104" i="41" l="1"/>
  <c r="N104" i="41"/>
  <c r="M104" i="41"/>
  <c r="L104" i="41"/>
  <c r="K104" i="41"/>
  <c r="J104" i="41"/>
  <c r="I104" i="41"/>
  <c r="H104" i="41"/>
  <c r="G104" i="41"/>
  <c r="F104" i="41"/>
  <c r="P104" i="41" s="1"/>
  <c r="E104" i="41"/>
  <c r="D104" i="41"/>
  <c r="O101" i="41"/>
  <c r="N101" i="41"/>
  <c r="M101" i="41"/>
  <c r="L101" i="41"/>
  <c r="K101" i="41"/>
  <c r="J101" i="41"/>
  <c r="I101" i="41"/>
  <c r="H101" i="41"/>
  <c r="G101" i="41"/>
  <c r="F101" i="41"/>
  <c r="E101" i="41"/>
  <c r="D101" i="41"/>
  <c r="O98" i="41"/>
  <c r="N98" i="41"/>
  <c r="M98" i="41"/>
  <c r="L98" i="41"/>
  <c r="K98" i="41"/>
  <c r="J98" i="41"/>
  <c r="I98" i="41"/>
  <c r="H98" i="41"/>
  <c r="G98" i="41"/>
  <c r="F98" i="41"/>
  <c r="E98" i="41"/>
  <c r="D98" i="41"/>
  <c r="O96" i="41"/>
  <c r="N96" i="41"/>
  <c r="M96" i="41"/>
  <c r="L96" i="41"/>
  <c r="K96" i="41"/>
  <c r="J96" i="41"/>
  <c r="I96" i="41"/>
  <c r="H96" i="41"/>
  <c r="G96" i="41"/>
  <c r="F96" i="41"/>
  <c r="E96" i="41"/>
  <c r="D96" i="41"/>
  <c r="O83" i="41"/>
  <c r="N83" i="41"/>
  <c r="M83" i="41"/>
  <c r="L83" i="41"/>
  <c r="K83" i="41"/>
  <c r="J83" i="41"/>
  <c r="I83" i="41"/>
  <c r="H83" i="41"/>
  <c r="G83" i="41"/>
  <c r="F83" i="41"/>
  <c r="E83" i="41"/>
  <c r="D83" i="41"/>
  <c r="O70" i="41"/>
  <c r="N70" i="41"/>
  <c r="M70" i="41"/>
  <c r="L70" i="41"/>
  <c r="K70" i="41"/>
  <c r="J70" i="41"/>
  <c r="I70" i="41"/>
  <c r="H70" i="41"/>
  <c r="G70" i="41"/>
  <c r="F70" i="41"/>
  <c r="E70" i="41"/>
  <c r="D70" i="41"/>
  <c r="O57" i="41"/>
  <c r="N57" i="41"/>
  <c r="M57" i="41"/>
  <c r="L57" i="41"/>
  <c r="K57" i="41"/>
  <c r="J57" i="41"/>
  <c r="I57" i="41"/>
  <c r="H57" i="41"/>
  <c r="G57" i="41"/>
  <c r="F57" i="41"/>
  <c r="E57" i="41"/>
  <c r="D57" i="41"/>
  <c r="O55" i="41"/>
  <c r="N55" i="41"/>
  <c r="M55" i="41"/>
  <c r="L55" i="41"/>
  <c r="K55" i="41"/>
  <c r="J55" i="41"/>
  <c r="I55" i="41"/>
  <c r="H55" i="41"/>
  <c r="G55" i="41"/>
  <c r="F55" i="41"/>
  <c r="E55" i="41"/>
  <c r="D55" i="41"/>
  <c r="O42" i="41"/>
  <c r="N42" i="41"/>
  <c r="M42" i="41"/>
  <c r="L42" i="41"/>
  <c r="K42" i="41"/>
  <c r="J42" i="41"/>
  <c r="I42" i="41"/>
  <c r="H42" i="41"/>
  <c r="G42" i="41"/>
  <c r="F42" i="41"/>
  <c r="E42" i="41"/>
  <c r="D42" i="41"/>
  <c r="O36" i="41"/>
  <c r="N36" i="41"/>
  <c r="M36" i="41"/>
  <c r="L36" i="41"/>
  <c r="K36" i="41"/>
  <c r="J36" i="41"/>
  <c r="I36" i="41"/>
  <c r="H36" i="41"/>
  <c r="G36" i="41"/>
  <c r="F36" i="41"/>
  <c r="E36" i="41"/>
  <c r="D36" i="41"/>
  <c r="O32" i="41"/>
  <c r="N32" i="41"/>
  <c r="M32" i="41"/>
  <c r="L32" i="41"/>
  <c r="K32" i="41"/>
  <c r="J32" i="41"/>
  <c r="I32" i="41"/>
  <c r="H32" i="41"/>
  <c r="G32" i="41"/>
  <c r="F32" i="41"/>
  <c r="E32" i="41"/>
  <c r="D32" i="41"/>
  <c r="P31" i="41"/>
  <c r="P30" i="41"/>
  <c r="P29" i="41"/>
  <c r="P28" i="41"/>
  <c r="P27" i="41"/>
  <c r="P26" i="41"/>
  <c r="P25" i="41"/>
  <c r="P24" i="41"/>
  <c r="P23" i="41"/>
  <c r="P22" i="41"/>
  <c r="O18" i="41"/>
  <c r="N18" i="41"/>
  <c r="M18" i="41"/>
  <c r="L18" i="41"/>
  <c r="K18" i="41"/>
  <c r="J18" i="41"/>
  <c r="I18" i="41"/>
  <c r="H18" i="41"/>
  <c r="G18" i="41"/>
  <c r="F18" i="41"/>
  <c r="E18" i="41"/>
  <c r="D18" i="41"/>
  <c r="P17" i="41"/>
  <c r="P16" i="41"/>
  <c r="P15" i="41"/>
  <c r="P14" i="41"/>
  <c r="P13" i="41"/>
  <c r="P12" i="41"/>
  <c r="P11" i="41"/>
  <c r="P10" i="41"/>
  <c r="A10" i="4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P9" i="41"/>
  <c r="A9" i="41"/>
  <c r="P8" i="41"/>
  <c r="A7" i="41"/>
  <c r="A8" i="41" s="1"/>
  <c r="E4" i="41"/>
  <c r="F4" i="41" s="1"/>
  <c r="G4" i="41" s="1"/>
  <c r="H4" i="41" s="1"/>
  <c r="I4" i="41" s="1"/>
  <c r="J4" i="41" s="1"/>
  <c r="K4" i="41" s="1"/>
  <c r="L4" i="41" s="1"/>
  <c r="M4" i="41" s="1"/>
  <c r="N4" i="41" s="1"/>
  <c r="O4" i="41" s="1"/>
  <c r="P4" i="41" s="1"/>
  <c r="G4" i="13"/>
  <c r="J2" i="12"/>
  <c r="M3" i="11"/>
  <c r="L3" i="15"/>
  <c r="Q3" i="14"/>
  <c r="M5" i="10"/>
  <c r="J3" i="9"/>
  <c r="L3" i="8"/>
  <c r="I60" i="8"/>
  <c r="I59" i="8"/>
  <c r="P32" i="41" l="1"/>
  <c r="P18" i="41"/>
  <c r="A55" i="41"/>
  <c r="A49" i="41"/>
  <c r="A50" i="41" s="1"/>
  <c r="A51" i="41" s="1"/>
  <c r="A52" i="41" s="1"/>
  <c r="A53" i="41" s="1"/>
  <c r="A54" i="41" s="1"/>
  <c r="P55" i="41"/>
  <c r="P98" i="41"/>
  <c r="P83" i="41"/>
  <c r="P57" i="41"/>
  <c r="P96" i="41"/>
  <c r="P70" i="41"/>
  <c r="P101" i="41"/>
  <c r="P42" i="41"/>
  <c r="P36" i="41"/>
  <c r="A298" i="8"/>
  <c r="A297" i="8"/>
  <c r="A56" i="41" l="1"/>
  <c r="A57" i="41"/>
  <c r="A70" i="41" l="1"/>
  <c r="A58" i="41"/>
  <c r="A59" i="41" s="1"/>
  <c r="A60" i="41" s="1"/>
  <c r="A61" i="41" s="1"/>
  <c r="A62" i="41" s="1"/>
  <c r="A63" i="41" s="1"/>
  <c r="A64" i="41" s="1"/>
  <c r="A65" i="41" s="1"/>
  <c r="A66" i="41" s="1"/>
  <c r="A67" i="41" s="1"/>
  <c r="A68" i="41" s="1"/>
  <c r="A69" i="41" s="1"/>
  <c r="A83" i="41" l="1"/>
  <c r="A71" i="41"/>
  <c r="A72" i="41" s="1"/>
  <c r="A73" i="41" s="1"/>
  <c r="A74" i="41" s="1"/>
  <c r="A75" i="41" s="1"/>
  <c r="A76" i="41" s="1"/>
  <c r="A77" i="41" s="1"/>
  <c r="A78" i="41" s="1"/>
  <c r="A79" i="41" s="1"/>
  <c r="A80" i="41" s="1"/>
  <c r="A81" i="41" s="1"/>
  <c r="A82" i="41" s="1"/>
  <c r="M75" i="40"/>
  <c r="M84" i="40" s="1"/>
  <c r="I75" i="40"/>
  <c r="I84" i="40" s="1"/>
  <c r="G75" i="40"/>
  <c r="G84" i="40" s="1"/>
  <c r="M74" i="40"/>
  <c r="M83" i="40" s="1"/>
  <c r="I74" i="40"/>
  <c r="I92" i="40" s="1"/>
  <c r="G74" i="40"/>
  <c r="M73" i="40"/>
  <c r="U73" i="40" s="1"/>
  <c r="I73" i="40"/>
  <c r="R73" i="40" s="1"/>
  <c r="G73" i="40"/>
  <c r="M71" i="40"/>
  <c r="M89" i="40" s="1"/>
  <c r="I71" i="40"/>
  <c r="I89" i="40" s="1"/>
  <c r="G71" i="40"/>
  <c r="M70" i="40"/>
  <c r="M79" i="40" s="1"/>
  <c r="I70" i="40"/>
  <c r="G70" i="40"/>
  <c r="M69" i="40"/>
  <c r="M87" i="40" s="1"/>
  <c r="U87" i="40" s="1"/>
  <c r="I69" i="40"/>
  <c r="I87" i="40" s="1"/>
  <c r="R87" i="40" s="1"/>
  <c r="G69" i="40"/>
  <c r="G87" i="40" s="1"/>
  <c r="Q87" i="40" s="1"/>
  <c r="N57" i="40"/>
  <c r="M57" i="40"/>
  <c r="L57" i="40"/>
  <c r="K57" i="40"/>
  <c r="J57" i="40"/>
  <c r="I57" i="40"/>
  <c r="H57" i="40"/>
  <c r="G57" i="40"/>
  <c r="F57" i="40"/>
  <c r="E57" i="40"/>
  <c r="N53" i="40"/>
  <c r="M53" i="40"/>
  <c r="U53" i="40" s="1"/>
  <c r="L53" i="40"/>
  <c r="L54" i="40" s="1"/>
  <c r="L55" i="40" s="1"/>
  <c r="K53" i="40"/>
  <c r="J53" i="40"/>
  <c r="I53" i="40"/>
  <c r="R53" i="40" s="1"/>
  <c r="H53" i="40"/>
  <c r="G53" i="40"/>
  <c r="Q53" i="40" s="1"/>
  <c r="F53" i="40"/>
  <c r="F54" i="40" s="1"/>
  <c r="F55" i="40" s="1"/>
  <c r="N49" i="40"/>
  <c r="N62" i="40" s="1"/>
  <c r="M49" i="40"/>
  <c r="M50" i="40" s="1"/>
  <c r="L49" i="40"/>
  <c r="L50" i="40" s="1"/>
  <c r="K49" i="40"/>
  <c r="J49" i="40"/>
  <c r="I49" i="40"/>
  <c r="H49" i="40"/>
  <c r="H62" i="40" s="1"/>
  <c r="G49" i="40"/>
  <c r="G50" i="40" s="1"/>
  <c r="F49" i="40"/>
  <c r="F62" i="40" s="1"/>
  <c r="N45" i="40"/>
  <c r="M45" i="40"/>
  <c r="M47" i="40" s="1"/>
  <c r="L45" i="40"/>
  <c r="L47" i="40" s="1"/>
  <c r="K45" i="40"/>
  <c r="K47" i="40" s="1"/>
  <c r="J45" i="40"/>
  <c r="J47" i="40" s="1"/>
  <c r="I45" i="40"/>
  <c r="I47" i="40" s="1"/>
  <c r="H45" i="40"/>
  <c r="G45" i="40"/>
  <c r="G46" i="40" s="1"/>
  <c r="F45" i="40"/>
  <c r="F47" i="40" s="1"/>
  <c r="N40" i="40"/>
  <c r="M40" i="40"/>
  <c r="M42" i="40" s="1"/>
  <c r="L40" i="40"/>
  <c r="L41" i="40" s="1"/>
  <c r="L43" i="40" s="1"/>
  <c r="K40" i="40"/>
  <c r="K41" i="40" s="1"/>
  <c r="J40" i="40"/>
  <c r="I40" i="40"/>
  <c r="H40" i="40"/>
  <c r="H41" i="40" s="1"/>
  <c r="H43" i="40" s="1"/>
  <c r="G40" i="40"/>
  <c r="G41" i="40" s="1"/>
  <c r="Q41" i="40" s="1"/>
  <c r="F40" i="40"/>
  <c r="F41" i="40" s="1"/>
  <c r="F43" i="40" s="1"/>
  <c r="N39" i="40"/>
  <c r="M39" i="40"/>
  <c r="L39" i="40"/>
  <c r="K39" i="40"/>
  <c r="J39" i="40"/>
  <c r="I39" i="40"/>
  <c r="H39" i="40"/>
  <c r="G39" i="40"/>
  <c r="F39" i="40"/>
  <c r="N35" i="40"/>
  <c r="M35" i="40"/>
  <c r="U35" i="40" s="1"/>
  <c r="L35" i="40"/>
  <c r="K35" i="40"/>
  <c r="J35" i="40"/>
  <c r="J36" i="40" s="1"/>
  <c r="J37" i="40" s="1"/>
  <c r="I35" i="40"/>
  <c r="R35" i="40" s="1"/>
  <c r="H35" i="40"/>
  <c r="G35" i="40"/>
  <c r="Q35" i="40" s="1"/>
  <c r="F35" i="40"/>
  <c r="N34" i="40"/>
  <c r="M34" i="40"/>
  <c r="L34" i="40"/>
  <c r="K34" i="40"/>
  <c r="J34" i="40"/>
  <c r="I34" i="40"/>
  <c r="H34" i="40"/>
  <c r="G34" i="40"/>
  <c r="F34" i="40"/>
  <c r="N30" i="40"/>
  <c r="M30" i="40"/>
  <c r="L30" i="40"/>
  <c r="L59" i="40" s="1"/>
  <c r="K30" i="40"/>
  <c r="K31" i="40" s="1"/>
  <c r="J30" i="40"/>
  <c r="J31" i="40" s="1"/>
  <c r="I30" i="40"/>
  <c r="I31" i="40" s="1"/>
  <c r="H30" i="40"/>
  <c r="G30" i="40"/>
  <c r="F30" i="40"/>
  <c r="F32" i="40" s="1"/>
  <c r="N26" i="40"/>
  <c r="N28" i="40" s="1"/>
  <c r="M26" i="40"/>
  <c r="L26" i="40"/>
  <c r="L28" i="40" s="1"/>
  <c r="K26" i="40"/>
  <c r="J26" i="40"/>
  <c r="J28" i="40" s="1"/>
  <c r="I26" i="40"/>
  <c r="I28" i="40" s="1"/>
  <c r="H26" i="40"/>
  <c r="H27" i="40" s="1"/>
  <c r="H29" i="40" s="1"/>
  <c r="G26" i="40"/>
  <c r="G28" i="40" s="1"/>
  <c r="F26" i="40"/>
  <c r="F27" i="40" s="1"/>
  <c r="F29" i="40" s="1"/>
  <c r="N24" i="40"/>
  <c r="M24" i="40"/>
  <c r="L24" i="40"/>
  <c r="K24" i="40"/>
  <c r="J24" i="40"/>
  <c r="I24" i="40"/>
  <c r="H24" i="40"/>
  <c r="G24" i="40"/>
  <c r="F24" i="40"/>
  <c r="E24" i="40"/>
  <c r="E22" i="40"/>
  <c r="E37" i="40" s="1"/>
  <c r="E21" i="40"/>
  <c r="E36" i="40" s="1"/>
  <c r="N20" i="40"/>
  <c r="M20" i="40"/>
  <c r="M21" i="40" s="1"/>
  <c r="M22" i="40" s="1"/>
  <c r="L20" i="40"/>
  <c r="L21" i="40" s="1"/>
  <c r="K20" i="40"/>
  <c r="K21" i="40" s="1"/>
  <c r="J20" i="40"/>
  <c r="J21" i="40" s="1"/>
  <c r="J22" i="40" s="1"/>
  <c r="I20" i="40"/>
  <c r="I21" i="40" s="1"/>
  <c r="I22" i="40" s="1"/>
  <c r="H20" i="40"/>
  <c r="H21" i="40" s="1"/>
  <c r="H22" i="40" s="1"/>
  <c r="G20" i="40"/>
  <c r="F20" i="40"/>
  <c r="F21" i="40" s="1"/>
  <c r="F22" i="40" s="1"/>
  <c r="E20" i="40"/>
  <c r="E53" i="40" s="1"/>
  <c r="E19" i="40"/>
  <c r="E43" i="40" s="1"/>
  <c r="E18" i="40"/>
  <c r="E51" i="40" s="1"/>
  <c r="E17" i="40"/>
  <c r="N16" i="40"/>
  <c r="N18" i="40" s="1"/>
  <c r="M16" i="40"/>
  <c r="M17" i="40" s="1"/>
  <c r="M19" i="40" s="1"/>
  <c r="L16" i="40"/>
  <c r="L17" i="40" s="1"/>
  <c r="L19" i="40" s="1"/>
  <c r="K16" i="40"/>
  <c r="K17" i="40" s="1"/>
  <c r="K19" i="40" s="1"/>
  <c r="J16" i="40"/>
  <c r="I16" i="40"/>
  <c r="I17" i="40" s="1"/>
  <c r="I19" i="40" s="1"/>
  <c r="H16" i="40"/>
  <c r="H17" i="40" s="1"/>
  <c r="H19" i="40" s="1"/>
  <c r="G16" i="40"/>
  <c r="G17" i="40" s="1"/>
  <c r="G19" i="40" s="1"/>
  <c r="F16" i="40"/>
  <c r="F18" i="40" s="1"/>
  <c r="E16" i="40"/>
  <c r="E15" i="40"/>
  <c r="E48" i="40" s="1"/>
  <c r="E14" i="40"/>
  <c r="E47" i="40" s="1"/>
  <c r="E13" i="40"/>
  <c r="E46" i="40" s="1"/>
  <c r="N12" i="40"/>
  <c r="N13" i="40" s="1"/>
  <c r="M12" i="40"/>
  <c r="L12" i="40"/>
  <c r="K12" i="40"/>
  <c r="J12" i="40"/>
  <c r="I12" i="40"/>
  <c r="H12" i="40"/>
  <c r="H13" i="40" s="1"/>
  <c r="G12" i="40"/>
  <c r="G13" i="40" s="1"/>
  <c r="G15" i="40" s="1"/>
  <c r="F12" i="40"/>
  <c r="E12" i="40"/>
  <c r="E10" i="40"/>
  <c r="E9" i="40"/>
  <c r="E8" i="40"/>
  <c r="E7" i="40"/>
  <c r="N6" i="40"/>
  <c r="N8" i="40" s="1"/>
  <c r="M6" i="40"/>
  <c r="M7" i="40" s="1"/>
  <c r="M10" i="40" s="1"/>
  <c r="L6" i="40"/>
  <c r="L9" i="40" s="1"/>
  <c r="K6" i="40"/>
  <c r="K9" i="40" s="1"/>
  <c r="J6" i="40"/>
  <c r="J9" i="40" s="1"/>
  <c r="I6" i="40"/>
  <c r="I9" i="40" s="1"/>
  <c r="H6" i="40"/>
  <c r="H8" i="40" s="1"/>
  <c r="G6" i="40"/>
  <c r="G7" i="40" s="1"/>
  <c r="G10" i="40" s="1"/>
  <c r="F6" i="40"/>
  <c r="F8" i="40" s="1"/>
  <c r="E6" i="40"/>
  <c r="G89" i="40"/>
  <c r="I82" i="40"/>
  <c r="R82" i="40" s="1"/>
  <c r="I93" i="40"/>
  <c r="G91" i="40"/>
  <c r="Q91" i="40" s="1"/>
  <c r="Q65" i="40"/>
  <c r="R63" i="40"/>
  <c r="Q63" i="40"/>
  <c r="R62" i="40"/>
  <c r="Q62" i="40"/>
  <c r="R60" i="40"/>
  <c r="Q60" i="40"/>
  <c r="R59" i="40"/>
  <c r="Q59" i="40"/>
  <c r="N59" i="40"/>
  <c r="K59" i="40"/>
  <c r="N54" i="40"/>
  <c r="N55" i="40" s="1"/>
  <c r="M54" i="40"/>
  <c r="K54" i="40"/>
  <c r="K55" i="40" s="1"/>
  <c r="J54" i="40"/>
  <c r="J55" i="40" s="1"/>
  <c r="I54" i="40"/>
  <c r="I55" i="40" s="1"/>
  <c r="R55" i="40" s="1"/>
  <c r="H54" i="40"/>
  <c r="H55" i="40" s="1"/>
  <c r="E54" i="40"/>
  <c r="H48" i="40"/>
  <c r="H47" i="40"/>
  <c r="G47" i="40"/>
  <c r="L46" i="40"/>
  <c r="L48" i="40" s="1"/>
  <c r="H46" i="40"/>
  <c r="L42" i="40"/>
  <c r="E42" i="40"/>
  <c r="L36" i="40"/>
  <c r="L37" i="40" s="1"/>
  <c r="H36" i="40"/>
  <c r="H37" i="40" s="1"/>
  <c r="F36" i="40"/>
  <c r="F37" i="40" s="1"/>
  <c r="N36" i="40"/>
  <c r="N37" i="40" s="1"/>
  <c r="K36" i="40"/>
  <c r="K37" i="40" s="1"/>
  <c r="N32" i="40"/>
  <c r="L32" i="40"/>
  <c r="K32" i="40"/>
  <c r="E32" i="40"/>
  <c r="N31" i="40"/>
  <c r="N33" i="40" s="1"/>
  <c r="F59" i="40"/>
  <c r="F28" i="40"/>
  <c r="N21" i="40"/>
  <c r="N22" i="40" s="1"/>
  <c r="G21" i="40"/>
  <c r="G22" i="40" s="1"/>
  <c r="N17" i="40"/>
  <c r="N19" i="40" s="1"/>
  <c r="K18" i="40"/>
  <c r="I13" i="40"/>
  <c r="I15" i="40" s="1"/>
  <c r="I14" i="40"/>
  <c r="M9" i="40"/>
  <c r="D26" i="39"/>
  <c r="D31" i="39" s="1"/>
  <c r="E27" i="39"/>
  <c r="E32" i="39" s="1"/>
  <c r="D25" i="39"/>
  <c r="D30" i="39" s="1"/>
  <c r="C25" i="39"/>
  <c r="C30" i="39" s="1"/>
  <c r="D20" i="39"/>
  <c r="E20" i="39"/>
  <c r="E25" i="39" s="1"/>
  <c r="E30" i="39" s="1"/>
  <c r="F20" i="39"/>
  <c r="F25" i="39" s="1"/>
  <c r="F30" i="39" s="1"/>
  <c r="C21" i="39"/>
  <c r="C26" i="39" s="1"/>
  <c r="C31" i="39" s="1"/>
  <c r="D21" i="39"/>
  <c r="E21" i="39"/>
  <c r="E26" i="39" s="1"/>
  <c r="E31" i="39" s="1"/>
  <c r="F21" i="39"/>
  <c r="F26" i="39" s="1"/>
  <c r="F31" i="39" s="1"/>
  <c r="C22" i="39"/>
  <c r="C27" i="39" s="1"/>
  <c r="C32" i="39" s="1"/>
  <c r="D22" i="39"/>
  <c r="D27" i="39" s="1"/>
  <c r="D32" i="39" s="1"/>
  <c r="E22" i="39"/>
  <c r="F22" i="39"/>
  <c r="F27" i="39" s="1"/>
  <c r="F32" i="39" s="1"/>
  <c r="C20" i="39"/>
  <c r="C17" i="39"/>
  <c r="A96" i="41" l="1"/>
  <c r="A84" i="41"/>
  <c r="A85" i="41" s="1"/>
  <c r="A86" i="41" s="1"/>
  <c r="A87" i="41" s="1"/>
  <c r="A88" i="41" s="1"/>
  <c r="A89" i="41" s="1"/>
  <c r="A90" i="41" s="1"/>
  <c r="A91" i="41" s="1"/>
  <c r="A92" i="41" s="1"/>
  <c r="A93" i="41" s="1"/>
  <c r="A94" i="41" s="1"/>
  <c r="A95" i="41" s="1"/>
  <c r="W73" i="40"/>
  <c r="M80" i="40"/>
  <c r="M88" i="40"/>
  <c r="W87" i="40"/>
  <c r="M41" i="40"/>
  <c r="M43" i="40" s="1"/>
  <c r="U43" i="40" s="1"/>
  <c r="M36" i="40"/>
  <c r="M37" i="40" s="1"/>
  <c r="U37" i="40" s="1"/>
  <c r="L18" i="40"/>
  <c r="R69" i="40"/>
  <c r="I78" i="40"/>
  <c r="R78" i="40" s="1"/>
  <c r="I32" i="40"/>
  <c r="H15" i="40"/>
  <c r="E35" i="40"/>
  <c r="E45" i="40"/>
  <c r="E39" i="40"/>
  <c r="E26" i="40"/>
  <c r="J46" i="40"/>
  <c r="J48" i="40" s="1"/>
  <c r="N9" i="40"/>
  <c r="G18" i="40"/>
  <c r="N50" i="40"/>
  <c r="N63" i="40" s="1"/>
  <c r="I18" i="40"/>
  <c r="F46" i="40"/>
  <c r="F48" i="40" s="1"/>
  <c r="G14" i="40"/>
  <c r="I27" i="40"/>
  <c r="R27" i="40" s="1"/>
  <c r="M51" i="40"/>
  <c r="K46" i="40"/>
  <c r="K48" i="40" s="1"/>
  <c r="N51" i="40"/>
  <c r="E34" i="40"/>
  <c r="E60" i="40" s="1"/>
  <c r="E63" i="40" s="1"/>
  <c r="I36" i="40"/>
  <c r="I37" i="40" s="1"/>
  <c r="R37" i="40" s="1"/>
  <c r="G8" i="40"/>
  <c r="Q46" i="40"/>
  <c r="G48" i="40"/>
  <c r="Q48" i="40" s="1"/>
  <c r="H18" i="40"/>
  <c r="N14" i="40"/>
  <c r="I91" i="40"/>
  <c r="R91" i="40" s="1"/>
  <c r="H9" i="40"/>
  <c r="N42" i="40"/>
  <c r="G27" i="40"/>
  <c r="Q27" i="40" s="1"/>
  <c r="H7" i="40"/>
  <c r="H10" i="40" s="1"/>
  <c r="L31" i="40"/>
  <c r="G36" i="40"/>
  <c r="G37" i="40" s="1"/>
  <c r="Q37" i="40" s="1"/>
  <c r="M93" i="40"/>
  <c r="L27" i="40"/>
  <c r="L29" i="40" s="1"/>
  <c r="J27" i="40"/>
  <c r="J29" i="40" s="1"/>
  <c r="N27" i="40"/>
  <c r="N29" i="40" s="1"/>
  <c r="K22" i="40"/>
  <c r="Q50" i="40"/>
  <c r="G52" i="40"/>
  <c r="Q52" i="40" s="1"/>
  <c r="L22" i="40"/>
  <c r="E28" i="40"/>
  <c r="H42" i="40"/>
  <c r="U69" i="40"/>
  <c r="M92" i="40"/>
  <c r="I8" i="40"/>
  <c r="E33" i="40"/>
  <c r="H28" i="40"/>
  <c r="F31" i="40"/>
  <c r="K42" i="40"/>
  <c r="E52" i="40"/>
  <c r="U41" i="40"/>
  <c r="I83" i="40"/>
  <c r="J8" i="40"/>
  <c r="M55" i="40"/>
  <c r="U55" i="40" s="1"/>
  <c r="K8" i="40"/>
  <c r="L8" i="40"/>
  <c r="J13" i="40"/>
  <c r="J15" i="40" s="1"/>
  <c r="M18" i="40"/>
  <c r="H50" i="40"/>
  <c r="H63" i="40" s="1"/>
  <c r="G93" i="40"/>
  <c r="I7" i="40"/>
  <c r="I10" i="40" s="1"/>
  <c r="K7" i="40"/>
  <c r="K10" i="40" s="1"/>
  <c r="N46" i="40"/>
  <c r="N48" i="40" s="1"/>
  <c r="N52" i="40"/>
  <c r="M8" i="40"/>
  <c r="L51" i="40"/>
  <c r="L62" i="40"/>
  <c r="G42" i="40"/>
  <c r="E27" i="40"/>
  <c r="E29" i="40"/>
  <c r="N47" i="40"/>
  <c r="J7" i="40"/>
  <c r="J10" i="40" s="1"/>
  <c r="L7" i="40"/>
  <c r="M91" i="40"/>
  <c r="U91" i="40" s="1"/>
  <c r="G29" i="40"/>
  <c r="Q29" i="40" s="1"/>
  <c r="I46" i="40"/>
  <c r="I48" i="40" s="1"/>
  <c r="R48" i="40" s="1"/>
  <c r="G51" i="40"/>
  <c r="H31" i="40"/>
  <c r="H32" i="40"/>
  <c r="H59" i="40"/>
  <c r="L13" i="40"/>
  <c r="L14" i="40"/>
  <c r="K13" i="40"/>
  <c r="K14" i="40"/>
  <c r="M13" i="40"/>
  <c r="M15" i="40" s="1"/>
  <c r="M14" i="40"/>
  <c r="J32" i="40"/>
  <c r="J59" i="40"/>
  <c r="L52" i="40"/>
  <c r="L63" i="40"/>
  <c r="J60" i="40"/>
  <c r="J33" i="40"/>
  <c r="U50" i="40"/>
  <c r="M52" i="40"/>
  <c r="U52" i="40" s="1"/>
  <c r="N15" i="40"/>
  <c r="F17" i="40"/>
  <c r="F19" i="40" s="1"/>
  <c r="K43" i="40"/>
  <c r="K65" i="40"/>
  <c r="E30" i="40"/>
  <c r="E49" i="40"/>
  <c r="E40" i="40"/>
  <c r="G83" i="40"/>
  <c r="G92" i="40"/>
  <c r="R31" i="40"/>
  <c r="I33" i="40"/>
  <c r="R33" i="40" s="1"/>
  <c r="K33" i="40"/>
  <c r="K60" i="40"/>
  <c r="I41" i="40"/>
  <c r="I42" i="40"/>
  <c r="I50" i="40"/>
  <c r="I51" i="40"/>
  <c r="J41" i="40"/>
  <c r="J42" i="40"/>
  <c r="J62" i="40"/>
  <c r="J50" i="40"/>
  <c r="J51" i="40"/>
  <c r="K62" i="40"/>
  <c r="K50" i="40"/>
  <c r="K51" i="40"/>
  <c r="G79" i="40"/>
  <c r="G88" i="40"/>
  <c r="I79" i="40"/>
  <c r="I88" i="40"/>
  <c r="E31" i="40"/>
  <c r="E41" i="40"/>
  <c r="E50" i="40"/>
  <c r="N7" i="40"/>
  <c r="F7" i="40"/>
  <c r="F9" i="40"/>
  <c r="G80" i="40"/>
  <c r="I80" i="40"/>
  <c r="H14" i="40"/>
  <c r="F51" i="40"/>
  <c r="J14" i="40"/>
  <c r="K28" i="40"/>
  <c r="K27" i="40"/>
  <c r="K29" i="40" s="1"/>
  <c r="F42" i="40"/>
  <c r="E55" i="40"/>
  <c r="H51" i="40"/>
  <c r="G78" i="40"/>
  <c r="Q78" i="40" s="1"/>
  <c r="G82" i="40"/>
  <c r="Q82" i="40" s="1"/>
  <c r="M28" i="40"/>
  <c r="M27" i="40"/>
  <c r="F50" i="40"/>
  <c r="J17" i="40"/>
  <c r="J19" i="40" s="1"/>
  <c r="J18" i="40"/>
  <c r="F13" i="40"/>
  <c r="F14" i="40"/>
  <c r="Q69" i="40"/>
  <c r="Q73" i="40"/>
  <c r="M78" i="40"/>
  <c r="U78" i="40" s="1"/>
  <c r="M82" i="40"/>
  <c r="U82" i="40" s="1"/>
  <c r="W82" i="40" s="1"/>
  <c r="M32" i="40"/>
  <c r="M31" i="40"/>
  <c r="G32" i="40"/>
  <c r="G31" i="40"/>
  <c r="G9" i="40"/>
  <c r="G54" i="40"/>
  <c r="G55" i="40" s="1"/>
  <c r="Q55" i="40" s="1"/>
  <c r="N60" i="40"/>
  <c r="G43" i="40"/>
  <c r="Q43" i="40" s="1"/>
  <c r="N41" i="40"/>
  <c r="M46" i="40"/>
  <c r="C170" i="35"/>
  <c r="C130" i="35"/>
  <c r="C67" i="35"/>
  <c r="W78" i="40" l="1"/>
  <c r="A97" i="41"/>
  <c r="A98" i="41"/>
  <c r="W91" i="40"/>
  <c r="W69" i="40"/>
  <c r="H52" i="40"/>
  <c r="I29" i="40"/>
  <c r="R29" i="40" s="1"/>
  <c r="L33" i="40"/>
  <c r="L60" i="40"/>
  <c r="F33" i="40"/>
  <c r="F60" i="40"/>
  <c r="R46" i="40"/>
  <c r="L10" i="40"/>
  <c r="R41" i="40"/>
  <c r="I43" i="40"/>
  <c r="R43" i="40" s="1"/>
  <c r="U27" i="40"/>
  <c r="M29" i="40"/>
  <c r="U29" i="40" s="1"/>
  <c r="E59" i="40"/>
  <c r="F15" i="40"/>
  <c r="F63" i="40"/>
  <c r="F52" i="40"/>
  <c r="M33" i="40"/>
  <c r="U33" i="40" s="1"/>
  <c r="U31" i="40"/>
  <c r="M48" i="40"/>
  <c r="U48" i="40" s="1"/>
  <c r="U46" i="40"/>
  <c r="R50" i="40"/>
  <c r="I52" i="40"/>
  <c r="R52" i="40" s="1"/>
  <c r="N43" i="40"/>
  <c r="N65" i="40"/>
  <c r="N10" i="40"/>
  <c r="J63" i="40"/>
  <c r="J52" i="40"/>
  <c r="K52" i="40"/>
  <c r="K63" i="40"/>
  <c r="L15" i="40"/>
  <c r="Q31" i="40"/>
  <c r="G33" i="40"/>
  <c r="Q33" i="40" s="1"/>
  <c r="J43" i="40"/>
  <c r="J65" i="40"/>
  <c r="H33" i="40"/>
  <c r="H60" i="40"/>
  <c r="K15" i="40"/>
  <c r="F10" i="40"/>
  <c r="C63" i="4"/>
  <c r="C122" i="4" s="1"/>
  <c r="C157" i="4" s="1"/>
  <c r="C211" i="4" s="1"/>
  <c r="C260" i="4" s="1"/>
  <c r="C311" i="4" s="1"/>
  <c r="C360" i="4" s="1"/>
  <c r="C412" i="4" s="1"/>
  <c r="C494" i="4" l="1"/>
  <c r="C546" i="4" s="1"/>
  <c r="C597" i="4" s="1"/>
  <c r="C459" i="4"/>
  <c r="A101" i="41"/>
  <c r="A99" i="41"/>
  <c r="A100" i="41" s="1"/>
  <c r="E62" i="40"/>
  <c r="A102" i="41" l="1"/>
  <c r="A103" i="41" s="1"/>
  <c r="A104" i="41"/>
  <c r="E65" i="40"/>
  <c r="A107" i="41" l="1"/>
  <c r="A108" i="41" s="1"/>
  <c r="A109" i="41" s="1"/>
  <c r="A105" i="41"/>
  <c r="A106" i="41" s="1"/>
  <c r="X207" i="10"/>
  <c r="L190" i="4" l="1"/>
  <c r="N205" i="43"/>
  <c r="L293" i="4"/>
  <c r="N319" i="43"/>
  <c r="L630" i="4"/>
  <c r="N733" i="43"/>
  <c r="L392" i="4"/>
  <c r="N432" i="43"/>
  <c r="L579" i="4"/>
  <c r="N675" i="43"/>
  <c r="L527" i="4"/>
  <c r="N614" i="43"/>
  <c r="L185" i="4"/>
  <c r="N200" i="43"/>
  <c r="L298" i="4" l="1"/>
  <c r="N324" i="43"/>
  <c r="L393" i="4"/>
  <c r="N433" i="43"/>
  <c r="L195" i="4"/>
  <c r="N210" i="43"/>
  <c r="L398" i="4"/>
  <c r="N438" i="43"/>
  <c r="L399" i="4"/>
  <c r="N439" i="43"/>
  <c r="H31" i="36" l="1"/>
  <c r="H30" i="36"/>
  <c r="H26" i="36"/>
  <c r="H25" i="36"/>
  <c r="H24" i="36"/>
  <c r="H23" i="36"/>
  <c r="H22" i="36"/>
  <c r="H21" i="36"/>
  <c r="H20" i="36"/>
  <c r="K31" i="36" l="1"/>
  <c r="K30" i="36"/>
  <c r="K26" i="36"/>
  <c r="K25" i="36"/>
  <c r="K24" i="36"/>
  <c r="K23" i="36"/>
  <c r="K22" i="36"/>
  <c r="K21" i="36"/>
  <c r="K20" i="36"/>
  <c r="H27" i="36"/>
  <c r="H33" i="36" s="1"/>
  <c r="Z151" i="10" l="1"/>
  <c r="T245" i="43" s="1"/>
  <c r="Z149" i="10"/>
  <c r="T243" i="43" s="1"/>
  <c r="X162" i="10"/>
  <c r="T198" i="43" s="1"/>
  <c r="I55" i="15"/>
  <c r="I50" i="15"/>
  <c r="I233" i="8" l="1"/>
  <c r="H233" i="8" s="1"/>
  <c r="I52" i="15"/>
  <c r="I267" i="8"/>
  <c r="H267" i="8" s="1"/>
  <c r="I268" i="8" l="1"/>
  <c r="H268" i="8" s="1"/>
  <c r="F14" i="36"/>
  <c r="M31" i="36"/>
  <c r="M30" i="36"/>
  <c r="B21" i="36"/>
  <c r="B22" i="36" s="1"/>
  <c r="B23" i="36" s="1"/>
  <c r="B24" i="36" s="1"/>
  <c r="B25" i="36" s="1"/>
  <c r="B26" i="36" s="1"/>
  <c r="B27" i="36" s="1"/>
  <c r="B28" i="36" s="1"/>
  <c r="B29" i="36" s="1"/>
  <c r="B30" i="36" s="1"/>
  <c r="B31" i="36" s="1"/>
  <c r="B32" i="36" s="1"/>
  <c r="B33" i="36" s="1"/>
  <c r="B34" i="36" s="1"/>
  <c r="B35" i="36" s="1"/>
  <c r="B36" i="36" s="1"/>
  <c r="B37" i="36" s="1"/>
  <c r="B38" i="36" s="1"/>
  <c r="B39" i="36" s="1"/>
  <c r="B40" i="36" s="1"/>
  <c r="AF733" i="35"/>
  <c r="AE733" i="35"/>
  <c r="AD733" i="35"/>
  <c r="AC733" i="35"/>
  <c r="AB733" i="35"/>
  <c r="AF732" i="35"/>
  <c r="AE732" i="35"/>
  <c r="AD732" i="35"/>
  <c r="AC732" i="35"/>
  <c r="AB732" i="35"/>
  <c r="AF730" i="35"/>
  <c r="AE730" i="35"/>
  <c r="AD730" i="35"/>
  <c r="AC730" i="35"/>
  <c r="AB730" i="35"/>
  <c r="CO729" i="35"/>
  <c r="CN729" i="35"/>
  <c r="CM729" i="35"/>
  <c r="CL729" i="35"/>
  <c r="CK729" i="35"/>
  <c r="CJ729" i="35"/>
  <c r="CI729" i="35"/>
  <c r="CH729" i="35"/>
  <c r="CG729" i="35"/>
  <c r="CF729" i="35"/>
  <c r="CE729" i="35"/>
  <c r="CD729" i="35"/>
  <c r="CC729" i="35"/>
  <c r="CB729" i="35"/>
  <c r="CA729" i="35"/>
  <c r="BZ729" i="35"/>
  <c r="BY729" i="35"/>
  <c r="BX729" i="35"/>
  <c r="BW729" i="35"/>
  <c r="BV729" i="35"/>
  <c r="BU729" i="35"/>
  <c r="BT729" i="35"/>
  <c r="BS729" i="35"/>
  <c r="BR729" i="35"/>
  <c r="BQ729" i="35"/>
  <c r="BP729" i="35"/>
  <c r="BO729" i="35"/>
  <c r="BN729" i="35"/>
  <c r="BM729" i="35"/>
  <c r="BL729" i="35"/>
  <c r="BK729" i="35"/>
  <c r="BJ729" i="35"/>
  <c r="BI729" i="35"/>
  <c r="BH729" i="35"/>
  <c r="BG729" i="35"/>
  <c r="BF729" i="35"/>
  <c r="BE729" i="35"/>
  <c r="BD729" i="35"/>
  <c r="BC729" i="35"/>
  <c r="BB729" i="35"/>
  <c r="BA729" i="35"/>
  <c r="AZ729" i="35"/>
  <c r="AY729" i="35"/>
  <c r="AX729" i="35"/>
  <c r="AW729" i="35"/>
  <c r="AV729" i="35"/>
  <c r="AU729" i="35"/>
  <c r="AT729" i="35"/>
  <c r="AS729" i="35"/>
  <c r="AR729" i="35"/>
  <c r="AQ729" i="35"/>
  <c r="AP729" i="35"/>
  <c r="AO729" i="35"/>
  <c r="AN729" i="35"/>
  <c r="AM729" i="35"/>
  <c r="AL729" i="35"/>
  <c r="AK729" i="35"/>
  <c r="AJ729" i="35"/>
  <c r="AI729" i="35"/>
  <c r="AH729" i="35"/>
  <c r="AD729" i="35"/>
  <c r="AC729" i="35"/>
  <c r="AF728" i="35"/>
  <c r="AE728" i="35"/>
  <c r="AD728" i="35"/>
  <c r="AC728" i="35"/>
  <c r="AB728" i="35"/>
  <c r="J728" i="35"/>
  <c r="D728" i="35"/>
  <c r="AF727" i="35"/>
  <c r="AE727" i="35"/>
  <c r="AE729" i="35" s="1"/>
  <c r="AD727" i="35"/>
  <c r="AC727" i="35"/>
  <c r="AB727" i="35"/>
  <c r="AB729" i="35" s="1"/>
  <c r="J727" i="35"/>
  <c r="D727" i="35"/>
  <c r="AF723" i="35"/>
  <c r="AF722" i="35"/>
  <c r="AE722" i="35"/>
  <c r="AD722" i="35"/>
  <c r="AC722" i="35"/>
  <c r="AB722" i="35"/>
  <c r="AF721" i="35"/>
  <c r="AE721" i="35"/>
  <c r="AE723" i="35" s="1"/>
  <c r="AD721" i="35"/>
  <c r="AC721" i="35"/>
  <c r="AC723" i="35" s="1"/>
  <c r="AB721" i="35"/>
  <c r="J721" i="35"/>
  <c r="D721" i="35"/>
  <c r="H721" i="35" s="1"/>
  <c r="AF720" i="35"/>
  <c r="AE720" i="35"/>
  <c r="AD720" i="35"/>
  <c r="AC720" i="35"/>
  <c r="AB720" i="35"/>
  <c r="AF719" i="35"/>
  <c r="AE719" i="35"/>
  <c r="AD719" i="35"/>
  <c r="AC719" i="35"/>
  <c r="AB719" i="35"/>
  <c r="AB723" i="35" s="1"/>
  <c r="H719" i="35"/>
  <c r="D719" i="35"/>
  <c r="AF718" i="35"/>
  <c r="AE718" i="35"/>
  <c r="AD718" i="35"/>
  <c r="AC718" i="35"/>
  <c r="AB718" i="35"/>
  <c r="J718" i="35"/>
  <c r="D718" i="35"/>
  <c r="H718" i="35" s="1"/>
  <c r="L717" i="35"/>
  <c r="AF714" i="35"/>
  <c r="AE714" i="35"/>
  <c r="AD714" i="35"/>
  <c r="AC714" i="35"/>
  <c r="AB714" i="35"/>
  <c r="J714" i="35"/>
  <c r="N714" i="35" s="1"/>
  <c r="D714" i="35"/>
  <c r="H714" i="35" s="1"/>
  <c r="AF713" i="35"/>
  <c r="AE713" i="35"/>
  <c r="AD713" i="35"/>
  <c r="AC713" i="35"/>
  <c r="AB713" i="35"/>
  <c r="J713" i="35"/>
  <c r="D713" i="35"/>
  <c r="L712" i="35"/>
  <c r="AF710" i="35"/>
  <c r="AE710" i="35"/>
  <c r="AD710" i="35"/>
  <c r="AC710" i="35"/>
  <c r="AB710" i="35"/>
  <c r="CO709" i="35"/>
  <c r="CN709" i="35"/>
  <c r="CM709" i="35"/>
  <c r="CL709" i="35"/>
  <c r="CK709" i="35"/>
  <c r="CJ709" i="35"/>
  <c r="CI709" i="35"/>
  <c r="CH709" i="35"/>
  <c r="CG709" i="35"/>
  <c r="CF709" i="35"/>
  <c r="CE709" i="35"/>
  <c r="CD709" i="35"/>
  <c r="CC709" i="35"/>
  <c r="CB709" i="35"/>
  <c r="CA709" i="35"/>
  <c r="BZ709" i="35"/>
  <c r="BY709" i="35"/>
  <c r="BX709" i="35"/>
  <c r="BW709" i="35"/>
  <c r="BV709" i="35"/>
  <c r="BU709" i="35"/>
  <c r="BT709" i="35"/>
  <c r="BS709" i="35"/>
  <c r="BR709" i="35"/>
  <c r="BQ709" i="35"/>
  <c r="BP709" i="35"/>
  <c r="BO709" i="35"/>
  <c r="BN709" i="35"/>
  <c r="BM709" i="35"/>
  <c r="BL709" i="35"/>
  <c r="BK709" i="35"/>
  <c r="BJ709" i="35"/>
  <c r="BI709" i="35"/>
  <c r="BH709" i="35"/>
  <c r="BG709" i="35"/>
  <c r="BF709" i="35"/>
  <c r="BE709" i="35"/>
  <c r="BD709" i="35"/>
  <c r="BC709" i="35"/>
  <c r="BB709" i="35"/>
  <c r="BA709" i="35"/>
  <c r="AZ709" i="35"/>
  <c r="AY709" i="35"/>
  <c r="AX709" i="35"/>
  <c r="AW709" i="35"/>
  <c r="AV709" i="35"/>
  <c r="AU709" i="35"/>
  <c r="AT709" i="35"/>
  <c r="AS709" i="35"/>
  <c r="AR709" i="35"/>
  <c r="AQ709" i="35"/>
  <c r="AP709" i="35"/>
  <c r="AO709" i="35"/>
  <c r="AN709" i="35"/>
  <c r="AM709" i="35"/>
  <c r="AL709" i="35"/>
  <c r="AK709" i="35"/>
  <c r="AJ709" i="35"/>
  <c r="AI709" i="35"/>
  <c r="AH709" i="35"/>
  <c r="AD709" i="35"/>
  <c r="AF708" i="35"/>
  <c r="AE708" i="35"/>
  <c r="AD708" i="35"/>
  <c r="AC708" i="35"/>
  <c r="AC709" i="35" s="1"/>
  <c r="AB708" i="35"/>
  <c r="J708" i="35"/>
  <c r="D708" i="35"/>
  <c r="H708" i="35" s="1"/>
  <c r="AF707" i="35"/>
  <c r="AE707" i="35"/>
  <c r="AD707" i="35"/>
  <c r="AC707" i="35"/>
  <c r="AB707" i="35"/>
  <c r="J707" i="35"/>
  <c r="D707" i="35"/>
  <c r="H707" i="35" s="1"/>
  <c r="A707" i="35"/>
  <c r="A708" i="35" s="1"/>
  <c r="A709" i="35" s="1"/>
  <c r="A710" i="35" s="1"/>
  <c r="A711" i="35" s="1"/>
  <c r="A712" i="35" s="1"/>
  <c r="A713" i="35" s="1"/>
  <c r="A714" i="35" s="1"/>
  <c r="A715" i="35" s="1"/>
  <c r="A716" i="35" s="1"/>
  <c r="A717" i="35" s="1"/>
  <c r="A718" i="35" s="1"/>
  <c r="A719" i="35" s="1"/>
  <c r="A720" i="35" s="1"/>
  <c r="A721" i="35" s="1"/>
  <c r="A722" i="35" s="1"/>
  <c r="A723" i="35" s="1"/>
  <c r="A724" i="35" s="1"/>
  <c r="A725" i="35" s="1"/>
  <c r="A726" i="35" s="1"/>
  <c r="A727" i="35" s="1"/>
  <c r="A728" i="35" s="1"/>
  <c r="A729" i="35" s="1"/>
  <c r="A730" i="35" s="1"/>
  <c r="A731" i="35" s="1"/>
  <c r="A732" i="35" s="1"/>
  <c r="A733" i="35" s="1"/>
  <c r="A734" i="35" s="1"/>
  <c r="A735" i="35" s="1"/>
  <c r="A736" i="35" s="1"/>
  <c r="A737" i="35" s="1"/>
  <c r="A738" i="35" s="1"/>
  <c r="A739" i="35" s="1"/>
  <c r="A740" i="35" s="1"/>
  <c r="A741" i="35" s="1"/>
  <c r="A742" i="35" s="1"/>
  <c r="A743" i="35" s="1"/>
  <c r="A744" i="35" s="1"/>
  <c r="A745" i="35" s="1"/>
  <c r="A746" i="35" s="1"/>
  <c r="A747" i="35" s="1"/>
  <c r="A748" i="35" s="1"/>
  <c r="AF706" i="35"/>
  <c r="AE706" i="35"/>
  <c r="AD706" i="35"/>
  <c r="AC706" i="35"/>
  <c r="AB706" i="35"/>
  <c r="AB709" i="35" s="1"/>
  <c r="J706" i="35"/>
  <c r="D706" i="35"/>
  <c r="H706" i="35" s="1"/>
  <c r="A706" i="35"/>
  <c r="A705" i="35"/>
  <c r="L703" i="35"/>
  <c r="F703" i="35"/>
  <c r="D703" i="35"/>
  <c r="AF675" i="35"/>
  <c r="AE675" i="35"/>
  <c r="AD675" i="35"/>
  <c r="AC675" i="35"/>
  <c r="AB675" i="35"/>
  <c r="AF674" i="35"/>
  <c r="AE674" i="35"/>
  <c r="AD674" i="35"/>
  <c r="AC674" i="35"/>
  <c r="AB674" i="35"/>
  <c r="AF672" i="35"/>
  <c r="AE672" i="35"/>
  <c r="AD672" i="35"/>
  <c r="AC672" i="35"/>
  <c r="AB672" i="35"/>
  <c r="CO671" i="35"/>
  <c r="CN671" i="35"/>
  <c r="CM671" i="35"/>
  <c r="CL671" i="35"/>
  <c r="CK671" i="35"/>
  <c r="CJ671" i="35"/>
  <c r="CI671" i="35"/>
  <c r="CH671" i="35"/>
  <c r="CG671" i="35"/>
  <c r="CF671" i="35"/>
  <c r="CE671" i="35"/>
  <c r="CD671" i="35"/>
  <c r="CC671" i="35"/>
  <c r="CB671" i="35"/>
  <c r="CA671" i="35"/>
  <c r="BZ671" i="35"/>
  <c r="BY671" i="35"/>
  <c r="BX671" i="35"/>
  <c r="BW671" i="35"/>
  <c r="BV671" i="35"/>
  <c r="BU671" i="35"/>
  <c r="BT671" i="35"/>
  <c r="BS671" i="35"/>
  <c r="BR671" i="35"/>
  <c r="BQ671" i="35"/>
  <c r="BP671" i="35"/>
  <c r="BO671" i="35"/>
  <c r="BN671" i="35"/>
  <c r="BM671" i="35"/>
  <c r="BL671" i="35"/>
  <c r="BK671" i="35"/>
  <c r="BJ671" i="35"/>
  <c r="BI671" i="35"/>
  <c r="BH671" i="35"/>
  <c r="BG671" i="35"/>
  <c r="BF671" i="35"/>
  <c r="BE671" i="35"/>
  <c r="BD671" i="35"/>
  <c r="BC671" i="35"/>
  <c r="BB671" i="35"/>
  <c r="BA671" i="35"/>
  <c r="AZ671" i="35"/>
  <c r="AY671" i="35"/>
  <c r="AX671" i="35"/>
  <c r="AW671" i="35"/>
  <c r="AV671" i="35"/>
  <c r="AU671" i="35"/>
  <c r="AT671" i="35"/>
  <c r="AS671" i="35"/>
  <c r="AR671" i="35"/>
  <c r="AQ671" i="35"/>
  <c r="AP671" i="35"/>
  <c r="AO671" i="35"/>
  <c r="AN671" i="35"/>
  <c r="AM671" i="35"/>
  <c r="AL671" i="35"/>
  <c r="AK671" i="35"/>
  <c r="AJ671" i="35"/>
  <c r="AI671" i="35"/>
  <c r="AH671" i="35"/>
  <c r="AF671" i="35"/>
  <c r="AE671" i="35"/>
  <c r="AF670" i="35"/>
  <c r="AE670" i="35"/>
  <c r="AD670" i="35"/>
  <c r="AC670" i="35"/>
  <c r="AB670" i="35"/>
  <c r="J670" i="35"/>
  <c r="D670" i="35"/>
  <c r="AF669" i="35"/>
  <c r="AE669" i="35"/>
  <c r="AD669" i="35"/>
  <c r="AD671" i="35" s="1"/>
  <c r="AC669" i="35"/>
  <c r="AC671" i="35" s="1"/>
  <c r="AB669" i="35"/>
  <c r="AB671" i="35" s="1"/>
  <c r="J669" i="35"/>
  <c r="D669" i="35"/>
  <c r="AD665" i="35"/>
  <c r="AF664" i="35"/>
  <c r="AE664" i="35"/>
  <c r="AD664" i="35"/>
  <c r="AC664" i="35"/>
  <c r="AB664" i="35"/>
  <c r="D664" i="35"/>
  <c r="H664" i="35" s="1"/>
  <c r="A664" i="35"/>
  <c r="A665" i="35" s="1"/>
  <c r="A666" i="35" s="1"/>
  <c r="A667" i="35" s="1"/>
  <c r="A668" i="35" s="1"/>
  <c r="A669" i="35" s="1"/>
  <c r="A670" i="35" s="1"/>
  <c r="A671" i="35" s="1"/>
  <c r="A672" i="35" s="1"/>
  <c r="A673" i="35" s="1"/>
  <c r="A674" i="35" s="1"/>
  <c r="A675" i="35" s="1"/>
  <c r="A676" i="35" s="1"/>
  <c r="A677" i="35" s="1"/>
  <c r="A678" i="35" s="1"/>
  <c r="A679" i="35" s="1"/>
  <c r="A680" i="35" s="1"/>
  <c r="A681" i="35" s="1"/>
  <c r="A682" i="35" s="1"/>
  <c r="A683" i="35" s="1"/>
  <c r="A684" i="35" s="1"/>
  <c r="A685" i="35" s="1"/>
  <c r="A686" i="35" s="1"/>
  <c r="A687" i="35" s="1"/>
  <c r="A688" i="35" s="1"/>
  <c r="AF663" i="35"/>
  <c r="AE663" i="35"/>
  <c r="AD663" i="35"/>
  <c r="AC663" i="35"/>
  <c r="AB663" i="35"/>
  <c r="J663" i="35"/>
  <c r="D663" i="35"/>
  <c r="H663" i="35" s="1"/>
  <c r="AF662" i="35"/>
  <c r="AE662" i="35"/>
  <c r="AD662" i="35"/>
  <c r="AC662" i="35"/>
  <c r="AB662" i="35"/>
  <c r="AF661" i="35"/>
  <c r="AE661" i="35"/>
  <c r="AD661" i="35"/>
  <c r="AC661" i="35"/>
  <c r="AB661" i="35"/>
  <c r="AF660" i="35"/>
  <c r="AE660" i="35"/>
  <c r="AD660" i="35"/>
  <c r="AC660" i="35"/>
  <c r="AB660" i="35"/>
  <c r="J660" i="35"/>
  <c r="D660" i="35"/>
  <c r="H660" i="35" s="1"/>
  <c r="AF655" i="35"/>
  <c r="AF665" i="35" s="1"/>
  <c r="AE655" i="35"/>
  <c r="AD655" i="35"/>
  <c r="AC655" i="35"/>
  <c r="AC665" i="35" s="1"/>
  <c r="AB655" i="35"/>
  <c r="AB665" i="35" s="1"/>
  <c r="J655" i="35"/>
  <c r="N655" i="35" s="1"/>
  <c r="D655" i="35"/>
  <c r="H655" i="35" s="1"/>
  <c r="AF654" i="35"/>
  <c r="AE654" i="35"/>
  <c r="AD654" i="35"/>
  <c r="AC654" i="35"/>
  <c r="AB654" i="35"/>
  <c r="J654" i="35"/>
  <c r="D654" i="35"/>
  <c r="D673" i="35" s="1"/>
  <c r="H673" i="35" s="1"/>
  <c r="AF651" i="35"/>
  <c r="AE651" i="35"/>
  <c r="AD651" i="35"/>
  <c r="AC651" i="35"/>
  <c r="AB651" i="35"/>
  <c r="CO650" i="35"/>
  <c r="CN650" i="35"/>
  <c r="CM650" i="35"/>
  <c r="CL650" i="35"/>
  <c r="CK650" i="35"/>
  <c r="CJ650" i="35"/>
  <c r="CI650" i="35"/>
  <c r="CH650" i="35"/>
  <c r="CG650" i="35"/>
  <c r="CF650" i="35"/>
  <c r="CE650" i="35"/>
  <c r="CD650" i="35"/>
  <c r="CC650" i="35"/>
  <c r="CB650" i="35"/>
  <c r="CA650" i="35"/>
  <c r="BZ650" i="35"/>
  <c r="BY650" i="35"/>
  <c r="BX650" i="35"/>
  <c r="BW650" i="35"/>
  <c r="BV650" i="35"/>
  <c r="BU650" i="35"/>
  <c r="BT650" i="35"/>
  <c r="BS650" i="35"/>
  <c r="BR650" i="35"/>
  <c r="BQ650" i="35"/>
  <c r="BP650" i="35"/>
  <c r="BO650" i="35"/>
  <c r="BN650" i="35"/>
  <c r="BM650" i="35"/>
  <c r="BL650" i="35"/>
  <c r="BK650" i="35"/>
  <c r="BJ650" i="35"/>
  <c r="BI650" i="35"/>
  <c r="BH650" i="35"/>
  <c r="BG650" i="35"/>
  <c r="BF650" i="35"/>
  <c r="BE650" i="35"/>
  <c r="BD650" i="35"/>
  <c r="BC650" i="35"/>
  <c r="BB650" i="35"/>
  <c r="BA650" i="35"/>
  <c r="AZ650" i="35"/>
  <c r="AY650" i="35"/>
  <c r="AX650" i="35"/>
  <c r="AW650" i="35"/>
  <c r="AV650" i="35"/>
  <c r="AU650" i="35"/>
  <c r="AT650" i="35"/>
  <c r="AS650" i="35"/>
  <c r="AR650" i="35"/>
  <c r="AQ650" i="35"/>
  <c r="AP650" i="35"/>
  <c r="AO650" i="35"/>
  <c r="AN650" i="35"/>
  <c r="AM650" i="35"/>
  <c r="AL650" i="35"/>
  <c r="AK650" i="35"/>
  <c r="AJ650" i="35"/>
  <c r="AI650" i="35"/>
  <c r="AH650" i="35"/>
  <c r="AC650" i="35"/>
  <c r="A650" i="35"/>
  <c r="A651" i="35" s="1"/>
  <c r="A652" i="35" s="1"/>
  <c r="A653" i="35" s="1"/>
  <c r="A654" i="35" s="1"/>
  <c r="A655" i="35" s="1"/>
  <c r="A656" i="35" s="1"/>
  <c r="A657" i="35" s="1"/>
  <c r="A658" i="35" s="1"/>
  <c r="A659" i="35" s="1"/>
  <c r="A660" i="35" s="1"/>
  <c r="A661" i="35" s="1"/>
  <c r="A662" i="35" s="1"/>
  <c r="A663" i="35" s="1"/>
  <c r="AF649" i="35"/>
  <c r="AE649" i="35"/>
  <c r="AD649" i="35"/>
  <c r="AC649" i="35"/>
  <c r="AB649" i="35"/>
  <c r="AB650" i="35" s="1"/>
  <c r="J649" i="35"/>
  <c r="D649" i="35"/>
  <c r="H649" i="35" s="1"/>
  <c r="AF648" i="35"/>
  <c r="AE648" i="35"/>
  <c r="AE650" i="35" s="1"/>
  <c r="AD648" i="35"/>
  <c r="AD650" i="35" s="1"/>
  <c r="AC648" i="35"/>
  <c r="AB648" i="35"/>
  <c r="J648" i="35"/>
  <c r="D648" i="35"/>
  <c r="A647" i="35"/>
  <c r="A648" i="35" s="1"/>
  <c r="A649" i="35" s="1"/>
  <c r="L645" i="35"/>
  <c r="F645" i="35"/>
  <c r="D645" i="35"/>
  <c r="AF615" i="35"/>
  <c r="AE615" i="35"/>
  <c r="AD615" i="35"/>
  <c r="AC615" i="35"/>
  <c r="AB615" i="35"/>
  <c r="AF614" i="35"/>
  <c r="AE614" i="35"/>
  <c r="AD614" i="35"/>
  <c r="AC614" i="35"/>
  <c r="AB614" i="35"/>
  <c r="J614" i="35"/>
  <c r="D614" i="35"/>
  <c r="H614" i="35" s="1"/>
  <c r="AF613" i="35"/>
  <c r="AE613" i="35"/>
  <c r="AD613" i="35"/>
  <c r="AC613" i="35"/>
  <c r="AB613" i="35"/>
  <c r="AF611" i="35"/>
  <c r="AE611" i="35"/>
  <c r="AD611" i="35"/>
  <c r="AC611" i="35"/>
  <c r="AB611" i="35"/>
  <c r="CO610" i="35"/>
  <c r="CN610" i="35"/>
  <c r="CM610" i="35"/>
  <c r="CL610" i="35"/>
  <c r="CK610" i="35"/>
  <c r="CJ610" i="35"/>
  <c r="CI610" i="35"/>
  <c r="CH610" i="35"/>
  <c r="CG610" i="35"/>
  <c r="CF610" i="35"/>
  <c r="CE610" i="35"/>
  <c r="CD610" i="35"/>
  <c r="CC610" i="35"/>
  <c r="CB610" i="35"/>
  <c r="CA610" i="35"/>
  <c r="BZ610" i="35"/>
  <c r="BY610" i="35"/>
  <c r="BX610" i="35"/>
  <c r="BW610" i="35"/>
  <c r="BV610" i="35"/>
  <c r="BU610" i="35"/>
  <c r="BT610" i="35"/>
  <c r="BS610" i="35"/>
  <c r="BR610" i="35"/>
  <c r="BQ610" i="35"/>
  <c r="BP610" i="35"/>
  <c r="BO610" i="35"/>
  <c r="BN610" i="35"/>
  <c r="BM610" i="35"/>
  <c r="BL610" i="35"/>
  <c r="BK610" i="35"/>
  <c r="BJ610" i="35"/>
  <c r="BI610" i="35"/>
  <c r="BH610" i="35"/>
  <c r="BG610" i="35"/>
  <c r="BF610" i="35"/>
  <c r="BE610" i="35"/>
  <c r="BD610" i="35"/>
  <c r="BC610" i="35"/>
  <c r="BB610" i="35"/>
  <c r="BA610" i="35"/>
  <c r="AZ610" i="35"/>
  <c r="AY610" i="35"/>
  <c r="AX610" i="35"/>
  <c r="AW610" i="35"/>
  <c r="AV610" i="35"/>
  <c r="AU610" i="35"/>
  <c r="AT610" i="35"/>
  <c r="AS610" i="35"/>
  <c r="AR610" i="35"/>
  <c r="AQ610" i="35"/>
  <c r="AP610" i="35"/>
  <c r="AO610" i="35"/>
  <c r="AN610" i="35"/>
  <c r="AM610" i="35"/>
  <c r="AL610" i="35"/>
  <c r="AK610" i="35"/>
  <c r="AJ610" i="35"/>
  <c r="AI610" i="35"/>
  <c r="AH610" i="35"/>
  <c r="AF610" i="35"/>
  <c r="AE610" i="35"/>
  <c r="AC610" i="35"/>
  <c r="AB610" i="35"/>
  <c r="AF609" i="35"/>
  <c r="AE609" i="35"/>
  <c r="AD609" i="35"/>
  <c r="AC609" i="35"/>
  <c r="AB609" i="35"/>
  <c r="J609" i="35"/>
  <c r="D609" i="35"/>
  <c r="H609" i="35" s="1"/>
  <c r="AF608" i="35"/>
  <c r="AE608" i="35"/>
  <c r="AD608" i="35"/>
  <c r="AC608" i="35"/>
  <c r="AB608" i="35"/>
  <c r="J608" i="35"/>
  <c r="D608" i="35"/>
  <c r="H608" i="35" s="1"/>
  <c r="AD604" i="35"/>
  <c r="AF603" i="35"/>
  <c r="AE603" i="35"/>
  <c r="AD603" i="35"/>
  <c r="AC603" i="35"/>
  <c r="AB603" i="35"/>
  <c r="D603" i="35"/>
  <c r="AF602" i="35"/>
  <c r="AE602" i="35"/>
  <c r="AD602" i="35"/>
  <c r="AC602" i="35"/>
  <c r="AB602" i="35"/>
  <c r="D602" i="35"/>
  <c r="H602" i="35" s="1"/>
  <c r="AF601" i="35"/>
  <c r="AE601" i="35"/>
  <c r="AD601" i="35"/>
  <c r="AC601" i="35"/>
  <c r="AB601" i="35"/>
  <c r="AF600" i="35"/>
  <c r="AE600" i="35"/>
  <c r="AD600" i="35"/>
  <c r="AC600" i="35"/>
  <c r="AB600" i="35"/>
  <c r="D600" i="35"/>
  <c r="H600" i="35" s="1"/>
  <c r="AF599" i="35"/>
  <c r="AE599" i="35"/>
  <c r="AD599" i="35"/>
  <c r="AC599" i="35"/>
  <c r="AB599" i="35"/>
  <c r="D599" i="35"/>
  <c r="H599" i="35" s="1"/>
  <c r="AF595" i="35"/>
  <c r="AE595" i="35"/>
  <c r="AE604" i="35" s="1"/>
  <c r="AD595" i="35"/>
  <c r="AC595" i="35"/>
  <c r="AB595" i="35"/>
  <c r="AB604" i="35" s="1"/>
  <c r="J595" i="35"/>
  <c r="N595" i="35" s="1"/>
  <c r="D595" i="35"/>
  <c r="AF594" i="35"/>
  <c r="AF604" i="35" s="1"/>
  <c r="AE594" i="35"/>
  <c r="AD594" i="35"/>
  <c r="AC594" i="35"/>
  <c r="AB594" i="35"/>
  <c r="J594" i="35"/>
  <c r="D594" i="35"/>
  <c r="AF591" i="35"/>
  <c r="AE591" i="35"/>
  <c r="AD591" i="35"/>
  <c r="AC591" i="35"/>
  <c r="AB591" i="35"/>
  <c r="CO590" i="35"/>
  <c r="CN590" i="35"/>
  <c r="CM590" i="35"/>
  <c r="CL590" i="35"/>
  <c r="CK590" i="35"/>
  <c r="CJ590" i="35"/>
  <c r="CI590" i="35"/>
  <c r="CH590" i="35"/>
  <c r="CG590" i="35"/>
  <c r="CF590" i="35"/>
  <c r="CE590" i="35"/>
  <c r="CD590" i="35"/>
  <c r="CC590" i="35"/>
  <c r="CB590" i="35"/>
  <c r="CA590" i="35"/>
  <c r="BZ590" i="35"/>
  <c r="BY590" i="35"/>
  <c r="BX590" i="35"/>
  <c r="BW590" i="35"/>
  <c r="BV590" i="35"/>
  <c r="BU590" i="35"/>
  <c r="BT590" i="35"/>
  <c r="BS590" i="35"/>
  <c r="BR590" i="35"/>
  <c r="BQ590" i="35"/>
  <c r="BP590" i="35"/>
  <c r="BO590" i="35"/>
  <c r="BN590" i="35"/>
  <c r="BM590" i="35"/>
  <c r="BL590" i="35"/>
  <c r="BK590" i="35"/>
  <c r="BJ590" i="35"/>
  <c r="BI590" i="35"/>
  <c r="BH590" i="35"/>
  <c r="BG590" i="35"/>
  <c r="BF590" i="35"/>
  <c r="BE590" i="35"/>
  <c r="BD590" i="35"/>
  <c r="BC590" i="35"/>
  <c r="BB590" i="35"/>
  <c r="BA590" i="35"/>
  <c r="AZ590" i="35"/>
  <c r="AY590" i="35"/>
  <c r="AX590" i="35"/>
  <c r="AW590" i="35"/>
  <c r="AV590" i="35"/>
  <c r="AU590" i="35"/>
  <c r="AT590" i="35"/>
  <c r="AS590" i="35"/>
  <c r="AR590" i="35"/>
  <c r="AQ590" i="35"/>
  <c r="AP590" i="35"/>
  <c r="AO590" i="35"/>
  <c r="AN590" i="35"/>
  <c r="AM590" i="35"/>
  <c r="AL590" i="35"/>
  <c r="AK590" i="35"/>
  <c r="AJ590" i="35"/>
  <c r="AI590" i="35"/>
  <c r="AH590" i="35"/>
  <c r="AC590" i="35"/>
  <c r="AB590" i="35"/>
  <c r="AF589" i="35"/>
  <c r="AE589" i="35"/>
  <c r="AD589" i="35"/>
  <c r="AC589" i="35"/>
  <c r="AB589" i="35"/>
  <c r="J589" i="35"/>
  <c r="D589" i="35"/>
  <c r="H589" i="35" s="1"/>
  <c r="AF588" i="35"/>
  <c r="AE588" i="35"/>
  <c r="AD588" i="35"/>
  <c r="AC588" i="35"/>
  <c r="AB588" i="35"/>
  <c r="J588" i="35"/>
  <c r="D588" i="35"/>
  <c r="H588" i="35" s="1"/>
  <c r="AF587" i="35"/>
  <c r="AE587" i="35"/>
  <c r="AE590" i="35" s="1"/>
  <c r="AD587" i="35"/>
  <c r="AD590" i="35" s="1"/>
  <c r="AC587" i="35"/>
  <c r="AB587" i="35"/>
  <c r="J587" i="35"/>
  <c r="D587" i="35"/>
  <c r="H587" i="35" s="1"/>
  <c r="A587" i="35"/>
  <c r="A588" i="35" s="1"/>
  <c r="A589" i="35" s="1"/>
  <c r="A590" i="35" s="1"/>
  <c r="A591" i="35" s="1"/>
  <c r="A592" i="35" s="1"/>
  <c r="A593" i="35" s="1"/>
  <c r="A594" i="35" s="1"/>
  <c r="A595" i="35" s="1"/>
  <c r="A596" i="35" s="1"/>
  <c r="A597" i="35" s="1"/>
  <c r="A598" i="35" s="1"/>
  <c r="A599" i="35" s="1"/>
  <c r="A600" i="35" s="1"/>
  <c r="A601" i="35" s="1"/>
  <c r="A602" i="35" s="1"/>
  <c r="A603" i="35" s="1"/>
  <c r="A604" i="35" s="1"/>
  <c r="A605" i="35" s="1"/>
  <c r="A606" i="35" s="1"/>
  <c r="A607" i="35" s="1"/>
  <c r="A608" i="35" s="1"/>
  <c r="A609" i="35" s="1"/>
  <c r="A610" i="35" s="1"/>
  <c r="A611" i="35" s="1"/>
  <c r="A612" i="35" s="1"/>
  <c r="A586" i="35"/>
  <c r="L584" i="35"/>
  <c r="F584" i="35"/>
  <c r="D584" i="35"/>
  <c r="AF533" i="35"/>
  <c r="AE533" i="35"/>
  <c r="AD533" i="35"/>
  <c r="AC533" i="35"/>
  <c r="AB533" i="35"/>
  <c r="AF532" i="35"/>
  <c r="AE532" i="35"/>
  <c r="AD532" i="35"/>
  <c r="AC532" i="35"/>
  <c r="AB532" i="35"/>
  <c r="J532" i="35"/>
  <c r="D532" i="35"/>
  <c r="AF529" i="35"/>
  <c r="AE529" i="35"/>
  <c r="AD529" i="35"/>
  <c r="AC529" i="35"/>
  <c r="AB529" i="35"/>
  <c r="CO528" i="35"/>
  <c r="CN528" i="35"/>
  <c r="CM528" i="35"/>
  <c r="CL528" i="35"/>
  <c r="CK528" i="35"/>
  <c r="CJ528" i="35"/>
  <c r="CI528" i="35"/>
  <c r="CH528" i="35"/>
  <c r="CG528" i="35"/>
  <c r="CF528" i="35"/>
  <c r="CE528" i="35"/>
  <c r="CD528" i="35"/>
  <c r="CC528" i="35"/>
  <c r="CB528" i="35"/>
  <c r="CA528" i="35"/>
  <c r="BZ528" i="35"/>
  <c r="BY528" i="35"/>
  <c r="BX528" i="35"/>
  <c r="BW528" i="35"/>
  <c r="BV528" i="35"/>
  <c r="BU528" i="35"/>
  <c r="BT528" i="35"/>
  <c r="BS528" i="35"/>
  <c r="BR528" i="35"/>
  <c r="BQ528" i="35"/>
  <c r="BP528" i="35"/>
  <c r="BO528" i="35"/>
  <c r="BN528" i="35"/>
  <c r="BM528" i="35"/>
  <c r="BL528" i="35"/>
  <c r="BK528" i="35"/>
  <c r="BJ528" i="35"/>
  <c r="BI528" i="35"/>
  <c r="BH528" i="35"/>
  <c r="BG528" i="35"/>
  <c r="BF528" i="35"/>
  <c r="BE528" i="35"/>
  <c r="BD528" i="35"/>
  <c r="BC528" i="35"/>
  <c r="BB528" i="35"/>
  <c r="BA528" i="35"/>
  <c r="AZ528" i="35"/>
  <c r="AY528" i="35"/>
  <c r="AX528" i="35"/>
  <c r="AW528" i="35"/>
  <c r="AV528" i="35"/>
  <c r="AU528" i="35"/>
  <c r="AT528" i="35"/>
  <c r="AS528" i="35"/>
  <c r="AR528" i="35"/>
  <c r="AQ528" i="35"/>
  <c r="AP528" i="35"/>
  <c r="AO528" i="35"/>
  <c r="AN528" i="35"/>
  <c r="AM528" i="35"/>
  <c r="AL528" i="35"/>
  <c r="AK528" i="35"/>
  <c r="AJ528" i="35"/>
  <c r="AI528" i="35"/>
  <c r="AH528" i="35"/>
  <c r="AC528" i="35"/>
  <c r="AF527" i="35"/>
  <c r="AE527" i="35"/>
  <c r="AD527" i="35"/>
  <c r="AD528" i="35" s="1"/>
  <c r="AC527" i="35"/>
  <c r="AB527" i="35"/>
  <c r="J527" i="35"/>
  <c r="D527" i="35"/>
  <c r="H527" i="35" s="1"/>
  <c r="AF526" i="35"/>
  <c r="AF528" i="35" s="1"/>
  <c r="AE526" i="35"/>
  <c r="AD526" i="35"/>
  <c r="AC526" i="35"/>
  <c r="AB526" i="35"/>
  <c r="AB528" i="35" s="1"/>
  <c r="J526" i="35"/>
  <c r="D526" i="35"/>
  <c r="A525" i="35"/>
  <c r="A526" i="35" s="1"/>
  <c r="A527" i="35" s="1"/>
  <c r="A528" i="35" s="1"/>
  <c r="A529" i="35" s="1"/>
  <c r="A530" i="35" s="1"/>
  <c r="A531" i="35" s="1"/>
  <c r="A532" i="35" s="1"/>
  <c r="A533" i="35" s="1"/>
  <c r="A534" i="35" s="1"/>
  <c r="A535" i="35" s="1"/>
  <c r="A536" i="35" s="1"/>
  <c r="L523" i="35"/>
  <c r="F523" i="35"/>
  <c r="D523" i="35"/>
  <c r="AF486" i="35"/>
  <c r="AE486" i="35"/>
  <c r="AD486" i="35"/>
  <c r="AC486" i="35"/>
  <c r="AB486" i="35"/>
  <c r="AF485" i="35"/>
  <c r="AE485" i="35"/>
  <c r="AD485" i="35"/>
  <c r="AC485" i="35"/>
  <c r="AB485" i="35"/>
  <c r="AF483" i="35"/>
  <c r="AE483" i="35"/>
  <c r="AD483" i="35"/>
  <c r="AC483" i="35"/>
  <c r="AB483" i="35"/>
  <c r="CO482" i="35"/>
  <c r="CN482" i="35"/>
  <c r="CM482" i="35"/>
  <c r="CL482" i="35"/>
  <c r="CK482" i="35"/>
  <c r="CJ482" i="35"/>
  <c r="CI482" i="35"/>
  <c r="CH482" i="35"/>
  <c r="CG482" i="35"/>
  <c r="CF482" i="35"/>
  <c r="CE482" i="35"/>
  <c r="CD482" i="35"/>
  <c r="CC482" i="35"/>
  <c r="CB482" i="35"/>
  <c r="CA482" i="35"/>
  <c r="BZ482" i="35"/>
  <c r="BY482" i="35"/>
  <c r="BX482" i="35"/>
  <c r="BW482" i="35"/>
  <c r="BV482" i="35"/>
  <c r="BU482" i="35"/>
  <c r="BT482" i="35"/>
  <c r="BS482" i="35"/>
  <c r="BR482" i="35"/>
  <c r="BQ482" i="35"/>
  <c r="BP482" i="35"/>
  <c r="BO482" i="35"/>
  <c r="BN482" i="35"/>
  <c r="BM482" i="35"/>
  <c r="BL482" i="35"/>
  <c r="BK482" i="35"/>
  <c r="BJ482" i="35"/>
  <c r="BI482" i="35"/>
  <c r="BH482" i="35"/>
  <c r="BG482" i="35"/>
  <c r="BF482" i="35"/>
  <c r="BE482" i="35"/>
  <c r="BD482" i="35"/>
  <c r="BC482" i="35"/>
  <c r="BB482" i="35"/>
  <c r="BA482" i="35"/>
  <c r="AZ482" i="35"/>
  <c r="AY482" i="35"/>
  <c r="AX482" i="35"/>
  <c r="AW482" i="35"/>
  <c r="AV482" i="35"/>
  <c r="AU482" i="35"/>
  <c r="AT482" i="35"/>
  <c r="AS482" i="35"/>
  <c r="AR482" i="35"/>
  <c r="AQ482" i="35"/>
  <c r="AP482" i="35"/>
  <c r="AO482" i="35"/>
  <c r="AN482" i="35"/>
  <c r="AM482" i="35"/>
  <c r="AL482" i="35"/>
  <c r="AK482" i="35"/>
  <c r="AJ482" i="35"/>
  <c r="AI482" i="35"/>
  <c r="AH482" i="35"/>
  <c r="H481" i="35"/>
  <c r="AF480" i="35"/>
  <c r="AE480" i="35"/>
  <c r="AD480" i="35"/>
  <c r="AC480" i="35"/>
  <c r="AB480" i="35"/>
  <c r="AF479" i="35"/>
  <c r="AE479" i="35"/>
  <c r="AD479" i="35"/>
  <c r="AC479" i="35"/>
  <c r="AB479" i="35"/>
  <c r="AF476" i="35"/>
  <c r="AE476" i="35"/>
  <c r="AD476" i="35"/>
  <c r="AC476" i="35"/>
  <c r="AB476" i="35"/>
  <c r="H476" i="35"/>
  <c r="AF475" i="35"/>
  <c r="AF482" i="35" s="1"/>
  <c r="AE475" i="35"/>
  <c r="AD475" i="35"/>
  <c r="AC475" i="35"/>
  <c r="AB475" i="35"/>
  <c r="T473" i="35"/>
  <c r="AF472" i="35"/>
  <c r="AE472" i="35"/>
  <c r="AD472" i="35"/>
  <c r="AC472" i="35"/>
  <c r="AB472" i="35"/>
  <c r="T472" i="35"/>
  <c r="AF471" i="35"/>
  <c r="AE471" i="35"/>
  <c r="AD471" i="35"/>
  <c r="AC471" i="35"/>
  <c r="AB471" i="35"/>
  <c r="T471" i="35"/>
  <c r="AF468" i="35"/>
  <c r="AE468" i="35"/>
  <c r="AD468" i="35"/>
  <c r="AC468" i="35"/>
  <c r="AB468" i="35"/>
  <c r="D468" i="35"/>
  <c r="AF467" i="35"/>
  <c r="AE467" i="35"/>
  <c r="AD467" i="35"/>
  <c r="AC467" i="35"/>
  <c r="AC482" i="35" s="1"/>
  <c r="AB467" i="35"/>
  <c r="AB482" i="35" s="1"/>
  <c r="D467" i="35"/>
  <c r="AF466" i="35"/>
  <c r="AE466" i="35"/>
  <c r="AE482" i="35" s="1"/>
  <c r="AD466" i="35"/>
  <c r="AD482" i="35" s="1"/>
  <c r="AC466" i="35"/>
  <c r="AB466" i="35"/>
  <c r="D466" i="35"/>
  <c r="A465" i="35"/>
  <c r="A466" i="35" s="1"/>
  <c r="A467" i="35" s="1"/>
  <c r="A468" i="35" s="1"/>
  <c r="A469" i="35" s="1"/>
  <c r="A470" i="35" s="1"/>
  <c r="A471" i="35" s="1"/>
  <c r="A472" i="35" s="1"/>
  <c r="A473" i="35" s="1"/>
  <c r="A474" i="35" s="1"/>
  <c r="A475" i="35" s="1"/>
  <c r="A476" i="35" s="1"/>
  <c r="A477" i="35" s="1"/>
  <c r="A478" i="35" s="1"/>
  <c r="A479" i="35" s="1"/>
  <c r="A480" i="35" s="1"/>
  <c r="A481" i="35" s="1"/>
  <c r="A482" i="35" s="1"/>
  <c r="A483" i="35" s="1"/>
  <c r="A484" i="35" s="1"/>
  <c r="A485" i="35" s="1"/>
  <c r="A486" i="35" s="1"/>
  <c r="A487" i="35" s="1"/>
  <c r="A488" i="35" s="1"/>
  <c r="A489" i="35" s="1"/>
  <c r="A490" i="35" s="1"/>
  <c r="A491" i="35" s="1"/>
  <c r="A492" i="35" s="1"/>
  <c r="A493" i="35" s="1"/>
  <c r="A494" i="35" s="1"/>
  <c r="A495" i="35" s="1"/>
  <c r="A496" i="35" s="1"/>
  <c r="A497" i="35" s="1"/>
  <c r="A498" i="35" s="1"/>
  <c r="A499" i="35" s="1"/>
  <c r="A500" i="35" s="1"/>
  <c r="A501" i="35" s="1"/>
  <c r="A502" i="35" s="1"/>
  <c r="A503" i="35" s="1"/>
  <c r="A504" i="35" s="1"/>
  <c r="A505" i="35" s="1"/>
  <c r="A506" i="35" s="1"/>
  <c r="A507" i="35" s="1"/>
  <c r="A508" i="35" s="1"/>
  <c r="L463" i="35"/>
  <c r="F463" i="35"/>
  <c r="D463" i="35"/>
  <c r="AF449" i="35"/>
  <c r="AE449" i="35"/>
  <c r="AD449" i="35"/>
  <c r="AC449" i="35"/>
  <c r="AB449" i="35"/>
  <c r="AF448" i="35"/>
  <c r="AE448" i="35"/>
  <c r="AD448" i="35"/>
  <c r="AC448" i="35"/>
  <c r="AB448" i="35"/>
  <c r="CO438" i="35"/>
  <c r="CN438" i="35"/>
  <c r="CM438" i="35"/>
  <c r="CL438" i="35"/>
  <c r="CK438" i="35"/>
  <c r="CJ438" i="35"/>
  <c r="CI438" i="35"/>
  <c r="CH438" i="35"/>
  <c r="CG438" i="35"/>
  <c r="CF438" i="35"/>
  <c r="CE438" i="35"/>
  <c r="CD438" i="35"/>
  <c r="CC438" i="35"/>
  <c r="CB438" i="35"/>
  <c r="CA438" i="35"/>
  <c r="BZ438" i="35"/>
  <c r="BY438" i="35"/>
  <c r="BX438" i="35"/>
  <c r="BW438" i="35"/>
  <c r="BV438" i="35"/>
  <c r="BU438" i="35"/>
  <c r="BT438" i="35"/>
  <c r="BS438" i="35"/>
  <c r="BR438" i="35"/>
  <c r="BQ438" i="35"/>
  <c r="BP438" i="35"/>
  <c r="BO438" i="35"/>
  <c r="BN438" i="35"/>
  <c r="BM438" i="35"/>
  <c r="BL438" i="35"/>
  <c r="BK438" i="35"/>
  <c r="BJ438" i="35"/>
  <c r="BI438" i="35"/>
  <c r="BH438" i="35"/>
  <c r="BG438" i="35"/>
  <c r="BF438" i="35"/>
  <c r="BE438" i="35"/>
  <c r="BD438" i="35"/>
  <c r="BC438" i="35"/>
  <c r="BB438" i="35"/>
  <c r="BA438" i="35"/>
  <c r="AZ438" i="35"/>
  <c r="AY438" i="35"/>
  <c r="AX438" i="35"/>
  <c r="AW438" i="35"/>
  <c r="AV438" i="35"/>
  <c r="AU438" i="35"/>
  <c r="AT438" i="35"/>
  <c r="AS438" i="35"/>
  <c r="AR438" i="35"/>
  <c r="AQ438" i="35"/>
  <c r="AP438" i="35"/>
  <c r="AO438" i="35"/>
  <c r="AN438" i="35"/>
  <c r="AM438" i="35"/>
  <c r="AL438" i="35"/>
  <c r="AK438" i="35"/>
  <c r="AJ438" i="35"/>
  <c r="AI438" i="35"/>
  <c r="AH438" i="35"/>
  <c r="J437" i="35"/>
  <c r="D437" i="35"/>
  <c r="H437" i="35" s="1"/>
  <c r="CO436" i="35"/>
  <c r="CN436" i="35"/>
  <c r="CM436" i="35"/>
  <c r="CL436" i="35"/>
  <c r="CK436" i="35"/>
  <c r="CJ436" i="35"/>
  <c r="CI436" i="35"/>
  <c r="CH436" i="35"/>
  <c r="CG436" i="35"/>
  <c r="CF436" i="35"/>
  <c r="CE436" i="35"/>
  <c r="CD436" i="35"/>
  <c r="CC436" i="35"/>
  <c r="CB436" i="35"/>
  <c r="CA436" i="35"/>
  <c r="BZ436" i="35"/>
  <c r="BY436" i="35"/>
  <c r="BX436" i="35"/>
  <c r="BW436" i="35"/>
  <c r="BV436" i="35"/>
  <c r="BU436" i="35"/>
  <c r="BT436" i="35"/>
  <c r="BS436" i="35"/>
  <c r="BR436" i="35"/>
  <c r="BQ436" i="35"/>
  <c r="BP436" i="35"/>
  <c r="BO436" i="35"/>
  <c r="BN436" i="35"/>
  <c r="BM436" i="35"/>
  <c r="BL436" i="35"/>
  <c r="BK436" i="35"/>
  <c r="BJ436" i="35"/>
  <c r="BI436" i="35"/>
  <c r="BH436" i="35"/>
  <c r="BG436" i="35"/>
  <c r="BF436" i="35"/>
  <c r="BE436" i="35"/>
  <c r="BD436" i="35"/>
  <c r="BC436" i="35"/>
  <c r="BB436" i="35"/>
  <c r="BA436" i="35"/>
  <c r="AZ436" i="35"/>
  <c r="AY436" i="35"/>
  <c r="AX436" i="35"/>
  <c r="AW436" i="35"/>
  <c r="AV436" i="35"/>
  <c r="AU436" i="35"/>
  <c r="AT436" i="35"/>
  <c r="AS436" i="35"/>
  <c r="AR436" i="35"/>
  <c r="AQ436" i="35"/>
  <c r="AP436" i="35"/>
  <c r="AO436" i="35"/>
  <c r="AN436" i="35"/>
  <c r="AM436" i="35"/>
  <c r="AL436" i="35"/>
  <c r="AK436" i="35"/>
  <c r="AJ436" i="35"/>
  <c r="AI436" i="35"/>
  <c r="AH436" i="35"/>
  <c r="AF435" i="35"/>
  <c r="AE435" i="35"/>
  <c r="AD435" i="35"/>
  <c r="AC435" i="35"/>
  <c r="AB435" i="35"/>
  <c r="J435" i="35"/>
  <c r="D435" i="35"/>
  <c r="H435" i="35" s="1"/>
  <c r="J434" i="35"/>
  <c r="D434" i="35"/>
  <c r="H434" i="35" s="1"/>
  <c r="AF433" i="35"/>
  <c r="AE433" i="35"/>
  <c r="AD433" i="35"/>
  <c r="AC433" i="35"/>
  <c r="AB433" i="35"/>
  <c r="J433" i="35"/>
  <c r="D433" i="35"/>
  <c r="H433" i="35" s="1"/>
  <c r="J431" i="35"/>
  <c r="N431" i="35" s="1"/>
  <c r="H431" i="35"/>
  <c r="J430" i="35"/>
  <c r="N430" i="35" s="1"/>
  <c r="H430" i="35"/>
  <c r="AF429" i="35"/>
  <c r="AE429" i="35"/>
  <c r="AD429" i="35"/>
  <c r="AC429" i="35"/>
  <c r="AB429" i="35"/>
  <c r="J429" i="35"/>
  <c r="D429" i="35"/>
  <c r="H429" i="35" s="1"/>
  <c r="J428" i="35"/>
  <c r="D428" i="35"/>
  <c r="H428" i="35" s="1"/>
  <c r="AF427" i="35"/>
  <c r="AE427" i="35"/>
  <c r="AD427" i="35"/>
  <c r="AC427" i="35"/>
  <c r="AB427" i="35"/>
  <c r="J427" i="35"/>
  <c r="D427" i="35"/>
  <c r="H427" i="35" s="1"/>
  <c r="AF425" i="35"/>
  <c r="AE425" i="35"/>
  <c r="AD425" i="35"/>
  <c r="AC425" i="35"/>
  <c r="AB425" i="35"/>
  <c r="J425" i="35"/>
  <c r="D425" i="35"/>
  <c r="H425" i="35" s="1"/>
  <c r="J424" i="35"/>
  <c r="D424" i="35"/>
  <c r="H424" i="35" s="1"/>
  <c r="AF423" i="35"/>
  <c r="AE423" i="35"/>
  <c r="AD423" i="35"/>
  <c r="AC423" i="35"/>
  <c r="AB423" i="35"/>
  <c r="J423" i="35"/>
  <c r="D423" i="35"/>
  <c r="H423" i="35" s="1"/>
  <c r="AF422" i="35"/>
  <c r="AE422" i="35"/>
  <c r="AD422" i="35"/>
  <c r="AC422" i="35"/>
  <c r="AB422" i="35"/>
  <c r="AF420" i="35"/>
  <c r="AE420" i="35"/>
  <c r="AD420" i="35"/>
  <c r="AC420" i="35"/>
  <c r="AB420" i="35"/>
  <c r="J420" i="35"/>
  <c r="D420" i="35"/>
  <c r="H420" i="35" s="1"/>
  <c r="A420" i="35"/>
  <c r="A421" i="35" s="1"/>
  <c r="A422" i="35" s="1"/>
  <c r="A423" i="35" s="1"/>
  <c r="A424" i="35" s="1"/>
  <c r="A425" i="35" s="1"/>
  <c r="A426" i="35" s="1"/>
  <c r="A427" i="35" s="1"/>
  <c r="A428" i="35" s="1"/>
  <c r="A429" i="35" s="1"/>
  <c r="A430" i="35" s="1"/>
  <c r="A431" i="35" s="1"/>
  <c r="A432" i="35" s="1"/>
  <c r="A433" i="35" s="1"/>
  <c r="A434" i="35" s="1"/>
  <c r="A435" i="35" s="1"/>
  <c r="A436" i="35" s="1"/>
  <c r="A437" i="35" s="1"/>
  <c r="A438" i="35" s="1"/>
  <c r="A439" i="35" s="1"/>
  <c r="A440" i="35" s="1"/>
  <c r="A441" i="35" s="1"/>
  <c r="A442" i="35" s="1"/>
  <c r="A443" i="35" s="1"/>
  <c r="A444" i="35" s="1"/>
  <c r="A445" i="35" s="1"/>
  <c r="A446" i="35" s="1"/>
  <c r="A447" i="35" s="1"/>
  <c r="A448" i="35" s="1"/>
  <c r="AF419" i="35"/>
  <c r="AE419" i="35"/>
  <c r="AD419" i="35"/>
  <c r="AC419" i="35"/>
  <c r="AB419" i="35"/>
  <c r="J419" i="35"/>
  <c r="D419" i="35"/>
  <c r="H419" i="35" s="1"/>
  <c r="AF418" i="35"/>
  <c r="AE418" i="35"/>
  <c r="AD418" i="35"/>
  <c r="AC418" i="35"/>
  <c r="AB418" i="35"/>
  <c r="AB438" i="35" s="1"/>
  <c r="J418" i="35"/>
  <c r="D418" i="35"/>
  <c r="H418" i="35" s="1"/>
  <c r="AF417" i="35"/>
  <c r="AE417" i="35"/>
  <c r="AE438" i="35" s="1"/>
  <c r="AD417" i="35"/>
  <c r="AC417" i="35"/>
  <c r="AB417" i="35"/>
  <c r="J417" i="35"/>
  <c r="D417" i="35"/>
  <c r="AF414" i="35"/>
  <c r="AE414" i="35"/>
  <c r="AD414" i="35"/>
  <c r="AC414" i="35"/>
  <c r="AB414" i="35"/>
  <c r="CO413" i="35"/>
  <c r="CN413" i="35"/>
  <c r="CM413" i="35"/>
  <c r="CL413" i="35"/>
  <c r="CK413" i="35"/>
  <c r="CJ413" i="35"/>
  <c r="CI413" i="35"/>
  <c r="CH413" i="35"/>
  <c r="CG413" i="35"/>
  <c r="CF413" i="35"/>
  <c r="CE413" i="35"/>
  <c r="CD413" i="35"/>
  <c r="CC413" i="35"/>
  <c r="CB413" i="35"/>
  <c r="CA413" i="35"/>
  <c r="BZ413" i="35"/>
  <c r="BY413" i="35"/>
  <c r="BX413" i="35"/>
  <c r="BW413" i="35"/>
  <c r="BV413" i="35"/>
  <c r="BU413" i="35"/>
  <c r="BT413" i="35"/>
  <c r="BS413" i="35"/>
  <c r="BR413" i="35"/>
  <c r="BQ413" i="35"/>
  <c r="BP413" i="35"/>
  <c r="BO413" i="35"/>
  <c r="BN413" i="35"/>
  <c r="BM413" i="35"/>
  <c r="BL413" i="35"/>
  <c r="BK413" i="35"/>
  <c r="BJ413" i="35"/>
  <c r="BI413" i="35"/>
  <c r="BH413" i="35"/>
  <c r="BG413" i="35"/>
  <c r="BF413" i="35"/>
  <c r="BE413" i="35"/>
  <c r="BD413" i="35"/>
  <c r="BC413" i="35"/>
  <c r="BB413" i="35"/>
  <c r="BA413" i="35"/>
  <c r="AZ413" i="35"/>
  <c r="AY413" i="35"/>
  <c r="AX413" i="35"/>
  <c r="AW413" i="35"/>
  <c r="AV413" i="35"/>
  <c r="AU413" i="35"/>
  <c r="AT413" i="35"/>
  <c r="AS413" i="35"/>
  <c r="AR413" i="35"/>
  <c r="AQ413" i="35"/>
  <c r="AP413" i="35"/>
  <c r="AO413" i="35"/>
  <c r="AN413" i="35"/>
  <c r="AM413" i="35"/>
  <c r="AL413" i="35"/>
  <c r="AK413" i="35"/>
  <c r="AJ413" i="35"/>
  <c r="AI413" i="35"/>
  <c r="AH413" i="35"/>
  <c r="AD413" i="35"/>
  <c r="AB413" i="35"/>
  <c r="AF412" i="35"/>
  <c r="AE412" i="35"/>
  <c r="AD412" i="35"/>
  <c r="AC412" i="35"/>
  <c r="AB412" i="35"/>
  <c r="J412" i="35"/>
  <c r="D412" i="35"/>
  <c r="H412" i="35" s="1"/>
  <c r="AF411" i="35"/>
  <c r="AE411" i="35"/>
  <c r="AD411" i="35"/>
  <c r="AC411" i="35"/>
  <c r="AB411" i="35"/>
  <c r="J411" i="35"/>
  <c r="D411" i="35"/>
  <c r="H411" i="35" s="1"/>
  <c r="AF410" i="35"/>
  <c r="AE410" i="35"/>
  <c r="AD410" i="35"/>
  <c r="AC410" i="35"/>
  <c r="AC413" i="35" s="1"/>
  <c r="AB410" i="35"/>
  <c r="J410" i="35"/>
  <c r="D410" i="35"/>
  <c r="H410" i="35" s="1"/>
  <c r="AF408" i="35"/>
  <c r="AE408" i="35"/>
  <c r="AD408" i="35"/>
  <c r="AC408" i="35"/>
  <c r="AB408" i="35"/>
  <c r="J408" i="35"/>
  <c r="D408" i="35"/>
  <c r="AF407" i="35"/>
  <c r="AE407" i="35"/>
  <c r="AD407" i="35"/>
  <c r="AC407" i="35"/>
  <c r="AB407" i="35"/>
  <c r="J407" i="35"/>
  <c r="D407" i="35"/>
  <c r="H407" i="35" s="1"/>
  <c r="A407" i="35"/>
  <c r="A408" i="35" s="1"/>
  <c r="A409" i="35" s="1"/>
  <c r="A410" i="35" s="1"/>
  <c r="A411" i="35" s="1"/>
  <c r="A412" i="35" s="1"/>
  <c r="A413" i="35" s="1"/>
  <c r="A414" i="35" s="1"/>
  <c r="A415" i="35" s="1"/>
  <c r="A416" i="35" s="1"/>
  <c r="A417" i="35" s="1"/>
  <c r="A418" i="35" s="1"/>
  <c r="A419" i="35" s="1"/>
  <c r="AF406" i="35"/>
  <c r="AF413" i="35" s="1"/>
  <c r="AE406" i="35"/>
  <c r="AD406" i="35"/>
  <c r="AC406" i="35"/>
  <c r="AB406" i="35"/>
  <c r="J406" i="35"/>
  <c r="D406" i="35"/>
  <c r="H406" i="35" s="1"/>
  <c r="A406" i="35"/>
  <c r="A405" i="35"/>
  <c r="L403" i="35"/>
  <c r="F403" i="35"/>
  <c r="D403" i="35"/>
  <c r="AF371" i="35"/>
  <c r="AE371" i="35"/>
  <c r="AD371" i="35"/>
  <c r="AC371" i="35"/>
  <c r="AB371" i="35"/>
  <c r="N371" i="35"/>
  <c r="H371" i="35"/>
  <c r="AF370" i="35"/>
  <c r="AE370" i="35"/>
  <c r="AD370" i="35"/>
  <c r="AC370" i="35"/>
  <c r="AB370" i="35"/>
  <c r="AF369" i="35"/>
  <c r="AE369" i="35"/>
  <c r="AD369" i="35"/>
  <c r="AC369" i="35"/>
  <c r="AB369" i="35"/>
  <c r="AF366" i="35"/>
  <c r="AE366" i="35"/>
  <c r="AD366" i="35"/>
  <c r="AC366" i="35"/>
  <c r="AB366" i="35"/>
  <c r="CO365" i="35"/>
  <c r="CN365" i="35"/>
  <c r="CM365" i="35"/>
  <c r="CL365" i="35"/>
  <c r="CK365" i="35"/>
  <c r="CJ365" i="35"/>
  <c r="CI365" i="35"/>
  <c r="CH365" i="35"/>
  <c r="CG365" i="35"/>
  <c r="CF365" i="35"/>
  <c r="CE365" i="35"/>
  <c r="CD365" i="35"/>
  <c r="CC365" i="35"/>
  <c r="CB365" i="35"/>
  <c r="CA365" i="35"/>
  <c r="BZ365" i="35"/>
  <c r="BY365" i="35"/>
  <c r="BX365" i="35"/>
  <c r="BW365" i="35"/>
  <c r="BV365" i="35"/>
  <c r="BU365" i="35"/>
  <c r="BT365" i="35"/>
  <c r="BS365" i="35"/>
  <c r="BR365" i="35"/>
  <c r="BQ365" i="35"/>
  <c r="BP365" i="35"/>
  <c r="BO365" i="35"/>
  <c r="BN365" i="35"/>
  <c r="BM365" i="35"/>
  <c r="BL365" i="35"/>
  <c r="BK365" i="35"/>
  <c r="BJ365" i="35"/>
  <c r="BI365" i="35"/>
  <c r="BH365" i="35"/>
  <c r="BG365" i="35"/>
  <c r="BF365" i="35"/>
  <c r="BE365" i="35"/>
  <c r="BD365" i="35"/>
  <c r="BC365" i="35"/>
  <c r="BB365" i="35"/>
  <c r="BA365" i="35"/>
  <c r="AZ365" i="35"/>
  <c r="AY365" i="35"/>
  <c r="AX365" i="35"/>
  <c r="AW365" i="35"/>
  <c r="AV365" i="35"/>
  <c r="AU365" i="35"/>
  <c r="AT365" i="35"/>
  <c r="AS365" i="35"/>
  <c r="AR365" i="35"/>
  <c r="AQ365" i="35"/>
  <c r="AP365" i="35"/>
  <c r="AO365" i="35"/>
  <c r="AN365" i="35"/>
  <c r="AM365" i="35"/>
  <c r="AL365" i="35"/>
  <c r="AK365" i="35"/>
  <c r="AJ365" i="35"/>
  <c r="AI365" i="35"/>
  <c r="AH365" i="35"/>
  <c r="AF363" i="35"/>
  <c r="AE363" i="35"/>
  <c r="AE365" i="35" s="1"/>
  <c r="AD363" i="35"/>
  <c r="AC363" i="35"/>
  <c r="AB363" i="35"/>
  <c r="AF362" i="35"/>
  <c r="AE362" i="35"/>
  <c r="AD362" i="35"/>
  <c r="AC362" i="35"/>
  <c r="AB362" i="35"/>
  <c r="H362" i="35"/>
  <c r="AF359" i="35"/>
  <c r="AE359" i="35"/>
  <c r="AD359" i="35"/>
  <c r="AC359" i="35"/>
  <c r="AB359" i="35"/>
  <c r="H359" i="35"/>
  <c r="AF358" i="35"/>
  <c r="AE358" i="35"/>
  <c r="AD358" i="35"/>
  <c r="AC358" i="35"/>
  <c r="AB358" i="35"/>
  <c r="H358" i="35"/>
  <c r="H356" i="35"/>
  <c r="AF355" i="35"/>
  <c r="AE355" i="35"/>
  <c r="AD355" i="35"/>
  <c r="AC355" i="35"/>
  <c r="AB355" i="35"/>
  <c r="T355" i="35"/>
  <c r="H355" i="35"/>
  <c r="AF354" i="35"/>
  <c r="AE354" i="35"/>
  <c r="AD354" i="35"/>
  <c r="AC354" i="35"/>
  <c r="AB354" i="35"/>
  <c r="T354" i="35"/>
  <c r="AF351" i="35"/>
  <c r="AE351" i="35"/>
  <c r="AD351" i="35"/>
  <c r="AD365" i="35" s="1"/>
  <c r="AC351" i="35"/>
  <c r="AB351" i="35"/>
  <c r="J351" i="35"/>
  <c r="D351" i="35"/>
  <c r="AF350" i="35"/>
  <c r="AE350" i="35"/>
  <c r="AD350" i="35"/>
  <c r="AC350" i="35"/>
  <c r="AB350" i="35"/>
  <c r="J350" i="35"/>
  <c r="D350" i="35"/>
  <c r="AF349" i="35"/>
  <c r="AE349" i="35"/>
  <c r="AD349" i="35"/>
  <c r="AC349" i="35"/>
  <c r="AB349" i="35"/>
  <c r="AB365" i="35" s="1"/>
  <c r="J349" i="35"/>
  <c r="D349" i="35"/>
  <c r="H349" i="35" s="1"/>
  <c r="A347" i="35"/>
  <c r="A348" i="35" s="1"/>
  <c r="A349" i="35" s="1"/>
  <c r="A350" i="35" s="1"/>
  <c r="A351" i="35" s="1"/>
  <c r="A352" i="35" s="1"/>
  <c r="A353" i="35" s="1"/>
  <c r="A354" i="35" s="1"/>
  <c r="A355" i="35" s="1"/>
  <c r="A356" i="35" s="1"/>
  <c r="A357" i="35" s="1"/>
  <c r="A358" i="35" s="1"/>
  <c r="A359" i="35" s="1"/>
  <c r="A360" i="35" s="1"/>
  <c r="A361" i="35" s="1"/>
  <c r="A362" i="35" s="1"/>
  <c r="A363" i="35" s="1"/>
  <c r="A364" i="35" s="1"/>
  <c r="A365" i="35" s="1"/>
  <c r="A366" i="35" s="1"/>
  <c r="A367" i="35" s="1"/>
  <c r="A368" i="35" s="1"/>
  <c r="A369" i="35" s="1"/>
  <c r="A370" i="35" s="1"/>
  <c r="A371" i="35" s="1"/>
  <c r="A372" i="35" s="1"/>
  <c r="A373" i="35" s="1"/>
  <c r="A374" i="35" s="1"/>
  <c r="A375" i="35" s="1"/>
  <c r="A376" i="35" s="1"/>
  <c r="A377" i="35" s="1"/>
  <c r="A378" i="35" s="1"/>
  <c r="A379" i="35" s="1"/>
  <c r="A380" i="35" s="1"/>
  <c r="A381" i="35" s="1"/>
  <c r="A382" i="35" s="1"/>
  <c r="A383" i="35" s="1"/>
  <c r="A384" i="35" s="1"/>
  <c r="A385" i="35" s="1"/>
  <c r="A386" i="35" s="1"/>
  <c r="A387" i="35" s="1"/>
  <c r="A388" i="35" s="1"/>
  <c r="L345" i="35"/>
  <c r="F345" i="35"/>
  <c r="D345" i="35"/>
  <c r="AF325" i="35"/>
  <c r="AE325" i="35"/>
  <c r="AD325" i="35"/>
  <c r="AC325" i="35"/>
  <c r="AB325" i="35"/>
  <c r="AF324" i="35"/>
  <c r="AE324" i="35"/>
  <c r="AD324" i="35"/>
  <c r="AC324" i="35"/>
  <c r="AB324" i="35"/>
  <c r="CO323" i="35"/>
  <c r="CN323" i="35"/>
  <c r="CM323" i="35"/>
  <c r="CL323" i="35"/>
  <c r="CK323" i="35"/>
  <c r="CJ323" i="35"/>
  <c r="CI323" i="35"/>
  <c r="CH323" i="35"/>
  <c r="CG323" i="35"/>
  <c r="CF323" i="35"/>
  <c r="CE323" i="35"/>
  <c r="CD323" i="35"/>
  <c r="CC323" i="35"/>
  <c r="CB323" i="35"/>
  <c r="CA323" i="35"/>
  <c r="BZ323" i="35"/>
  <c r="BY323" i="35"/>
  <c r="BX323" i="35"/>
  <c r="BW323" i="35"/>
  <c r="BV323" i="35"/>
  <c r="BU323" i="35"/>
  <c r="BT323" i="35"/>
  <c r="BS323" i="35"/>
  <c r="BR323" i="35"/>
  <c r="BQ323" i="35"/>
  <c r="BP323" i="35"/>
  <c r="BO323" i="35"/>
  <c r="BN323" i="35"/>
  <c r="BM323" i="35"/>
  <c r="BL323" i="35"/>
  <c r="BK323" i="35"/>
  <c r="BJ323" i="35"/>
  <c r="BI323" i="35"/>
  <c r="BH323" i="35"/>
  <c r="BG323" i="35"/>
  <c r="BF323" i="35"/>
  <c r="BE323" i="35"/>
  <c r="BD323" i="35"/>
  <c r="BC323" i="35"/>
  <c r="BB323" i="35"/>
  <c r="BA323" i="35"/>
  <c r="AZ323" i="35"/>
  <c r="AY323" i="35"/>
  <c r="AX323" i="35"/>
  <c r="AW323" i="35"/>
  <c r="AV323" i="35"/>
  <c r="AU323" i="35"/>
  <c r="AT323" i="35"/>
  <c r="AS323" i="35"/>
  <c r="AR323" i="35"/>
  <c r="AQ323" i="35"/>
  <c r="AP323" i="35"/>
  <c r="AO323" i="35"/>
  <c r="AN323" i="35"/>
  <c r="AM323" i="35"/>
  <c r="AL323" i="35"/>
  <c r="AK323" i="35"/>
  <c r="AJ323" i="35"/>
  <c r="AI323" i="35"/>
  <c r="AH323" i="35"/>
  <c r="AB323" i="35"/>
  <c r="AF321" i="35"/>
  <c r="AE321" i="35"/>
  <c r="AD321" i="35"/>
  <c r="AC321" i="35"/>
  <c r="AB321" i="35"/>
  <c r="J321" i="35"/>
  <c r="D321" i="35"/>
  <c r="H321" i="35" s="1"/>
  <c r="J320" i="35"/>
  <c r="J322" i="35" s="1"/>
  <c r="D320" i="35"/>
  <c r="H320" i="35" s="1"/>
  <c r="AF319" i="35"/>
  <c r="AE319" i="35"/>
  <c r="AD319" i="35"/>
  <c r="AC319" i="35"/>
  <c r="AB319" i="35"/>
  <c r="J319" i="35"/>
  <c r="D319" i="35"/>
  <c r="H319" i="35" s="1"/>
  <c r="AF316" i="35"/>
  <c r="AE316" i="35"/>
  <c r="AD316" i="35"/>
  <c r="AC316" i="35"/>
  <c r="AB316" i="35"/>
  <c r="J316" i="35"/>
  <c r="D316" i="35"/>
  <c r="H316" i="35" s="1"/>
  <c r="J315" i="35"/>
  <c r="J317" i="35" s="1"/>
  <c r="D315" i="35"/>
  <c r="H315" i="35" s="1"/>
  <c r="AF314" i="35"/>
  <c r="AE314" i="35"/>
  <c r="AD314" i="35"/>
  <c r="AC314" i="35"/>
  <c r="AB314" i="35"/>
  <c r="J314" i="35"/>
  <c r="D314" i="35"/>
  <c r="H314" i="35" s="1"/>
  <c r="AF312" i="35"/>
  <c r="AE312" i="35"/>
  <c r="AD312" i="35"/>
  <c r="AC312" i="35"/>
  <c r="AB312" i="35"/>
  <c r="J312" i="35"/>
  <c r="D312" i="35"/>
  <c r="H312" i="35" s="1"/>
  <c r="J311" i="35"/>
  <c r="D311" i="35"/>
  <c r="H311" i="35" s="1"/>
  <c r="AF310" i="35"/>
  <c r="AE310" i="35"/>
  <c r="AD310" i="35"/>
  <c r="AC310" i="35"/>
  <c r="AB310" i="35"/>
  <c r="J310" i="35"/>
  <c r="D310" i="35"/>
  <c r="H310" i="35" s="1"/>
  <c r="J307" i="35"/>
  <c r="D307" i="35"/>
  <c r="H307" i="35" s="1"/>
  <c r="AF306" i="35"/>
  <c r="AE306" i="35"/>
  <c r="AD306" i="35"/>
  <c r="AC306" i="35"/>
  <c r="AB306" i="35"/>
  <c r="J306" i="35"/>
  <c r="D306" i="35"/>
  <c r="H306" i="35" s="1"/>
  <c r="AF305" i="35"/>
  <c r="AF323" i="35" s="1"/>
  <c r="AE305" i="35"/>
  <c r="AD305" i="35"/>
  <c r="AC305" i="35"/>
  <c r="AC323" i="35" s="1"/>
  <c r="AB305" i="35"/>
  <c r="J305" i="35"/>
  <c r="D305" i="35"/>
  <c r="H305" i="35" s="1"/>
  <c r="AF304" i="35"/>
  <c r="AE304" i="35"/>
  <c r="AD304" i="35"/>
  <c r="AD323" i="35" s="1"/>
  <c r="AC304" i="35"/>
  <c r="AB304" i="35"/>
  <c r="J304" i="35"/>
  <c r="H304" i="35"/>
  <c r="D304" i="35"/>
  <c r="AF301" i="35"/>
  <c r="AE301" i="35"/>
  <c r="AD301" i="35"/>
  <c r="AC301" i="35"/>
  <c r="AB301" i="35"/>
  <c r="CO300" i="35"/>
  <c r="CN300" i="35"/>
  <c r="CM300" i="35"/>
  <c r="CL300" i="35"/>
  <c r="CK300" i="35"/>
  <c r="CJ300" i="35"/>
  <c r="CI300" i="35"/>
  <c r="CH300" i="35"/>
  <c r="CG300" i="35"/>
  <c r="CF300" i="35"/>
  <c r="CE300" i="35"/>
  <c r="CD300" i="35"/>
  <c r="CC300" i="35"/>
  <c r="CB300" i="35"/>
  <c r="CA300" i="35"/>
  <c r="BZ300" i="35"/>
  <c r="BY300" i="35"/>
  <c r="BX300" i="35"/>
  <c r="BW300" i="35"/>
  <c r="BV300" i="35"/>
  <c r="BU300" i="35"/>
  <c r="BT300" i="35"/>
  <c r="BS300" i="35"/>
  <c r="BR300" i="35"/>
  <c r="BQ300" i="35"/>
  <c r="BP300" i="35"/>
  <c r="BO300" i="35"/>
  <c r="BN300" i="35"/>
  <c r="BM300" i="35"/>
  <c r="BL300" i="35"/>
  <c r="BK300" i="35"/>
  <c r="BJ300" i="35"/>
  <c r="BI300" i="35"/>
  <c r="BH300" i="35"/>
  <c r="BG300" i="35"/>
  <c r="BF300" i="35"/>
  <c r="BE300" i="35"/>
  <c r="BD300" i="35"/>
  <c r="BC300" i="35"/>
  <c r="BB300" i="35"/>
  <c r="BA300" i="35"/>
  <c r="AZ300" i="35"/>
  <c r="AY300" i="35"/>
  <c r="AX300" i="35"/>
  <c r="AW300" i="35"/>
  <c r="AV300" i="35"/>
  <c r="AU300" i="35"/>
  <c r="AT300" i="35"/>
  <c r="AS300" i="35"/>
  <c r="AR300" i="35"/>
  <c r="AQ300" i="35"/>
  <c r="AP300" i="35"/>
  <c r="AO300" i="35"/>
  <c r="AN300" i="35"/>
  <c r="AM300" i="35"/>
  <c r="AL300" i="35"/>
  <c r="AK300" i="35"/>
  <c r="AJ300" i="35"/>
  <c r="AI300" i="35"/>
  <c r="AH300" i="35"/>
  <c r="AE300" i="35"/>
  <c r="AD300" i="35"/>
  <c r="AC300" i="35"/>
  <c r="AF299" i="35"/>
  <c r="AE299" i="35"/>
  <c r="AD299" i="35"/>
  <c r="AC299" i="35"/>
  <c r="AB299" i="35"/>
  <c r="J299" i="35"/>
  <c r="D299" i="35"/>
  <c r="H299" i="35" s="1"/>
  <c r="AF298" i="35"/>
  <c r="AF300" i="35" s="1"/>
  <c r="AE298" i="35"/>
  <c r="AD298" i="35"/>
  <c r="AC298" i="35"/>
  <c r="AB298" i="35"/>
  <c r="J298" i="35"/>
  <c r="D298" i="35"/>
  <c r="H298" i="35" s="1"/>
  <c r="AF297" i="35"/>
  <c r="AE297" i="35"/>
  <c r="AD297" i="35"/>
  <c r="AC297" i="35"/>
  <c r="AB297" i="35"/>
  <c r="J297" i="35"/>
  <c r="D297" i="35"/>
  <c r="H297" i="35" s="1"/>
  <c r="AF295" i="35"/>
  <c r="AE295" i="35"/>
  <c r="AD295" i="35"/>
  <c r="AC295" i="35"/>
  <c r="AB295" i="35"/>
  <c r="J295" i="35"/>
  <c r="D295" i="35"/>
  <c r="H295" i="35" s="1"/>
  <c r="AF294" i="35"/>
  <c r="AE294" i="35"/>
  <c r="AD294" i="35"/>
  <c r="AC294" i="35"/>
  <c r="AB294" i="35"/>
  <c r="J294" i="35"/>
  <c r="D294" i="35"/>
  <c r="AF293" i="35"/>
  <c r="AE293" i="35"/>
  <c r="AD293" i="35"/>
  <c r="AC293" i="35"/>
  <c r="AB293" i="35"/>
  <c r="J293" i="35"/>
  <c r="D293" i="35"/>
  <c r="H293" i="35" s="1"/>
  <c r="A291" i="35"/>
  <c r="A292" i="35" s="1"/>
  <c r="A293" i="35" s="1"/>
  <c r="A294" i="35" s="1"/>
  <c r="A295" i="35" s="1"/>
  <c r="A296" i="35" s="1"/>
  <c r="A297" i="35" s="1"/>
  <c r="A298" i="35" s="1"/>
  <c r="A299" i="35" s="1"/>
  <c r="A300" i="35" s="1"/>
  <c r="A301" i="35" s="1"/>
  <c r="A302" i="35" s="1"/>
  <c r="A303" i="35" s="1"/>
  <c r="A304" i="35" s="1"/>
  <c r="A305" i="35" s="1"/>
  <c r="A306" i="35" s="1"/>
  <c r="A307" i="35" s="1"/>
  <c r="A308" i="35" s="1"/>
  <c r="A309" i="35" s="1"/>
  <c r="A310" i="35" s="1"/>
  <c r="A311" i="35" s="1"/>
  <c r="A312" i="35" s="1"/>
  <c r="A313" i="35" s="1"/>
  <c r="A314" i="35" s="1"/>
  <c r="A315" i="35" s="1"/>
  <c r="A316" i="35" s="1"/>
  <c r="A317" i="35" s="1"/>
  <c r="A318" i="35" s="1"/>
  <c r="A319" i="35" s="1"/>
  <c r="A320" i="35" s="1"/>
  <c r="A321" i="35" s="1"/>
  <c r="A322" i="35" s="1"/>
  <c r="A323" i="35" s="1"/>
  <c r="A324" i="35" s="1"/>
  <c r="A325" i="35" s="1"/>
  <c r="A326" i="35" s="1"/>
  <c r="A327" i="35" s="1"/>
  <c r="A328" i="35" s="1"/>
  <c r="A329" i="35" s="1"/>
  <c r="A330" i="35" s="1"/>
  <c r="L289" i="35"/>
  <c r="F289" i="35"/>
  <c r="D289" i="35"/>
  <c r="H260" i="35"/>
  <c r="N260" i="35" s="1"/>
  <c r="AF256" i="35"/>
  <c r="AE256" i="35"/>
  <c r="AD256" i="35"/>
  <c r="AC256" i="35"/>
  <c r="AB256" i="35"/>
  <c r="AF255" i="35"/>
  <c r="AE255" i="35"/>
  <c r="AD255" i="35"/>
  <c r="AC255" i="35"/>
  <c r="AB255" i="35"/>
  <c r="AF253" i="35"/>
  <c r="AE253" i="35"/>
  <c r="AD253" i="35"/>
  <c r="AC253" i="35"/>
  <c r="AB253" i="35"/>
  <c r="CO252" i="35"/>
  <c r="CN252" i="35"/>
  <c r="CM252" i="35"/>
  <c r="CL252" i="35"/>
  <c r="CK252" i="35"/>
  <c r="CJ252" i="35"/>
  <c r="CI252" i="35"/>
  <c r="CH252" i="35"/>
  <c r="CG252" i="35"/>
  <c r="CF252" i="35"/>
  <c r="CE252" i="35"/>
  <c r="CD252" i="35"/>
  <c r="CC252" i="35"/>
  <c r="CB252" i="35"/>
  <c r="CA252" i="35"/>
  <c r="BZ252" i="35"/>
  <c r="BY252" i="35"/>
  <c r="BX252" i="35"/>
  <c r="BW252" i="35"/>
  <c r="BV252" i="35"/>
  <c r="BU252" i="35"/>
  <c r="BT252" i="35"/>
  <c r="BS252" i="35"/>
  <c r="BR252" i="35"/>
  <c r="BQ252" i="35"/>
  <c r="BP252" i="35"/>
  <c r="BO252" i="35"/>
  <c r="BN252" i="35"/>
  <c r="BM252" i="35"/>
  <c r="BL252" i="35"/>
  <c r="BK252" i="35"/>
  <c r="BJ252" i="35"/>
  <c r="BI252" i="35"/>
  <c r="BH252" i="35"/>
  <c r="BG252" i="35"/>
  <c r="BF252" i="35"/>
  <c r="BE252" i="35"/>
  <c r="BD252" i="35"/>
  <c r="BC252" i="35"/>
  <c r="BB252" i="35"/>
  <c r="BA252" i="35"/>
  <c r="AZ252" i="35"/>
  <c r="AY252" i="35"/>
  <c r="AX252" i="35"/>
  <c r="AW252" i="35"/>
  <c r="AV252" i="35"/>
  <c r="AU252" i="35"/>
  <c r="AT252" i="35"/>
  <c r="AS252" i="35"/>
  <c r="AR252" i="35"/>
  <c r="AQ252" i="35"/>
  <c r="AP252" i="35"/>
  <c r="AO252" i="35"/>
  <c r="AN252" i="35"/>
  <c r="AM252" i="35"/>
  <c r="AL252" i="35"/>
  <c r="AK252" i="35"/>
  <c r="AJ252" i="35"/>
  <c r="AI252" i="35"/>
  <c r="AH252" i="35"/>
  <c r="AD252" i="35"/>
  <c r="AF250" i="35"/>
  <c r="AE250" i="35"/>
  <c r="AD250" i="35"/>
  <c r="AC250" i="35"/>
  <c r="AB250" i="35"/>
  <c r="A250" i="35"/>
  <c r="A251" i="35" s="1"/>
  <c r="A252" i="35" s="1"/>
  <c r="A253" i="35" s="1"/>
  <c r="A254" i="35" s="1"/>
  <c r="A255" i="35" s="1"/>
  <c r="A256" i="35" s="1"/>
  <c r="A257" i="35" s="1"/>
  <c r="A258" i="35" s="1"/>
  <c r="A259" i="35" s="1"/>
  <c r="A260" i="35" s="1"/>
  <c r="A261" i="35" s="1"/>
  <c r="A262" i="35" s="1"/>
  <c r="A263" i="35" s="1"/>
  <c r="A264" i="35" s="1"/>
  <c r="A265" i="35" s="1"/>
  <c r="A266" i="35" s="1"/>
  <c r="A267" i="35" s="1"/>
  <c r="A268" i="35" s="1"/>
  <c r="A269" i="35" s="1"/>
  <c r="A270" i="35" s="1"/>
  <c r="A271" i="35" s="1"/>
  <c r="A272" i="35" s="1"/>
  <c r="A273" i="35" s="1"/>
  <c r="A274" i="35" s="1"/>
  <c r="AF249" i="35"/>
  <c r="AE249" i="35"/>
  <c r="AD249" i="35"/>
  <c r="AC249" i="35"/>
  <c r="AB249" i="35"/>
  <c r="AF248" i="35"/>
  <c r="AE248" i="35"/>
  <c r="AD248" i="35"/>
  <c r="AC248" i="35"/>
  <c r="AF246" i="35"/>
  <c r="AE246" i="35"/>
  <c r="AD246" i="35"/>
  <c r="AC246" i="35"/>
  <c r="AB246" i="35"/>
  <c r="AF245" i="35"/>
  <c r="AE245" i="35"/>
  <c r="AD245" i="35"/>
  <c r="AC245" i="35"/>
  <c r="AB245" i="35"/>
  <c r="AF244" i="35"/>
  <c r="AE244" i="35"/>
  <c r="AD244" i="35"/>
  <c r="AC244" i="35"/>
  <c r="AF242" i="35"/>
  <c r="AE242" i="35"/>
  <c r="AD242" i="35"/>
  <c r="AC242" i="35"/>
  <c r="AB242" i="35"/>
  <c r="T242" i="35"/>
  <c r="AF241" i="35"/>
  <c r="AE241" i="35"/>
  <c r="AD241" i="35"/>
  <c r="AC241" i="35"/>
  <c r="AB241" i="35"/>
  <c r="T241" i="35"/>
  <c r="AF238" i="35"/>
  <c r="AE238" i="35"/>
  <c r="AD238" i="35"/>
  <c r="AC238" i="35"/>
  <c r="AB238" i="35"/>
  <c r="J238" i="35"/>
  <c r="D238" i="35"/>
  <c r="A238" i="35"/>
  <c r="A239" i="35" s="1"/>
  <c r="A240" i="35" s="1"/>
  <c r="A241" i="35" s="1"/>
  <c r="A242" i="35" s="1"/>
  <c r="A243" i="35" s="1"/>
  <c r="A244" i="35" s="1"/>
  <c r="A245" i="35" s="1"/>
  <c r="A246" i="35" s="1"/>
  <c r="A247" i="35" s="1"/>
  <c r="A248" i="35" s="1"/>
  <c r="A249" i="35" s="1"/>
  <c r="AF237" i="35"/>
  <c r="AE237" i="35"/>
  <c r="AD237" i="35"/>
  <c r="AC237" i="35"/>
  <c r="AB237" i="35"/>
  <c r="J237" i="35"/>
  <c r="D237" i="35"/>
  <c r="AF236" i="35"/>
  <c r="AE236" i="35"/>
  <c r="AE252" i="35" s="1"/>
  <c r="AD236" i="35"/>
  <c r="AC236" i="35"/>
  <c r="AB236" i="35"/>
  <c r="J236" i="35"/>
  <c r="D236" i="35"/>
  <c r="H236" i="35" s="1"/>
  <c r="A234" i="35"/>
  <c r="A235" i="35" s="1"/>
  <c r="A236" i="35" s="1"/>
  <c r="A237" i="35" s="1"/>
  <c r="L232" i="35"/>
  <c r="F232" i="35"/>
  <c r="D232" i="35"/>
  <c r="AF213" i="35"/>
  <c r="AE213" i="35"/>
  <c r="AD213" i="35"/>
  <c r="AC213" i="35"/>
  <c r="AB213" i="35"/>
  <c r="AF212" i="35"/>
  <c r="AE212" i="35"/>
  <c r="AD212" i="35"/>
  <c r="AC212" i="35"/>
  <c r="AB212" i="35"/>
  <c r="CO211" i="35"/>
  <c r="CN211" i="35"/>
  <c r="CM211" i="35"/>
  <c r="CL211" i="35"/>
  <c r="CK211" i="35"/>
  <c r="CJ211" i="35"/>
  <c r="CI211" i="35"/>
  <c r="CH211" i="35"/>
  <c r="CG211" i="35"/>
  <c r="CF211" i="35"/>
  <c r="CE211" i="35"/>
  <c r="CD211" i="35"/>
  <c r="CC211" i="35"/>
  <c r="CB211" i="35"/>
  <c r="CA211" i="35"/>
  <c r="BZ211" i="35"/>
  <c r="BY211" i="35"/>
  <c r="BX211" i="35"/>
  <c r="BW211" i="35"/>
  <c r="BV211" i="35"/>
  <c r="BU211" i="35"/>
  <c r="BT211" i="35"/>
  <c r="BS211" i="35"/>
  <c r="BR211" i="35"/>
  <c r="BQ211" i="35"/>
  <c r="BP211" i="35"/>
  <c r="BO211" i="35"/>
  <c r="BN211" i="35"/>
  <c r="BM211" i="35"/>
  <c r="BL211" i="35"/>
  <c r="BK211" i="35"/>
  <c r="BJ211" i="35"/>
  <c r="BI211" i="35"/>
  <c r="BH211" i="35"/>
  <c r="BG211" i="35"/>
  <c r="BF211" i="35"/>
  <c r="BE211" i="35"/>
  <c r="BD211" i="35"/>
  <c r="BC211" i="35"/>
  <c r="BB211" i="35"/>
  <c r="BA211" i="35"/>
  <c r="AZ211" i="35"/>
  <c r="AY211" i="35"/>
  <c r="AX211" i="35"/>
  <c r="AW211" i="35"/>
  <c r="AV211" i="35"/>
  <c r="AU211" i="35"/>
  <c r="AT211" i="35"/>
  <c r="AS211" i="35"/>
  <c r="AR211" i="35"/>
  <c r="AQ211" i="35"/>
  <c r="AP211" i="35"/>
  <c r="AO211" i="35"/>
  <c r="AN211" i="35"/>
  <c r="AM211" i="35"/>
  <c r="AL211" i="35"/>
  <c r="AK211" i="35"/>
  <c r="AJ211" i="35"/>
  <c r="AI211" i="35"/>
  <c r="AH211" i="35"/>
  <c r="AC211" i="35"/>
  <c r="AF210" i="35"/>
  <c r="AE210" i="35"/>
  <c r="AD210" i="35"/>
  <c r="AC210" i="35"/>
  <c r="AB210" i="35"/>
  <c r="J210" i="35"/>
  <c r="D210" i="35"/>
  <c r="H210" i="35" s="1"/>
  <c r="AF207" i="35"/>
  <c r="AE207" i="35"/>
  <c r="AD207" i="35"/>
  <c r="AC207" i="35"/>
  <c r="AB207" i="35"/>
  <c r="J207" i="35"/>
  <c r="D207" i="35"/>
  <c r="H207" i="35" s="1"/>
  <c r="AF206" i="35"/>
  <c r="AE206" i="35"/>
  <c r="AD206" i="35"/>
  <c r="AC206" i="35"/>
  <c r="AB206" i="35"/>
  <c r="J206" i="35"/>
  <c r="J208" i="35" s="1"/>
  <c r="D206" i="35"/>
  <c r="H206" i="35" s="1"/>
  <c r="AF205" i="35"/>
  <c r="AE205" i="35"/>
  <c r="AD205" i="35"/>
  <c r="AC205" i="35"/>
  <c r="AB205" i="35"/>
  <c r="J205" i="35"/>
  <c r="H205" i="35"/>
  <c r="D205" i="35"/>
  <c r="AF202" i="35"/>
  <c r="AE202" i="35"/>
  <c r="AD202" i="35"/>
  <c r="AC202" i="35"/>
  <c r="AB202" i="35"/>
  <c r="J202" i="35"/>
  <c r="D202" i="35"/>
  <c r="J201" i="35"/>
  <c r="J203" i="35" s="1"/>
  <c r="D201" i="35"/>
  <c r="H201" i="35" s="1"/>
  <c r="AF200" i="35"/>
  <c r="AE200" i="35"/>
  <c r="AD200" i="35"/>
  <c r="AC200" i="35"/>
  <c r="AB200" i="35"/>
  <c r="J200" i="35"/>
  <c r="D200" i="35"/>
  <c r="H200" i="35" s="1"/>
  <c r="J198" i="35"/>
  <c r="H198" i="35"/>
  <c r="AF197" i="35"/>
  <c r="AE197" i="35"/>
  <c r="AD197" i="35"/>
  <c r="AC197" i="35"/>
  <c r="AB197" i="35"/>
  <c r="J197" i="35"/>
  <c r="D197" i="35"/>
  <c r="H197" i="35" s="1"/>
  <c r="T196" i="35"/>
  <c r="J196" i="35"/>
  <c r="D196" i="35"/>
  <c r="AF195" i="35"/>
  <c r="AE195" i="35"/>
  <c r="AD195" i="35"/>
  <c r="AC195" i="35"/>
  <c r="AB195" i="35"/>
  <c r="J195" i="35"/>
  <c r="D195" i="35"/>
  <c r="J192" i="35"/>
  <c r="D192" i="35"/>
  <c r="H192" i="35" s="1"/>
  <c r="J191" i="35"/>
  <c r="D191" i="35"/>
  <c r="H191" i="35" s="1"/>
  <c r="AF190" i="35"/>
  <c r="AE190" i="35"/>
  <c r="AD190" i="35"/>
  <c r="AC190" i="35"/>
  <c r="AB190" i="35"/>
  <c r="J190" i="35"/>
  <c r="D190" i="35"/>
  <c r="H190" i="35" s="1"/>
  <c r="AF189" i="35"/>
  <c r="AE189" i="35"/>
  <c r="AE211" i="35" s="1"/>
  <c r="AD189" i="35"/>
  <c r="AD211" i="35" s="1"/>
  <c r="AC189" i="35"/>
  <c r="AB189" i="35"/>
  <c r="AB211" i="35" s="1"/>
  <c r="J189" i="35"/>
  <c r="D189" i="35"/>
  <c r="H189" i="35" s="1"/>
  <c r="AF186" i="35"/>
  <c r="AE186" i="35"/>
  <c r="AD186" i="35"/>
  <c r="AC186" i="35"/>
  <c r="AB186" i="35"/>
  <c r="CO185" i="35"/>
  <c r="CN185" i="35"/>
  <c r="CM185" i="35"/>
  <c r="CL185" i="35"/>
  <c r="CK185" i="35"/>
  <c r="CJ185" i="35"/>
  <c r="CI185" i="35"/>
  <c r="CH185" i="35"/>
  <c r="CG185" i="35"/>
  <c r="CF185" i="35"/>
  <c r="CE185" i="35"/>
  <c r="CD185" i="35"/>
  <c r="CC185" i="35"/>
  <c r="CB185" i="35"/>
  <c r="CA185" i="35"/>
  <c r="BZ185" i="35"/>
  <c r="BY185" i="35"/>
  <c r="BX185" i="35"/>
  <c r="BW185" i="35"/>
  <c r="BV185" i="35"/>
  <c r="BU185" i="35"/>
  <c r="BT185" i="35"/>
  <c r="BS185" i="35"/>
  <c r="BR185" i="35"/>
  <c r="BQ185" i="35"/>
  <c r="BP185" i="35"/>
  <c r="BO185" i="35"/>
  <c r="BN185" i="35"/>
  <c r="BM185" i="35"/>
  <c r="BL185" i="35"/>
  <c r="BK185" i="35"/>
  <c r="BJ185" i="35"/>
  <c r="BI185" i="35"/>
  <c r="BH185" i="35"/>
  <c r="BG185" i="35"/>
  <c r="BF185" i="35"/>
  <c r="BE185" i="35"/>
  <c r="BD185" i="35"/>
  <c r="BC185" i="35"/>
  <c r="BB185" i="35"/>
  <c r="BA185" i="35"/>
  <c r="AZ185" i="35"/>
  <c r="AY185" i="35"/>
  <c r="AX185" i="35"/>
  <c r="AW185" i="35"/>
  <c r="AV185" i="35"/>
  <c r="AU185" i="35"/>
  <c r="AT185" i="35"/>
  <c r="AS185" i="35"/>
  <c r="AR185" i="35"/>
  <c r="AQ185" i="35"/>
  <c r="AP185" i="35"/>
  <c r="AO185" i="35"/>
  <c r="AN185" i="35"/>
  <c r="AM185" i="35"/>
  <c r="AL185" i="35"/>
  <c r="AK185" i="35"/>
  <c r="AJ185" i="35"/>
  <c r="AI185" i="35"/>
  <c r="AH185" i="35"/>
  <c r="AF184" i="35"/>
  <c r="AE184" i="35"/>
  <c r="AD184" i="35"/>
  <c r="AC184" i="35"/>
  <c r="AB184" i="35"/>
  <c r="J184" i="35"/>
  <c r="F184" i="35"/>
  <c r="D184" i="35"/>
  <c r="AF183" i="35"/>
  <c r="AE183" i="35"/>
  <c r="AD183" i="35"/>
  <c r="AC183" i="35"/>
  <c r="AB183" i="35"/>
  <c r="J183" i="35"/>
  <c r="F183" i="35"/>
  <c r="D183" i="35"/>
  <c r="AF182" i="35"/>
  <c r="AE182" i="35"/>
  <c r="AD182" i="35"/>
  <c r="AC182" i="35"/>
  <c r="AB182" i="35"/>
  <c r="J182" i="35"/>
  <c r="F182" i="35"/>
  <c r="D182" i="35"/>
  <c r="A182" i="35"/>
  <c r="A183" i="35" s="1"/>
  <c r="A184" i="35" s="1"/>
  <c r="A185" i="35" s="1"/>
  <c r="A186" i="35" s="1"/>
  <c r="A187" i="35" s="1"/>
  <c r="A188" i="35" s="1"/>
  <c r="A189" i="35" s="1"/>
  <c r="A190" i="35" s="1"/>
  <c r="A191" i="35" s="1"/>
  <c r="A192" i="35" s="1"/>
  <c r="A193" i="35" s="1"/>
  <c r="A194" i="35" s="1"/>
  <c r="A195" i="35" s="1"/>
  <c r="A196" i="35" s="1"/>
  <c r="A197" i="35" s="1"/>
  <c r="A181" i="35"/>
  <c r="AF180" i="35"/>
  <c r="AE180" i="35"/>
  <c r="AD180" i="35"/>
  <c r="AC180" i="35"/>
  <c r="AB180" i="35"/>
  <c r="J180" i="35"/>
  <c r="D180" i="35"/>
  <c r="H180" i="35" s="1"/>
  <c r="AF179" i="35"/>
  <c r="AE179" i="35"/>
  <c r="AD179" i="35"/>
  <c r="AD185" i="35" s="1"/>
  <c r="AC179" i="35"/>
  <c r="AB179" i="35"/>
  <c r="AB185" i="35" s="1"/>
  <c r="J179" i="35"/>
  <c r="D179" i="35"/>
  <c r="H179" i="35" s="1"/>
  <c r="A179" i="35"/>
  <c r="A180" i="35" s="1"/>
  <c r="AF178" i="35"/>
  <c r="AF185" i="35" s="1"/>
  <c r="AE178" i="35"/>
  <c r="AE185" i="35" s="1"/>
  <c r="AD178" i="35"/>
  <c r="AC178" i="35"/>
  <c r="AB178" i="35"/>
  <c r="J178" i="35"/>
  <c r="D178" i="35"/>
  <c r="H178" i="35" s="1"/>
  <c r="A178" i="35"/>
  <c r="A177" i="35"/>
  <c r="L175" i="35"/>
  <c r="F175" i="35"/>
  <c r="D175" i="35"/>
  <c r="AF146" i="35"/>
  <c r="AE146" i="35"/>
  <c r="AD146" i="35"/>
  <c r="AC146" i="35"/>
  <c r="AB146" i="35"/>
  <c r="AF145" i="35"/>
  <c r="AE145" i="35"/>
  <c r="AD145" i="35"/>
  <c r="AC145" i="35"/>
  <c r="AB145" i="35"/>
  <c r="D145" i="35"/>
  <c r="AF142" i="35"/>
  <c r="AE142" i="35"/>
  <c r="AD142" i="35"/>
  <c r="AC142" i="35"/>
  <c r="AB142" i="35"/>
  <c r="CO141" i="35"/>
  <c r="CN141" i="35"/>
  <c r="CM141" i="35"/>
  <c r="CL141" i="35"/>
  <c r="CK141" i="35"/>
  <c r="CJ141" i="35"/>
  <c r="CI141" i="35"/>
  <c r="CH141" i="35"/>
  <c r="CG141" i="35"/>
  <c r="CF141" i="35"/>
  <c r="CE141" i="35"/>
  <c r="CD141" i="35"/>
  <c r="CC141" i="35"/>
  <c r="CB141" i="35"/>
  <c r="CA141" i="35"/>
  <c r="BZ141" i="35"/>
  <c r="BY141" i="35"/>
  <c r="BX141" i="35"/>
  <c r="BW141" i="35"/>
  <c r="BV141" i="35"/>
  <c r="BU141" i="35"/>
  <c r="BT141" i="35"/>
  <c r="BS141" i="35"/>
  <c r="BR141" i="35"/>
  <c r="BQ141" i="35"/>
  <c r="BP141" i="35"/>
  <c r="BO141" i="35"/>
  <c r="BN141" i="35"/>
  <c r="BM141" i="35"/>
  <c r="BL141" i="35"/>
  <c r="BK141" i="35"/>
  <c r="BJ141" i="35"/>
  <c r="BI141" i="35"/>
  <c r="BH141" i="35"/>
  <c r="BG141" i="35"/>
  <c r="BF141" i="35"/>
  <c r="BE141" i="35"/>
  <c r="BD141" i="35"/>
  <c r="BC141" i="35"/>
  <c r="BB141" i="35"/>
  <c r="BA141" i="35"/>
  <c r="AZ141" i="35"/>
  <c r="AY141" i="35"/>
  <c r="AX141" i="35"/>
  <c r="AW141" i="35"/>
  <c r="AV141" i="35"/>
  <c r="AU141" i="35"/>
  <c r="AT141" i="35"/>
  <c r="AS141" i="35"/>
  <c r="AR141" i="35"/>
  <c r="AQ141" i="35"/>
  <c r="AP141" i="35"/>
  <c r="AO141" i="35"/>
  <c r="AN141" i="35"/>
  <c r="AM141" i="35"/>
  <c r="AL141" i="35"/>
  <c r="AK141" i="35"/>
  <c r="AJ141" i="35"/>
  <c r="AI141" i="35"/>
  <c r="AH141" i="35"/>
  <c r="AC141" i="35"/>
  <c r="AF140" i="35"/>
  <c r="AE140" i="35"/>
  <c r="AD140" i="35"/>
  <c r="AD141" i="35" s="1"/>
  <c r="AC140" i="35"/>
  <c r="AB140" i="35"/>
  <c r="D140" i="35"/>
  <c r="H140" i="35" s="1"/>
  <c r="AF139" i="35"/>
  <c r="AF141" i="35" s="1"/>
  <c r="AE139" i="35"/>
  <c r="AE141" i="35" s="1"/>
  <c r="AD139" i="35"/>
  <c r="AC139" i="35"/>
  <c r="AB139" i="35"/>
  <c r="AB141" i="35" s="1"/>
  <c r="D139" i="35"/>
  <c r="A139" i="35"/>
  <c r="A140" i="35" s="1"/>
  <c r="A141" i="35" s="1"/>
  <c r="A142" i="35" s="1"/>
  <c r="A143" i="35" s="1"/>
  <c r="A144" i="35" s="1"/>
  <c r="A145" i="35" s="1"/>
  <c r="A146" i="35" s="1"/>
  <c r="A147" i="35" s="1"/>
  <c r="A148" i="35" s="1"/>
  <c r="A149" i="35" s="1"/>
  <c r="A137" i="35"/>
  <c r="A138" i="35" s="1"/>
  <c r="L135" i="35"/>
  <c r="F135" i="35"/>
  <c r="D135" i="35"/>
  <c r="AC112" i="35"/>
  <c r="AC110" i="35"/>
  <c r="H110" i="35"/>
  <c r="N110" i="35" s="1"/>
  <c r="AF105" i="35"/>
  <c r="AE105" i="35"/>
  <c r="AD105" i="35"/>
  <c r="AC105" i="35"/>
  <c r="AB105" i="35"/>
  <c r="CO104" i="35"/>
  <c r="CN104" i="35"/>
  <c r="CM104" i="35"/>
  <c r="CL104" i="35"/>
  <c r="CK104" i="35"/>
  <c r="CJ104" i="35"/>
  <c r="CI104" i="35"/>
  <c r="CH104" i="35"/>
  <c r="CG104" i="35"/>
  <c r="CF104" i="35"/>
  <c r="CE104" i="35"/>
  <c r="CD104" i="35"/>
  <c r="CC104" i="35"/>
  <c r="CB104" i="35"/>
  <c r="CA104" i="35"/>
  <c r="BZ104" i="35"/>
  <c r="BY104" i="35"/>
  <c r="BX104" i="35"/>
  <c r="BW104" i="35"/>
  <c r="BV104" i="35"/>
  <c r="BU104" i="35"/>
  <c r="BT104" i="35"/>
  <c r="BS104" i="35"/>
  <c r="BR104" i="35"/>
  <c r="BQ104" i="35"/>
  <c r="BP104" i="35"/>
  <c r="BO104" i="35"/>
  <c r="BN104" i="35"/>
  <c r="BM104" i="35"/>
  <c r="BL104" i="35"/>
  <c r="BK104" i="35"/>
  <c r="BJ104" i="35"/>
  <c r="BI104" i="35"/>
  <c r="BH104" i="35"/>
  <c r="BG104" i="35"/>
  <c r="BF104" i="35"/>
  <c r="BE104" i="35"/>
  <c r="BD104" i="35"/>
  <c r="BC104" i="35"/>
  <c r="BB104" i="35"/>
  <c r="BA104" i="35"/>
  <c r="AZ104" i="35"/>
  <c r="AY104" i="35"/>
  <c r="AX104" i="35"/>
  <c r="AW104" i="35"/>
  <c r="AV104" i="35"/>
  <c r="AU104" i="35"/>
  <c r="AT104" i="35"/>
  <c r="AS104" i="35"/>
  <c r="AR104" i="35"/>
  <c r="AQ104" i="35"/>
  <c r="AP104" i="35"/>
  <c r="AO104" i="35"/>
  <c r="AN104" i="35"/>
  <c r="AM104" i="35"/>
  <c r="AL104" i="35"/>
  <c r="AK104" i="35"/>
  <c r="AJ104" i="35"/>
  <c r="AI104" i="35"/>
  <c r="AH104" i="35"/>
  <c r="AF102" i="35"/>
  <c r="AE102" i="35"/>
  <c r="AD102" i="35"/>
  <c r="AC102" i="35"/>
  <c r="AB102" i="35"/>
  <c r="H102" i="35"/>
  <c r="AF101" i="35"/>
  <c r="AE101" i="35"/>
  <c r="AD101" i="35"/>
  <c r="AC101" i="35"/>
  <c r="AB101" i="35"/>
  <c r="AF98" i="35"/>
  <c r="AE98" i="35"/>
  <c r="AD98" i="35"/>
  <c r="AC98" i="35"/>
  <c r="AB98" i="35"/>
  <c r="AF97" i="35"/>
  <c r="AE97" i="35"/>
  <c r="AD97" i="35"/>
  <c r="AC97" i="35"/>
  <c r="AB97" i="35"/>
  <c r="AF94" i="35"/>
  <c r="AE94" i="35"/>
  <c r="AD94" i="35"/>
  <c r="AC94" i="35"/>
  <c r="AB94" i="35"/>
  <c r="T94" i="35"/>
  <c r="H94" i="35"/>
  <c r="AF93" i="35"/>
  <c r="AE93" i="35"/>
  <c r="AD93" i="35"/>
  <c r="AC93" i="35"/>
  <c r="AB93" i="35"/>
  <c r="T93" i="35"/>
  <c r="H93" i="35"/>
  <c r="AF90" i="35"/>
  <c r="AE90" i="35"/>
  <c r="AD90" i="35"/>
  <c r="AC90" i="35"/>
  <c r="AB90" i="35"/>
  <c r="D90" i="35"/>
  <c r="AF89" i="35"/>
  <c r="AE89" i="35"/>
  <c r="AD89" i="35"/>
  <c r="AC89" i="35"/>
  <c r="AB89" i="35"/>
  <c r="D89" i="35"/>
  <c r="AF88" i="35"/>
  <c r="AE88" i="35"/>
  <c r="AD88" i="35"/>
  <c r="AC88" i="35"/>
  <c r="AB88" i="35"/>
  <c r="D88" i="35"/>
  <c r="H88" i="35" s="1"/>
  <c r="AF85" i="35"/>
  <c r="AE85" i="35"/>
  <c r="AD85" i="35"/>
  <c r="AC85" i="35"/>
  <c r="AB85" i="35"/>
  <c r="CO84" i="35"/>
  <c r="CN84" i="35"/>
  <c r="CM84" i="35"/>
  <c r="CL84" i="35"/>
  <c r="CK84" i="35"/>
  <c r="CJ84" i="35"/>
  <c r="CI84" i="35"/>
  <c r="CH84" i="35"/>
  <c r="CG84" i="35"/>
  <c r="CF84" i="35"/>
  <c r="CE84" i="35"/>
  <c r="CD84" i="35"/>
  <c r="CC84" i="35"/>
  <c r="CB84" i="35"/>
  <c r="CA84" i="35"/>
  <c r="BZ84" i="35"/>
  <c r="BY84" i="35"/>
  <c r="BX84" i="35"/>
  <c r="BW84" i="35"/>
  <c r="BV84" i="35"/>
  <c r="BU84" i="35"/>
  <c r="BT84" i="35"/>
  <c r="BS84" i="35"/>
  <c r="BR84" i="35"/>
  <c r="BQ84" i="35"/>
  <c r="BP84" i="35"/>
  <c r="BO84" i="35"/>
  <c r="BN84" i="35"/>
  <c r="BM84" i="35"/>
  <c r="BL84" i="35"/>
  <c r="BK84" i="35"/>
  <c r="BJ84" i="35"/>
  <c r="BI84" i="35"/>
  <c r="BH84" i="35"/>
  <c r="BG84" i="35"/>
  <c r="BF84" i="35"/>
  <c r="BE84" i="35"/>
  <c r="BD84" i="35"/>
  <c r="BC84" i="35"/>
  <c r="BB84" i="35"/>
  <c r="BA84" i="35"/>
  <c r="AZ84" i="35"/>
  <c r="AY84" i="35"/>
  <c r="AX84" i="35"/>
  <c r="AW84" i="35"/>
  <c r="AV84" i="35"/>
  <c r="AU84" i="35"/>
  <c r="AT84" i="35"/>
  <c r="AS84" i="35"/>
  <c r="AR84" i="35"/>
  <c r="AQ84" i="35"/>
  <c r="AP84" i="35"/>
  <c r="AO84" i="35"/>
  <c r="AN84" i="35"/>
  <c r="AM84" i="35"/>
  <c r="AL84" i="35"/>
  <c r="AK84" i="35"/>
  <c r="AJ84" i="35"/>
  <c r="AI84" i="35"/>
  <c r="AH84" i="35"/>
  <c r="AF83" i="35"/>
  <c r="AE83" i="35"/>
  <c r="AD83" i="35"/>
  <c r="AC83" i="35"/>
  <c r="AB83" i="35"/>
  <c r="J83" i="35"/>
  <c r="D83" i="35"/>
  <c r="H83" i="35" s="1"/>
  <c r="AF82" i="35"/>
  <c r="AE82" i="35"/>
  <c r="AD82" i="35"/>
  <c r="AC82" i="35"/>
  <c r="AB82" i="35"/>
  <c r="J82" i="35"/>
  <c r="D82" i="35"/>
  <c r="H82" i="35" s="1"/>
  <c r="AF81" i="35"/>
  <c r="AE81" i="35"/>
  <c r="AD81" i="35"/>
  <c r="AC81" i="35"/>
  <c r="AB81" i="35"/>
  <c r="J81" i="35"/>
  <c r="D81" i="35"/>
  <c r="H81" i="35" s="1"/>
  <c r="J79" i="35"/>
  <c r="D79" i="35"/>
  <c r="H79" i="35" s="1"/>
  <c r="AF78" i="35"/>
  <c r="AE78" i="35"/>
  <c r="AD78" i="35"/>
  <c r="AC78" i="35"/>
  <c r="AB78" i="35"/>
  <c r="J78" i="35"/>
  <c r="D78" i="35"/>
  <c r="H78" i="35" s="1"/>
  <c r="AF77" i="35"/>
  <c r="AF84" i="35" s="1"/>
  <c r="AE77" i="35"/>
  <c r="AE84" i="35" s="1"/>
  <c r="AD77" i="35"/>
  <c r="AC77" i="35"/>
  <c r="AC84" i="35" s="1"/>
  <c r="AB77" i="35"/>
  <c r="J77" i="35"/>
  <c r="D77" i="35"/>
  <c r="H77" i="35" s="1"/>
  <c r="AF76" i="35"/>
  <c r="AE76" i="35"/>
  <c r="AD76" i="35"/>
  <c r="AC76" i="35"/>
  <c r="AB76" i="35"/>
  <c r="AB84" i="35" s="1"/>
  <c r="J76" i="35"/>
  <c r="D76" i="35"/>
  <c r="A76" i="35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113" i="35" s="1"/>
  <c r="A114" i="35" s="1"/>
  <c r="A115" i="35" s="1"/>
  <c r="A116" i="35" s="1"/>
  <c r="A117" i="35" s="1"/>
  <c r="A118" i="35" s="1"/>
  <c r="A119" i="35" s="1"/>
  <c r="A120" i="35" s="1"/>
  <c r="A74" i="35"/>
  <c r="A75" i="35" s="1"/>
  <c r="L72" i="35"/>
  <c r="F72" i="35"/>
  <c r="D72" i="35"/>
  <c r="AC51" i="35"/>
  <c r="AC49" i="35"/>
  <c r="H49" i="35"/>
  <c r="H48" i="35"/>
  <c r="N48" i="35" s="1"/>
  <c r="H47" i="35"/>
  <c r="N47" i="35" s="1"/>
  <c r="AF43" i="35"/>
  <c r="AE43" i="35"/>
  <c r="AD43" i="35"/>
  <c r="AC43" i="35"/>
  <c r="AB43" i="35"/>
  <c r="CO42" i="35"/>
  <c r="CJ42" i="35"/>
  <c r="CI42" i="35"/>
  <c r="CH42" i="35"/>
  <c r="BX42" i="35"/>
  <c r="BV42" i="35"/>
  <c r="BU42" i="35"/>
  <c r="BO42" i="35"/>
  <c r="BK42" i="35"/>
  <c r="BJ42" i="35"/>
  <c r="BI42" i="35"/>
  <c r="AY42" i="35"/>
  <c r="AU42" i="35"/>
  <c r="AP42" i="35"/>
  <c r="AO42" i="35"/>
  <c r="AH42" i="35"/>
  <c r="CO40" i="35"/>
  <c r="CN40" i="35"/>
  <c r="CN42" i="35" s="1"/>
  <c r="CM40" i="35"/>
  <c r="CM42" i="35" s="1"/>
  <c r="CL40" i="35"/>
  <c r="CK40" i="35"/>
  <c r="CJ40" i="35"/>
  <c r="CI40" i="35"/>
  <c r="CH40" i="35"/>
  <c r="CG40" i="35"/>
  <c r="CF40" i="35"/>
  <c r="CE40" i="35"/>
  <c r="CD40" i="35"/>
  <c r="CD42" i="35" s="1"/>
  <c r="CC40" i="35"/>
  <c r="CB40" i="35"/>
  <c r="CA40" i="35"/>
  <c r="BZ40" i="35"/>
  <c r="BY40" i="35"/>
  <c r="BY42" i="35" s="1"/>
  <c r="BX40" i="35"/>
  <c r="BW40" i="35"/>
  <c r="BV40" i="35"/>
  <c r="BU40" i="35"/>
  <c r="BT40" i="35"/>
  <c r="BT42" i="35" s="1"/>
  <c r="BS40" i="35"/>
  <c r="BS42" i="35" s="1"/>
  <c r="BR40" i="35"/>
  <c r="BQ40" i="35"/>
  <c r="BP40" i="35"/>
  <c r="BO40" i="35"/>
  <c r="BN40" i="35"/>
  <c r="BN42" i="35" s="1"/>
  <c r="BM40" i="35"/>
  <c r="BL40" i="35"/>
  <c r="BK40" i="35"/>
  <c r="BJ40" i="35"/>
  <c r="BI40" i="35"/>
  <c r="BH40" i="35"/>
  <c r="BG40" i="35"/>
  <c r="BF40" i="35"/>
  <c r="BE40" i="35"/>
  <c r="BD40" i="35"/>
  <c r="BC40" i="35"/>
  <c r="BC42" i="35" s="1"/>
  <c r="BB40" i="35"/>
  <c r="BA40" i="35"/>
  <c r="AZ40" i="35"/>
  <c r="AZ42" i="35" s="1"/>
  <c r="AY40" i="35"/>
  <c r="AX40" i="35"/>
  <c r="AW40" i="35"/>
  <c r="AV40" i="35"/>
  <c r="AU40" i="35"/>
  <c r="AT40" i="35"/>
  <c r="AT42" i="35" s="1"/>
  <c r="AS40" i="35"/>
  <c r="AR40" i="35"/>
  <c r="AR42" i="35" s="1"/>
  <c r="AQ40" i="35"/>
  <c r="AP40" i="35"/>
  <c r="AO40" i="35"/>
  <c r="AN40" i="35"/>
  <c r="AM40" i="35"/>
  <c r="AL40" i="35"/>
  <c r="AK40" i="35"/>
  <c r="AJ40" i="35"/>
  <c r="AI40" i="35"/>
  <c r="AI42" i="35" s="1"/>
  <c r="AH40" i="35"/>
  <c r="AF39" i="35"/>
  <c r="AE39" i="35"/>
  <c r="AD39" i="35"/>
  <c r="AC39" i="35"/>
  <c r="AB39" i="35"/>
  <c r="AF38" i="35"/>
  <c r="AE38" i="35"/>
  <c r="AE40" i="35" s="1"/>
  <c r="AD38" i="35"/>
  <c r="AD40" i="35" s="1"/>
  <c r="AC38" i="35"/>
  <c r="AB38" i="35"/>
  <c r="T38" i="35"/>
  <c r="AF37" i="35"/>
  <c r="AE37" i="35"/>
  <c r="AD37" i="35"/>
  <c r="AC37" i="35"/>
  <c r="AB37" i="35"/>
  <c r="AB40" i="35" s="1"/>
  <c r="T37" i="35"/>
  <c r="CO33" i="35"/>
  <c r="CN33" i="35"/>
  <c r="CM33" i="35"/>
  <c r="CL33" i="35"/>
  <c r="CK33" i="35"/>
  <c r="CJ33" i="35"/>
  <c r="CI33" i="35"/>
  <c r="CH33" i="35"/>
  <c r="CG33" i="35"/>
  <c r="CF33" i="35"/>
  <c r="CE33" i="35"/>
  <c r="CD33" i="35"/>
  <c r="CC33" i="35"/>
  <c r="CB33" i="35"/>
  <c r="CA33" i="35"/>
  <c r="BZ33" i="35"/>
  <c r="BY33" i="35"/>
  <c r="BX33" i="35"/>
  <c r="BW33" i="35"/>
  <c r="BV33" i="35"/>
  <c r="BU33" i="35"/>
  <c r="BT33" i="35"/>
  <c r="BS33" i="35"/>
  <c r="BR33" i="35"/>
  <c r="BQ33" i="35"/>
  <c r="BP33" i="35"/>
  <c r="BO33" i="35"/>
  <c r="BN33" i="35"/>
  <c r="BM33" i="35"/>
  <c r="BL33" i="35"/>
  <c r="BK33" i="35"/>
  <c r="BJ33" i="35"/>
  <c r="BI33" i="35"/>
  <c r="BH33" i="35"/>
  <c r="BG33" i="35"/>
  <c r="BF33" i="35"/>
  <c r="BE33" i="35"/>
  <c r="BD33" i="35"/>
  <c r="BC33" i="35"/>
  <c r="BB33" i="35"/>
  <c r="BA33" i="35"/>
  <c r="AZ33" i="35"/>
  <c r="AY33" i="35"/>
  <c r="AX33" i="35"/>
  <c r="AW33" i="35"/>
  <c r="AV33" i="35"/>
  <c r="AU33" i="35"/>
  <c r="AT33" i="35"/>
  <c r="AS33" i="35"/>
  <c r="AR33" i="35"/>
  <c r="AQ33" i="35"/>
  <c r="AP33" i="35"/>
  <c r="AO33" i="35"/>
  <c r="AN33" i="35"/>
  <c r="AM33" i="35"/>
  <c r="AL33" i="35"/>
  <c r="AK33" i="35"/>
  <c r="AJ33" i="35"/>
  <c r="AI33" i="35"/>
  <c r="AH33" i="35"/>
  <c r="AF32" i="35"/>
  <c r="AE32" i="35"/>
  <c r="AD32" i="35"/>
  <c r="AD33" i="35" s="1"/>
  <c r="AC32" i="35"/>
  <c r="AB32" i="35"/>
  <c r="T32" i="35"/>
  <c r="AF31" i="35"/>
  <c r="AF33" i="35" s="1"/>
  <c r="AE31" i="35"/>
  <c r="AE33" i="35" s="1"/>
  <c r="AD31" i="35"/>
  <c r="AC31" i="35"/>
  <c r="AB31" i="35"/>
  <c r="T31" i="35"/>
  <c r="CO28" i="35"/>
  <c r="CN28" i="35"/>
  <c r="CM28" i="35"/>
  <c r="CL28" i="35"/>
  <c r="CL42" i="35" s="1"/>
  <c r="CK28" i="35"/>
  <c r="CK42" i="35" s="1"/>
  <c r="CJ28" i="35"/>
  <c r="CI28" i="35"/>
  <c r="CH28" i="35"/>
  <c r="CG28" i="35"/>
  <c r="CG42" i="35" s="1"/>
  <c r="CF28" i="35"/>
  <c r="CF42" i="35" s="1"/>
  <c r="CE28" i="35"/>
  <c r="CE42" i="35" s="1"/>
  <c r="CD28" i="35"/>
  <c r="CC28" i="35"/>
  <c r="CB28" i="35"/>
  <c r="CB42" i="35" s="1"/>
  <c r="CA28" i="35"/>
  <c r="CA42" i="35" s="1"/>
  <c r="BZ28" i="35"/>
  <c r="BZ42" i="35" s="1"/>
  <c r="BY28" i="35"/>
  <c r="BX28" i="35"/>
  <c r="BW28" i="35"/>
  <c r="BV28" i="35"/>
  <c r="BU28" i="35"/>
  <c r="BT28" i="35"/>
  <c r="BS28" i="35"/>
  <c r="BR28" i="35"/>
  <c r="BR42" i="35" s="1"/>
  <c r="BQ28" i="35"/>
  <c r="BQ42" i="35" s="1"/>
  <c r="BP28" i="35"/>
  <c r="BP42" i="35" s="1"/>
  <c r="BO28" i="35"/>
  <c r="BN28" i="35"/>
  <c r="BM28" i="35"/>
  <c r="BM42" i="35" s="1"/>
  <c r="BL28" i="35"/>
  <c r="BL42" i="35" s="1"/>
  <c r="BK28" i="35"/>
  <c r="BJ28" i="35"/>
  <c r="BI28" i="35"/>
  <c r="BH28" i="35"/>
  <c r="BH42" i="35" s="1"/>
  <c r="BG28" i="35"/>
  <c r="BG42" i="35" s="1"/>
  <c r="BF28" i="35"/>
  <c r="BF42" i="35" s="1"/>
  <c r="BE28" i="35"/>
  <c r="BE42" i="35" s="1"/>
  <c r="BD28" i="35"/>
  <c r="BC28" i="35"/>
  <c r="BB28" i="35"/>
  <c r="BA28" i="35"/>
  <c r="BA42" i="35" s="1"/>
  <c r="AZ28" i="35"/>
  <c r="AY28" i="35"/>
  <c r="AX28" i="35"/>
  <c r="AX42" i="35" s="1"/>
  <c r="AW28" i="35"/>
  <c r="AW42" i="35" s="1"/>
  <c r="AV28" i="35"/>
  <c r="AV42" i="35" s="1"/>
  <c r="AU28" i="35"/>
  <c r="AT28" i="35"/>
  <c r="AS28" i="35"/>
  <c r="AS42" i="35" s="1"/>
  <c r="AR28" i="35"/>
  <c r="AQ28" i="35"/>
  <c r="AQ42" i="35" s="1"/>
  <c r="AP28" i="35"/>
  <c r="AO28" i="35"/>
  <c r="AN28" i="35"/>
  <c r="AN42" i="35" s="1"/>
  <c r="AM28" i="35"/>
  <c r="AM42" i="35" s="1"/>
  <c r="AL28" i="35"/>
  <c r="AL42" i="35" s="1"/>
  <c r="AK28" i="35"/>
  <c r="AJ28" i="35"/>
  <c r="AI28" i="35"/>
  <c r="AH28" i="35"/>
  <c r="AF27" i="35"/>
  <c r="AE27" i="35"/>
  <c r="AD27" i="35"/>
  <c r="AC27" i="35"/>
  <c r="AB27" i="35"/>
  <c r="T27" i="35"/>
  <c r="D27" i="35"/>
  <c r="H27" i="35" s="1"/>
  <c r="A27" i="35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F26" i="35"/>
  <c r="AF28" i="35" s="1"/>
  <c r="AE26" i="35"/>
  <c r="AD26" i="35"/>
  <c r="AC26" i="35"/>
  <c r="AC28" i="35" s="1"/>
  <c r="AB26" i="35"/>
  <c r="AB28" i="35" s="1"/>
  <c r="AB42" i="35" s="1"/>
  <c r="T26" i="35"/>
  <c r="A26" i="35"/>
  <c r="CO23" i="35"/>
  <c r="CN23" i="35"/>
  <c r="CM23" i="35"/>
  <c r="CL23" i="35"/>
  <c r="CK23" i="35"/>
  <c r="CJ23" i="35"/>
  <c r="CI23" i="35"/>
  <c r="CH23" i="35"/>
  <c r="CG23" i="35"/>
  <c r="CF23" i="35"/>
  <c r="CE23" i="35"/>
  <c r="CD23" i="35"/>
  <c r="CC23" i="35"/>
  <c r="CB23" i="35"/>
  <c r="CA23" i="35"/>
  <c r="BZ23" i="35"/>
  <c r="BY23" i="35"/>
  <c r="BX23" i="35"/>
  <c r="BW23" i="35"/>
  <c r="BV23" i="35"/>
  <c r="BU23" i="35"/>
  <c r="BT23" i="35"/>
  <c r="BS23" i="35"/>
  <c r="BR23" i="35"/>
  <c r="BQ23" i="35"/>
  <c r="BP23" i="35"/>
  <c r="BO23" i="35"/>
  <c r="BN23" i="35"/>
  <c r="D32" i="35" s="1"/>
  <c r="H32" i="35" s="1"/>
  <c r="BM23" i="35"/>
  <c r="BL23" i="35"/>
  <c r="BK23" i="35"/>
  <c r="BJ23" i="35"/>
  <c r="BI23" i="35"/>
  <c r="BH23" i="35"/>
  <c r="BG23" i="35"/>
  <c r="BF23" i="35"/>
  <c r="D31" i="35" s="1"/>
  <c r="BE23" i="35"/>
  <c r="BD23" i="35"/>
  <c r="BC23" i="35"/>
  <c r="BB23" i="35"/>
  <c r="BA23" i="35"/>
  <c r="AZ23" i="35"/>
  <c r="AY23" i="35"/>
  <c r="AX23" i="35"/>
  <c r="AW23" i="35"/>
  <c r="AV23" i="35"/>
  <c r="AU23" i="35"/>
  <c r="AT23" i="35"/>
  <c r="AS23" i="35"/>
  <c r="AR23" i="35"/>
  <c r="AQ23" i="35"/>
  <c r="AP23" i="35"/>
  <c r="AO23" i="35"/>
  <c r="AN23" i="35"/>
  <c r="AM23" i="35"/>
  <c r="AL23" i="35"/>
  <c r="AK23" i="35"/>
  <c r="AJ23" i="35"/>
  <c r="AI23" i="35"/>
  <c r="AH23" i="35"/>
  <c r="AF22" i="35"/>
  <c r="AE22" i="35"/>
  <c r="AD22" i="35"/>
  <c r="AC22" i="35"/>
  <c r="AB22" i="35"/>
  <c r="CO21" i="35"/>
  <c r="CN21" i="35"/>
  <c r="CM21" i="35"/>
  <c r="CL21" i="35"/>
  <c r="CK21" i="35"/>
  <c r="CJ21" i="35"/>
  <c r="CI21" i="35"/>
  <c r="CH21" i="35"/>
  <c r="CG21" i="35"/>
  <c r="CF21" i="35"/>
  <c r="CE21" i="35"/>
  <c r="CD21" i="35"/>
  <c r="CC21" i="35"/>
  <c r="CB21" i="35"/>
  <c r="CA21" i="35"/>
  <c r="BZ21" i="35"/>
  <c r="BY21" i="35"/>
  <c r="BX21" i="35"/>
  <c r="BW21" i="35"/>
  <c r="BV21" i="35"/>
  <c r="BU21" i="35"/>
  <c r="BT21" i="35"/>
  <c r="BS21" i="35"/>
  <c r="BR21" i="35"/>
  <c r="BQ21" i="35"/>
  <c r="BP21" i="35"/>
  <c r="BO21" i="35"/>
  <c r="BN21" i="35"/>
  <c r="BM21" i="35"/>
  <c r="BL21" i="35"/>
  <c r="BK21" i="35"/>
  <c r="BJ21" i="35"/>
  <c r="BI21" i="35"/>
  <c r="BH21" i="35"/>
  <c r="BG21" i="35"/>
  <c r="BF21" i="35"/>
  <c r="BE21" i="35"/>
  <c r="BD21" i="35"/>
  <c r="BC21" i="35"/>
  <c r="BB21" i="35"/>
  <c r="BA21" i="35"/>
  <c r="AZ21" i="35"/>
  <c r="AY21" i="35"/>
  <c r="AX21" i="35"/>
  <c r="AW21" i="35"/>
  <c r="AV21" i="35"/>
  <c r="AU21" i="35"/>
  <c r="AT21" i="35"/>
  <c r="AS21" i="35"/>
  <c r="AR21" i="35"/>
  <c r="AQ21" i="35"/>
  <c r="AP21" i="35"/>
  <c r="AO21" i="35"/>
  <c r="AN21" i="35"/>
  <c r="AM21" i="35"/>
  <c r="AL21" i="35"/>
  <c r="AK21" i="35"/>
  <c r="AJ21" i="35"/>
  <c r="AI21" i="35"/>
  <c r="AH21" i="35"/>
  <c r="AF20" i="35"/>
  <c r="AE20" i="35"/>
  <c r="AD20" i="35"/>
  <c r="AD21" i="35" s="1"/>
  <c r="AC20" i="35"/>
  <c r="AB20" i="35"/>
  <c r="J20" i="35"/>
  <c r="D20" i="35"/>
  <c r="H20" i="35" s="1"/>
  <c r="AF19" i="35"/>
  <c r="AE19" i="35"/>
  <c r="AD19" i="35"/>
  <c r="AC19" i="35"/>
  <c r="AC21" i="35" s="1"/>
  <c r="AB19" i="35"/>
  <c r="J19" i="35"/>
  <c r="D19" i="35"/>
  <c r="H19" i="35" s="1"/>
  <c r="AF17" i="35"/>
  <c r="AE17" i="35"/>
  <c r="AD17" i="35"/>
  <c r="AC17" i="35"/>
  <c r="AB17" i="35"/>
  <c r="J17" i="35"/>
  <c r="D17" i="35"/>
  <c r="H17" i="35" s="1"/>
  <c r="A15" i="35"/>
  <c r="A16" i="35" s="1"/>
  <c r="A17" i="35" s="1"/>
  <c r="A18" i="35" s="1"/>
  <c r="A19" i="35" s="1"/>
  <c r="A20" i="35" s="1"/>
  <c r="A21" i="35" s="1"/>
  <c r="A22" i="35" s="1"/>
  <c r="A23" i="35" s="1"/>
  <c r="A24" i="35" s="1"/>
  <c r="D16" i="2"/>
  <c r="D18" i="2"/>
  <c r="N49" i="35" l="1"/>
  <c r="J49" i="35" s="1"/>
  <c r="D49" i="35"/>
  <c r="J84" i="35"/>
  <c r="H183" i="35"/>
  <c r="D528" i="35"/>
  <c r="H182" i="35"/>
  <c r="J709" i="35"/>
  <c r="D203" i="35"/>
  <c r="H203" i="35" s="1"/>
  <c r="J590" i="35"/>
  <c r="J323" i="35"/>
  <c r="D322" i="35"/>
  <c r="H322" i="35" s="1"/>
  <c r="H610" i="35"/>
  <c r="H241" i="35"/>
  <c r="J211" i="35"/>
  <c r="H90" i="35"/>
  <c r="H364" i="35"/>
  <c r="H669" i="35"/>
  <c r="D709" i="35"/>
  <c r="D365" i="35"/>
  <c r="C82" i="41" s="1"/>
  <c r="J610" i="35"/>
  <c r="H243" i="35"/>
  <c r="H467" i="35"/>
  <c r="H526" i="35"/>
  <c r="H247" i="35"/>
  <c r="H251" i="35"/>
  <c r="J467" i="35"/>
  <c r="J528" i="35"/>
  <c r="H145" i="35"/>
  <c r="C56" i="41"/>
  <c r="H532" i="35"/>
  <c r="C97" i="41"/>
  <c r="J145" i="35"/>
  <c r="H351" i="35"/>
  <c r="H477" i="35"/>
  <c r="D610" i="35"/>
  <c r="C99" i="41" s="1"/>
  <c r="C100" i="41"/>
  <c r="D671" i="35"/>
  <c r="C102" i="41" s="1"/>
  <c r="C103" i="41"/>
  <c r="H237" i="35"/>
  <c r="H103" i="35"/>
  <c r="D107" i="35" s="1"/>
  <c r="H107" i="35" s="1"/>
  <c r="H249" i="35"/>
  <c r="H728" i="35"/>
  <c r="J140" i="35"/>
  <c r="H475" i="35"/>
  <c r="H242" i="35"/>
  <c r="D300" i="35"/>
  <c r="D84" i="35"/>
  <c r="H76" i="35"/>
  <c r="H84" i="35" s="1"/>
  <c r="H89" i="35"/>
  <c r="H466" i="35"/>
  <c r="D208" i="35"/>
  <c r="H208" i="35" s="1"/>
  <c r="J466" i="35"/>
  <c r="H99" i="35"/>
  <c r="D252" i="35"/>
  <c r="C59" i="41" s="1"/>
  <c r="H246" i="35"/>
  <c r="H101" i="35"/>
  <c r="H350" i="35"/>
  <c r="H709" i="35"/>
  <c r="H528" i="35"/>
  <c r="H21" i="35"/>
  <c r="H14" i="36"/>
  <c r="I14" i="36" s="1"/>
  <c r="K14" i="36" s="1"/>
  <c r="L14" i="36" s="1"/>
  <c r="M14" i="36" s="1"/>
  <c r="N14" i="36" s="1"/>
  <c r="P14" i="36" s="1"/>
  <c r="R14" i="36" s="1"/>
  <c r="N317" i="35"/>
  <c r="N203" i="35"/>
  <c r="N208" i="35"/>
  <c r="N437" i="35"/>
  <c r="N198" i="35"/>
  <c r="D33" i="35"/>
  <c r="H31" i="35"/>
  <c r="A199" i="35"/>
  <c r="A200" i="35" s="1"/>
  <c r="A201" i="35" s="1"/>
  <c r="A202" i="35" s="1"/>
  <c r="A203" i="35" s="1"/>
  <c r="A204" i="35" s="1"/>
  <c r="A205" i="35" s="1"/>
  <c r="A206" i="35" s="1"/>
  <c r="A207" i="35" s="1"/>
  <c r="A208" i="35" s="1"/>
  <c r="A209" i="35" s="1"/>
  <c r="A210" i="35" s="1"/>
  <c r="A211" i="35" s="1"/>
  <c r="A212" i="35" s="1"/>
  <c r="A213" i="35" s="1"/>
  <c r="A214" i="35" s="1"/>
  <c r="A215" i="35" s="1"/>
  <c r="A216" i="35" s="1"/>
  <c r="A217" i="35" s="1"/>
  <c r="A198" i="35"/>
  <c r="A613" i="35"/>
  <c r="A615" i="35" s="1"/>
  <c r="A616" i="35" s="1"/>
  <c r="A617" i="35" s="1"/>
  <c r="A618" i="35" s="1"/>
  <c r="A619" i="35" s="1"/>
  <c r="A620" i="35" s="1"/>
  <c r="A621" i="35" s="1"/>
  <c r="A622" i="35" s="1"/>
  <c r="A623" i="35" s="1"/>
  <c r="A624" i="35" s="1"/>
  <c r="A625" i="35" s="1"/>
  <c r="A626" i="35" s="1"/>
  <c r="A627" i="35" s="1"/>
  <c r="A628" i="35" s="1"/>
  <c r="A629" i="35" s="1"/>
  <c r="A630" i="35" s="1"/>
  <c r="A614" i="35"/>
  <c r="A151" i="35"/>
  <c r="A152" i="35" s="1"/>
  <c r="A153" i="35" s="1"/>
  <c r="A154" i="35" s="1"/>
  <c r="A155" i="35" s="1"/>
  <c r="A156" i="35" s="1"/>
  <c r="A157" i="35" s="1"/>
  <c r="A158" i="35" s="1"/>
  <c r="A159" i="35" s="1"/>
  <c r="A160" i="35" s="1"/>
  <c r="A150" i="35"/>
  <c r="AF104" i="35"/>
  <c r="AC104" i="35"/>
  <c r="AB104" i="35"/>
  <c r="D185" i="35"/>
  <c r="BD42" i="35"/>
  <c r="AK42" i="35"/>
  <c r="D26" i="35"/>
  <c r="AJ42" i="35"/>
  <c r="AB21" i="35"/>
  <c r="H294" i="35"/>
  <c r="H300" i="35" s="1"/>
  <c r="AC42" i="35"/>
  <c r="H245" i="35"/>
  <c r="J300" i="35"/>
  <c r="D436" i="35"/>
  <c r="H436" i="35" s="1"/>
  <c r="H471" i="35"/>
  <c r="AC365" i="35"/>
  <c r="A538" i="35"/>
  <c r="A539" i="35" s="1"/>
  <c r="A540" i="35" s="1"/>
  <c r="A541" i="35" s="1"/>
  <c r="A542" i="35" s="1"/>
  <c r="A543" i="35" s="1"/>
  <c r="A544" i="35" s="1"/>
  <c r="A545" i="35" s="1"/>
  <c r="A546" i="35" s="1"/>
  <c r="A547" i="35" s="1"/>
  <c r="A548" i="35" s="1"/>
  <c r="A549" i="35" s="1"/>
  <c r="A550" i="35" s="1"/>
  <c r="A551" i="35" s="1"/>
  <c r="A552" i="35" s="1"/>
  <c r="A553" i="35" s="1"/>
  <c r="A554" i="35" s="1"/>
  <c r="A555" i="35" s="1"/>
  <c r="A556" i="35" s="1"/>
  <c r="A557" i="35" s="1"/>
  <c r="A558" i="35" s="1"/>
  <c r="A559" i="35" s="1"/>
  <c r="A560" i="35" s="1"/>
  <c r="A561" i="35" s="1"/>
  <c r="A562" i="35" s="1"/>
  <c r="A563" i="35" s="1"/>
  <c r="A564" i="35" s="1"/>
  <c r="A565" i="35" s="1"/>
  <c r="A566" i="35" s="1"/>
  <c r="A567" i="35" s="1"/>
  <c r="A568" i="35" s="1"/>
  <c r="A569" i="35" s="1"/>
  <c r="A537" i="35"/>
  <c r="AC40" i="35"/>
  <c r="H238" i="35"/>
  <c r="AD104" i="35"/>
  <c r="H37" i="35"/>
  <c r="J185" i="35"/>
  <c r="AE104" i="35"/>
  <c r="AC33" i="35"/>
  <c r="D21" i="35"/>
  <c r="J139" i="35"/>
  <c r="D141" i="35"/>
  <c r="D211" i="35"/>
  <c r="H480" i="35"/>
  <c r="J673" i="35"/>
  <c r="N673" i="35" s="1"/>
  <c r="H139" i="35"/>
  <c r="H141" i="35" s="1"/>
  <c r="H196" i="35"/>
  <c r="D612" i="35"/>
  <c r="H612" i="35" s="1"/>
  <c r="H594" i="35"/>
  <c r="J21" i="35"/>
  <c r="H670" i="35"/>
  <c r="H671" i="35" s="1"/>
  <c r="D482" i="35"/>
  <c r="C93" i="41" s="1"/>
  <c r="AF252" i="35"/>
  <c r="AB300" i="35"/>
  <c r="H468" i="35"/>
  <c r="J468" i="35"/>
  <c r="H39" i="35"/>
  <c r="D104" i="35"/>
  <c r="C51" i="41" s="1"/>
  <c r="H250" i="35"/>
  <c r="D413" i="35"/>
  <c r="J438" i="35"/>
  <c r="H354" i="35"/>
  <c r="H408" i="35"/>
  <c r="H413" i="35" s="1"/>
  <c r="H473" i="35"/>
  <c r="BB42" i="35"/>
  <c r="H97" i="35"/>
  <c r="H195" i="35"/>
  <c r="H202" i="35"/>
  <c r="J413" i="35"/>
  <c r="AF365" i="35"/>
  <c r="AC438" i="35"/>
  <c r="AE665" i="35"/>
  <c r="AE28" i="35"/>
  <c r="AE42" i="35" s="1"/>
  <c r="AB252" i="35"/>
  <c r="BW42" i="35"/>
  <c r="H184" i="35"/>
  <c r="H185" i="35" s="1"/>
  <c r="AC252" i="35"/>
  <c r="AD438" i="35"/>
  <c r="D661" i="35"/>
  <c r="H661" i="35" s="1"/>
  <c r="J729" i="35"/>
  <c r="AF40" i="35"/>
  <c r="AF42" i="35" s="1"/>
  <c r="H98" i="35"/>
  <c r="AC604" i="35"/>
  <c r="H590" i="35"/>
  <c r="D731" i="35"/>
  <c r="H731" i="35" s="1"/>
  <c r="H713" i="35"/>
  <c r="AE21" i="35"/>
  <c r="AF21" i="35"/>
  <c r="CC42" i="35"/>
  <c r="D317" i="35"/>
  <c r="H317" i="35" s="1"/>
  <c r="H648" i="35"/>
  <c r="H650" i="35" s="1"/>
  <c r="D650" i="35"/>
  <c r="H363" i="35"/>
  <c r="AD610" i="35"/>
  <c r="H95" i="35"/>
  <c r="AB33" i="35"/>
  <c r="AD84" i="35"/>
  <c r="AE413" i="35"/>
  <c r="H479" i="35"/>
  <c r="AD723" i="35"/>
  <c r="D729" i="35"/>
  <c r="C105" i="41" s="1"/>
  <c r="H727" i="35"/>
  <c r="H360" i="35"/>
  <c r="AF438" i="35"/>
  <c r="J436" i="35"/>
  <c r="N436" i="35" s="1"/>
  <c r="D590" i="35"/>
  <c r="H595" i="35"/>
  <c r="H603" i="35"/>
  <c r="AE323" i="35"/>
  <c r="D323" i="35"/>
  <c r="H417" i="35"/>
  <c r="D438" i="35"/>
  <c r="H654" i="35"/>
  <c r="AF211" i="35"/>
  <c r="AD28" i="35"/>
  <c r="AD42" i="35" s="1"/>
  <c r="N322" i="35"/>
  <c r="D722" i="35"/>
  <c r="H722" i="35" s="1"/>
  <c r="AF650" i="35"/>
  <c r="H472" i="35"/>
  <c r="AF729" i="35"/>
  <c r="AC185" i="35"/>
  <c r="J612" i="35"/>
  <c r="N612" i="35" s="1"/>
  <c r="J731" i="35"/>
  <c r="N731" i="35" s="1"/>
  <c r="AE528" i="35"/>
  <c r="AE709" i="35"/>
  <c r="AF709" i="35"/>
  <c r="AF590" i="35"/>
  <c r="J650" i="35"/>
  <c r="J671" i="35"/>
  <c r="C81" i="41" l="1"/>
  <c r="C74" i="41"/>
  <c r="C78" i="41"/>
  <c r="C77" i="41"/>
  <c r="C72" i="41"/>
  <c r="C76" i="41"/>
  <c r="C68" i="41"/>
  <c r="O68" i="41" s="1"/>
  <c r="C69" i="41"/>
  <c r="D69" i="41" s="1"/>
  <c r="C94" i="41"/>
  <c r="J94" i="41" s="1"/>
  <c r="C106" i="41"/>
  <c r="C88" i="41"/>
  <c r="L88" i="41" s="1"/>
  <c r="H323" i="35"/>
  <c r="C87" i="41"/>
  <c r="L87" i="41" s="1"/>
  <c r="C48" i="41"/>
  <c r="J48" i="41" s="1"/>
  <c r="C89" i="41"/>
  <c r="O89" i="41" s="1"/>
  <c r="C85" i="41"/>
  <c r="M85" i="41" s="1"/>
  <c r="C86" i="41"/>
  <c r="K86" i="41" s="1"/>
  <c r="C84" i="41"/>
  <c r="E84" i="41" s="1"/>
  <c r="C67" i="41"/>
  <c r="O67" i="41" s="1"/>
  <c r="D370" i="35"/>
  <c r="H370" i="35" s="1"/>
  <c r="D485" i="35"/>
  <c r="H485" i="35" s="1"/>
  <c r="C65" i="41"/>
  <c r="I65" i="41" s="1"/>
  <c r="C92" i="41"/>
  <c r="L92" i="41" s="1"/>
  <c r="C90" i="41"/>
  <c r="D90" i="41" s="1"/>
  <c r="C64" i="41"/>
  <c r="K64" i="41" s="1"/>
  <c r="C71" i="41"/>
  <c r="H71" i="41" s="1"/>
  <c r="C80" i="41"/>
  <c r="O80" i="41" s="1"/>
  <c r="M59" i="41"/>
  <c r="N59" i="41"/>
  <c r="L59" i="41"/>
  <c r="H59" i="41"/>
  <c r="E59" i="41"/>
  <c r="F59" i="41"/>
  <c r="J59" i="41"/>
  <c r="D59" i="41"/>
  <c r="K59" i="41"/>
  <c r="G59" i="41"/>
  <c r="O59" i="41"/>
  <c r="I59" i="41"/>
  <c r="F93" i="41"/>
  <c r="E93" i="41"/>
  <c r="N93" i="41"/>
  <c r="I93" i="41"/>
  <c r="O93" i="41"/>
  <c r="M93" i="41"/>
  <c r="G93" i="41"/>
  <c r="D93" i="41"/>
  <c r="H93" i="41"/>
  <c r="K93" i="41"/>
  <c r="L93" i="41"/>
  <c r="J93" i="41"/>
  <c r="I102" i="41"/>
  <c r="E102" i="41"/>
  <c r="J102" i="41"/>
  <c r="O102" i="41"/>
  <c r="M102" i="41"/>
  <c r="L102" i="41"/>
  <c r="K102" i="41"/>
  <c r="H102" i="41"/>
  <c r="F102" i="41"/>
  <c r="N102" i="41"/>
  <c r="D102" i="41"/>
  <c r="G102" i="41"/>
  <c r="D51" i="41"/>
  <c r="H51" i="41"/>
  <c r="E51" i="41"/>
  <c r="O51" i="41"/>
  <c r="G51" i="41"/>
  <c r="I51" i="41"/>
  <c r="J51" i="41"/>
  <c r="F51" i="41"/>
  <c r="L51" i="41"/>
  <c r="N51" i="41"/>
  <c r="M51" i="41"/>
  <c r="K51" i="41"/>
  <c r="D82" i="41"/>
  <c r="L82" i="41"/>
  <c r="G82" i="41"/>
  <c r="K82" i="41"/>
  <c r="F82" i="41"/>
  <c r="E82" i="41"/>
  <c r="J82" i="41"/>
  <c r="I82" i="41"/>
  <c r="O82" i="41"/>
  <c r="H82" i="41"/>
  <c r="N82" i="41"/>
  <c r="M82" i="41"/>
  <c r="G105" i="41"/>
  <c r="O105" i="41"/>
  <c r="E105" i="41"/>
  <c r="H105" i="41"/>
  <c r="N105" i="41"/>
  <c r="F105" i="41"/>
  <c r="K105" i="41"/>
  <c r="L105" i="41"/>
  <c r="D105" i="41"/>
  <c r="J105" i="41"/>
  <c r="I105" i="41"/>
  <c r="M105" i="41"/>
  <c r="H94" i="41"/>
  <c r="K103" i="41"/>
  <c r="J103" i="41"/>
  <c r="N103" i="41"/>
  <c r="H103" i="41"/>
  <c r="L103" i="41"/>
  <c r="M103" i="41"/>
  <c r="I103" i="41"/>
  <c r="F103" i="41"/>
  <c r="O103" i="41"/>
  <c r="G103" i="41"/>
  <c r="E103" i="41"/>
  <c r="D103" i="41"/>
  <c r="G97" i="41"/>
  <c r="D97" i="41"/>
  <c r="K97" i="41"/>
  <c r="E97" i="41"/>
  <c r="L97" i="41"/>
  <c r="M97" i="41"/>
  <c r="N97" i="41"/>
  <c r="O97" i="41"/>
  <c r="F97" i="41"/>
  <c r="I97" i="41"/>
  <c r="J97" i="41"/>
  <c r="H97" i="41"/>
  <c r="E78" i="41"/>
  <c r="D78" i="41"/>
  <c r="G78" i="41"/>
  <c r="I78" i="41"/>
  <c r="J78" i="41"/>
  <c r="N78" i="41"/>
  <c r="K78" i="41"/>
  <c r="O78" i="41"/>
  <c r="F78" i="41"/>
  <c r="L78" i="41"/>
  <c r="M78" i="41"/>
  <c r="H78" i="41"/>
  <c r="C66" i="41"/>
  <c r="J100" i="41"/>
  <c r="L100" i="41"/>
  <c r="M100" i="41"/>
  <c r="G100" i="41"/>
  <c r="E100" i="41"/>
  <c r="D100" i="41"/>
  <c r="F100" i="41"/>
  <c r="K100" i="41"/>
  <c r="N100" i="41"/>
  <c r="I100" i="41"/>
  <c r="O100" i="41"/>
  <c r="H100" i="41"/>
  <c r="I56" i="41"/>
  <c r="O56" i="41"/>
  <c r="J56" i="41"/>
  <c r="G56" i="41"/>
  <c r="N56" i="41"/>
  <c r="H56" i="41"/>
  <c r="M56" i="41"/>
  <c r="K56" i="41"/>
  <c r="E56" i="41"/>
  <c r="F56" i="41"/>
  <c r="L56" i="41"/>
  <c r="D56" i="41"/>
  <c r="H48" i="41"/>
  <c r="C44" i="41"/>
  <c r="G77" i="41"/>
  <c r="O77" i="41"/>
  <c r="I77" i="41"/>
  <c r="M77" i="41"/>
  <c r="F77" i="41"/>
  <c r="E77" i="41"/>
  <c r="D77" i="41"/>
  <c r="N77" i="41"/>
  <c r="L77" i="41"/>
  <c r="J77" i="41"/>
  <c r="K77" i="41"/>
  <c r="H77" i="41"/>
  <c r="C43" i="41"/>
  <c r="C54" i="41"/>
  <c r="C63" i="41"/>
  <c r="H729" i="35"/>
  <c r="L80" i="41"/>
  <c r="C60" i="41"/>
  <c r="C50" i="41"/>
  <c r="E106" i="41"/>
  <c r="M106" i="41"/>
  <c r="O106" i="41"/>
  <c r="D106" i="41"/>
  <c r="I106" i="41"/>
  <c r="J106" i="41"/>
  <c r="K106" i="41"/>
  <c r="G106" i="41"/>
  <c r="F106" i="41"/>
  <c r="N106" i="41"/>
  <c r="L106" i="41"/>
  <c r="H106" i="41"/>
  <c r="C61" i="41"/>
  <c r="C46" i="41"/>
  <c r="C95" i="41"/>
  <c r="C47" i="41"/>
  <c r="D733" i="35"/>
  <c r="H733" i="35" s="1"/>
  <c r="C53" i="41"/>
  <c r="C52" i="41"/>
  <c r="C75" i="41"/>
  <c r="D64" i="41"/>
  <c r="L81" i="41"/>
  <c r="M81" i="41"/>
  <c r="G81" i="41"/>
  <c r="O81" i="41"/>
  <c r="D81" i="41"/>
  <c r="N81" i="41"/>
  <c r="I81" i="41"/>
  <c r="F81" i="41"/>
  <c r="J81" i="41"/>
  <c r="K81" i="41"/>
  <c r="E81" i="41"/>
  <c r="H81" i="41"/>
  <c r="C79" i="41"/>
  <c r="C49" i="41"/>
  <c r="C58" i="41"/>
  <c r="O99" i="41"/>
  <c r="M99" i="41"/>
  <c r="K99" i="41"/>
  <c r="J99" i="41"/>
  <c r="I99" i="41"/>
  <c r="D99" i="41"/>
  <c r="G99" i="41"/>
  <c r="F99" i="41"/>
  <c r="N99" i="41"/>
  <c r="H99" i="41"/>
  <c r="E99" i="41"/>
  <c r="L99" i="41"/>
  <c r="L74" i="41"/>
  <c r="F74" i="41"/>
  <c r="K74" i="41"/>
  <c r="O74" i="41"/>
  <c r="I74" i="41"/>
  <c r="N74" i="41"/>
  <c r="E74" i="41"/>
  <c r="D74" i="41"/>
  <c r="M74" i="41"/>
  <c r="H74" i="41"/>
  <c r="J74" i="41"/>
  <c r="G74" i="41"/>
  <c r="C91" i="41"/>
  <c r="C45" i="41"/>
  <c r="C73" i="41"/>
  <c r="C62" i="41"/>
  <c r="L76" i="41"/>
  <c r="G76" i="41"/>
  <c r="J76" i="41"/>
  <c r="H76" i="41"/>
  <c r="M76" i="41"/>
  <c r="I76" i="41"/>
  <c r="O76" i="41"/>
  <c r="D76" i="41"/>
  <c r="K76" i="41"/>
  <c r="E76" i="41"/>
  <c r="F76" i="41"/>
  <c r="N76" i="41"/>
  <c r="O72" i="41"/>
  <c r="H72" i="41"/>
  <c r="D72" i="41"/>
  <c r="E72" i="41"/>
  <c r="I72" i="41"/>
  <c r="F72" i="41"/>
  <c r="L72" i="41"/>
  <c r="M72" i="41"/>
  <c r="K72" i="41"/>
  <c r="N72" i="41"/>
  <c r="G72" i="41"/>
  <c r="J72" i="41"/>
  <c r="H482" i="35"/>
  <c r="D486" i="35"/>
  <c r="H486" i="35" s="1"/>
  <c r="H252" i="35"/>
  <c r="D256" i="35"/>
  <c r="H256" i="35" s="1"/>
  <c r="D255" i="35"/>
  <c r="H255" i="35" s="1"/>
  <c r="H104" i="35"/>
  <c r="S14" i="36"/>
  <c r="U14" i="36" s="1"/>
  <c r="V14" i="36" s="1"/>
  <c r="D106" i="35"/>
  <c r="H106" i="35" s="1"/>
  <c r="H365" i="35"/>
  <c r="J141" i="35"/>
  <c r="D675" i="35"/>
  <c r="H675" i="35" s="1"/>
  <c r="J111" i="35"/>
  <c r="D28" i="35"/>
  <c r="H26" i="35"/>
  <c r="J33" i="35"/>
  <c r="H438" i="35"/>
  <c r="J252" i="35"/>
  <c r="D732" i="35"/>
  <c r="H732" i="35" s="1"/>
  <c r="H723" i="35"/>
  <c r="J113" i="35"/>
  <c r="D369" i="35"/>
  <c r="H369" i="35" s="1"/>
  <c r="J28" i="35"/>
  <c r="D613" i="35"/>
  <c r="H613" i="35" s="1"/>
  <c r="H604" i="35"/>
  <c r="H665" i="35"/>
  <c r="D674" i="35"/>
  <c r="H674" i="35" s="1"/>
  <c r="J112" i="35"/>
  <c r="J365" i="35"/>
  <c r="J482" i="35"/>
  <c r="D615" i="35"/>
  <c r="H615" i="35" s="1"/>
  <c r="H211" i="35"/>
  <c r="F68" i="41" l="1"/>
  <c r="L68" i="41"/>
  <c r="M68" i="41"/>
  <c r="I68" i="41"/>
  <c r="H68" i="41"/>
  <c r="O69" i="41"/>
  <c r="J69" i="41"/>
  <c r="L69" i="41"/>
  <c r="L64" i="41"/>
  <c r="F69" i="41"/>
  <c r="H64" i="41"/>
  <c r="N64" i="41"/>
  <c r="G69" i="41"/>
  <c r="F64" i="41"/>
  <c r="N69" i="41"/>
  <c r="M64" i="41"/>
  <c r="I69" i="41"/>
  <c r="M69" i="41"/>
  <c r="N68" i="41"/>
  <c r="H69" i="41"/>
  <c r="E69" i="41"/>
  <c r="O64" i="41"/>
  <c r="D68" i="41"/>
  <c r="K69" i="41"/>
  <c r="K68" i="41"/>
  <c r="E68" i="41"/>
  <c r="G68" i="41"/>
  <c r="J64" i="41"/>
  <c r="J68" i="41"/>
  <c r="I64" i="41"/>
  <c r="E64" i="41"/>
  <c r="H89" i="41"/>
  <c r="I89" i="41"/>
  <c r="N89" i="41"/>
  <c r="F94" i="41"/>
  <c r="L94" i="41"/>
  <c r="K94" i="41"/>
  <c r="G94" i="41"/>
  <c r="L86" i="41"/>
  <c r="M92" i="41"/>
  <c r="O92" i="41"/>
  <c r="M94" i="41"/>
  <c r="J86" i="41"/>
  <c r="G88" i="41"/>
  <c r="J89" i="41"/>
  <c r="H86" i="41"/>
  <c r="G85" i="41"/>
  <c r="M89" i="41"/>
  <c r="I86" i="41"/>
  <c r="E89" i="41"/>
  <c r="N88" i="41"/>
  <c r="E88" i="41"/>
  <c r="D89" i="41"/>
  <c r="F89" i="41"/>
  <c r="I85" i="41"/>
  <c r="G89" i="41"/>
  <c r="I88" i="41"/>
  <c r="J85" i="41"/>
  <c r="D85" i="41"/>
  <c r="E85" i="41"/>
  <c r="F85" i="41"/>
  <c r="I94" i="41"/>
  <c r="N94" i="41"/>
  <c r="D94" i="41"/>
  <c r="L89" i="41"/>
  <c r="K89" i="41"/>
  <c r="H87" i="41"/>
  <c r="O86" i="41"/>
  <c r="K87" i="41"/>
  <c r="F87" i="41"/>
  <c r="G86" i="41"/>
  <c r="E86" i="41"/>
  <c r="G84" i="41"/>
  <c r="D86" i="41"/>
  <c r="D84" i="41"/>
  <c r="H84" i="41"/>
  <c r="D87" i="41"/>
  <c r="M84" i="41"/>
  <c r="M86" i="41"/>
  <c r="O94" i="41"/>
  <c r="E94" i="41"/>
  <c r="E87" i="41"/>
  <c r="O88" i="41"/>
  <c r="L85" i="41"/>
  <c r="O84" i="41"/>
  <c r="J88" i="41"/>
  <c r="G87" i="41"/>
  <c r="F88" i="41"/>
  <c r="J87" i="41"/>
  <c r="I87" i="41"/>
  <c r="K88" i="41"/>
  <c r="O85" i="41"/>
  <c r="F86" i="41"/>
  <c r="M87" i="41"/>
  <c r="N87" i="41"/>
  <c r="D88" i="41"/>
  <c r="N85" i="41"/>
  <c r="H88" i="41"/>
  <c r="M88" i="41"/>
  <c r="O87" i="41"/>
  <c r="K85" i="41"/>
  <c r="J80" i="41"/>
  <c r="E71" i="41"/>
  <c r="I80" i="41"/>
  <c r="N80" i="41"/>
  <c r="M80" i="41"/>
  <c r="K80" i="41"/>
  <c r="F80" i="41"/>
  <c r="E80" i="41"/>
  <c r="D80" i="41"/>
  <c r="H80" i="41"/>
  <c r="M71" i="41"/>
  <c r="I71" i="41"/>
  <c r="G80" i="41"/>
  <c r="J71" i="41"/>
  <c r="O71" i="41"/>
  <c r="N71" i="41"/>
  <c r="K71" i="41"/>
  <c r="L71" i="41"/>
  <c r="O65" i="41"/>
  <c r="F65" i="41"/>
  <c r="L65" i="41"/>
  <c r="L67" i="41"/>
  <c r="I67" i="41"/>
  <c r="G65" i="41"/>
  <c r="K67" i="41"/>
  <c r="E67" i="41"/>
  <c r="F67" i="41"/>
  <c r="M67" i="41"/>
  <c r="J65" i="41"/>
  <c r="H67" i="41"/>
  <c r="D65" i="41"/>
  <c r="K65" i="41"/>
  <c r="E65" i="41"/>
  <c r="G67" i="41"/>
  <c r="M65" i="41"/>
  <c r="F48" i="41"/>
  <c r="N48" i="41"/>
  <c r="M48" i="41"/>
  <c r="E48" i="41"/>
  <c r="O48" i="41"/>
  <c r="K48" i="41"/>
  <c r="D48" i="41"/>
  <c r="L48" i="41"/>
  <c r="G48" i="41"/>
  <c r="I48" i="41"/>
  <c r="L84" i="41"/>
  <c r="J90" i="41"/>
  <c r="N84" i="41"/>
  <c r="E90" i="41"/>
  <c r="K92" i="41"/>
  <c r="N86" i="41"/>
  <c r="K84" i="41"/>
  <c r="N92" i="41"/>
  <c r="L90" i="41"/>
  <c r="E92" i="41"/>
  <c r="J84" i="41"/>
  <c r="I84" i="41"/>
  <c r="D92" i="41"/>
  <c r="F84" i="41"/>
  <c r="K90" i="41"/>
  <c r="N67" i="41"/>
  <c r="G90" i="41"/>
  <c r="J67" i="41"/>
  <c r="D67" i="41"/>
  <c r="H85" i="41"/>
  <c r="F92" i="41"/>
  <c r="P93" i="41"/>
  <c r="D481" i="43" s="1"/>
  <c r="J481" i="43" s="1"/>
  <c r="N65" i="41"/>
  <c r="O90" i="41"/>
  <c r="F90" i="41"/>
  <c r="H65" i="41"/>
  <c r="J92" i="41"/>
  <c r="H90" i="41"/>
  <c r="M90" i="41"/>
  <c r="G64" i="41"/>
  <c r="I92" i="41"/>
  <c r="D71" i="41"/>
  <c r="I90" i="41"/>
  <c r="G92" i="41"/>
  <c r="F71" i="41"/>
  <c r="N90" i="41"/>
  <c r="H92" i="41"/>
  <c r="G71" i="41"/>
  <c r="P99" i="41"/>
  <c r="D610" i="43" s="1"/>
  <c r="P56" i="41"/>
  <c r="D147" i="43" s="1"/>
  <c r="H734" i="35"/>
  <c r="H736" i="35" s="1"/>
  <c r="P97" i="41"/>
  <c r="D534" i="43" s="1"/>
  <c r="H50" i="41"/>
  <c r="L50" i="41"/>
  <c r="J50" i="41"/>
  <c r="F50" i="41"/>
  <c r="M50" i="41"/>
  <c r="G50" i="41"/>
  <c r="N50" i="41"/>
  <c r="E50" i="41"/>
  <c r="I50" i="41"/>
  <c r="O50" i="41"/>
  <c r="D50" i="41"/>
  <c r="K50" i="41"/>
  <c r="E43" i="41"/>
  <c r="K43" i="41"/>
  <c r="J43" i="41"/>
  <c r="F43" i="41"/>
  <c r="L43" i="41"/>
  <c r="N43" i="41"/>
  <c r="G43" i="41"/>
  <c r="D43" i="41"/>
  <c r="I43" i="41"/>
  <c r="H43" i="41"/>
  <c r="O43" i="41"/>
  <c r="M43" i="41"/>
  <c r="P48" i="41"/>
  <c r="D97" i="43" s="1"/>
  <c r="J97" i="43" s="1"/>
  <c r="P51" i="41"/>
  <c r="D101" i="43" s="1"/>
  <c r="J101" i="43" s="1"/>
  <c r="P103" i="41"/>
  <c r="D672" i="43" s="1"/>
  <c r="P102" i="41"/>
  <c r="D671" i="43" s="1"/>
  <c r="O75" i="41"/>
  <c r="M75" i="41"/>
  <c r="L75" i="41"/>
  <c r="H75" i="41"/>
  <c r="G75" i="41"/>
  <c r="F75" i="41"/>
  <c r="E75" i="41"/>
  <c r="N75" i="41"/>
  <c r="D75" i="41"/>
  <c r="K75" i="41"/>
  <c r="I75" i="41"/>
  <c r="J75" i="41"/>
  <c r="G47" i="41"/>
  <c r="I47" i="41"/>
  <c r="H47" i="41"/>
  <c r="K47" i="41"/>
  <c r="J47" i="41"/>
  <c r="O47" i="41"/>
  <c r="L47" i="41"/>
  <c r="D47" i="41"/>
  <c r="M47" i="41"/>
  <c r="N47" i="41"/>
  <c r="F47" i="41"/>
  <c r="E47" i="41"/>
  <c r="P76" i="41"/>
  <c r="D358" i="43" s="1"/>
  <c r="J358" i="43" s="1"/>
  <c r="D58" i="41"/>
  <c r="F58" i="41"/>
  <c r="N58" i="41"/>
  <c r="H58" i="41"/>
  <c r="E58" i="41"/>
  <c r="G58" i="41"/>
  <c r="M58" i="41"/>
  <c r="J58" i="41"/>
  <c r="I58" i="41"/>
  <c r="L58" i="41"/>
  <c r="O58" i="41"/>
  <c r="K58" i="41"/>
  <c r="H95" i="41"/>
  <c r="N95" i="41"/>
  <c r="G95" i="41"/>
  <c r="L95" i="41"/>
  <c r="I95" i="41"/>
  <c r="D95" i="41"/>
  <c r="J95" i="41"/>
  <c r="O95" i="41"/>
  <c r="M95" i="41"/>
  <c r="E95" i="41"/>
  <c r="F95" i="41"/>
  <c r="K95" i="41"/>
  <c r="N49" i="41"/>
  <c r="O49" i="41"/>
  <c r="E49" i="41"/>
  <c r="H49" i="41"/>
  <c r="L49" i="41"/>
  <c r="D49" i="41"/>
  <c r="M49" i="41"/>
  <c r="G49" i="41"/>
  <c r="J49" i="41"/>
  <c r="I49" i="41"/>
  <c r="F49" i="41"/>
  <c r="K49" i="41"/>
  <c r="F46" i="41"/>
  <c r="J46" i="41"/>
  <c r="M46" i="41"/>
  <c r="L46" i="41"/>
  <c r="N46" i="41"/>
  <c r="I46" i="41"/>
  <c r="H46" i="41"/>
  <c r="E46" i="41"/>
  <c r="O46" i="41"/>
  <c r="D46" i="41"/>
  <c r="G46" i="41"/>
  <c r="K46" i="41"/>
  <c r="L54" i="41"/>
  <c r="N54" i="41"/>
  <c r="M54" i="41"/>
  <c r="J54" i="41"/>
  <c r="F54" i="41"/>
  <c r="D54" i="41"/>
  <c r="E54" i="41"/>
  <c r="H54" i="41"/>
  <c r="I54" i="41"/>
  <c r="G54" i="41"/>
  <c r="O54" i="41"/>
  <c r="K54" i="41"/>
  <c r="P77" i="41"/>
  <c r="D360" i="43" s="1"/>
  <c r="J360" i="43" s="1"/>
  <c r="M61" i="41"/>
  <c r="H61" i="41"/>
  <c r="J61" i="41"/>
  <c r="I61" i="41"/>
  <c r="E61" i="41"/>
  <c r="D61" i="41"/>
  <c r="G61" i="41"/>
  <c r="K61" i="41"/>
  <c r="N61" i="41"/>
  <c r="F61" i="41"/>
  <c r="L61" i="41"/>
  <c r="O61" i="41"/>
  <c r="P78" i="41"/>
  <c r="D361" i="43" s="1"/>
  <c r="J361" i="43" s="1"/>
  <c r="M52" i="41"/>
  <c r="J52" i="41"/>
  <c r="L52" i="41"/>
  <c r="D52" i="41"/>
  <c r="K52" i="41"/>
  <c r="H52" i="41"/>
  <c r="N52" i="41"/>
  <c r="G52" i="41"/>
  <c r="I52" i="41"/>
  <c r="O52" i="41"/>
  <c r="E52" i="41"/>
  <c r="F52" i="41"/>
  <c r="P105" i="41"/>
  <c r="D729" i="43" s="1"/>
  <c r="P82" i="41"/>
  <c r="D366" i="43" s="1"/>
  <c r="J366" i="43" s="1"/>
  <c r="M53" i="41"/>
  <c r="H53" i="41"/>
  <c r="N53" i="41"/>
  <c r="J53" i="41"/>
  <c r="G53" i="41"/>
  <c r="E53" i="41"/>
  <c r="K53" i="41"/>
  <c r="L53" i="41"/>
  <c r="I53" i="41"/>
  <c r="D53" i="41"/>
  <c r="O53" i="41"/>
  <c r="F53" i="41"/>
  <c r="P59" i="41"/>
  <c r="D239" i="43" s="1"/>
  <c r="K79" i="41"/>
  <c r="H79" i="41"/>
  <c r="J79" i="41"/>
  <c r="N79" i="41"/>
  <c r="E79" i="41"/>
  <c r="L79" i="41"/>
  <c r="D79" i="41"/>
  <c r="O79" i="41"/>
  <c r="G79" i="41"/>
  <c r="M79" i="41"/>
  <c r="I79" i="41"/>
  <c r="F79" i="41"/>
  <c r="D62" i="41"/>
  <c r="H62" i="41"/>
  <c r="F62" i="41"/>
  <c r="G62" i="41"/>
  <c r="E62" i="41"/>
  <c r="M62" i="41"/>
  <c r="J62" i="41"/>
  <c r="I62" i="41"/>
  <c r="L62" i="41"/>
  <c r="O62" i="41"/>
  <c r="N62" i="41"/>
  <c r="K62" i="41"/>
  <c r="P74" i="41"/>
  <c r="D356" i="43" s="1"/>
  <c r="J356" i="43" s="1"/>
  <c r="L73" i="41"/>
  <c r="M73" i="41"/>
  <c r="D73" i="41"/>
  <c r="N73" i="41"/>
  <c r="O73" i="41"/>
  <c r="I73" i="41"/>
  <c r="J73" i="41"/>
  <c r="E73" i="41"/>
  <c r="K73" i="41"/>
  <c r="F73" i="41"/>
  <c r="H73" i="41"/>
  <c r="G73" i="41"/>
  <c r="H63" i="41"/>
  <c r="E63" i="41"/>
  <c r="L63" i="41"/>
  <c r="G63" i="41"/>
  <c r="M63" i="41"/>
  <c r="K63" i="41"/>
  <c r="D63" i="41"/>
  <c r="J63" i="41"/>
  <c r="O63" i="41"/>
  <c r="I63" i="41"/>
  <c r="N63" i="41"/>
  <c r="F63" i="41"/>
  <c r="M44" i="41"/>
  <c r="L44" i="41"/>
  <c r="O44" i="41"/>
  <c r="D44" i="41"/>
  <c r="E44" i="41"/>
  <c r="G44" i="41"/>
  <c r="K44" i="41"/>
  <c r="I44" i="41"/>
  <c r="N44" i="41"/>
  <c r="H44" i="41"/>
  <c r="F44" i="41"/>
  <c r="J44" i="41"/>
  <c r="M45" i="41"/>
  <c r="E45" i="41"/>
  <c r="H45" i="41"/>
  <c r="J45" i="41"/>
  <c r="I45" i="41"/>
  <c r="O45" i="41"/>
  <c r="G45" i="41"/>
  <c r="L45" i="41"/>
  <c r="D45" i="41"/>
  <c r="F45" i="41"/>
  <c r="N45" i="41"/>
  <c r="K45" i="41"/>
  <c r="P81" i="41"/>
  <c r="D365" i="43" s="1"/>
  <c r="J365" i="43" s="1"/>
  <c r="I91" i="41"/>
  <c r="J91" i="41"/>
  <c r="O91" i="41"/>
  <c r="K91" i="41"/>
  <c r="F91" i="41"/>
  <c r="H91" i="41"/>
  <c r="D91" i="41"/>
  <c r="L91" i="41"/>
  <c r="G91" i="41"/>
  <c r="N91" i="41"/>
  <c r="E91" i="41"/>
  <c r="M91" i="41"/>
  <c r="M60" i="41"/>
  <c r="F60" i="41"/>
  <c r="D60" i="41"/>
  <c r="E60" i="41"/>
  <c r="L60" i="41"/>
  <c r="J60" i="41"/>
  <c r="O60" i="41"/>
  <c r="I60" i="41"/>
  <c r="N60" i="41"/>
  <c r="G60" i="41"/>
  <c r="H60" i="41"/>
  <c r="K60" i="41"/>
  <c r="P72" i="41"/>
  <c r="D352" i="43" s="1"/>
  <c r="P106" i="41"/>
  <c r="D730" i="43" s="1"/>
  <c r="P100" i="41"/>
  <c r="D611" i="43" s="1"/>
  <c r="E66" i="41"/>
  <c r="D66" i="41"/>
  <c r="F66" i="41"/>
  <c r="O66" i="41"/>
  <c r="J66" i="41"/>
  <c r="M66" i="41"/>
  <c r="I66" i="41"/>
  <c r="G66" i="41"/>
  <c r="N66" i="41"/>
  <c r="L66" i="41"/>
  <c r="H66" i="41"/>
  <c r="K66" i="41"/>
  <c r="H676" i="35"/>
  <c r="H678" i="35" s="1"/>
  <c r="H616" i="35"/>
  <c r="H618" i="35" s="1"/>
  <c r="P68" i="41" l="1"/>
  <c r="D252" i="43" s="1"/>
  <c r="J252" i="43" s="1"/>
  <c r="P69" i="41"/>
  <c r="D253" i="43" s="1"/>
  <c r="J253" i="43" s="1"/>
  <c r="P64" i="41"/>
  <c r="P94" i="41"/>
  <c r="D482" i="43" s="1"/>
  <c r="J482" i="43" s="1"/>
  <c r="P89" i="41"/>
  <c r="D475" i="43" s="1"/>
  <c r="J475" i="43" s="1"/>
  <c r="P87" i="41"/>
  <c r="D473" i="43" s="1"/>
  <c r="J473" i="43" s="1"/>
  <c r="P86" i="41"/>
  <c r="D470" i="43" s="1"/>
  <c r="J470" i="43" s="1"/>
  <c r="P85" i="41"/>
  <c r="D469" i="43" s="1"/>
  <c r="H469" i="43" s="1"/>
  <c r="P84" i="41"/>
  <c r="D468" i="43" s="1"/>
  <c r="J468" i="43" s="1"/>
  <c r="P90" i="41"/>
  <c r="D477" i="43" s="1"/>
  <c r="J477" i="43" s="1"/>
  <c r="P88" i="41"/>
  <c r="D474" i="43" s="1"/>
  <c r="J474" i="43" s="1"/>
  <c r="H481" i="43"/>
  <c r="P80" i="41"/>
  <c r="D364" i="43" s="1"/>
  <c r="J364" i="43" s="1"/>
  <c r="P71" i="41"/>
  <c r="D351" i="43" s="1"/>
  <c r="P65" i="41"/>
  <c r="D248" i="43" s="1"/>
  <c r="J248" i="43" s="1"/>
  <c r="D247" i="43"/>
  <c r="J247" i="43" s="1"/>
  <c r="P67" i="41"/>
  <c r="D251" i="43" s="1"/>
  <c r="J251" i="43" s="1"/>
  <c r="P92" i="41"/>
  <c r="D479" i="43" s="1"/>
  <c r="J479" i="43" s="1"/>
  <c r="P60" i="41"/>
  <c r="D240" i="43" s="1"/>
  <c r="J240" i="43" s="1"/>
  <c r="H97" i="43"/>
  <c r="H366" i="43"/>
  <c r="D731" i="43"/>
  <c r="J729" i="43"/>
  <c r="H729" i="43"/>
  <c r="P49" i="41"/>
  <c r="D99" i="43" s="1"/>
  <c r="J99" i="43" s="1"/>
  <c r="P61" i="41"/>
  <c r="D243" i="43" s="1"/>
  <c r="J243" i="43" s="1"/>
  <c r="J730" i="43"/>
  <c r="H730" i="43"/>
  <c r="D735" i="43" s="1"/>
  <c r="H735" i="43" s="1"/>
  <c r="J352" i="43"/>
  <c r="H352" i="43"/>
  <c r="H101" i="43"/>
  <c r="P46" i="41"/>
  <c r="D95" i="43" s="1"/>
  <c r="J95" i="43" s="1"/>
  <c r="J611" i="43"/>
  <c r="H611" i="43"/>
  <c r="D617" i="43" s="1"/>
  <c r="H617" i="43" s="1"/>
  <c r="J239" i="43"/>
  <c r="H239" i="43"/>
  <c r="P43" i="41"/>
  <c r="D90" i="43" s="1"/>
  <c r="P66" i="41"/>
  <c r="D249" i="43" s="1"/>
  <c r="J249" i="43" s="1"/>
  <c r="H360" i="43"/>
  <c r="P75" i="41"/>
  <c r="D357" i="43" s="1"/>
  <c r="J357" i="43" s="1"/>
  <c r="P44" i="41"/>
  <c r="D91" i="43" s="1"/>
  <c r="P62" i="41"/>
  <c r="J244" i="43" s="1"/>
  <c r="P53" i="41"/>
  <c r="D104" i="43" s="1"/>
  <c r="J104" i="43" s="1"/>
  <c r="P52" i="41"/>
  <c r="D103" i="43" s="1"/>
  <c r="J103" i="43" s="1"/>
  <c r="J534" i="43"/>
  <c r="H534" i="43"/>
  <c r="H541" i="43" s="1"/>
  <c r="H365" i="43"/>
  <c r="P45" i="41"/>
  <c r="P95" i="41"/>
  <c r="D483" i="43" s="1"/>
  <c r="J483" i="43" s="1"/>
  <c r="P58" i="41"/>
  <c r="D238" i="43" s="1"/>
  <c r="H358" i="43"/>
  <c r="H470" i="43"/>
  <c r="P91" i="41"/>
  <c r="D478" i="43" s="1"/>
  <c r="J478" i="43" s="1"/>
  <c r="P73" i="41"/>
  <c r="D353" i="43" s="1"/>
  <c r="H351" i="43"/>
  <c r="J351" i="43"/>
  <c r="H475" i="43"/>
  <c r="H147" i="43"/>
  <c r="H154" i="43" s="1"/>
  <c r="J147" i="43"/>
  <c r="H361" i="43"/>
  <c r="P54" i="41"/>
  <c r="D105" i="43" s="1"/>
  <c r="J105" i="43" s="1"/>
  <c r="P50" i="41"/>
  <c r="D100" i="43" s="1"/>
  <c r="J100" i="43" s="1"/>
  <c r="J671" i="43"/>
  <c r="H671" i="43"/>
  <c r="D673" i="43"/>
  <c r="H610" i="43"/>
  <c r="D612" i="43"/>
  <c r="J610" i="43"/>
  <c r="P63" i="41"/>
  <c r="D245" i="43" s="1"/>
  <c r="J245" i="43" s="1"/>
  <c r="H356" i="43"/>
  <c r="H482" i="43"/>
  <c r="P47" i="41"/>
  <c r="D96" i="43" s="1"/>
  <c r="J96" i="43" s="1"/>
  <c r="P79" i="41"/>
  <c r="D362" i="43" s="1"/>
  <c r="J362" i="43" s="1"/>
  <c r="H473" i="43"/>
  <c r="H672" i="43"/>
  <c r="D677" i="43" s="1"/>
  <c r="H677" i="43" s="1"/>
  <c r="J672" i="43"/>
  <c r="H253" i="43"/>
  <c r="H252" i="43" l="1"/>
  <c r="H248" i="43"/>
  <c r="H251" i="43"/>
  <c r="J469" i="43"/>
  <c r="H477" i="43"/>
  <c r="H468" i="43"/>
  <c r="H474" i="43"/>
  <c r="H479" i="43"/>
  <c r="H364" i="43"/>
  <c r="H240" i="43"/>
  <c r="D258" i="43" s="1"/>
  <c r="H258" i="43" s="1"/>
  <c r="H247" i="43"/>
  <c r="J673" i="43"/>
  <c r="D367" i="43"/>
  <c r="J612" i="43"/>
  <c r="H612" i="43"/>
  <c r="D615" i="43"/>
  <c r="H615" i="43" s="1"/>
  <c r="H618" i="43" s="1"/>
  <c r="J353" i="43"/>
  <c r="H353" i="43"/>
  <c r="D372" i="43" s="1"/>
  <c r="H372" i="43" s="1"/>
  <c r="H103" i="43"/>
  <c r="H478" i="43"/>
  <c r="D487" i="43" s="1"/>
  <c r="H487" i="43" s="1"/>
  <c r="H104" i="43"/>
  <c r="H244" i="43"/>
  <c r="J91" i="43"/>
  <c r="H91" i="43"/>
  <c r="H243" i="43"/>
  <c r="H100" i="43"/>
  <c r="H357" i="43"/>
  <c r="H105" i="43"/>
  <c r="D676" i="43"/>
  <c r="H676" i="43" s="1"/>
  <c r="H678" i="43" s="1"/>
  <c r="H673" i="43"/>
  <c r="H99" i="43"/>
  <c r="H249" i="43"/>
  <c r="H731" i="43"/>
  <c r="D734" i="43"/>
  <c r="H734" i="43" s="1"/>
  <c r="H736" i="43" s="1"/>
  <c r="H96" i="43"/>
  <c r="J731" i="43"/>
  <c r="D254" i="43"/>
  <c r="J238" i="43"/>
  <c r="H238" i="43"/>
  <c r="H362" i="43"/>
  <c r="H483" i="43"/>
  <c r="D488" i="43" s="1"/>
  <c r="H488" i="43" s="1"/>
  <c r="J90" i="43"/>
  <c r="H90" i="43"/>
  <c r="D484" i="43"/>
  <c r="D92" i="43"/>
  <c r="J90" i="35"/>
  <c r="J104" i="35" s="1"/>
  <c r="H245" i="43"/>
  <c r="P81" i="32"/>
  <c r="P80" i="32"/>
  <c r="P79" i="32"/>
  <c r="P78" i="32"/>
  <c r="P77" i="32"/>
  <c r="P76" i="32"/>
  <c r="P75" i="32"/>
  <c r="P74" i="32"/>
  <c r="P73" i="32"/>
  <c r="P72" i="32"/>
  <c r="O82" i="32"/>
  <c r="N82" i="32"/>
  <c r="M82" i="32"/>
  <c r="L82" i="32"/>
  <c r="K82" i="32"/>
  <c r="J82" i="32"/>
  <c r="I82" i="32"/>
  <c r="H82" i="32"/>
  <c r="G82" i="32"/>
  <c r="F82" i="32"/>
  <c r="E82" i="32"/>
  <c r="D82" i="32"/>
  <c r="O57" i="32"/>
  <c r="N57" i="32"/>
  <c r="M57" i="32"/>
  <c r="L57" i="32"/>
  <c r="K57" i="32"/>
  <c r="J57" i="32"/>
  <c r="I57" i="32"/>
  <c r="H57" i="32"/>
  <c r="G57" i="32"/>
  <c r="F57" i="32"/>
  <c r="E57" i="32"/>
  <c r="D57" i="32"/>
  <c r="P56" i="32"/>
  <c r="P55" i="32"/>
  <c r="P54" i="32"/>
  <c r="P53" i="32"/>
  <c r="P52" i="32"/>
  <c r="P51" i="32"/>
  <c r="P50" i="32"/>
  <c r="P49" i="32"/>
  <c r="P48" i="32"/>
  <c r="P47" i="32"/>
  <c r="O31" i="32"/>
  <c r="N31" i="32"/>
  <c r="M31" i="32"/>
  <c r="L31" i="32"/>
  <c r="K31" i="32"/>
  <c r="J31" i="32"/>
  <c r="I31" i="32"/>
  <c r="H31" i="32"/>
  <c r="G31" i="32"/>
  <c r="F31" i="32"/>
  <c r="E31" i="32"/>
  <c r="D31" i="32"/>
  <c r="E18" i="32"/>
  <c r="F18" i="32"/>
  <c r="G18" i="32"/>
  <c r="H18" i="32"/>
  <c r="I18" i="32"/>
  <c r="J18" i="32"/>
  <c r="K18" i="32"/>
  <c r="L18" i="32"/>
  <c r="M18" i="32"/>
  <c r="N18" i="32"/>
  <c r="O18" i="32"/>
  <c r="D18" i="32"/>
  <c r="P9" i="32"/>
  <c r="P10" i="32"/>
  <c r="P11" i="32"/>
  <c r="P12" i="32"/>
  <c r="P13" i="32"/>
  <c r="P14" i="32"/>
  <c r="P15" i="32"/>
  <c r="P16" i="32"/>
  <c r="P17" i="32"/>
  <c r="P8" i="32"/>
  <c r="D257" i="43" l="1"/>
  <c r="H257" i="43" s="1"/>
  <c r="H263" i="43" s="1"/>
  <c r="H484" i="43"/>
  <c r="H492" i="43"/>
  <c r="J367" i="43"/>
  <c r="J484" i="43"/>
  <c r="H254" i="43"/>
  <c r="H265" i="43" s="1"/>
  <c r="H680" i="43"/>
  <c r="J254" i="43"/>
  <c r="D371" i="43"/>
  <c r="H371" i="43" s="1"/>
  <c r="H376" i="43" s="1"/>
  <c r="H378" i="43" s="1"/>
  <c r="H367" i="43"/>
  <c r="H620" i="43"/>
  <c r="J92" i="43"/>
  <c r="H92" i="43"/>
  <c r="D109" i="43" s="1"/>
  <c r="H109" i="43" s="1"/>
  <c r="H738" i="43"/>
  <c r="D108" i="43"/>
  <c r="H108" i="43" s="1"/>
  <c r="P18" i="32"/>
  <c r="P57" i="32"/>
  <c r="P82" i="32"/>
  <c r="P31" i="32"/>
  <c r="AB566" i="4"/>
  <c r="AC566" i="4"/>
  <c r="AD566" i="4"/>
  <c r="AE566" i="4"/>
  <c r="AF566" i="4"/>
  <c r="AB567" i="4"/>
  <c r="AC567" i="4"/>
  <c r="AD567" i="4"/>
  <c r="AE567" i="4"/>
  <c r="AF567" i="4"/>
  <c r="AB568" i="4"/>
  <c r="AC568" i="4"/>
  <c r="AD568" i="4"/>
  <c r="AE568" i="4"/>
  <c r="AF568" i="4"/>
  <c r="AB569" i="4"/>
  <c r="AC569" i="4"/>
  <c r="AD569" i="4"/>
  <c r="AE569" i="4"/>
  <c r="AF569" i="4"/>
  <c r="AB570" i="4"/>
  <c r="AC570" i="4"/>
  <c r="AD570" i="4"/>
  <c r="AE570" i="4"/>
  <c r="AF570" i="4"/>
  <c r="AB509" i="4"/>
  <c r="AC509" i="4"/>
  <c r="AD509" i="4"/>
  <c r="AE509" i="4"/>
  <c r="AF509" i="4"/>
  <c r="AB510" i="4"/>
  <c r="AC510" i="4"/>
  <c r="AD510" i="4"/>
  <c r="AE510" i="4"/>
  <c r="AF510" i="4"/>
  <c r="H244" i="4"/>
  <c r="N244" i="4" s="1"/>
  <c r="H47" i="4"/>
  <c r="N47" i="4" s="1"/>
  <c r="H494" i="43" l="1"/>
  <c r="H113" i="43"/>
  <c r="J31" i="2"/>
  <c r="J27" i="2"/>
  <c r="J16" i="2" l="1"/>
  <c r="J18" i="2"/>
  <c r="J21" i="2"/>
  <c r="J24" i="2"/>
  <c r="H259" i="35"/>
  <c r="N259" i="35" s="1"/>
  <c r="H243" i="4"/>
  <c r="N243" i="4" s="1"/>
  <c r="H537" i="35" l="1"/>
  <c r="N537" i="35" s="1"/>
  <c r="H478" i="4"/>
  <c r="N478" i="4" s="1"/>
  <c r="H46" i="35"/>
  <c r="N46" i="35" s="1"/>
  <c r="H46" i="4"/>
  <c r="N46" i="4" s="1"/>
  <c r="H109" i="35"/>
  <c r="N109" i="35" s="1"/>
  <c r="H105" i="4"/>
  <c r="N105" i="4" s="1"/>
  <c r="H150" i="35"/>
  <c r="N150" i="35" s="1"/>
  <c r="H142" i="4"/>
  <c r="N142" i="4" s="1"/>
  <c r="H373" i="35"/>
  <c r="N373" i="35" s="1"/>
  <c r="H344" i="4"/>
  <c r="N344" i="4" s="1"/>
  <c r="K27" i="36"/>
  <c r="K33" i="36" s="1"/>
  <c r="H489" i="35"/>
  <c r="N489" i="35" s="1"/>
  <c r="H443" i="4"/>
  <c r="N443" i="4" s="1"/>
  <c r="H45" i="35" l="1"/>
  <c r="H45" i="4"/>
  <c r="H108" i="35"/>
  <c r="H104" i="4"/>
  <c r="H149" i="35"/>
  <c r="H141" i="4"/>
  <c r="H258" i="35"/>
  <c r="H242" i="4"/>
  <c r="H372" i="35"/>
  <c r="H343" i="4"/>
  <c r="H488" i="35"/>
  <c r="H442" i="4"/>
  <c r="H536" i="35"/>
  <c r="H477" i="4"/>
  <c r="N258" i="35" l="1"/>
  <c r="H261" i="35"/>
  <c r="H263" i="35" s="1"/>
  <c r="N149" i="35"/>
  <c r="H152" i="35"/>
  <c r="N536" i="35"/>
  <c r="H539" i="35"/>
  <c r="N108" i="35"/>
  <c r="H111" i="35"/>
  <c r="H113" i="35" s="1"/>
  <c r="N372" i="35"/>
  <c r="H374" i="35"/>
  <c r="H376" i="35" s="1"/>
  <c r="N488" i="35"/>
  <c r="H490" i="35"/>
  <c r="H492" i="35" s="1"/>
  <c r="N45" i="35"/>
  <c r="H280" i="8" l="1"/>
  <c r="H246" i="8"/>
  <c r="H212" i="8"/>
  <c r="H54" i="8" l="1"/>
  <c r="H101" i="8"/>
  <c r="H137" i="8"/>
  <c r="H170" i="8"/>
  <c r="I161" i="8" l="1"/>
  <c r="I128" i="8"/>
  <c r="I146" i="8" l="1"/>
  <c r="I110" i="8"/>
  <c r="D35" i="32" l="1"/>
  <c r="E35" i="32"/>
  <c r="F35" i="32"/>
  <c r="G35" i="32"/>
  <c r="H35" i="32"/>
  <c r="I35" i="32"/>
  <c r="J35" i="32"/>
  <c r="K35" i="32"/>
  <c r="L35" i="32"/>
  <c r="M35" i="32"/>
  <c r="N35" i="32"/>
  <c r="O35" i="32"/>
  <c r="D36" i="32"/>
  <c r="E36" i="32"/>
  <c r="F36" i="32"/>
  <c r="G36" i="32"/>
  <c r="H36" i="32"/>
  <c r="I36" i="32"/>
  <c r="J36" i="32"/>
  <c r="K36" i="32"/>
  <c r="L36" i="32"/>
  <c r="M36" i="32"/>
  <c r="N36" i="32"/>
  <c r="O36" i="32"/>
  <c r="D37" i="32"/>
  <c r="E37" i="32"/>
  <c r="F37" i="32"/>
  <c r="G37" i="32"/>
  <c r="H37" i="32"/>
  <c r="I37" i="32"/>
  <c r="J37" i="32"/>
  <c r="K37" i="32"/>
  <c r="L37" i="32"/>
  <c r="M37" i="32"/>
  <c r="N37" i="32"/>
  <c r="O37" i="32"/>
  <c r="D38" i="32"/>
  <c r="E38" i="32"/>
  <c r="F38" i="32"/>
  <c r="G38" i="32"/>
  <c r="H38" i="32"/>
  <c r="I38" i="32"/>
  <c r="J38" i="32"/>
  <c r="K38" i="32"/>
  <c r="L38" i="32"/>
  <c r="M38" i="32"/>
  <c r="N38" i="32"/>
  <c r="O38" i="32"/>
  <c r="D39" i="32"/>
  <c r="E39" i="32"/>
  <c r="F39" i="32"/>
  <c r="G39" i="32"/>
  <c r="H39" i="32"/>
  <c r="I39" i="32"/>
  <c r="J39" i="32"/>
  <c r="K39" i="32"/>
  <c r="L39" i="32"/>
  <c r="M39" i="32"/>
  <c r="N39" i="32"/>
  <c r="O39" i="32"/>
  <c r="D40" i="32"/>
  <c r="E40" i="32"/>
  <c r="F40" i="32"/>
  <c r="G40" i="32"/>
  <c r="H40" i="32"/>
  <c r="I40" i="32"/>
  <c r="J40" i="32"/>
  <c r="K40" i="32"/>
  <c r="L40" i="32"/>
  <c r="M40" i="32"/>
  <c r="N40" i="32"/>
  <c r="O40" i="32"/>
  <c r="D41" i="32"/>
  <c r="E41" i="32"/>
  <c r="F41" i="32"/>
  <c r="G41" i="32"/>
  <c r="H41" i="32"/>
  <c r="I41" i="32"/>
  <c r="J41" i="32"/>
  <c r="K41" i="32"/>
  <c r="L41" i="32"/>
  <c r="M41" i="32"/>
  <c r="N41" i="32"/>
  <c r="O41" i="32"/>
  <c r="D42" i="32"/>
  <c r="E42" i="32"/>
  <c r="F42" i="32"/>
  <c r="G42" i="32"/>
  <c r="H42" i="32"/>
  <c r="I42" i="32"/>
  <c r="J42" i="32"/>
  <c r="K42" i="32"/>
  <c r="L42" i="32"/>
  <c r="M42" i="32"/>
  <c r="N42" i="32"/>
  <c r="O42" i="32"/>
  <c r="D43" i="32"/>
  <c r="E43" i="32"/>
  <c r="F43" i="32"/>
  <c r="G43" i="32"/>
  <c r="H43" i="32"/>
  <c r="I43" i="32"/>
  <c r="J43" i="32"/>
  <c r="K43" i="32"/>
  <c r="L43" i="32"/>
  <c r="M43" i="32"/>
  <c r="N43" i="32"/>
  <c r="O43" i="32"/>
  <c r="E34" i="32"/>
  <c r="F34" i="32"/>
  <c r="G34" i="32"/>
  <c r="H34" i="32"/>
  <c r="I34" i="32"/>
  <c r="J34" i="32"/>
  <c r="K34" i="32"/>
  <c r="L34" i="32"/>
  <c r="L44" i="32" s="1"/>
  <c r="M34" i="32"/>
  <c r="N34" i="32"/>
  <c r="O34" i="32"/>
  <c r="D34" i="32"/>
  <c r="N44" i="32" l="1"/>
  <c r="P38" i="32"/>
  <c r="P43" i="32"/>
  <c r="P36" i="32"/>
  <c r="H44" i="32"/>
  <c r="D44" i="32"/>
  <c r="P34" i="32"/>
  <c r="P41" i="32"/>
  <c r="O44" i="32"/>
  <c r="P37" i="32"/>
  <c r="K44" i="32"/>
  <c r="P39" i="32"/>
  <c r="M44" i="32"/>
  <c r="F44" i="32"/>
  <c r="P42" i="32"/>
  <c r="E44" i="32"/>
  <c r="J44" i="32"/>
  <c r="I44" i="32"/>
  <c r="G44" i="32"/>
  <c r="P40" i="32"/>
  <c r="P35" i="32"/>
  <c r="J192" i="4"/>
  <c r="P44" i="32" l="1"/>
  <c r="K26" i="11"/>
  <c r="G200" i="8" l="1"/>
  <c r="G199" i="8"/>
  <c r="G194" i="8"/>
  <c r="G191" i="8"/>
  <c r="CN577" i="4" l="1"/>
  <c r="CM577" i="4"/>
  <c r="CL577" i="4"/>
  <c r="CJ577" i="4"/>
  <c r="CG577" i="4"/>
  <c r="CC577" i="4"/>
  <c r="CA577" i="4"/>
  <c r="BZ577" i="4"/>
  <c r="BY577" i="4"/>
  <c r="BW577" i="4"/>
  <c r="BV577" i="4"/>
  <c r="BT577" i="4"/>
  <c r="BS577" i="4"/>
  <c r="BR577" i="4"/>
  <c r="BP577" i="4"/>
  <c r="BM577" i="4"/>
  <c r="BK577" i="4"/>
  <c r="BI577" i="4"/>
  <c r="BG577" i="4"/>
  <c r="BF577" i="4"/>
  <c r="AZ577" i="4"/>
  <c r="AY577" i="4"/>
  <c r="AX577" i="4"/>
  <c r="AV577" i="4"/>
  <c r="AS577" i="4"/>
  <c r="AO577" i="4"/>
  <c r="AM577" i="4"/>
  <c r="AL577" i="4"/>
  <c r="AJ577" i="4"/>
  <c r="AI577" i="4"/>
  <c r="CN556" i="4"/>
  <c r="CM556" i="4"/>
  <c r="CL556" i="4"/>
  <c r="CK556" i="4"/>
  <c r="CJ556" i="4"/>
  <c r="CI556" i="4"/>
  <c r="CH556" i="4"/>
  <c r="CG556" i="4"/>
  <c r="CF556" i="4"/>
  <c r="CE556" i="4"/>
  <c r="CD556" i="4"/>
  <c r="CC556" i="4"/>
  <c r="CB556" i="4"/>
  <c r="CA556" i="4"/>
  <c r="BZ556" i="4"/>
  <c r="BY556" i="4"/>
  <c r="BX556" i="4"/>
  <c r="BW556" i="4"/>
  <c r="BV556" i="4"/>
  <c r="BT556" i="4"/>
  <c r="BS556" i="4"/>
  <c r="BR556" i="4"/>
  <c r="BQ556" i="4"/>
  <c r="BP556" i="4"/>
  <c r="BO556" i="4"/>
  <c r="BN556" i="4"/>
  <c r="BM556" i="4"/>
  <c r="BL556" i="4"/>
  <c r="BK556" i="4"/>
  <c r="BJ556" i="4"/>
  <c r="BI556" i="4"/>
  <c r="BH556" i="4"/>
  <c r="BG556" i="4"/>
  <c r="BF556" i="4"/>
  <c r="BE556" i="4"/>
  <c r="BD556" i="4"/>
  <c r="BB556" i="4"/>
  <c r="BA556" i="4"/>
  <c r="AZ556" i="4"/>
  <c r="AY556" i="4"/>
  <c r="AX556" i="4"/>
  <c r="AW556" i="4"/>
  <c r="AV556" i="4"/>
  <c r="AU556" i="4"/>
  <c r="AT556" i="4"/>
  <c r="AS556" i="4"/>
  <c r="AR556" i="4"/>
  <c r="AQ556" i="4"/>
  <c r="AP556" i="4"/>
  <c r="AO556" i="4"/>
  <c r="AN556" i="4"/>
  <c r="AM556" i="4"/>
  <c r="AL556" i="4"/>
  <c r="AK556" i="4"/>
  <c r="AJ556" i="4"/>
  <c r="AI556" i="4"/>
  <c r="BU556" i="4"/>
  <c r="CO556" i="4"/>
  <c r="AN577" i="4"/>
  <c r="AP577" i="4"/>
  <c r="AQ577" i="4"/>
  <c r="AR577" i="4"/>
  <c r="AT577" i="4"/>
  <c r="AU577" i="4"/>
  <c r="AW577" i="4"/>
  <c r="BA577" i="4"/>
  <c r="BH577" i="4"/>
  <c r="BJ577" i="4"/>
  <c r="BL577" i="4"/>
  <c r="BN577" i="4"/>
  <c r="BO577" i="4"/>
  <c r="BQ577" i="4"/>
  <c r="BU577" i="4"/>
  <c r="CB577" i="4"/>
  <c r="CD577" i="4"/>
  <c r="CE577" i="4"/>
  <c r="CF577" i="4"/>
  <c r="CH577" i="4"/>
  <c r="CI577" i="4"/>
  <c r="CK577" i="4"/>
  <c r="CO577" i="4"/>
  <c r="CO525" i="4"/>
  <c r="CN525" i="4"/>
  <c r="CM525" i="4"/>
  <c r="CL525" i="4"/>
  <c r="CK525" i="4"/>
  <c r="CJ525" i="4"/>
  <c r="CI525" i="4"/>
  <c r="CH525" i="4"/>
  <c r="CF525" i="4"/>
  <c r="CE525" i="4"/>
  <c r="CC525" i="4"/>
  <c r="BZ525" i="4"/>
  <c r="BY525" i="4"/>
  <c r="BX525" i="4"/>
  <c r="BW525" i="4"/>
  <c r="BU525" i="4"/>
  <c r="BT525" i="4"/>
  <c r="BS525" i="4"/>
  <c r="BR525" i="4"/>
  <c r="BQ525" i="4"/>
  <c r="BP525" i="4"/>
  <c r="BO525" i="4"/>
  <c r="BN525" i="4"/>
  <c r="BM525" i="4"/>
  <c r="BK525" i="4"/>
  <c r="BJ525" i="4"/>
  <c r="BI525" i="4"/>
  <c r="BF525" i="4"/>
  <c r="BE525" i="4"/>
  <c r="BA525" i="4"/>
  <c r="AZ525" i="4"/>
  <c r="AY525" i="4"/>
  <c r="AX525" i="4"/>
  <c r="AW525" i="4"/>
  <c r="AV525" i="4"/>
  <c r="AU525" i="4"/>
  <c r="AT525" i="4"/>
  <c r="AS525" i="4"/>
  <c r="AQ525" i="4"/>
  <c r="AO525" i="4"/>
  <c r="AN525" i="4"/>
  <c r="AM525" i="4"/>
  <c r="AK525" i="4"/>
  <c r="AJ525" i="4"/>
  <c r="AI525" i="4"/>
  <c r="CO505" i="4"/>
  <c r="CN505" i="4"/>
  <c r="CM505" i="4"/>
  <c r="CL505" i="4"/>
  <c r="CK505" i="4"/>
  <c r="CJ505" i="4"/>
  <c r="CI505" i="4"/>
  <c r="CH505" i="4"/>
  <c r="CG505" i="4"/>
  <c r="CF505" i="4"/>
  <c r="CE505" i="4"/>
  <c r="CC505" i="4"/>
  <c r="CB505" i="4"/>
  <c r="BY505" i="4"/>
  <c r="BV505" i="4"/>
  <c r="BU505" i="4"/>
  <c r="BT505" i="4"/>
  <c r="BS505" i="4"/>
  <c r="BR505" i="4"/>
  <c r="BQ505" i="4"/>
  <c r="BO505" i="4"/>
  <c r="BM505" i="4"/>
  <c r="BL505" i="4"/>
  <c r="BK505" i="4"/>
  <c r="BI505" i="4"/>
  <c r="BH505" i="4"/>
  <c r="BE505" i="4"/>
  <c r="BB505" i="4"/>
  <c r="BA505" i="4"/>
  <c r="AZ505" i="4"/>
  <c r="AY505" i="4"/>
  <c r="AW505" i="4"/>
  <c r="AV505" i="4"/>
  <c r="AU505" i="4"/>
  <c r="AT505" i="4"/>
  <c r="AS505" i="4"/>
  <c r="AQ505" i="4"/>
  <c r="AO505" i="4"/>
  <c r="AN505" i="4"/>
  <c r="AM505" i="4"/>
  <c r="AK505" i="4"/>
  <c r="AI505" i="4"/>
  <c r="AH505" i="4"/>
  <c r="AH608" i="4"/>
  <c r="AI608" i="4"/>
  <c r="AJ608" i="4"/>
  <c r="AK608" i="4"/>
  <c r="AL608" i="4"/>
  <c r="AM608" i="4"/>
  <c r="AN608" i="4"/>
  <c r="AO608" i="4"/>
  <c r="AP608" i="4"/>
  <c r="AQ608" i="4"/>
  <c r="AR608" i="4"/>
  <c r="AS608" i="4"/>
  <c r="AT608" i="4"/>
  <c r="AU608" i="4"/>
  <c r="AV608" i="4"/>
  <c r="AW608" i="4"/>
  <c r="AX608" i="4"/>
  <c r="AY608" i="4"/>
  <c r="AZ608" i="4"/>
  <c r="BA608" i="4"/>
  <c r="BB608" i="4"/>
  <c r="BC608" i="4"/>
  <c r="BD608" i="4"/>
  <c r="BE608" i="4"/>
  <c r="BF608" i="4"/>
  <c r="BG608" i="4"/>
  <c r="BH608" i="4"/>
  <c r="BI608" i="4"/>
  <c r="BJ608" i="4"/>
  <c r="BK608" i="4"/>
  <c r="BL608" i="4"/>
  <c r="BM608" i="4"/>
  <c r="BN608" i="4"/>
  <c r="BO608" i="4"/>
  <c r="BP608" i="4"/>
  <c r="BQ608" i="4"/>
  <c r="BR608" i="4"/>
  <c r="BS608" i="4"/>
  <c r="BT608" i="4"/>
  <c r="BU608" i="4"/>
  <c r="BV608" i="4"/>
  <c r="BW608" i="4"/>
  <c r="BX608" i="4"/>
  <c r="BY608" i="4"/>
  <c r="BZ608" i="4"/>
  <c r="CA608" i="4"/>
  <c r="CB608" i="4"/>
  <c r="CC608" i="4"/>
  <c r="CD608" i="4"/>
  <c r="CE608" i="4"/>
  <c r="CF608" i="4"/>
  <c r="CG608" i="4"/>
  <c r="CH608" i="4"/>
  <c r="CI608" i="4"/>
  <c r="CJ608" i="4"/>
  <c r="CK608" i="4"/>
  <c r="CL608" i="4"/>
  <c r="CM608" i="4"/>
  <c r="CN608" i="4"/>
  <c r="CO608" i="4"/>
  <c r="AH628" i="4"/>
  <c r="AI628" i="4"/>
  <c r="AJ628" i="4"/>
  <c r="AK628" i="4"/>
  <c r="AL628" i="4"/>
  <c r="AM628" i="4"/>
  <c r="AN628" i="4"/>
  <c r="AO628" i="4"/>
  <c r="AP628" i="4"/>
  <c r="AQ628" i="4"/>
  <c r="AR628" i="4"/>
  <c r="AS628" i="4"/>
  <c r="AT628" i="4"/>
  <c r="AU628" i="4"/>
  <c r="AV628" i="4"/>
  <c r="AW628" i="4"/>
  <c r="AX628" i="4"/>
  <c r="AY628" i="4"/>
  <c r="AZ628" i="4"/>
  <c r="BA628" i="4"/>
  <c r="BB628" i="4"/>
  <c r="BC628" i="4"/>
  <c r="BD628" i="4"/>
  <c r="BE628" i="4"/>
  <c r="BF628" i="4"/>
  <c r="BG628" i="4"/>
  <c r="BH628" i="4"/>
  <c r="BI628" i="4"/>
  <c r="BJ628" i="4"/>
  <c r="BK628" i="4"/>
  <c r="BL628" i="4"/>
  <c r="BM628" i="4"/>
  <c r="BN628" i="4"/>
  <c r="BO628" i="4"/>
  <c r="BP628" i="4"/>
  <c r="BQ628" i="4"/>
  <c r="BR628" i="4"/>
  <c r="BS628" i="4"/>
  <c r="BT628" i="4"/>
  <c r="BU628" i="4"/>
  <c r="BV628" i="4"/>
  <c r="BW628" i="4"/>
  <c r="BX628" i="4"/>
  <c r="BY628" i="4"/>
  <c r="BZ628" i="4"/>
  <c r="CA628" i="4"/>
  <c r="CB628" i="4"/>
  <c r="CC628" i="4"/>
  <c r="CD628" i="4"/>
  <c r="CE628" i="4"/>
  <c r="CF628" i="4"/>
  <c r="CG628" i="4"/>
  <c r="CH628" i="4"/>
  <c r="CI628" i="4"/>
  <c r="CJ628" i="4"/>
  <c r="CK628" i="4"/>
  <c r="CL628" i="4"/>
  <c r="CM628" i="4"/>
  <c r="CN628" i="4"/>
  <c r="CO628" i="4"/>
  <c r="CD525" i="4" l="1"/>
  <c r="CD505" i="4"/>
  <c r="AP525" i="4"/>
  <c r="BE577" i="4"/>
  <c r="BJ505" i="4"/>
  <c r="AK577" i="4"/>
  <c r="BL525" i="4"/>
  <c r="BC556" i="4"/>
  <c r="AR525" i="4"/>
  <c r="CG525" i="4"/>
  <c r="CA505" i="4"/>
  <c r="BG525" i="4"/>
  <c r="BF505" i="4"/>
  <c r="CA525" i="4"/>
  <c r="AP505" i="4"/>
  <c r="AH577" i="4"/>
  <c r="BD577" i="4"/>
  <c r="AH556" i="4"/>
  <c r="BG505" i="4"/>
  <c r="BC577" i="4"/>
  <c r="BZ505" i="4"/>
  <c r="AL525" i="4"/>
  <c r="BB577" i="4"/>
  <c r="BX577" i="4"/>
  <c r="CB525" i="4"/>
  <c r="BH525" i="4"/>
  <c r="BW505" i="4"/>
  <c r="AJ505" i="4"/>
  <c r="BV525" i="4"/>
  <c r="AL505" i="4"/>
  <c r="BB525" i="4"/>
  <c r="BX505" i="4"/>
  <c r="BD525" i="4"/>
  <c r="AH525" i="4"/>
  <c r="BC525" i="4"/>
  <c r="BD505" i="4"/>
  <c r="BN505" i="4"/>
  <c r="BC505" i="4"/>
  <c r="BP505" i="4"/>
  <c r="AR505" i="4"/>
  <c r="AX505" i="4"/>
  <c r="AB93" i="4" l="1"/>
  <c r="AC93" i="4"/>
  <c r="AD93" i="4"/>
  <c r="AE93" i="4"/>
  <c r="AF93" i="4"/>
  <c r="AB94" i="4"/>
  <c r="AC94" i="4"/>
  <c r="AD94" i="4"/>
  <c r="AE94" i="4"/>
  <c r="AF94" i="4"/>
  <c r="E124" i="32" l="1"/>
  <c r="F124" i="32" s="1"/>
  <c r="G124" i="32" s="1"/>
  <c r="H124" i="32" s="1"/>
  <c r="I124" i="32" s="1"/>
  <c r="J124" i="32" s="1"/>
  <c r="K124" i="32" s="1"/>
  <c r="L124" i="32" s="1"/>
  <c r="M124" i="32" s="1"/>
  <c r="N124" i="32" s="1"/>
  <c r="O124" i="32" s="1"/>
  <c r="A123" i="32"/>
  <c r="A124" i="32" s="1"/>
  <c r="A125" i="32" s="1"/>
  <c r="A126" i="32" s="1"/>
  <c r="A127" i="32" s="1"/>
  <c r="A128" i="32" s="1"/>
  <c r="A129" i="32" s="1"/>
  <c r="A130" i="32" s="1"/>
  <c r="A131" i="32" s="1"/>
  <c r="A132" i="32" s="1"/>
  <c r="A133" i="32" s="1"/>
  <c r="A134" i="32" s="1"/>
  <c r="A135" i="32" s="1"/>
  <c r="O121" i="32"/>
  <c r="N121" i="32"/>
  <c r="F121" i="32"/>
  <c r="E121" i="32"/>
  <c r="N120" i="32"/>
  <c r="L120" i="32"/>
  <c r="J120" i="32"/>
  <c r="E120" i="32"/>
  <c r="N119" i="32"/>
  <c r="M119" i="32"/>
  <c r="L119" i="32"/>
  <c r="K119" i="32"/>
  <c r="H119" i="32"/>
  <c r="G119" i="32"/>
  <c r="F119" i="32"/>
  <c r="E119" i="32"/>
  <c r="M118" i="32"/>
  <c r="L118" i="32"/>
  <c r="I118" i="32"/>
  <c r="G118" i="32"/>
  <c r="F118" i="32"/>
  <c r="O117" i="32"/>
  <c r="N117" i="32"/>
  <c r="F117" i="32"/>
  <c r="E117" i="32"/>
  <c r="D117" i="32"/>
  <c r="L116" i="32"/>
  <c r="K116" i="32"/>
  <c r="J116" i="32"/>
  <c r="G116" i="32"/>
  <c r="E116" i="32"/>
  <c r="L115" i="32"/>
  <c r="K115" i="32"/>
  <c r="E115" i="32"/>
  <c r="D115" i="32"/>
  <c r="E114" i="32"/>
  <c r="D114" i="32"/>
  <c r="P114" i="32" s="1"/>
  <c r="J113" i="32"/>
  <c r="I113" i="32"/>
  <c r="F113" i="32"/>
  <c r="E113" i="32"/>
  <c r="D113" i="32"/>
  <c r="L112" i="32"/>
  <c r="K112" i="32"/>
  <c r="J112" i="32"/>
  <c r="I112" i="32"/>
  <c r="E112" i="32"/>
  <c r="D112" i="32"/>
  <c r="E85" i="32"/>
  <c r="F85" i="32" s="1"/>
  <c r="G85" i="32" s="1"/>
  <c r="H85" i="32" s="1"/>
  <c r="I85" i="32" s="1"/>
  <c r="J85" i="32" s="1"/>
  <c r="K85" i="32" s="1"/>
  <c r="L85" i="32" s="1"/>
  <c r="M85" i="32" s="1"/>
  <c r="N85" i="32" s="1"/>
  <c r="O85" i="32" s="1"/>
  <c r="M121" i="32"/>
  <c r="L121" i="32"/>
  <c r="K121" i="32"/>
  <c r="J121" i="32"/>
  <c r="I121" i="32"/>
  <c r="H121" i="32"/>
  <c r="G121" i="32"/>
  <c r="D121" i="32"/>
  <c r="O120" i="32"/>
  <c r="M120" i="32"/>
  <c r="K120" i="32"/>
  <c r="I120" i="32"/>
  <c r="H120" i="32"/>
  <c r="G120" i="32"/>
  <c r="F120" i="32"/>
  <c r="D120" i="32"/>
  <c r="P120" i="32" s="1"/>
  <c r="O119" i="32"/>
  <c r="J119" i="32"/>
  <c r="I119" i="32"/>
  <c r="D119" i="32"/>
  <c r="O118" i="32"/>
  <c r="N118" i="32"/>
  <c r="K118" i="32"/>
  <c r="J118" i="32"/>
  <c r="H118" i="32"/>
  <c r="E118" i="32"/>
  <c r="D118" i="32"/>
  <c r="M117" i="32"/>
  <c r="L117" i="32"/>
  <c r="K117" i="32"/>
  <c r="J117" i="32"/>
  <c r="I117" i="32"/>
  <c r="H117" i="32"/>
  <c r="G117" i="32"/>
  <c r="O116" i="32"/>
  <c r="N116" i="32"/>
  <c r="M116" i="32"/>
  <c r="I116" i="32"/>
  <c r="H116" i="32"/>
  <c r="F116" i="32"/>
  <c r="D116" i="32"/>
  <c r="O115" i="32"/>
  <c r="N115" i="32"/>
  <c r="M115" i="32"/>
  <c r="J115" i="32"/>
  <c r="I115" i="32"/>
  <c r="H115" i="32"/>
  <c r="G115" i="32"/>
  <c r="F115" i="32"/>
  <c r="O114" i="32"/>
  <c r="N114" i="32"/>
  <c r="M114" i="32"/>
  <c r="L114" i="32"/>
  <c r="K114" i="32"/>
  <c r="J114" i="32"/>
  <c r="I114" i="32"/>
  <c r="H114" i="32"/>
  <c r="G114" i="32"/>
  <c r="F114" i="32"/>
  <c r="O113" i="32"/>
  <c r="N113" i="32"/>
  <c r="M113" i="32"/>
  <c r="L113" i="32"/>
  <c r="K113" i="32"/>
  <c r="H113" i="32"/>
  <c r="G113" i="32"/>
  <c r="O112" i="32"/>
  <c r="N112" i="32"/>
  <c r="M112" i="32"/>
  <c r="H112" i="32"/>
  <c r="G112" i="32"/>
  <c r="F112" i="32"/>
  <c r="K86" i="32"/>
  <c r="I86" i="32"/>
  <c r="G86" i="32"/>
  <c r="E86" i="32"/>
  <c r="D86" i="32"/>
  <c r="N86" i="32"/>
  <c r="M86" i="32"/>
  <c r="H86" i="32"/>
  <c r="A7" i="32"/>
  <c r="A8" i="32" s="1"/>
  <c r="A9" i="32" s="1"/>
  <c r="A10" i="32" s="1"/>
  <c r="E4" i="32"/>
  <c r="F4" i="32" s="1"/>
  <c r="G4" i="32" s="1"/>
  <c r="H4" i="32" s="1"/>
  <c r="I4" i="32" s="1"/>
  <c r="J4" i="32" s="1"/>
  <c r="K4" i="32" s="1"/>
  <c r="L4" i="32" s="1"/>
  <c r="M4" i="32" s="1"/>
  <c r="N4" i="32" s="1"/>
  <c r="O4" i="32" s="1"/>
  <c r="P4" i="32" s="1"/>
  <c r="P115" i="32" l="1"/>
  <c r="P116" i="32"/>
  <c r="P119" i="32"/>
  <c r="D122" i="32"/>
  <c r="P112" i="32"/>
  <c r="E122" i="32"/>
  <c r="I122" i="32"/>
  <c r="P117" i="32"/>
  <c r="J122" i="32"/>
  <c r="K122" i="32"/>
  <c r="L122" i="32"/>
  <c r="G122" i="32"/>
  <c r="P113" i="32"/>
  <c r="H122" i="32"/>
  <c r="M122" i="32"/>
  <c r="F122" i="32"/>
  <c r="N122" i="32"/>
  <c r="P121" i="32"/>
  <c r="O122" i="32"/>
  <c r="P118" i="32"/>
  <c r="F86" i="32"/>
  <c r="O86" i="32"/>
  <c r="A11" i="32"/>
  <c r="J86" i="32"/>
  <c r="P122" i="32" l="1"/>
  <c r="A12" i="32"/>
  <c r="L86" i="32"/>
  <c r="P86" i="32" l="1"/>
  <c r="A13" i="32"/>
  <c r="J21" i="5" l="1"/>
  <c r="A14" i="32"/>
  <c r="A15" i="32" l="1"/>
  <c r="A16" i="32" l="1"/>
  <c r="A17" i="32" l="1"/>
  <c r="A18" i="32" l="1"/>
  <c r="A19" i="32" s="1"/>
  <c r="A20" i="32" s="1"/>
  <c r="A21" i="32" s="1"/>
  <c r="A22" i="32" l="1"/>
  <c r="C34" i="32"/>
  <c r="A23" i="32" l="1"/>
  <c r="C35" i="32"/>
  <c r="A24" i="32" l="1"/>
  <c r="C36" i="32"/>
  <c r="A25" i="32" l="1"/>
  <c r="C37" i="32"/>
  <c r="A26" i="32" l="1"/>
  <c r="C38" i="32"/>
  <c r="A27" i="32" l="1"/>
  <c r="C39" i="32"/>
  <c r="A28" i="32" l="1"/>
  <c r="C40" i="32"/>
  <c r="A29" i="32" l="1"/>
  <c r="C41" i="32"/>
  <c r="A30" i="32" l="1"/>
  <c r="C42" i="32"/>
  <c r="A31" i="32" l="1"/>
  <c r="A32" i="32" s="1"/>
  <c r="A33" i="32" s="1"/>
  <c r="A34" i="32" s="1"/>
  <c r="C43" i="32"/>
  <c r="A35" i="32" l="1"/>
  <c r="A36" i="32" l="1"/>
  <c r="A37" i="32" l="1"/>
  <c r="A38" i="32" l="1"/>
  <c r="A39" i="32" l="1"/>
  <c r="A40" i="32" l="1"/>
  <c r="A41" i="32" l="1"/>
  <c r="A42" i="32" l="1"/>
  <c r="A43" i="32" l="1"/>
  <c r="A44" i="32" l="1"/>
  <c r="A45" i="32" s="1"/>
  <c r="A46" i="32" s="1"/>
  <c r="A47" i="32" s="1"/>
  <c r="A48" i="32" l="1"/>
  <c r="C60" i="32"/>
  <c r="A49" i="32" l="1"/>
  <c r="C61" i="32"/>
  <c r="A50" i="32" l="1"/>
  <c r="C62" i="32"/>
  <c r="A51" i="32" l="1"/>
  <c r="C63" i="32"/>
  <c r="A52" i="32" l="1"/>
  <c r="C64" i="32"/>
  <c r="A53" i="32" l="1"/>
  <c r="C65" i="32"/>
  <c r="A54" i="32" l="1"/>
  <c r="C66" i="32"/>
  <c r="A55" i="32" l="1"/>
  <c r="C67" i="32"/>
  <c r="A56" i="32" l="1"/>
  <c r="C68" i="32"/>
  <c r="A57" i="32" l="1"/>
  <c r="A58" i="32" s="1"/>
  <c r="A59" i="32" s="1"/>
  <c r="A60" i="32" s="1"/>
  <c r="C69" i="32"/>
  <c r="A61" i="32" l="1"/>
  <c r="A62" i="32" l="1"/>
  <c r="A63" i="32" l="1"/>
  <c r="A64" i="32" l="1"/>
  <c r="A65" i="32" l="1"/>
  <c r="A66" i="32" l="1"/>
  <c r="A67" i="32" l="1"/>
  <c r="A68" i="32" l="1"/>
  <c r="A69" i="32" l="1"/>
  <c r="A70" i="32" l="1"/>
  <c r="A71" i="32" s="1"/>
  <c r="A72" i="32" s="1"/>
  <c r="A73" i="32" l="1"/>
  <c r="C86" i="32"/>
  <c r="A74" i="32" l="1"/>
  <c r="C87" i="32"/>
  <c r="A75" i="32" l="1"/>
  <c r="C88" i="32"/>
  <c r="A76" i="32" l="1"/>
  <c r="C89" i="32"/>
  <c r="A77" i="32" l="1"/>
  <c r="C90" i="32"/>
  <c r="A78" i="32" l="1"/>
  <c r="C91" i="32"/>
  <c r="A79" i="32" l="1"/>
  <c r="C92" i="32"/>
  <c r="A80" i="32" l="1"/>
  <c r="C93" i="32"/>
  <c r="A81" i="32" l="1"/>
  <c r="C94" i="32"/>
  <c r="A82" i="32" l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C95" i="32"/>
  <c r="C125" i="32" l="1"/>
  <c r="A100" i="32"/>
  <c r="C126" i="32" l="1"/>
  <c r="A101" i="32"/>
  <c r="C127" i="32" l="1"/>
  <c r="A102" i="32"/>
  <c r="A103" i="32" l="1"/>
  <c r="C128" i="32"/>
  <c r="A104" i="32" l="1"/>
  <c r="C129" i="32"/>
  <c r="A105" i="32" l="1"/>
  <c r="C130" i="32"/>
  <c r="A106" i="32" l="1"/>
  <c r="C131" i="32"/>
  <c r="C132" i="32" l="1"/>
  <c r="A107" i="32"/>
  <c r="A108" i="32" l="1"/>
  <c r="C133" i="32"/>
  <c r="C134" i="32" l="1"/>
  <c r="A109" i="32"/>
  <c r="A110" i="32" s="1"/>
  <c r="M20" i="31" l="1"/>
  <c r="L20" i="31" l="1"/>
  <c r="K21" i="31" l="1"/>
  <c r="K40" i="31" s="1"/>
  <c r="I21" i="31"/>
  <c r="I40" i="31" s="1"/>
  <c r="F21" i="31"/>
  <c r="F40" i="31" s="1"/>
  <c r="J21" i="31"/>
  <c r="J40" i="31" s="1"/>
  <c r="M21" i="31" l="1"/>
  <c r="M40" i="31" s="1"/>
  <c r="L21" i="31"/>
  <c r="L40" i="31" s="1"/>
  <c r="H21" i="31"/>
  <c r="H40" i="31" s="1"/>
  <c r="G21" i="31"/>
  <c r="G40" i="31" s="1"/>
  <c r="M52" i="31" l="1"/>
  <c r="L52" i="31"/>
  <c r="K52" i="31"/>
  <c r="J52" i="31"/>
  <c r="I52" i="31"/>
  <c r="H52" i="31"/>
  <c r="C48" i="31"/>
  <c r="G52" i="31"/>
  <c r="M33" i="31"/>
  <c r="L33" i="31"/>
  <c r="J33" i="31"/>
  <c r="M29" i="31"/>
  <c r="H29" i="31"/>
  <c r="G29" i="31"/>
  <c r="M22" i="31"/>
  <c r="I33" i="31"/>
  <c r="H33" i="31"/>
  <c r="G33" i="31"/>
  <c r="A17" i="3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L29" i="31"/>
  <c r="M24" i="31" l="1"/>
  <c r="M25" i="31" s="1"/>
  <c r="E31" i="36" s="1"/>
  <c r="G48" i="31"/>
  <c r="H48" i="31"/>
  <c r="K33" i="31"/>
  <c r="E21" i="31"/>
  <c r="F33" i="31"/>
  <c r="E16" i="31"/>
  <c r="F29" i="31"/>
  <c r="F48" i="31"/>
  <c r="I29" i="31"/>
  <c r="I48" i="31"/>
  <c r="E40" i="31"/>
  <c r="K29" i="31"/>
  <c r="K48" i="31"/>
  <c r="J29" i="31"/>
  <c r="J48" i="31"/>
  <c r="M48" i="31"/>
  <c r="F52" i="31"/>
  <c r="L48" i="31"/>
  <c r="L22" i="31"/>
  <c r="L24" i="31" s="1"/>
  <c r="L25" i="31" s="1"/>
  <c r="E30" i="36" s="1"/>
  <c r="M30" i="31" l="1"/>
  <c r="M31" i="31" s="1"/>
  <c r="M32" i="31" s="1"/>
  <c r="M34" i="31" s="1"/>
  <c r="M35" i="31" s="1"/>
  <c r="L30" i="31"/>
  <c r="L31" i="31" s="1"/>
  <c r="L32" i="31" s="1"/>
  <c r="L34" i="31" s="1"/>
  <c r="L35" i="31" s="1"/>
  <c r="E29" i="31"/>
  <c r="E48" i="31"/>
  <c r="E33" i="31"/>
  <c r="E52" i="31"/>
  <c r="J393" i="4" l="1"/>
  <c r="J392" i="4"/>
  <c r="J185" i="4"/>
  <c r="H185" i="4"/>
  <c r="N392" i="4" l="1"/>
  <c r="N393" i="4"/>
  <c r="H393" i="4"/>
  <c r="H392" i="4"/>
  <c r="N185" i="4"/>
  <c r="X163" i="10" l="1"/>
  <c r="X161" i="10"/>
  <c r="T195" i="35" l="1"/>
  <c r="T197" i="43"/>
  <c r="T197" i="35"/>
  <c r="T199" i="43"/>
  <c r="D385" i="4" l="1"/>
  <c r="J395" i="4"/>
  <c r="I163" i="8" l="1"/>
  <c r="L474" i="43" s="1"/>
  <c r="I164" i="8"/>
  <c r="L475" i="43" s="1"/>
  <c r="I162" i="8"/>
  <c r="I130" i="8"/>
  <c r="L357" i="43" s="1"/>
  <c r="I131" i="8"/>
  <c r="I129" i="8"/>
  <c r="L356" i="43" s="1"/>
  <c r="I94" i="8"/>
  <c r="L244" i="43" s="1"/>
  <c r="I95" i="8"/>
  <c r="L245" i="43" s="1"/>
  <c r="I93" i="8"/>
  <c r="L243" i="43" s="1"/>
  <c r="I45" i="8"/>
  <c r="L96" i="43" s="1"/>
  <c r="I46" i="8"/>
  <c r="I44" i="8"/>
  <c r="L95" i="43" s="1"/>
  <c r="I24" i="8"/>
  <c r="L40" i="43" s="1"/>
  <c r="I25" i="8"/>
  <c r="I23" i="8"/>
  <c r="L39" i="43" s="1"/>
  <c r="L37" i="4" l="1"/>
  <c r="L104" i="43"/>
  <c r="N104" i="43" s="1"/>
  <c r="L90" i="4"/>
  <c r="L100" i="43"/>
  <c r="N100" i="43" s="1"/>
  <c r="L225" i="4"/>
  <c r="L251" i="43"/>
  <c r="N251" i="43" s="1"/>
  <c r="L247" i="43"/>
  <c r="N247" i="43" s="1"/>
  <c r="N243" i="43"/>
  <c r="L227" i="4"/>
  <c r="L249" i="43"/>
  <c r="N249" i="43" s="1"/>
  <c r="L253" i="43"/>
  <c r="N253" i="43" s="1"/>
  <c r="N245" i="43"/>
  <c r="L326" i="4"/>
  <c r="L361" i="43"/>
  <c r="N357" i="43"/>
  <c r="L38" i="4"/>
  <c r="L226" i="4"/>
  <c r="L252" i="43"/>
  <c r="N252" i="43" s="1"/>
  <c r="L248" i="43"/>
  <c r="N248" i="43" s="1"/>
  <c r="N244" i="43"/>
  <c r="L473" i="43"/>
  <c r="L479" i="43"/>
  <c r="L427" i="4"/>
  <c r="N475" i="43"/>
  <c r="L89" i="4"/>
  <c r="L103" i="43"/>
  <c r="N103" i="43" s="1"/>
  <c r="L99" i="43"/>
  <c r="N99" i="43" s="1"/>
  <c r="L426" i="4"/>
  <c r="L478" i="43"/>
  <c r="N474" i="43"/>
  <c r="L360" i="43"/>
  <c r="N356" i="43"/>
  <c r="L325" i="4"/>
  <c r="J22" i="25"/>
  <c r="J21" i="25" s="1"/>
  <c r="K22" i="25"/>
  <c r="K21" i="25" s="1"/>
  <c r="I22" i="25"/>
  <c r="AC108" i="4"/>
  <c r="AC106" i="4"/>
  <c r="AC49" i="4"/>
  <c r="AC51" i="4"/>
  <c r="H22" i="25"/>
  <c r="H21" i="25" s="1"/>
  <c r="L365" i="43" l="1"/>
  <c r="N365" i="43" s="1"/>
  <c r="N361" i="43"/>
  <c r="L425" i="4"/>
  <c r="L477" i="43"/>
  <c r="N473" i="43"/>
  <c r="L364" i="43"/>
  <c r="N364" i="43" s="1"/>
  <c r="N360" i="43"/>
  <c r="L482" i="43"/>
  <c r="N482" i="43" s="1"/>
  <c r="N478" i="43"/>
  <c r="L483" i="43"/>
  <c r="N483" i="43" s="1"/>
  <c r="N479" i="43"/>
  <c r="I21" i="25"/>
  <c r="C23" i="25" s="1"/>
  <c r="D23" i="25"/>
  <c r="E23" i="25"/>
  <c r="L429" i="4" l="1"/>
  <c r="L481" i="43"/>
  <c r="N481" i="43" s="1"/>
  <c r="N477" i="43"/>
  <c r="G22" i="9"/>
  <c r="G25" i="9" l="1"/>
  <c r="G47" i="14"/>
  <c r="G46" i="14"/>
  <c r="G31" i="14"/>
  <c r="G30" i="14"/>
  <c r="G29" i="14"/>
  <c r="G28" i="14"/>
  <c r="G27" i="14"/>
  <c r="G26" i="14"/>
  <c r="G25" i="14"/>
  <c r="G24" i="14"/>
  <c r="G23" i="14"/>
  <c r="G22" i="14"/>
  <c r="I150" i="8" l="1"/>
  <c r="I149" i="8"/>
  <c r="I148" i="8"/>
  <c r="I114" i="8"/>
  <c r="I113" i="8"/>
  <c r="I112" i="8"/>
  <c r="I84" i="8"/>
  <c r="L198" i="43" s="1"/>
  <c r="I83" i="8"/>
  <c r="L197" i="43" s="1"/>
  <c r="I82" i="8"/>
  <c r="L199" i="43" s="1"/>
  <c r="H37" i="9"/>
  <c r="G38" i="9"/>
  <c r="H38" i="9"/>
  <c r="I38" i="9"/>
  <c r="G26" i="9"/>
  <c r="G16" i="9"/>
  <c r="G15" i="9"/>
  <c r="G14" i="9"/>
  <c r="X278" i="10"/>
  <c r="X279" i="10"/>
  <c r="X277" i="10"/>
  <c r="X265" i="10"/>
  <c r="X266" i="10"/>
  <c r="X267" i="10"/>
  <c r="G235" i="10"/>
  <c r="H235" i="10" s="1"/>
  <c r="I235" i="10" s="1"/>
  <c r="J235" i="10" s="1"/>
  <c r="K235" i="10" s="1"/>
  <c r="L235" i="10" s="1"/>
  <c r="M235" i="10" s="1"/>
  <c r="X220" i="10"/>
  <c r="X221" i="10"/>
  <c r="X219" i="10"/>
  <c r="X208" i="10"/>
  <c r="X209" i="10"/>
  <c r="X149" i="10"/>
  <c r="X150" i="10"/>
  <c r="X151" i="10"/>
  <c r="X96" i="10"/>
  <c r="X97" i="10"/>
  <c r="X98" i="10"/>
  <c r="T97" i="43" s="1"/>
  <c r="L97" i="43" s="1"/>
  <c r="Z209" i="10" l="1"/>
  <c r="T358" i="43" s="1"/>
  <c r="L358" i="43" s="1"/>
  <c r="L312" i="43"/>
  <c r="L316" i="43" s="1"/>
  <c r="L314" i="43"/>
  <c r="L318" i="43" s="1"/>
  <c r="L313" i="43"/>
  <c r="T424" i="35"/>
  <c r="T426" i="43"/>
  <c r="L426" i="43" s="1"/>
  <c r="L430" i="43" s="1"/>
  <c r="T425" i="35"/>
  <c r="T427" i="43"/>
  <c r="L427" i="43" s="1"/>
  <c r="L431" i="43" s="1"/>
  <c r="T423" i="35"/>
  <c r="T425" i="43"/>
  <c r="L425" i="43" s="1"/>
  <c r="N425" i="43" s="1"/>
  <c r="L105" i="43"/>
  <c r="N105" i="43" s="1"/>
  <c r="L91" i="4"/>
  <c r="L101" i="43"/>
  <c r="N101" i="43" s="1"/>
  <c r="L184" i="4"/>
  <c r="N199" i="43"/>
  <c r="L209" i="43"/>
  <c r="N209" i="43" s="1"/>
  <c r="L204" i="43"/>
  <c r="N204" i="43" s="1"/>
  <c r="L182" i="4"/>
  <c r="L202" i="43"/>
  <c r="N202" i="43" s="1"/>
  <c r="L207" i="43"/>
  <c r="N207" i="43" s="1"/>
  <c r="N197" i="43"/>
  <c r="L208" i="43"/>
  <c r="N208" i="43" s="1"/>
  <c r="L183" i="4"/>
  <c r="N198" i="43"/>
  <c r="L203" i="43"/>
  <c r="N203" i="43" s="1"/>
  <c r="T356" i="35"/>
  <c r="T95" i="35"/>
  <c r="T243" i="35"/>
  <c r="T84" i="8"/>
  <c r="T41" i="43"/>
  <c r="L41" i="43" s="1"/>
  <c r="L362" i="43" l="1"/>
  <c r="N358" i="43"/>
  <c r="L327" i="4"/>
  <c r="L385" i="4"/>
  <c r="L386" i="4"/>
  <c r="N312" i="43"/>
  <c r="L286" i="4"/>
  <c r="L288" i="4"/>
  <c r="N314" i="43"/>
  <c r="L317" i="43"/>
  <c r="N317" i="43" s="1"/>
  <c r="N313" i="43"/>
  <c r="L287" i="4"/>
  <c r="L366" i="43"/>
  <c r="N366" i="43" s="1"/>
  <c r="N362" i="43"/>
  <c r="N426" i="43"/>
  <c r="L429" i="43"/>
  <c r="L435" i="43" s="1"/>
  <c r="N435" i="43" s="1"/>
  <c r="N427" i="43"/>
  <c r="L387" i="4"/>
  <c r="L323" i="43"/>
  <c r="N323" i="43" s="1"/>
  <c r="N318" i="43"/>
  <c r="N316" i="43"/>
  <c r="L321" i="43"/>
  <c r="N321" i="43" s="1"/>
  <c r="L437" i="43"/>
  <c r="N437" i="43" s="1"/>
  <c r="N431" i="43"/>
  <c r="L436" i="43"/>
  <c r="N436" i="43" s="1"/>
  <c r="N430" i="43"/>
  <c r="L39" i="4"/>
  <c r="T39" i="35"/>
  <c r="N429" i="43" l="1"/>
  <c r="L322" i="43"/>
  <c r="N322" i="43" s="1"/>
  <c r="G264" i="8"/>
  <c r="G263" i="8"/>
  <c r="G258" i="8"/>
  <c r="G255" i="8"/>
  <c r="G253" i="8"/>
  <c r="G252" i="8"/>
  <c r="G251" i="8"/>
  <c r="G230" i="8"/>
  <c r="G229" i="8"/>
  <c r="G224" i="8"/>
  <c r="G221" i="8"/>
  <c r="G218" i="8"/>
  <c r="G217" i="8"/>
  <c r="G189" i="8" l="1"/>
  <c r="G188" i="8"/>
  <c r="G187" i="8"/>
  <c r="G179" i="8"/>
  <c r="G176" i="8"/>
  <c r="G175" i="8"/>
  <c r="G164" i="8"/>
  <c r="G163" i="8"/>
  <c r="G162" i="8"/>
  <c r="G161" i="8"/>
  <c r="G150" i="8"/>
  <c r="G149" i="8"/>
  <c r="G148" i="8"/>
  <c r="G146" i="8"/>
  <c r="G143" i="8"/>
  <c r="G142" i="8"/>
  <c r="G141" i="8"/>
  <c r="G131" i="8"/>
  <c r="G130" i="8"/>
  <c r="G129" i="8"/>
  <c r="G128" i="8"/>
  <c r="H182" i="8"/>
  <c r="H181" i="8"/>
  <c r="G114" i="8" l="1"/>
  <c r="G113" i="8"/>
  <c r="G112" i="8"/>
  <c r="G110" i="8"/>
  <c r="G107" i="8"/>
  <c r="G106" i="8"/>
  <c r="G105" i="8"/>
  <c r="D37" i="2"/>
  <c r="H153" i="8" l="1"/>
  <c r="H116" i="8"/>
  <c r="I117" i="8"/>
  <c r="H117" i="8" s="1"/>
  <c r="J32" i="6" l="1"/>
  <c r="J31" i="6"/>
  <c r="G89" i="8"/>
  <c r="D39" i="2"/>
  <c r="D31" i="2"/>
  <c r="D27" i="2"/>
  <c r="D24" i="2"/>
  <c r="D21" i="2"/>
  <c r="I17" i="12"/>
  <c r="G17" i="12"/>
  <c r="Q48" i="24" l="1"/>
  <c r="Q50" i="24" s="1"/>
  <c r="Q57" i="24" s="1"/>
  <c r="R48" i="24"/>
  <c r="R50" i="24" s="1"/>
  <c r="R57" i="24" s="1"/>
  <c r="L30" i="36"/>
  <c r="N30" i="36" s="1"/>
  <c r="L31" i="36"/>
  <c r="N31" i="36" s="1"/>
  <c r="K50" i="11"/>
  <c r="J47" i="11"/>
  <c r="J46" i="11"/>
  <c r="R59" i="24" l="1"/>
  <c r="M39" i="31"/>
  <c r="L39" i="31"/>
  <c r="Q59" i="24"/>
  <c r="I47" i="11"/>
  <c r="I46" i="11"/>
  <c r="H47" i="11"/>
  <c r="H46" i="11"/>
  <c r="K17" i="11"/>
  <c r="J17" i="11"/>
  <c r="I17" i="11"/>
  <c r="H17" i="11"/>
  <c r="H273" i="8"/>
  <c r="H272" i="8"/>
  <c r="H271" i="8"/>
  <c r="H239" i="8"/>
  <c r="H238" i="8"/>
  <c r="H237" i="8"/>
  <c r="H205" i="8"/>
  <c r="H204" i="8"/>
  <c r="H203" i="8"/>
  <c r="H157" i="8"/>
  <c r="H156" i="8"/>
  <c r="H155" i="8"/>
  <c r="H123" i="8"/>
  <c r="H122" i="8"/>
  <c r="H121" i="8"/>
  <c r="H87" i="8"/>
  <c r="G122" i="8" s="1"/>
  <c r="G156" i="8" s="1"/>
  <c r="G204" i="8" s="1"/>
  <c r="G238" i="8" s="1"/>
  <c r="G272" i="8" s="1"/>
  <c r="H86" i="8"/>
  <c r="G121" i="8" s="1"/>
  <c r="G155" i="8" s="1"/>
  <c r="G203" i="8" s="1"/>
  <c r="G237" i="8" s="1"/>
  <c r="G271" i="8" s="1"/>
  <c r="H88" i="8"/>
  <c r="G123" i="8" s="1"/>
  <c r="G157" i="8" s="1"/>
  <c r="G205" i="8" s="1"/>
  <c r="G239" i="8" s="1"/>
  <c r="G273" i="8" s="1"/>
  <c r="I80" i="8" l="1"/>
  <c r="I63" i="8"/>
  <c r="M41" i="31" l="1"/>
  <c r="J182" i="4"/>
  <c r="J183" i="4"/>
  <c r="D28" i="40" s="1"/>
  <c r="J184" i="4"/>
  <c r="J187" i="4"/>
  <c r="M43" i="31" l="1"/>
  <c r="R28" i="40"/>
  <c r="Q28" i="40"/>
  <c r="U28" i="40"/>
  <c r="H164" i="8"/>
  <c r="H163" i="8"/>
  <c r="H162" i="8"/>
  <c r="H148" i="8"/>
  <c r="H150" i="8"/>
  <c r="H149" i="8"/>
  <c r="H112" i="8"/>
  <c r="M49" i="31" l="1"/>
  <c r="M44" i="31"/>
  <c r="H131" i="8"/>
  <c r="H130" i="8"/>
  <c r="H129" i="8"/>
  <c r="H114" i="8"/>
  <c r="H113" i="8"/>
  <c r="R31" i="36" l="1"/>
  <c r="M50" i="31"/>
  <c r="L431" i="4"/>
  <c r="L430" i="4"/>
  <c r="L391" i="4"/>
  <c r="L390" i="4"/>
  <c r="L389" i="4"/>
  <c r="L291" i="4"/>
  <c r="L292" i="4"/>
  <c r="L331" i="4"/>
  <c r="L335" i="4" s="1"/>
  <c r="L330" i="4"/>
  <c r="L334" i="4" s="1"/>
  <c r="L329" i="4"/>
  <c r="L333" i="4" s="1"/>
  <c r="L290" i="4"/>
  <c r="L295" i="4" s="1"/>
  <c r="N184" i="4"/>
  <c r="N183" i="4"/>
  <c r="N182" i="4"/>
  <c r="M51" i="31" l="1"/>
  <c r="L434" i="4"/>
  <c r="L435" i="4"/>
  <c r="L395" i="4"/>
  <c r="L396" i="4"/>
  <c r="L397" i="4"/>
  <c r="L296" i="4"/>
  <c r="L297" i="4"/>
  <c r="M53" i="31" l="1"/>
  <c r="H106" i="4"/>
  <c r="M54" i="31" l="1"/>
  <c r="H48" i="4"/>
  <c r="H49" i="4"/>
  <c r="N343" i="4" l="1"/>
  <c r="N442" i="4"/>
  <c r="N242" i="4"/>
  <c r="N477" i="4" l="1"/>
  <c r="N141" i="4"/>
  <c r="F37" i="2" l="1"/>
  <c r="H31" i="6"/>
  <c r="I30" i="36" s="1"/>
  <c r="U30" i="36" s="1"/>
  <c r="F39" i="2"/>
  <c r="H32" i="6"/>
  <c r="I31" i="36" s="1"/>
  <c r="P31" i="36" l="1"/>
  <c r="U31" i="36"/>
  <c r="P30" i="36"/>
  <c r="D607" i="4"/>
  <c r="H607" i="4" s="1"/>
  <c r="J607" i="4"/>
  <c r="AB607" i="4"/>
  <c r="AC607" i="4"/>
  <c r="AD607" i="4"/>
  <c r="AE607" i="4"/>
  <c r="AF607" i="4"/>
  <c r="N34" i="22"/>
  <c r="M34" i="22"/>
  <c r="L34" i="22"/>
  <c r="K34" i="22"/>
  <c r="J34" i="22"/>
  <c r="I34" i="22"/>
  <c r="H34" i="22"/>
  <c r="G34" i="22"/>
  <c r="F34" i="22"/>
  <c r="CO398" i="4" l="1"/>
  <c r="CN398" i="4"/>
  <c r="CL398" i="4"/>
  <c r="CG398" i="4"/>
  <c r="CD398" i="4"/>
  <c r="CB398" i="4"/>
  <c r="BX398" i="4"/>
  <c r="BW398" i="4"/>
  <c r="BU398" i="4"/>
  <c r="BT398" i="4"/>
  <c r="BS398" i="4"/>
  <c r="BR398" i="4"/>
  <c r="BQ398" i="4"/>
  <c r="BP398" i="4"/>
  <c r="J399" i="4"/>
  <c r="N399" i="4" s="1"/>
  <c r="BG398" i="4"/>
  <c r="BB398" i="4"/>
  <c r="AZ398" i="4"/>
  <c r="AX398" i="4"/>
  <c r="AT398" i="4"/>
  <c r="AS398" i="4"/>
  <c r="AN398" i="4"/>
  <c r="AK398" i="4"/>
  <c r="AJ398" i="4"/>
  <c r="AH398" i="4"/>
  <c r="CM398" i="4"/>
  <c r="CK398" i="4"/>
  <c r="CJ398" i="4"/>
  <c r="CI398" i="4"/>
  <c r="BZ398" i="4"/>
  <c r="BY398" i="4"/>
  <c r="BV398" i="4"/>
  <c r="BO398" i="4"/>
  <c r="BH398" i="4"/>
  <c r="BE398" i="4"/>
  <c r="BD398" i="4"/>
  <c r="BC398" i="4"/>
  <c r="AY398" i="4"/>
  <c r="AW398" i="4"/>
  <c r="AV398" i="4"/>
  <c r="AU398" i="4"/>
  <c r="AL398" i="4"/>
  <c r="AI398" i="4"/>
  <c r="CH398" i="4"/>
  <c r="CF398" i="4"/>
  <c r="CE398" i="4"/>
  <c r="CC398" i="4"/>
  <c r="CA398" i="4"/>
  <c r="BN398" i="4"/>
  <c r="BM398" i="4"/>
  <c r="BL398" i="4"/>
  <c r="BK398" i="4"/>
  <c r="BJ398" i="4"/>
  <c r="BI398" i="4"/>
  <c r="BA398" i="4"/>
  <c r="AR398" i="4"/>
  <c r="AQ398" i="4"/>
  <c r="AP398" i="4"/>
  <c r="AO398" i="4"/>
  <c r="AM398" i="4"/>
  <c r="D399" i="4" l="1"/>
  <c r="H399" i="4" s="1"/>
  <c r="BF398" i="4"/>
  <c r="J398" i="4" l="1"/>
  <c r="N398" i="4" s="1"/>
  <c r="D398" i="4"/>
  <c r="H398" i="4" s="1"/>
  <c r="M75" i="22" l="1"/>
  <c r="M84" i="22" s="1"/>
  <c r="M74" i="22"/>
  <c r="M83" i="22" s="1"/>
  <c r="M73" i="22"/>
  <c r="M71" i="22"/>
  <c r="M80" i="22" s="1"/>
  <c r="M70" i="22"/>
  <c r="M79" i="22" s="1"/>
  <c r="M69" i="22"/>
  <c r="I75" i="22"/>
  <c r="I74" i="22"/>
  <c r="I73" i="22"/>
  <c r="I71" i="22"/>
  <c r="I70" i="22"/>
  <c r="I69" i="22"/>
  <c r="G69" i="22"/>
  <c r="N57" i="22"/>
  <c r="N53" i="22"/>
  <c r="N54" i="22" s="1"/>
  <c r="N55" i="22" s="1"/>
  <c r="N49" i="22"/>
  <c r="N62" i="22" s="1"/>
  <c r="N45" i="22"/>
  <c r="N47" i="22" s="1"/>
  <c r="N40" i="22"/>
  <c r="N41" i="22" s="1"/>
  <c r="N43" i="22" s="1"/>
  <c r="N39" i="22"/>
  <c r="N35" i="22"/>
  <c r="N30" i="22"/>
  <c r="N32" i="22" s="1"/>
  <c r="N26" i="22"/>
  <c r="N28" i="22" s="1"/>
  <c r="N24" i="22"/>
  <c r="N20" i="22"/>
  <c r="N21" i="22" s="1"/>
  <c r="N22" i="22" s="1"/>
  <c r="N16" i="22"/>
  <c r="N18" i="22" s="1"/>
  <c r="N12" i="22"/>
  <c r="N13" i="22" s="1"/>
  <c r="N15" i="22" s="1"/>
  <c r="N6" i="22"/>
  <c r="N8" i="22" s="1"/>
  <c r="M57" i="22"/>
  <c r="L57" i="22"/>
  <c r="M53" i="22"/>
  <c r="L53" i="22"/>
  <c r="L54" i="22" s="1"/>
  <c r="L55" i="22" s="1"/>
  <c r="M49" i="22"/>
  <c r="M51" i="22" s="1"/>
  <c r="L49" i="22"/>
  <c r="L51" i="22" s="1"/>
  <c r="M45" i="22"/>
  <c r="M46" i="22" s="1"/>
  <c r="L45" i="22"/>
  <c r="L47" i="22" s="1"/>
  <c r="M40" i="22"/>
  <c r="M42" i="22" s="1"/>
  <c r="L40" i="22"/>
  <c r="L42" i="22" s="1"/>
  <c r="M39" i="22"/>
  <c r="L39" i="22"/>
  <c r="M35" i="22"/>
  <c r="L35" i="22"/>
  <c r="M30" i="22"/>
  <c r="M32" i="22" s="1"/>
  <c r="L30" i="22"/>
  <c r="L31" i="22" s="1"/>
  <c r="L60" i="22" s="1"/>
  <c r="M26" i="22"/>
  <c r="M28" i="22" s="1"/>
  <c r="L26" i="22"/>
  <c r="L28" i="22" s="1"/>
  <c r="M24" i="22"/>
  <c r="L24" i="22"/>
  <c r="M20" i="22"/>
  <c r="M21" i="22" s="1"/>
  <c r="M22" i="22" s="1"/>
  <c r="L20" i="22"/>
  <c r="L21" i="22" s="1"/>
  <c r="L22" i="22" s="1"/>
  <c r="M16" i="22"/>
  <c r="M17" i="22" s="1"/>
  <c r="M19" i="22" s="1"/>
  <c r="L16" i="22"/>
  <c r="L18" i="22" s="1"/>
  <c r="M12" i="22"/>
  <c r="M14" i="22" s="1"/>
  <c r="L12" i="22"/>
  <c r="L13" i="22" s="1"/>
  <c r="L15" i="22" s="1"/>
  <c r="M6" i="22"/>
  <c r="M7" i="22" s="1"/>
  <c r="M10" i="22" s="1"/>
  <c r="L6" i="22"/>
  <c r="L7" i="22" s="1"/>
  <c r="L10" i="22" s="1"/>
  <c r="E22" i="22"/>
  <c r="E19" i="22"/>
  <c r="E15" i="22"/>
  <c r="E10" i="22"/>
  <c r="M48" i="22" l="1"/>
  <c r="U48" i="22" s="1"/>
  <c r="U46" i="22"/>
  <c r="M36" i="22"/>
  <c r="M37" i="22" s="1"/>
  <c r="U37" i="22" s="1"/>
  <c r="U35" i="22"/>
  <c r="M78" i="22"/>
  <c r="U78" i="22" s="1"/>
  <c r="W78" i="22" s="1"/>
  <c r="U69" i="22"/>
  <c r="W69" i="22" s="1"/>
  <c r="M54" i="22"/>
  <c r="M55" i="22" s="1"/>
  <c r="U55" i="22" s="1"/>
  <c r="U53" i="22"/>
  <c r="M82" i="22"/>
  <c r="U82" i="22" s="1"/>
  <c r="W82" i="22" s="1"/>
  <c r="U73" i="22"/>
  <c r="W73" i="22" s="1"/>
  <c r="I87" i="22"/>
  <c r="R87" i="22" s="1"/>
  <c r="R69" i="22"/>
  <c r="I88" i="22"/>
  <c r="I82" i="22"/>
  <c r="R82" i="22" s="1"/>
  <c r="R73" i="22"/>
  <c r="I84" i="22"/>
  <c r="I89" i="22"/>
  <c r="I83" i="22"/>
  <c r="M89" i="22"/>
  <c r="I93" i="22"/>
  <c r="I91" i="22"/>
  <c r="R91" i="22" s="1"/>
  <c r="I92" i="22"/>
  <c r="M87" i="22"/>
  <c r="U87" i="22" s="1"/>
  <c r="W87" i="22" s="1"/>
  <c r="N65" i="22"/>
  <c r="M88" i="22"/>
  <c r="M91" i="22"/>
  <c r="U91" i="22" s="1"/>
  <c r="W91" i="22" s="1"/>
  <c r="M92" i="22"/>
  <c r="M93" i="22"/>
  <c r="I79" i="22"/>
  <c r="I78" i="22"/>
  <c r="R78" i="22" s="1"/>
  <c r="I80" i="22"/>
  <c r="E48" i="22"/>
  <c r="E52" i="22"/>
  <c r="E43" i="22"/>
  <c r="E55" i="22"/>
  <c r="N59" i="22"/>
  <c r="E29" i="22"/>
  <c r="E33" i="22"/>
  <c r="E37" i="22"/>
  <c r="L33" i="22"/>
  <c r="N9" i="22"/>
  <c r="M8" i="22"/>
  <c r="L9" i="22"/>
  <c r="M9" i="22"/>
  <c r="N42" i="22"/>
  <c r="N14" i="22"/>
  <c r="M18" i="22"/>
  <c r="M47" i="22"/>
  <c r="N17" i="22"/>
  <c r="N19" i="22" s="1"/>
  <c r="N46" i="22"/>
  <c r="N48" i="22" s="1"/>
  <c r="N50" i="22"/>
  <c r="N51" i="22"/>
  <c r="N36" i="22"/>
  <c r="N27" i="22"/>
  <c r="N29" i="22" s="1"/>
  <c r="M31" i="22"/>
  <c r="U31" i="22" s="1"/>
  <c r="L32" i="22"/>
  <c r="N7" i="22"/>
  <c r="N10" i="22" s="1"/>
  <c r="N31" i="22"/>
  <c r="L8" i="22"/>
  <c r="L62" i="22"/>
  <c r="L50" i="22"/>
  <c r="M13" i="22"/>
  <c r="M15" i="22" s="1"/>
  <c r="L14" i="22"/>
  <c r="L41" i="22"/>
  <c r="L43" i="22" s="1"/>
  <c r="M41" i="22"/>
  <c r="L27" i="22"/>
  <c r="L29" i="22" s="1"/>
  <c r="L59" i="22"/>
  <c r="L36" i="22"/>
  <c r="L46" i="22"/>
  <c r="L48" i="22" s="1"/>
  <c r="M50" i="22"/>
  <c r="U50" i="22" s="1"/>
  <c r="M27" i="22"/>
  <c r="L17" i="22"/>
  <c r="L19" i="22" s="1"/>
  <c r="G75" i="22"/>
  <c r="G74" i="22"/>
  <c r="G73" i="22"/>
  <c r="G71" i="22"/>
  <c r="G70" i="22"/>
  <c r="G87" i="22"/>
  <c r="Q65" i="22"/>
  <c r="K57" i="22"/>
  <c r="J57" i="22"/>
  <c r="I57" i="22"/>
  <c r="H57" i="22"/>
  <c r="G57" i="22"/>
  <c r="F57" i="22"/>
  <c r="E57" i="22"/>
  <c r="K53" i="22"/>
  <c r="K54" i="22" s="1"/>
  <c r="J53" i="22"/>
  <c r="I53" i="22"/>
  <c r="H53" i="22"/>
  <c r="G53" i="22"/>
  <c r="F53" i="22"/>
  <c r="K49" i="22"/>
  <c r="K51" i="22" s="1"/>
  <c r="J49" i="22"/>
  <c r="J51" i="22" s="1"/>
  <c r="I49" i="22"/>
  <c r="R62" i="22" s="1"/>
  <c r="H49" i="22"/>
  <c r="H62" i="22" s="1"/>
  <c r="G49" i="22"/>
  <c r="F49" i="22"/>
  <c r="K45" i="22"/>
  <c r="J45" i="22"/>
  <c r="J46" i="22" s="1"/>
  <c r="J48" i="22" s="1"/>
  <c r="I45" i="22"/>
  <c r="I46" i="22" s="1"/>
  <c r="H45" i="22"/>
  <c r="H46" i="22" s="1"/>
  <c r="H48" i="22" s="1"/>
  <c r="G45" i="22"/>
  <c r="F45" i="22"/>
  <c r="K40" i="22"/>
  <c r="K42" i="22" s="1"/>
  <c r="J40" i="22"/>
  <c r="J42" i="22" s="1"/>
  <c r="I40" i="22"/>
  <c r="I42" i="22" s="1"/>
  <c r="H40" i="22"/>
  <c r="H41" i="22" s="1"/>
  <c r="H43" i="22" s="1"/>
  <c r="G40" i="22"/>
  <c r="F40" i="22"/>
  <c r="K39" i="22"/>
  <c r="J39" i="22"/>
  <c r="I39" i="22"/>
  <c r="H39" i="22"/>
  <c r="G39" i="22"/>
  <c r="F39" i="22"/>
  <c r="K35" i="22"/>
  <c r="J35" i="22"/>
  <c r="J36" i="22" s="1"/>
  <c r="I35" i="22"/>
  <c r="I36" i="22" s="1"/>
  <c r="H35" i="22"/>
  <c r="H36" i="22" s="1"/>
  <c r="G35" i="22"/>
  <c r="F35" i="22"/>
  <c r="K30" i="22"/>
  <c r="K59" i="22" s="1"/>
  <c r="J30" i="22"/>
  <c r="J59" i="22" s="1"/>
  <c r="I30" i="22"/>
  <c r="I31" i="22" s="1"/>
  <c r="I33" i="22" s="1"/>
  <c r="R33" i="22" s="1"/>
  <c r="H30" i="22"/>
  <c r="H31" i="22" s="1"/>
  <c r="G30" i="22"/>
  <c r="F30" i="22"/>
  <c r="K26" i="22"/>
  <c r="K27" i="22" s="1"/>
  <c r="J26" i="22"/>
  <c r="J27" i="22" s="1"/>
  <c r="I26" i="22"/>
  <c r="H26" i="22"/>
  <c r="H27" i="22" s="1"/>
  <c r="H29" i="22" s="1"/>
  <c r="G26" i="22"/>
  <c r="F26" i="22"/>
  <c r="K24" i="22"/>
  <c r="J24" i="22"/>
  <c r="I24" i="22"/>
  <c r="H24" i="22"/>
  <c r="G24" i="22"/>
  <c r="F24" i="22"/>
  <c r="E24" i="22"/>
  <c r="E21" i="22"/>
  <c r="E36" i="22" s="1"/>
  <c r="K20" i="22"/>
  <c r="K21" i="22" s="1"/>
  <c r="J20" i="22"/>
  <c r="J21" i="22" s="1"/>
  <c r="J22" i="22" s="1"/>
  <c r="I20" i="22"/>
  <c r="I21" i="22" s="1"/>
  <c r="I22" i="22" s="1"/>
  <c r="H20" i="22"/>
  <c r="H21" i="22" s="1"/>
  <c r="H22" i="22" s="1"/>
  <c r="G20" i="22"/>
  <c r="G21" i="22" s="1"/>
  <c r="G22" i="22" s="1"/>
  <c r="F20" i="22"/>
  <c r="E20" i="22"/>
  <c r="E18" i="22"/>
  <c r="E42" i="22" s="1"/>
  <c r="E17" i="22"/>
  <c r="E50" i="22" s="1"/>
  <c r="K16" i="22"/>
  <c r="K17" i="22" s="1"/>
  <c r="J16" i="22"/>
  <c r="J17" i="22" s="1"/>
  <c r="J19" i="22" s="1"/>
  <c r="I16" i="22"/>
  <c r="I17" i="22" s="1"/>
  <c r="I19" i="22" s="1"/>
  <c r="H16" i="22"/>
  <c r="H17" i="22" s="1"/>
  <c r="H19" i="22" s="1"/>
  <c r="G16" i="22"/>
  <c r="G17" i="22" s="1"/>
  <c r="G19" i="22" s="1"/>
  <c r="F16" i="22"/>
  <c r="E16" i="22"/>
  <c r="E30" i="22" s="1"/>
  <c r="E59" i="22" s="1"/>
  <c r="E62" i="22" s="1"/>
  <c r="E65" i="22" s="1"/>
  <c r="E14" i="22"/>
  <c r="E47" i="22" s="1"/>
  <c r="E13" i="22"/>
  <c r="E46" i="22" s="1"/>
  <c r="K12" i="22"/>
  <c r="K13" i="22" s="1"/>
  <c r="J12" i="22"/>
  <c r="J13" i="22" s="1"/>
  <c r="I12" i="22"/>
  <c r="I13" i="22" s="1"/>
  <c r="I15" i="22" s="1"/>
  <c r="H12" i="22"/>
  <c r="H13" i="22" s="1"/>
  <c r="G12" i="22"/>
  <c r="G13" i="22" s="1"/>
  <c r="G15" i="22" s="1"/>
  <c r="F12" i="22"/>
  <c r="E12" i="22"/>
  <c r="E26" i="22" s="1"/>
  <c r="E9" i="22"/>
  <c r="E8" i="22"/>
  <c r="E7" i="22"/>
  <c r="K6" i="22"/>
  <c r="K9" i="22" s="1"/>
  <c r="J6" i="22"/>
  <c r="J9" i="22" s="1"/>
  <c r="I6" i="22"/>
  <c r="I7" i="22" s="1"/>
  <c r="I10" i="22" s="1"/>
  <c r="H6" i="22"/>
  <c r="H8" i="22" s="1"/>
  <c r="G6" i="22"/>
  <c r="G8" i="22" s="1"/>
  <c r="F6" i="22"/>
  <c r="E6" i="22"/>
  <c r="M43" i="22" l="1"/>
  <c r="U43" i="22" s="1"/>
  <c r="U41" i="22"/>
  <c r="M29" i="22"/>
  <c r="U29" i="22" s="1"/>
  <c r="U27" i="22"/>
  <c r="F50" i="22"/>
  <c r="F47" i="22"/>
  <c r="F32" i="22"/>
  <c r="F28" i="22"/>
  <c r="F41" i="22"/>
  <c r="Q87" i="22"/>
  <c r="F14" i="22"/>
  <c r="G47" i="22"/>
  <c r="F17" i="22"/>
  <c r="G50" i="22"/>
  <c r="G88" i="22"/>
  <c r="G93" i="22"/>
  <c r="G36" i="22"/>
  <c r="G91" i="22"/>
  <c r="G92" i="22"/>
  <c r="G28" i="22"/>
  <c r="G54" i="22"/>
  <c r="G41" i="22"/>
  <c r="Q41" i="22" s="1"/>
  <c r="G89" i="22"/>
  <c r="F21" i="22"/>
  <c r="F8" i="22"/>
  <c r="G31" i="22"/>
  <c r="Q31" i="22" s="1"/>
  <c r="E53" i="22"/>
  <c r="E34" i="22"/>
  <c r="N37" i="22"/>
  <c r="H37" i="22"/>
  <c r="L37" i="22"/>
  <c r="R46" i="22"/>
  <c r="I48" i="22"/>
  <c r="R48" i="22" s="1"/>
  <c r="L63" i="22"/>
  <c r="L52" i="22"/>
  <c r="M52" i="22"/>
  <c r="U52" i="22" s="1"/>
  <c r="N63" i="22"/>
  <c r="N52" i="22"/>
  <c r="K55" i="22"/>
  <c r="G55" i="22"/>
  <c r="G43" i="22"/>
  <c r="I37" i="22"/>
  <c r="R37" i="22" s="1"/>
  <c r="J37" i="22"/>
  <c r="M33" i="22"/>
  <c r="U33" i="22" s="1"/>
  <c r="N60" i="22"/>
  <c r="N33" i="22"/>
  <c r="H60" i="22"/>
  <c r="H33" i="22"/>
  <c r="J29" i="22"/>
  <c r="K29" i="22"/>
  <c r="R59" i="22"/>
  <c r="K22" i="22"/>
  <c r="K19" i="22"/>
  <c r="H15" i="22"/>
  <c r="J15" i="22"/>
  <c r="K15" i="22"/>
  <c r="F9" i="22"/>
  <c r="G9" i="22"/>
  <c r="I54" i="22"/>
  <c r="J41" i="22"/>
  <c r="J65" i="22" s="1"/>
  <c r="K47" i="22"/>
  <c r="F59" i="22"/>
  <c r="J62" i="22"/>
  <c r="E35" i="22"/>
  <c r="K50" i="22"/>
  <c r="K62" i="22"/>
  <c r="I41" i="22"/>
  <c r="K46" i="22"/>
  <c r="H54" i="22"/>
  <c r="F54" i="22"/>
  <c r="K18" i="22"/>
  <c r="E41" i="22"/>
  <c r="K36" i="22"/>
  <c r="K41" i="22"/>
  <c r="K65" i="22" s="1"/>
  <c r="E27" i="22"/>
  <c r="H50" i="22"/>
  <c r="E45" i="22"/>
  <c r="R53" i="22"/>
  <c r="Q59" i="22"/>
  <c r="J18" i="22"/>
  <c r="K31" i="22"/>
  <c r="K33" i="22" s="1"/>
  <c r="G80" i="22"/>
  <c r="F42" i="22"/>
  <c r="G84" i="22"/>
  <c r="J31" i="22"/>
  <c r="J32" i="22"/>
  <c r="G42" i="22"/>
  <c r="K32" i="22"/>
  <c r="H42" i="22"/>
  <c r="H59" i="22"/>
  <c r="E54" i="22"/>
  <c r="J50" i="22"/>
  <c r="R35" i="22"/>
  <c r="J54" i="22"/>
  <c r="I50" i="22"/>
  <c r="H51" i="22"/>
  <c r="I51" i="22"/>
  <c r="Q50" i="22"/>
  <c r="Q63" i="22"/>
  <c r="Q60" i="22"/>
  <c r="R31" i="22"/>
  <c r="R60" i="22"/>
  <c r="G14" i="22"/>
  <c r="J28" i="22"/>
  <c r="E40" i="22"/>
  <c r="H47" i="22"/>
  <c r="E51" i="22"/>
  <c r="G78" i="22"/>
  <c r="E49" i="22"/>
  <c r="I8" i="22"/>
  <c r="Q69" i="22"/>
  <c r="J14" i="22"/>
  <c r="H18" i="22"/>
  <c r="K28" i="22"/>
  <c r="H32" i="22"/>
  <c r="I47" i="22"/>
  <c r="F51" i="22"/>
  <c r="H28" i="22"/>
  <c r="F18" i="22"/>
  <c r="G7" i="22"/>
  <c r="G10" i="22" s="1"/>
  <c r="K14" i="22"/>
  <c r="I18" i="22"/>
  <c r="F27" i="22"/>
  <c r="I32" i="22"/>
  <c r="J47" i="22"/>
  <c r="G51" i="22"/>
  <c r="H14" i="22"/>
  <c r="G18" i="22"/>
  <c r="G27" i="22"/>
  <c r="Q53" i="22"/>
  <c r="I9" i="22"/>
  <c r="J8" i="22"/>
  <c r="Q35" i="22"/>
  <c r="G32" i="22"/>
  <c r="F7" i="22"/>
  <c r="H7" i="22"/>
  <c r="F13" i="22"/>
  <c r="E31" i="22"/>
  <c r="F46" i="22"/>
  <c r="G79" i="22"/>
  <c r="G82" i="22"/>
  <c r="E32" i="22"/>
  <c r="I28" i="22"/>
  <c r="I14" i="22"/>
  <c r="I27" i="22"/>
  <c r="F31" i="22"/>
  <c r="F36" i="22"/>
  <c r="E39" i="22"/>
  <c r="G46" i="22"/>
  <c r="F62" i="22"/>
  <c r="J7" i="22"/>
  <c r="K7" i="22"/>
  <c r="Q62" i="22"/>
  <c r="K8" i="22"/>
  <c r="E28" i="22"/>
  <c r="G83" i="22"/>
  <c r="Q73" i="22"/>
  <c r="H9" i="22"/>
  <c r="F29" i="22" l="1"/>
  <c r="F43" i="22"/>
  <c r="F52" i="22"/>
  <c r="F63" i="22"/>
  <c r="F48" i="22"/>
  <c r="Q82" i="22"/>
  <c r="G33" i="22"/>
  <c r="Q43" i="22"/>
  <c r="Q91" i="22"/>
  <c r="Q55" i="22"/>
  <c r="F19" i="22"/>
  <c r="G52" i="22"/>
  <c r="G37" i="22"/>
  <c r="Q78" i="22"/>
  <c r="F22" i="22"/>
  <c r="E60" i="22"/>
  <c r="E63" i="22" s="1"/>
  <c r="F55" i="22"/>
  <c r="H55" i="22"/>
  <c r="F37" i="22"/>
  <c r="Q46" i="22"/>
  <c r="G48" i="22"/>
  <c r="K48" i="22"/>
  <c r="H63" i="22"/>
  <c r="H52" i="22"/>
  <c r="K63" i="22"/>
  <c r="K52" i="22"/>
  <c r="J63" i="22"/>
  <c r="J52" i="22"/>
  <c r="R50" i="22"/>
  <c r="I52" i="22"/>
  <c r="R52" i="22" s="1"/>
  <c r="J55" i="22"/>
  <c r="I55" i="22"/>
  <c r="R55" i="22" s="1"/>
  <c r="K43" i="22"/>
  <c r="J43" i="22"/>
  <c r="R41" i="22"/>
  <c r="I43" i="22"/>
  <c r="R43" i="22" s="1"/>
  <c r="K37" i="22"/>
  <c r="J33" i="22"/>
  <c r="F60" i="22"/>
  <c r="F33" i="22"/>
  <c r="Q27" i="22"/>
  <c r="G29" i="22"/>
  <c r="R27" i="22"/>
  <c r="I29" i="22"/>
  <c r="R29" i="22" s="1"/>
  <c r="F15" i="22"/>
  <c r="K10" i="22"/>
  <c r="H10" i="22"/>
  <c r="F10" i="22"/>
  <c r="J10" i="22"/>
  <c r="J60" i="22"/>
  <c r="K60" i="22"/>
  <c r="R63" i="22"/>
  <c r="Q29" i="22" l="1"/>
  <c r="Q33" i="22"/>
  <c r="Q52" i="22"/>
  <c r="Q48" i="22"/>
  <c r="Q37" i="22"/>
  <c r="G95" i="8" l="1"/>
  <c r="G94" i="8"/>
  <c r="G93" i="8"/>
  <c r="G92" i="8"/>
  <c r="G84" i="8"/>
  <c r="Q84" i="8" s="1"/>
  <c r="G83" i="8"/>
  <c r="G82" i="8"/>
  <c r="G77" i="8"/>
  <c r="Q77" i="8" s="1"/>
  <c r="G76" i="8"/>
  <c r="G80" i="8"/>
  <c r="G75" i="8"/>
  <c r="G73" i="8"/>
  <c r="G72" i="8"/>
  <c r="G71" i="8"/>
  <c r="H46" i="8"/>
  <c r="H45" i="8"/>
  <c r="H44" i="8"/>
  <c r="G46" i="8"/>
  <c r="G45" i="8"/>
  <c r="G44" i="8"/>
  <c r="G43" i="8"/>
  <c r="G63" i="8"/>
  <c r="J75" i="4"/>
  <c r="D75" i="4"/>
  <c r="H75" i="4" s="1"/>
  <c r="L32" i="6" l="1"/>
  <c r="L99" i="4"/>
  <c r="L98" i="4"/>
  <c r="L97" i="4"/>
  <c r="L95" i="4"/>
  <c r="L94" i="4"/>
  <c r="L93" i="4"/>
  <c r="H39" i="2" l="1"/>
  <c r="L39" i="2" s="1"/>
  <c r="N32" i="6"/>
  <c r="O32" i="6" s="1"/>
  <c r="M39" i="2" l="1"/>
  <c r="U39" i="2"/>
  <c r="X39" i="2" s="1"/>
  <c r="G60" i="8" l="1"/>
  <c r="G59" i="8"/>
  <c r="G36" i="8" l="1"/>
  <c r="G40" i="8" s="1"/>
  <c r="G35" i="8"/>
  <c r="G39" i="8" s="1"/>
  <c r="G34" i="8"/>
  <c r="G38" i="8" s="1"/>
  <c r="G33" i="8"/>
  <c r="K20" i="11"/>
  <c r="K21" i="11"/>
  <c r="J24" i="11" l="1"/>
  <c r="K47" i="11" l="1"/>
  <c r="D22" i="17"/>
  <c r="H21" i="17"/>
  <c r="E21" i="17"/>
  <c r="F21" i="17" s="1"/>
  <c r="J21" i="17" s="1"/>
  <c r="H20" i="17"/>
  <c r="D14" i="17"/>
  <c r="F13" i="17"/>
  <c r="J13" i="17" s="1"/>
  <c r="H13" i="17"/>
  <c r="F29" i="17" l="1"/>
  <c r="J29" i="17"/>
  <c r="H19" i="17"/>
  <c r="H11" i="17"/>
  <c r="H12" i="17"/>
  <c r="D30" i="17" l="1"/>
  <c r="B41" i="9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G25" i="8" l="1"/>
  <c r="G24" i="8"/>
  <c r="G23" i="8"/>
  <c r="G22" i="8"/>
  <c r="G21" i="8"/>
  <c r="G20" i="8"/>
  <c r="G19" i="8"/>
  <c r="G15" i="8"/>
  <c r="G13" i="8"/>
  <c r="N298" i="8"/>
  <c r="O298" i="8" s="1"/>
  <c r="O295" i="8"/>
  <c r="H295" i="8"/>
  <c r="O294" i="8"/>
  <c r="H294" i="8"/>
  <c r="O293" i="8"/>
  <c r="H293" i="8"/>
  <c r="O292" i="8"/>
  <c r="H292" i="8"/>
  <c r="H290" i="8"/>
  <c r="N290" i="8" s="1"/>
  <c r="O290" i="8" s="1"/>
  <c r="H289" i="8"/>
  <c r="N289" i="8" s="1"/>
  <c r="O289" i="8" s="1"/>
  <c r="N287" i="8"/>
  <c r="O287" i="8" s="1"/>
  <c r="N286" i="8"/>
  <c r="O286" i="8" s="1"/>
  <c r="N285" i="8"/>
  <c r="O285" i="8" s="1"/>
  <c r="N284" i="8"/>
  <c r="O284" i="8" s="1"/>
  <c r="N283" i="8"/>
  <c r="O283" i="8" s="1"/>
  <c r="T278" i="8"/>
  <c r="R278" i="8"/>
  <c r="Q278" i="8"/>
  <c r="N278" i="8"/>
  <c r="O278" i="8" s="1"/>
  <c r="T277" i="8"/>
  <c r="R277" i="8"/>
  <c r="Q277" i="8"/>
  <c r="N277" i="8"/>
  <c r="O277" i="8" s="1"/>
  <c r="R271" i="8"/>
  <c r="U268" i="8"/>
  <c r="S268" i="8"/>
  <c r="U267" i="8"/>
  <c r="S267" i="8"/>
  <c r="N267" i="8"/>
  <c r="O267" i="8" s="1"/>
  <c r="T253" i="8"/>
  <c r="T244" i="8"/>
  <c r="R244" i="8"/>
  <c r="Q244" i="8"/>
  <c r="N244" i="8"/>
  <c r="O244" i="8" s="1"/>
  <c r="T243" i="8"/>
  <c r="R243" i="8"/>
  <c r="Q243" i="8"/>
  <c r="N243" i="8"/>
  <c r="O243" i="8" s="1"/>
  <c r="T237" i="8"/>
  <c r="T233" i="8"/>
  <c r="T210" i="8"/>
  <c r="R210" i="8"/>
  <c r="Q210" i="8"/>
  <c r="N210" i="8"/>
  <c r="O210" i="8" s="1"/>
  <c r="T209" i="8"/>
  <c r="R209" i="8"/>
  <c r="Q209" i="8"/>
  <c r="N209" i="8"/>
  <c r="O209" i="8" s="1"/>
  <c r="T203" i="8"/>
  <c r="N182" i="8"/>
  <c r="O182" i="8" s="1"/>
  <c r="N181" i="8"/>
  <c r="O181" i="8" s="1"/>
  <c r="T176" i="8"/>
  <c r="T175" i="8"/>
  <c r="N170" i="8"/>
  <c r="O170" i="8" s="1"/>
  <c r="T168" i="8"/>
  <c r="T167" i="8"/>
  <c r="R163" i="8"/>
  <c r="T162" i="8"/>
  <c r="T161" i="8"/>
  <c r="T156" i="8"/>
  <c r="N153" i="8"/>
  <c r="O153" i="8" s="1"/>
  <c r="T149" i="8"/>
  <c r="N149" i="8"/>
  <c r="O149" i="8" s="1"/>
  <c r="T148" i="8"/>
  <c r="Q148" i="8"/>
  <c r="N137" i="8"/>
  <c r="O137" i="8" s="1"/>
  <c r="T135" i="8"/>
  <c r="T134" i="8"/>
  <c r="Q128" i="8"/>
  <c r="N121" i="8"/>
  <c r="O121" i="8" s="1"/>
  <c r="O117" i="8"/>
  <c r="N116" i="8"/>
  <c r="O116" i="8" s="1"/>
  <c r="R113" i="8"/>
  <c r="Q113" i="8"/>
  <c r="T113" i="8"/>
  <c r="N113" i="8"/>
  <c r="O113" i="8" s="1"/>
  <c r="T110" i="8"/>
  <c r="Q107" i="8"/>
  <c r="N101" i="8"/>
  <c r="O101" i="8" s="1"/>
  <c r="T99" i="8"/>
  <c r="T98" i="8"/>
  <c r="R98" i="8"/>
  <c r="T93" i="8"/>
  <c r="Q125" i="8"/>
  <c r="Q87" i="8"/>
  <c r="Q86" i="8"/>
  <c r="N86" i="8"/>
  <c r="O86" i="8" s="1"/>
  <c r="Q82" i="8"/>
  <c r="T80" i="8"/>
  <c r="Q73" i="8"/>
  <c r="T63" i="8"/>
  <c r="T60" i="8"/>
  <c r="N54" i="8"/>
  <c r="O54" i="8" s="1"/>
  <c r="T52" i="8"/>
  <c r="Q52" i="8"/>
  <c r="T51" i="8"/>
  <c r="Q51" i="8"/>
  <c r="T45" i="8"/>
  <c r="Q45" i="8"/>
  <c r="T44" i="8"/>
  <c r="N44" i="8"/>
  <c r="O44" i="8" s="1"/>
  <c r="Q39" i="8"/>
  <c r="Q33" i="8"/>
  <c r="A13" i="8"/>
  <c r="A14" i="8" s="1"/>
  <c r="A15" i="8" s="1"/>
  <c r="N268" i="8"/>
  <c r="O268" i="8" s="1"/>
  <c r="L27" i="15"/>
  <c r="L26" i="15"/>
  <c r="L22" i="15"/>
  <c r="L21" i="15"/>
  <c r="B19" i="15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I15" i="15"/>
  <c r="L15" i="15" s="1"/>
  <c r="G49" i="14"/>
  <c r="B46" i="14"/>
  <c r="B47" i="14" s="1"/>
  <c r="B48" i="14" s="1"/>
  <c r="B49" i="14" s="1"/>
  <c r="O24" i="14"/>
  <c r="G30" i="12"/>
  <c r="G32" i="12" s="1"/>
  <c r="I19" i="12"/>
  <c r="A16" i="12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K46" i="11"/>
  <c r="I48" i="11"/>
  <c r="L78" i="43" s="1"/>
  <c r="K34" i="11"/>
  <c r="I34" i="11"/>
  <c r="G34" i="11"/>
  <c r="K23" i="11"/>
  <c r="K22" i="11"/>
  <c r="B17" i="1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F11" i="11"/>
  <c r="G11" i="11" s="1"/>
  <c r="H11" i="11" s="1"/>
  <c r="I11" i="11" s="1"/>
  <c r="J11" i="11" s="1"/>
  <c r="K11" i="11" s="1"/>
  <c r="M11" i="11" s="1"/>
  <c r="G177" i="10"/>
  <c r="H177" i="10" s="1"/>
  <c r="I177" i="10" s="1"/>
  <c r="J177" i="10" s="1"/>
  <c r="K177" i="10" s="1"/>
  <c r="L177" i="10" s="1"/>
  <c r="M177" i="10" s="1"/>
  <c r="G119" i="10"/>
  <c r="H119" i="10" s="1"/>
  <c r="I119" i="10" s="1"/>
  <c r="J119" i="10" s="1"/>
  <c r="K119" i="10" s="1"/>
  <c r="L119" i="10" s="1"/>
  <c r="M119" i="10" s="1"/>
  <c r="G66" i="10"/>
  <c r="H66" i="10" s="1"/>
  <c r="I66" i="10" s="1"/>
  <c r="J66" i="10" s="1"/>
  <c r="K66" i="10" s="1"/>
  <c r="L66" i="10" s="1"/>
  <c r="M66" i="10" s="1"/>
  <c r="G14" i="10"/>
  <c r="H14" i="10" s="1"/>
  <c r="I14" i="10" s="1"/>
  <c r="J14" i="10" s="1"/>
  <c r="K14" i="10" s="1"/>
  <c r="L14" i="10" s="1"/>
  <c r="M14" i="10" s="1"/>
  <c r="G28" i="9"/>
  <c r="G37" i="9" s="1"/>
  <c r="B13" i="9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G9" i="9"/>
  <c r="H9" i="9" s="1"/>
  <c r="I9" i="9" s="1"/>
  <c r="J9" i="9" s="1"/>
  <c r="B18" i="6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G34" i="5"/>
  <c r="H31" i="5"/>
  <c r="H34" i="5" s="1"/>
  <c r="B21" i="5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AE632" i="4"/>
  <c r="AC632" i="4"/>
  <c r="AF631" i="4"/>
  <c r="AD631" i="4"/>
  <c r="AC631" i="4"/>
  <c r="AB631" i="4"/>
  <c r="AE631" i="4"/>
  <c r="AF627" i="4"/>
  <c r="AE627" i="4"/>
  <c r="AC627" i="4"/>
  <c r="AF621" i="4"/>
  <c r="AE621" i="4"/>
  <c r="AD621" i="4"/>
  <c r="AC621" i="4"/>
  <c r="AB621" i="4"/>
  <c r="AF620" i="4"/>
  <c r="AB620" i="4"/>
  <c r="AE620" i="4"/>
  <c r="AF619" i="4"/>
  <c r="AE619" i="4"/>
  <c r="AD619" i="4"/>
  <c r="AC619" i="4"/>
  <c r="AB619" i="4"/>
  <c r="AE618" i="4"/>
  <c r="AB618" i="4"/>
  <c r="AF617" i="4"/>
  <c r="AE612" i="4"/>
  <c r="AC612" i="4"/>
  <c r="AF612" i="4"/>
  <c r="AF605" i="4"/>
  <c r="AE605" i="4"/>
  <c r="AD605" i="4"/>
  <c r="AC605" i="4"/>
  <c r="A604" i="4"/>
  <c r="A605" i="4" s="1"/>
  <c r="A606" i="4" s="1"/>
  <c r="AE581" i="4"/>
  <c r="AD581" i="4"/>
  <c r="AB581" i="4"/>
  <c r="AF580" i="4"/>
  <c r="AD580" i="4"/>
  <c r="AC576" i="4"/>
  <c r="AF561" i="4"/>
  <c r="AF560" i="4"/>
  <c r="AC560" i="4"/>
  <c r="AE555" i="4"/>
  <c r="AF555" i="4"/>
  <c r="AE554" i="4"/>
  <c r="A553" i="4"/>
  <c r="A554" i="4" s="1"/>
  <c r="A555" i="4" s="1"/>
  <c r="AF530" i="4"/>
  <c r="AE530" i="4"/>
  <c r="AD530" i="4"/>
  <c r="AC530" i="4"/>
  <c r="AB530" i="4"/>
  <c r="AF529" i="4"/>
  <c r="AE528" i="4"/>
  <c r="AC528" i="4"/>
  <c r="AB528" i="4"/>
  <c r="AB524" i="4"/>
  <c r="AC523" i="4"/>
  <c r="AE517" i="4"/>
  <c r="AB517" i="4"/>
  <c r="AF517" i="4"/>
  <c r="AD517" i="4"/>
  <c r="AF516" i="4"/>
  <c r="AE516" i="4"/>
  <c r="AD516" i="4"/>
  <c r="AC516" i="4"/>
  <c r="AB516" i="4"/>
  <c r="AE515" i="4"/>
  <c r="AD515" i="4"/>
  <c r="AF514" i="4"/>
  <c r="AE514" i="4"/>
  <c r="AB514" i="4"/>
  <c r="AD514" i="4"/>
  <c r="AF504" i="4"/>
  <c r="AE504" i="4"/>
  <c r="AB504" i="4"/>
  <c r="AD504" i="4"/>
  <c r="AC503" i="4"/>
  <c r="AB502" i="4"/>
  <c r="A501" i="4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D474" i="4"/>
  <c r="AD473" i="4"/>
  <c r="AE473" i="4"/>
  <c r="CG469" i="4"/>
  <c r="CA469" i="4"/>
  <c r="BZ469" i="4"/>
  <c r="BY469" i="4"/>
  <c r="BX469" i="4"/>
  <c r="BM469" i="4"/>
  <c r="BL469" i="4"/>
  <c r="BK469" i="4"/>
  <c r="BJ469" i="4"/>
  <c r="BI469" i="4"/>
  <c r="BG469" i="4"/>
  <c r="BF469" i="4"/>
  <c r="BE469" i="4"/>
  <c r="BD469" i="4"/>
  <c r="AS469" i="4"/>
  <c r="AM469" i="4"/>
  <c r="AL469" i="4"/>
  <c r="AK469" i="4"/>
  <c r="AJ469" i="4"/>
  <c r="CM469" i="4"/>
  <c r="CL469" i="4"/>
  <c r="BS469" i="4"/>
  <c r="AD468" i="4"/>
  <c r="AY469" i="4"/>
  <c r="AX469" i="4"/>
  <c r="AB468" i="4"/>
  <c r="CF469" i="4"/>
  <c r="CE469" i="4"/>
  <c r="CC469" i="4"/>
  <c r="CB469" i="4"/>
  <c r="BH469" i="4"/>
  <c r="AR469" i="4"/>
  <c r="AQ469" i="4"/>
  <c r="AP469" i="4"/>
  <c r="AO469" i="4"/>
  <c r="A466" i="4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F440" i="4"/>
  <c r="AE440" i="4"/>
  <c r="AD440" i="4"/>
  <c r="AB440" i="4"/>
  <c r="AF439" i="4"/>
  <c r="AE439" i="4"/>
  <c r="AD439" i="4"/>
  <c r="AC439" i="4"/>
  <c r="CK436" i="4"/>
  <c r="CJ436" i="4"/>
  <c r="CI436" i="4"/>
  <c r="BX436" i="4"/>
  <c r="BW436" i="4"/>
  <c r="AJ436" i="4"/>
  <c r="AI436" i="4"/>
  <c r="AH436" i="4"/>
  <c r="AE434" i="4"/>
  <c r="AC434" i="4"/>
  <c r="AD434" i="4"/>
  <c r="AB434" i="4"/>
  <c r="CD436" i="4"/>
  <c r="AP436" i="4"/>
  <c r="AF430" i="4"/>
  <c r="AE430" i="4"/>
  <c r="AD430" i="4"/>
  <c r="AU436" i="4"/>
  <c r="AC430" i="4"/>
  <c r="AB430" i="4"/>
  <c r="AE429" i="4"/>
  <c r="AB429" i="4"/>
  <c r="AF429" i="4"/>
  <c r="AE426" i="4"/>
  <c r="AD426" i="4"/>
  <c r="AB426" i="4"/>
  <c r="AF425" i="4"/>
  <c r="AD425" i="4"/>
  <c r="AF422" i="4"/>
  <c r="AE422" i="4"/>
  <c r="AD422" i="4"/>
  <c r="AC422" i="4"/>
  <c r="AB422" i="4"/>
  <c r="CO436" i="4"/>
  <c r="BV436" i="4"/>
  <c r="BU436" i="4"/>
  <c r="AD421" i="4"/>
  <c r="BC436" i="4"/>
  <c r="AB421" i="4"/>
  <c r="AE421" i="4"/>
  <c r="BP436" i="4"/>
  <c r="BD436" i="4"/>
  <c r="BB436" i="4"/>
  <c r="AV436" i="4"/>
  <c r="AB420" i="4"/>
  <c r="A419" i="4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CH400" i="4"/>
  <c r="BT400" i="4"/>
  <c r="AV400" i="4"/>
  <c r="AS400" i="4"/>
  <c r="AE397" i="4"/>
  <c r="AD397" i="4"/>
  <c r="AB397" i="4"/>
  <c r="AD395" i="4"/>
  <c r="AE391" i="4"/>
  <c r="AD391" i="4"/>
  <c r="AB391" i="4"/>
  <c r="AF389" i="4"/>
  <c r="CN400" i="4"/>
  <c r="CM400" i="4"/>
  <c r="CK400" i="4"/>
  <c r="CJ400" i="4"/>
  <c r="BQ400" i="4"/>
  <c r="AZ400" i="4"/>
  <c r="AY400" i="4"/>
  <c r="AW400" i="4"/>
  <c r="AB387" i="4"/>
  <c r="AF385" i="4"/>
  <c r="AD385" i="4"/>
  <c r="AF384" i="4"/>
  <c r="AE384" i="4"/>
  <c r="AD384" i="4"/>
  <c r="AC384" i="4"/>
  <c r="AB384" i="4"/>
  <c r="AF382" i="4"/>
  <c r="AE382" i="4"/>
  <c r="AD382" i="4"/>
  <c r="AC382" i="4"/>
  <c r="AB382" i="4"/>
  <c r="AF381" i="4"/>
  <c r="AE381" i="4"/>
  <c r="AD381" i="4"/>
  <c r="AC381" i="4"/>
  <c r="AB381" i="4"/>
  <c r="CG400" i="4"/>
  <c r="CF400" i="4"/>
  <c r="AE380" i="4"/>
  <c r="BM400" i="4"/>
  <c r="BL400" i="4"/>
  <c r="AR400" i="4"/>
  <c r="AB380" i="4"/>
  <c r="CO400" i="4"/>
  <c r="CC400" i="4"/>
  <c r="CB400" i="4"/>
  <c r="CA400" i="4"/>
  <c r="BZ400" i="4"/>
  <c r="BY400" i="4"/>
  <c r="BX400" i="4"/>
  <c r="BW400" i="4"/>
  <c r="BV400" i="4"/>
  <c r="BI400" i="4"/>
  <c r="BH400" i="4"/>
  <c r="BG400" i="4"/>
  <c r="BE400" i="4"/>
  <c r="BD400" i="4"/>
  <c r="BC400" i="4"/>
  <c r="BB400" i="4"/>
  <c r="BA400" i="4"/>
  <c r="AO400" i="4"/>
  <c r="AN400" i="4"/>
  <c r="AM400" i="4"/>
  <c r="AL400" i="4"/>
  <c r="AK400" i="4"/>
  <c r="AJ400" i="4"/>
  <c r="AI400" i="4"/>
  <c r="AF379" i="4"/>
  <c r="BW375" i="4"/>
  <c r="BJ375" i="4"/>
  <c r="BF375" i="4"/>
  <c r="BE375" i="4"/>
  <c r="BD375" i="4"/>
  <c r="BC375" i="4"/>
  <c r="AI375" i="4"/>
  <c r="AC374" i="4"/>
  <c r="AE374" i="4"/>
  <c r="AD374" i="4"/>
  <c r="AB374" i="4"/>
  <c r="CA375" i="4"/>
  <c r="BI375" i="4"/>
  <c r="BH375" i="4"/>
  <c r="BG375" i="4"/>
  <c r="AM375" i="4"/>
  <c r="AE372" i="4"/>
  <c r="AC372" i="4"/>
  <c r="AF372" i="4"/>
  <c r="AE370" i="4"/>
  <c r="AB370" i="4"/>
  <c r="AD370" i="4"/>
  <c r="CE375" i="4"/>
  <c r="AE369" i="4"/>
  <c r="BK375" i="4"/>
  <c r="AD369" i="4"/>
  <c r="AC369" i="4"/>
  <c r="AQ375" i="4"/>
  <c r="CK375" i="4"/>
  <c r="CJ375" i="4"/>
  <c r="CI375" i="4"/>
  <c r="CG375" i="4"/>
  <c r="CD375" i="4"/>
  <c r="CC375" i="4"/>
  <c r="BZ375" i="4"/>
  <c r="BY375" i="4"/>
  <c r="BX375" i="4"/>
  <c r="BV375" i="4"/>
  <c r="BQ375" i="4"/>
  <c r="BP375" i="4"/>
  <c r="BO375" i="4"/>
  <c r="BM375" i="4"/>
  <c r="BB375" i="4"/>
  <c r="AW375" i="4"/>
  <c r="AV375" i="4"/>
  <c r="AS375" i="4"/>
  <c r="AP375" i="4"/>
  <c r="AO375" i="4"/>
  <c r="AL375" i="4"/>
  <c r="AK375" i="4"/>
  <c r="AJ375" i="4"/>
  <c r="AH375" i="4"/>
  <c r="A367" i="4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F342" i="4"/>
  <c r="AE342" i="4"/>
  <c r="AD342" i="4"/>
  <c r="AC342" i="4"/>
  <c r="AB342" i="4"/>
  <c r="AE341" i="4"/>
  <c r="AC341" i="4"/>
  <c r="AD340" i="4"/>
  <c r="AF340" i="4"/>
  <c r="BE336" i="4"/>
  <c r="BD336" i="4"/>
  <c r="BB336" i="4"/>
  <c r="BA336" i="4"/>
  <c r="AZ336" i="4"/>
  <c r="AY336" i="4"/>
  <c r="AK336" i="4"/>
  <c r="AH336" i="4"/>
  <c r="AF334" i="4"/>
  <c r="AE334" i="4"/>
  <c r="AD334" i="4"/>
  <c r="AC334" i="4"/>
  <c r="AB334" i="4"/>
  <c r="AF333" i="4"/>
  <c r="AE333" i="4"/>
  <c r="AD333" i="4"/>
  <c r="AC333" i="4"/>
  <c r="AB333" i="4"/>
  <c r="CB336" i="4"/>
  <c r="BZ336" i="4"/>
  <c r="BH336" i="4"/>
  <c r="BF336" i="4"/>
  <c r="AN336" i="4"/>
  <c r="AL336" i="4"/>
  <c r="BT336" i="4"/>
  <c r="AE330" i="4"/>
  <c r="AC330" i="4"/>
  <c r="AD330" i="4"/>
  <c r="AB330" i="4"/>
  <c r="BW336" i="4"/>
  <c r="BC336" i="4"/>
  <c r="AF326" i="4"/>
  <c r="AE326" i="4"/>
  <c r="AD326" i="4"/>
  <c r="AC326" i="4"/>
  <c r="AB326" i="4"/>
  <c r="AF325" i="4"/>
  <c r="AE325" i="4"/>
  <c r="AD325" i="4"/>
  <c r="AC325" i="4"/>
  <c r="AB325" i="4"/>
  <c r="AF322" i="4"/>
  <c r="AE322" i="4"/>
  <c r="AD322" i="4"/>
  <c r="AC322" i="4"/>
  <c r="AB322" i="4"/>
  <c r="AF321" i="4"/>
  <c r="CA336" i="4"/>
  <c r="BV336" i="4"/>
  <c r="BJ336" i="4"/>
  <c r="AC321" i="4"/>
  <c r="AP336" i="4"/>
  <c r="AJ336" i="4"/>
  <c r="CI336" i="4"/>
  <c r="CH336" i="4"/>
  <c r="CG336" i="4"/>
  <c r="CF336" i="4"/>
  <c r="BY336" i="4"/>
  <c r="BU336" i="4"/>
  <c r="BO336" i="4"/>
  <c r="BN336" i="4"/>
  <c r="BM336" i="4"/>
  <c r="BL336" i="4"/>
  <c r="BK336" i="4"/>
  <c r="AU336" i="4"/>
  <c r="AS336" i="4"/>
  <c r="AR336" i="4"/>
  <c r="AQ336" i="4"/>
  <c r="A318" i="4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D301" i="4"/>
  <c r="CO299" i="4"/>
  <c r="CM299" i="4"/>
  <c r="CD299" i="4"/>
  <c r="CC299" i="4"/>
  <c r="BY299" i="4"/>
  <c r="BV299" i="4"/>
  <c r="BU299" i="4"/>
  <c r="BT299" i="4"/>
  <c r="BS299" i="4"/>
  <c r="BJ299" i="4"/>
  <c r="BI299" i="4"/>
  <c r="BE299" i="4"/>
  <c r="AP299" i="4"/>
  <c r="AO299" i="4"/>
  <c r="AK299" i="4"/>
  <c r="AF297" i="4"/>
  <c r="AE297" i="4"/>
  <c r="AD297" i="4"/>
  <c r="AC297" i="4"/>
  <c r="AB297" i="4"/>
  <c r="AF295" i="4"/>
  <c r="AE295" i="4"/>
  <c r="AD295" i="4"/>
  <c r="AC295" i="4"/>
  <c r="AB295" i="4"/>
  <c r="AE292" i="4"/>
  <c r="AC292" i="4"/>
  <c r="AH299" i="4"/>
  <c r="AB292" i="4"/>
  <c r="AF290" i="4"/>
  <c r="AD290" i="4"/>
  <c r="AF288" i="4"/>
  <c r="AE288" i="4"/>
  <c r="AD288" i="4"/>
  <c r="AC288" i="4"/>
  <c r="AB288" i="4"/>
  <c r="AF286" i="4"/>
  <c r="AE286" i="4"/>
  <c r="AD286" i="4"/>
  <c r="AC286" i="4"/>
  <c r="AB286" i="4"/>
  <c r="AF282" i="4"/>
  <c r="AE282" i="4"/>
  <c r="AD282" i="4"/>
  <c r="AC282" i="4"/>
  <c r="AB282" i="4"/>
  <c r="CN299" i="4"/>
  <c r="AF281" i="4"/>
  <c r="BZ299" i="4"/>
  <c r="BX299" i="4"/>
  <c r="BW299" i="4"/>
  <c r="BF299" i="4"/>
  <c r="BD299" i="4"/>
  <c r="BC299" i="4"/>
  <c r="BA299" i="4"/>
  <c r="AZ299" i="4"/>
  <c r="AY299" i="4"/>
  <c r="AC281" i="4"/>
  <c r="AB281" i="4"/>
  <c r="AL299" i="4"/>
  <c r="AJ299" i="4"/>
  <c r="AI299" i="4"/>
  <c r="AE281" i="4"/>
  <c r="CL299" i="4"/>
  <c r="CJ299" i="4"/>
  <c r="CI299" i="4"/>
  <c r="CH299" i="4"/>
  <c r="CG299" i="4"/>
  <c r="CF299" i="4"/>
  <c r="CB299" i="4"/>
  <c r="BP299" i="4"/>
  <c r="BO299" i="4"/>
  <c r="BN299" i="4"/>
  <c r="BM299" i="4"/>
  <c r="BL299" i="4"/>
  <c r="BH299" i="4"/>
  <c r="AX299" i="4"/>
  <c r="AV299" i="4"/>
  <c r="AU299" i="4"/>
  <c r="AS299" i="4"/>
  <c r="AR299" i="4"/>
  <c r="AN299" i="4"/>
  <c r="AB280" i="4"/>
  <c r="CM276" i="4"/>
  <c r="CH276" i="4"/>
  <c r="AY276" i="4"/>
  <c r="AX276" i="4"/>
  <c r="AV276" i="4"/>
  <c r="AT276" i="4"/>
  <c r="CK276" i="4"/>
  <c r="CG276" i="4"/>
  <c r="BM276" i="4"/>
  <c r="AW276" i="4"/>
  <c r="AS276" i="4"/>
  <c r="BS276" i="4"/>
  <c r="AD274" i="4"/>
  <c r="AC274" i="4"/>
  <c r="AE274" i="4"/>
  <c r="CL276" i="4"/>
  <c r="CI276" i="4"/>
  <c r="AE273" i="4"/>
  <c r="AB273" i="4"/>
  <c r="CJ276" i="4"/>
  <c r="BP276" i="4"/>
  <c r="AE271" i="4"/>
  <c r="AF270" i="4"/>
  <c r="CA276" i="4"/>
  <c r="BG276" i="4"/>
  <c r="AD270" i="4"/>
  <c r="AM276" i="4"/>
  <c r="AI276" i="4"/>
  <c r="CO276" i="4"/>
  <c r="CF276" i="4"/>
  <c r="CD276" i="4"/>
  <c r="CC276" i="4"/>
  <c r="CB276" i="4"/>
  <c r="BU276" i="4"/>
  <c r="BN276" i="4"/>
  <c r="BL276" i="4"/>
  <c r="BJ276" i="4"/>
  <c r="BI276" i="4"/>
  <c r="BA276" i="4"/>
  <c r="AC269" i="4"/>
  <c r="AR276" i="4"/>
  <c r="AP276" i="4"/>
  <c r="AO276" i="4"/>
  <c r="AN276" i="4"/>
  <c r="AF269" i="4"/>
  <c r="A267" i="4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D240" i="4"/>
  <c r="AE239" i="4"/>
  <c r="AC239" i="4"/>
  <c r="BA236" i="4"/>
  <c r="AT236" i="4"/>
  <c r="AX236" i="4"/>
  <c r="AE234" i="4"/>
  <c r="AB234" i="4"/>
  <c r="AF233" i="4"/>
  <c r="AF232" i="4"/>
  <c r="AE232" i="4"/>
  <c r="AD232" i="4"/>
  <c r="AC232" i="4"/>
  <c r="AE230" i="4"/>
  <c r="AD230" i="4"/>
  <c r="AF229" i="4"/>
  <c r="AF228" i="4"/>
  <c r="AE228" i="4"/>
  <c r="AD228" i="4"/>
  <c r="AC228" i="4"/>
  <c r="AB226" i="4"/>
  <c r="AF226" i="4"/>
  <c r="AF225" i="4"/>
  <c r="BI236" i="4"/>
  <c r="BH236" i="4"/>
  <c r="AC225" i="4"/>
  <c r="AF222" i="4"/>
  <c r="AE222" i="4"/>
  <c r="AB222" i="4"/>
  <c r="CO236" i="4"/>
  <c r="AF221" i="4"/>
  <c r="AE221" i="4"/>
  <c r="AB221" i="4"/>
  <c r="AD221" i="4"/>
  <c r="CI236" i="4"/>
  <c r="CH236" i="4"/>
  <c r="CG236" i="4"/>
  <c r="CF236" i="4"/>
  <c r="BO236" i="4"/>
  <c r="BN236" i="4"/>
  <c r="BM236" i="4"/>
  <c r="BL236" i="4"/>
  <c r="AU236" i="4"/>
  <c r="AS236" i="4"/>
  <c r="AR236" i="4"/>
  <c r="A218" i="4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CN198" i="4"/>
  <c r="CJ198" i="4"/>
  <c r="CG198" i="4"/>
  <c r="CE198" i="4"/>
  <c r="CD198" i="4"/>
  <c r="BT198" i="4"/>
  <c r="AZ198" i="4"/>
  <c r="AV198" i="4"/>
  <c r="AQ198" i="4"/>
  <c r="AP198" i="4"/>
  <c r="AL198" i="4"/>
  <c r="AF197" i="4"/>
  <c r="AE197" i="4"/>
  <c r="AF194" i="4"/>
  <c r="AD194" i="4"/>
  <c r="AC194" i="4"/>
  <c r="AB194" i="4"/>
  <c r="AC193" i="4"/>
  <c r="AF193" i="4"/>
  <c r="AE192" i="4"/>
  <c r="AE189" i="4"/>
  <c r="BJ198" i="4"/>
  <c r="AD189" i="4"/>
  <c r="AF187" i="4"/>
  <c r="AD187" i="4"/>
  <c r="AC187" i="4"/>
  <c r="AB187" i="4"/>
  <c r="AF184" i="4"/>
  <c r="AC184" i="4"/>
  <c r="AF182" i="4"/>
  <c r="AD182" i="4"/>
  <c r="AC182" i="4"/>
  <c r="AB182" i="4"/>
  <c r="CI198" i="4"/>
  <c r="CH198" i="4"/>
  <c r="BO198" i="4"/>
  <c r="BN198" i="4"/>
  <c r="AD177" i="4"/>
  <c r="BK198" i="4"/>
  <c r="AU198" i="4"/>
  <c r="AS198" i="4"/>
  <c r="D177" i="4"/>
  <c r="H177" i="4" s="1"/>
  <c r="CO198" i="4"/>
  <c r="CM198" i="4"/>
  <c r="CL198" i="4"/>
  <c r="CK198" i="4"/>
  <c r="CC198" i="4"/>
  <c r="BZ198" i="4"/>
  <c r="BY198" i="4"/>
  <c r="BX198" i="4"/>
  <c r="BW198" i="4"/>
  <c r="BV198" i="4"/>
  <c r="BU198" i="4"/>
  <c r="BR198" i="4"/>
  <c r="BQ198" i="4"/>
  <c r="BP198" i="4"/>
  <c r="BF198" i="4"/>
  <c r="BE198" i="4"/>
  <c r="BD198" i="4"/>
  <c r="BC198" i="4"/>
  <c r="BB198" i="4"/>
  <c r="BA198" i="4"/>
  <c r="AY198" i="4"/>
  <c r="AX198" i="4"/>
  <c r="AW198" i="4"/>
  <c r="AO198" i="4"/>
  <c r="AK198" i="4"/>
  <c r="AJ198" i="4"/>
  <c r="AI198" i="4"/>
  <c r="AB176" i="4"/>
  <c r="CI172" i="4"/>
  <c r="BO172" i="4"/>
  <c r="BI172" i="4"/>
  <c r="BE172" i="4"/>
  <c r="AE171" i="4"/>
  <c r="AC171" i="4"/>
  <c r="AB171" i="4"/>
  <c r="AF170" i="4"/>
  <c r="AB170" i="4"/>
  <c r="AF169" i="4"/>
  <c r="AC169" i="4"/>
  <c r="AB169" i="4"/>
  <c r="BH172" i="4"/>
  <c r="BG172" i="4"/>
  <c r="AD167" i="4"/>
  <c r="AC167" i="4"/>
  <c r="AE166" i="4"/>
  <c r="AC166" i="4"/>
  <c r="AB166" i="4"/>
  <c r="CO172" i="4"/>
  <c r="CM172" i="4"/>
  <c r="CL172" i="4"/>
  <c r="BY172" i="4"/>
  <c r="BX172" i="4"/>
  <c r="BU172" i="4"/>
  <c r="BS172" i="4"/>
  <c r="BD172" i="4"/>
  <c r="BA172" i="4"/>
  <c r="AY172" i="4"/>
  <c r="AX172" i="4"/>
  <c r="AU172" i="4"/>
  <c r="AK172" i="4"/>
  <c r="AJ172" i="4"/>
  <c r="AD165" i="4"/>
  <c r="AB165" i="4"/>
  <c r="A164" i="4"/>
  <c r="A165" i="4" s="1"/>
  <c r="A166" i="4" s="1"/>
  <c r="A167" i="4" s="1"/>
  <c r="A168" i="4" s="1"/>
  <c r="A169" i="4" s="1"/>
  <c r="AF138" i="4"/>
  <c r="AE138" i="4"/>
  <c r="AD138" i="4"/>
  <c r="AC138" i="4"/>
  <c r="AB138" i="4"/>
  <c r="AE137" i="4"/>
  <c r="AF137" i="4"/>
  <c r="BX133" i="4"/>
  <c r="BW133" i="4"/>
  <c r="BV133" i="4"/>
  <c r="BI133" i="4"/>
  <c r="BG133" i="4"/>
  <c r="BD133" i="4"/>
  <c r="AJ133" i="4"/>
  <c r="AI133" i="4"/>
  <c r="AH133" i="4"/>
  <c r="CH133" i="4"/>
  <c r="CF133" i="4"/>
  <c r="BN133" i="4"/>
  <c r="BL133" i="4"/>
  <c r="BB133" i="4"/>
  <c r="AT133" i="4"/>
  <c r="CO133" i="4"/>
  <c r="CN133" i="4"/>
  <c r="CM133" i="4"/>
  <c r="CL133" i="4"/>
  <c r="BY133" i="4"/>
  <c r="BU133" i="4"/>
  <c r="BT133" i="4"/>
  <c r="BS133" i="4"/>
  <c r="BR133" i="4"/>
  <c r="BE133" i="4"/>
  <c r="BC133" i="4"/>
  <c r="BA133" i="4"/>
  <c r="AZ133" i="4"/>
  <c r="AY133" i="4"/>
  <c r="AX133" i="4"/>
  <c r="AW133" i="4"/>
  <c r="AU133" i="4"/>
  <c r="AK133" i="4"/>
  <c r="A129" i="4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CH100" i="4"/>
  <c r="CG100" i="4"/>
  <c r="BG100" i="4"/>
  <c r="AW100" i="4"/>
  <c r="AT100" i="4"/>
  <c r="AR100" i="4"/>
  <c r="AQ100" i="4"/>
  <c r="CF100" i="4"/>
  <c r="AE98" i="4"/>
  <c r="AC98" i="4"/>
  <c r="AD97" i="4"/>
  <c r="AB97" i="4"/>
  <c r="AF97" i="4"/>
  <c r="AC90" i="4"/>
  <c r="AB89" i="4"/>
  <c r="AF89" i="4"/>
  <c r="AD89" i="4"/>
  <c r="AC89" i="4"/>
  <c r="BN100" i="4"/>
  <c r="BI100" i="4"/>
  <c r="CK100" i="4"/>
  <c r="BQ100" i="4"/>
  <c r="AF86" i="4"/>
  <c r="AE86" i="4"/>
  <c r="AD86" i="4"/>
  <c r="AC86" i="4"/>
  <c r="AB86" i="4"/>
  <c r="CE100" i="4"/>
  <c r="CD100" i="4"/>
  <c r="BM100" i="4"/>
  <c r="BK100" i="4"/>
  <c r="AS100" i="4"/>
  <c r="AP100" i="4"/>
  <c r="AO100" i="4"/>
  <c r="AN100" i="4"/>
  <c r="D85" i="4"/>
  <c r="H85" i="4" s="1"/>
  <c r="CN100" i="4"/>
  <c r="CM100" i="4"/>
  <c r="CI100" i="4"/>
  <c r="BW100" i="4"/>
  <c r="BT100" i="4"/>
  <c r="BS100" i="4"/>
  <c r="BO100" i="4"/>
  <c r="BJ100" i="4"/>
  <c r="BC100" i="4"/>
  <c r="BB100" i="4"/>
  <c r="AZ100" i="4"/>
  <c r="AY100" i="4"/>
  <c r="AU100" i="4"/>
  <c r="AI100" i="4"/>
  <c r="BZ80" i="4"/>
  <c r="AL80" i="4"/>
  <c r="AK80" i="4"/>
  <c r="AJ80" i="4"/>
  <c r="CA80" i="4"/>
  <c r="AD79" i="4"/>
  <c r="AC79" i="4"/>
  <c r="AN80" i="4"/>
  <c r="AB79" i="4"/>
  <c r="AF78" i="4"/>
  <c r="BX80" i="4"/>
  <c r="AD78" i="4"/>
  <c r="AB78" i="4"/>
  <c r="AE77" i="4"/>
  <c r="AD77" i="4"/>
  <c r="AB77" i="4"/>
  <c r="AF74" i="4"/>
  <c r="BV80" i="4"/>
  <c r="AE74" i="4"/>
  <c r="AC74" i="4"/>
  <c r="AH80" i="4"/>
  <c r="AD74" i="4"/>
  <c r="CC80" i="4"/>
  <c r="BD80" i="4"/>
  <c r="A70" i="4"/>
  <c r="A71" i="4" s="1"/>
  <c r="A72" i="4" s="1"/>
  <c r="A73" i="4" s="1"/>
  <c r="A74" i="4" s="1"/>
  <c r="A75" i="4" s="1"/>
  <c r="A76" i="4" s="1"/>
  <c r="A77" i="4" s="1"/>
  <c r="A78" i="4" s="1"/>
  <c r="A79" i="4" s="1"/>
  <c r="CE40" i="4"/>
  <c r="CD40" i="4"/>
  <c r="CC40" i="4"/>
  <c r="CB40" i="4"/>
  <c r="BN40" i="4"/>
  <c r="BM40" i="4"/>
  <c r="BK40" i="4"/>
  <c r="BJ40" i="4"/>
  <c r="AT40" i="4"/>
  <c r="AS40" i="4"/>
  <c r="AJ40" i="4"/>
  <c r="CH40" i="4"/>
  <c r="AF39" i="4"/>
  <c r="AE39" i="4"/>
  <c r="AD39" i="4"/>
  <c r="AB39" i="4"/>
  <c r="CJ40" i="4"/>
  <c r="CI40" i="4"/>
  <c r="CG40" i="4"/>
  <c r="BP40" i="4"/>
  <c r="BO40" i="4"/>
  <c r="BI40" i="4"/>
  <c r="AV40" i="4"/>
  <c r="AQ40" i="4"/>
  <c r="CO40" i="4"/>
  <c r="CN40" i="4"/>
  <c r="CM40" i="4"/>
  <c r="CK40" i="4"/>
  <c r="CF40" i="4"/>
  <c r="CA40" i="4"/>
  <c r="BZ40" i="4"/>
  <c r="BY40" i="4"/>
  <c r="BX40" i="4"/>
  <c r="BW40" i="4"/>
  <c r="BU40" i="4"/>
  <c r="BT40" i="4"/>
  <c r="BS40" i="4"/>
  <c r="BQ40" i="4"/>
  <c r="BL40" i="4"/>
  <c r="BH40" i="4"/>
  <c r="BG40" i="4"/>
  <c r="BE40" i="4"/>
  <c r="BD40" i="4"/>
  <c r="BC40" i="4"/>
  <c r="BA40" i="4"/>
  <c r="AZ40" i="4"/>
  <c r="AY40" i="4"/>
  <c r="AW40" i="4"/>
  <c r="AR40" i="4"/>
  <c r="AP40" i="4"/>
  <c r="AO40" i="4"/>
  <c r="AN40" i="4"/>
  <c r="AM40" i="4"/>
  <c r="AL40" i="4"/>
  <c r="AK40" i="4"/>
  <c r="AI40" i="4"/>
  <c r="CO33" i="4"/>
  <c r="CN33" i="4"/>
  <c r="CK33" i="4"/>
  <c r="CC33" i="4"/>
  <c r="CA33" i="4"/>
  <c r="BZ33" i="4"/>
  <c r="BX33" i="4"/>
  <c r="BW33" i="4"/>
  <c r="BV33" i="4"/>
  <c r="BT33" i="4"/>
  <c r="BQ33" i="4"/>
  <c r="BI33" i="4"/>
  <c r="BF33" i="4"/>
  <c r="BE33" i="4"/>
  <c r="BB33" i="4"/>
  <c r="BA33" i="4"/>
  <c r="AZ33" i="4"/>
  <c r="AY33" i="4"/>
  <c r="AW33" i="4"/>
  <c r="AO33" i="4"/>
  <c r="AM33" i="4"/>
  <c r="AH33" i="4"/>
  <c r="CI33" i="4"/>
  <c r="BO33" i="4"/>
  <c r="BD33" i="4"/>
  <c r="AJ33" i="4"/>
  <c r="CM33" i="4"/>
  <c r="CH33" i="4"/>
  <c r="CF33" i="4"/>
  <c r="CB33" i="4"/>
  <c r="BY33" i="4"/>
  <c r="BU33" i="4"/>
  <c r="BS33" i="4"/>
  <c r="BN33" i="4"/>
  <c r="BM33" i="4"/>
  <c r="BL33" i="4"/>
  <c r="BH33" i="4"/>
  <c r="BG33" i="4"/>
  <c r="BC33" i="4"/>
  <c r="AT33" i="4"/>
  <c r="AS33" i="4"/>
  <c r="AR33" i="4"/>
  <c r="AN33" i="4"/>
  <c r="AL33" i="4"/>
  <c r="AK33" i="4"/>
  <c r="AI33" i="4"/>
  <c r="CO28" i="4"/>
  <c r="CD28" i="4"/>
  <c r="CB28" i="4"/>
  <c r="CA28" i="4"/>
  <c r="BX28" i="4"/>
  <c r="BU28" i="4"/>
  <c r="BJ28" i="4"/>
  <c r="BH28" i="4"/>
  <c r="BG28" i="4"/>
  <c r="BF28" i="4"/>
  <c r="BA28" i="4"/>
  <c r="AZ28" i="4"/>
  <c r="AX28" i="4"/>
  <c r="AP28" i="4"/>
  <c r="AN28" i="4"/>
  <c r="CJ28" i="4"/>
  <c r="BP28" i="4"/>
  <c r="AV28" i="4"/>
  <c r="AC27" i="4"/>
  <c r="AJ28" i="4"/>
  <c r="CN28" i="4"/>
  <c r="CM28" i="4"/>
  <c r="CL28" i="4"/>
  <c r="CK28" i="4"/>
  <c r="CH28" i="4"/>
  <c r="CG28" i="4"/>
  <c r="CF28" i="4"/>
  <c r="BZ28" i="4"/>
  <c r="BY28" i="4"/>
  <c r="BW28" i="4"/>
  <c r="BT28" i="4"/>
  <c r="BS28" i="4"/>
  <c r="BR28" i="4"/>
  <c r="BQ28" i="4"/>
  <c r="BN28" i="4"/>
  <c r="BM28" i="4"/>
  <c r="BL28" i="4"/>
  <c r="BE28" i="4"/>
  <c r="BD28" i="4"/>
  <c r="BC28" i="4"/>
  <c r="AY28" i="4"/>
  <c r="AW28" i="4"/>
  <c r="AT28" i="4"/>
  <c r="AS28" i="4"/>
  <c r="AR28" i="4"/>
  <c r="AM28" i="4"/>
  <c r="AL28" i="4"/>
  <c r="AK28" i="4"/>
  <c r="AI28" i="4"/>
  <c r="CO23" i="4"/>
  <c r="CN23" i="4"/>
  <c r="CM23" i="4"/>
  <c r="BY23" i="4"/>
  <c r="BV23" i="4"/>
  <c r="BS23" i="4"/>
  <c r="BR23" i="4"/>
  <c r="BE23" i="4"/>
  <c r="BD23" i="4"/>
  <c r="AZ23" i="4"/>
  <c r="AY23" i="4"/>
  <c r="AX23" i="4"/>
  <c r="AV23" i="4"/>
  <c r="AK23" i="4"/>
  <c r="CL21" i="4"/>
  <c r="CK21" i="4"/>
  <c r="CJ21" i="4"/>
  <c r="CI21" i="4"/>
  <c r="CE21" i="4"/>
  <c r="CD21" i="4"/>
  <c r="CC21" i="4"/>
  <c r="BZ21" i="4"/>
  <c r="BY21" i="4"/>
  <c r="BR21" i="4"/>
  <c r="BQ21" i="4"/>
  <c r="BP21" i="4"/>
  <c r="BO21" i="4"/>
  <c r="BK21" i="4"/>
  <c r="BJ21" i="4"/>
  <c r="BI21" i="4"/>
  <c r="BF21" i="4"/>
  <c r="BE21" i="4"/>
  <c r="AX21" i="4"/>
  <c r="AW21" i="4"/>
  <c r="AV21" i="4"/>
  <c r="AU21" i="4"/>
  <c r="AQ21" i="4"/>
  <c r="AP21" i="4"/>
  <c r="AO21" i="4"/>
  <c r="AL21" i="4"/>
  <c r="AK21" i="4"/>
  <c r="AF20" i="4"/>
  <c r="AE20" i="4"/>
  <c r="AD20" i="4"/>
  <c r="AC20" i="4"/>
  <c r="AB20" i="4"/>
  <c r="CM21" i="4"/>
  <c r="AE19" i="4"/>
  <c r="BV21" i="4"/>
  <c r="BS21" i="4"/>
  <c r="AD19" i="4"/>
  <c r="BB21" i="4"/>
  <c r="AY21" i="4"/>
  <c r="AC19" i="4"/>
  <c r="AH21" i="4"/>
  <c r="CO21" i="4"/>
  <c r="CH21" i="4"/>
  <c r="CG21" i="4"/>
  <c r="CF21" i="4"/>
  <c r="AF17" i="4"/>
  <c r="CB21" i="4"/>
  <c r="CA21" i="4"/>
  <c r="BX21" i="4"/>
  <c r="BW21" i="4"/>
  <c r="BU21" i="4"/>
  <c r="BN21" i="4"/>
  <c r="BM21" i="4"/>
  <c r="BL21" i="4"/>
  <c r="BH21" i="4"/>
  <c r="BD21" i="4"/>
  <c r="BC21" i="4"/>
  <c r="BA21" i="4"/>
  <c r="AS21" i="4"/>
  <c r="AR21" i="4"/>
  <c r="AN21" i="4"/>
  <c r="AM21" i="4"/>
  <c r="AI21" i="4"/>
  <c r="A15" i="4"/>
  <c r="A16" i="4" s="1"/>
  <c r="A17" i="4" s="1"/>
  <c r="A18" i="4" s="1"/>
  <c r="A19" i="4" s="1"/>
  <c r="A20" i="4" s="1"/>
  <c r="A21" i="4" s="1"/>
  <c r="A22" i="4" s="1"/>
  <c r="A23" i="4" s="1"/>
  <c r="A24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X23" i="4"/>
  <c r="BW23" i="4"/>
  <c r="BU23" i="4"/>
  <c r="BT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C23" i="4"/>
  <c r="BB23" i="4"/>
  <c r="BA23" i="4"/>
  <c r="AW23" i="4"/>
  <c r="AU23" i="4"/>
  <c r="AT23" i="4"/>
  <c r="AS23" i="4"/>
  <c r="AR23" i="4"/>
  <c r="AQ23" i="4"/>
  <c r="AP23" i="4"/>
  <c r="AO23" i="4"/>
  <c r="AN23" i="4"/>
  <c r="AM23" i="4"/>
  <c r="AL23" i="4"/>
  <c r="AJ23" i="4"/>
  <c r="AI23" i="4"/>
  <c r="AH23" i="4"/>
  <c r="J280" i="4"/>
  <c r="B17" i="2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F9" i="2"/>
  <c r="H9" i="2" s="1"/>
  <c r="J9" i="2" s="1"/>
  <c r="L72" i="4" l="1"/>
  <c r="N78" i="43"/>
  <c r="D39" i="22"/>
  <c r="U39" i="22" s="1"/>
  <c r="D39" i="40"/>
  <c r="J32" i="4"/>
  <c r="P22" i="8" s="1"/>
  <c r="Q22" i="8" s="1"/>
  <c r="J31" i="4"/>
  <c r="J27" i="4"/>
  <c r="C7" i="40" s="1"/>
  <c r="J26" i="4"/>
  <c r="L76" i="35"/>
  <c r="N76" i="35" s="1"/>
  <c r="L9" i="2"/>
  <c r="M9" i="2" s="1"/>
  <c r="O9" i="2" s="1"/>
  <c r="P9" i="2" s="1"/>
  <c r="R9" i="2" s="1"/>
  <c r="S9" i="2" s="1"/>
  <c r="U9" i="2" s="1"/>
  <c r="V9" i="2" s="1"/>
  <c r="X9" i="2" s="1"/>
  <c r="A479" i="4"/>
  <c r="A480" i="4" s="1"/>
  <c r="A481" i="4" s="1"/>
  <c r="A482" i="4" s="1"/>
  <c r="A483" i="4" s="1"/>
  <c r="A484" i="4" s="1"/>
  <c r="A478" i="4"/>
  <c r="A143" i="4"/>
  <c r="A144" i="4" s="1"/>
  <c r="A145" i="4" s="1"/>
  <c r="A146" i="4" s="1"/>
  <c r="A147" i="4" s="1"/>
  <c r="A142" i="4"/>
  <c r="B29" i="2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CB42" i="4"/>
  <c r="I33" i="8"/>
  <c r="T33" i="8" s="1"/>
  <c r="A607" i="4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BS42" i="4"/>
  <c r="A556" i="4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CF42" i="4"/>
  <c r="CD42" i="4"/>
  <c r="BP42" i="4"/>
  <c r="AV42" i="4"/>
  <c r="BM42" i="4"/>
  <c r="Q39" i="22"/>
  <c r="R39" i="22"/>
  <c r="BA42" i="4"/>
  <c r="AF571" i="4"/>
  <c r="CO42" i="4"/>
  <c r="CN42" i="4"/>
  <c r="AE556" i="4"/>
  <c r="BL42" i="4"/>
  <c r="BT42" i="4"/>
  <c r="A170" i="4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BW42" i="4"/>
  <c r="AI42" i="4"/>
  <c r="AS42" i="4"/>
  <c r="CK42" i="4"/>
  <c r="AT42" i="4"/>
  <c r="AW42" i="4"/>
  <c r="CM42" i="4"/>
  <c r="AY42" i="4"/>
  <c r="CJ42" i="4"/>
  <c r="BG42" i="4"/>
  <c r="A80" i="4"/>
  <c r="A81" i="4" s="1"/>
  <c r="A82" i="4" s="1"/>
  <c r="A83" i="4" s="1"/>
  <c r="A84" i="4" s="1"/>
  <c r="A85" i="4" s="1"/>
  <c r="A86" i="4" s="1"/>
  <c r="A87" i="4" s="1"/>
  <c r="BQ42" i="4"/>
  <c r="CG42" i="4"/>
  <c r="BU42" i="4"/>
  <c r="CH42" i="4"/>
  <c r="A16" i="8"/>
  <c r="A17" i="8" s="1"/>
  <c r="A18" i="8" s="1"/>
  <c r="A19" i="8" s="1"/>
  <c r="A20" i="8" s="1"/>
  <c r="A21" i="8" s="1"/>
  <c r="A22" i="8" s="1"/>
  <c r="A23" i="8" s="1"/>
  <c r="A24" i="8" s="1"/>
  <c r="A25" i="8" s="1"/>
  <c r="BN42" i="4"/>
  <c r="BC42" i="4"/>
  <c r="AZ42" i="4"/>
  <c r="AD519" i="4"/>
  <c r="U113" i="8"/>
  <c r="S244" i="8"/>
  <c r="U243" i="8"/>
  <c r="S277" i="8"/>
  <c r="U278" i="8"/>
  <c r="Q110" i="8"/>
  <c r="R121" i="8"/>
  <c r="N156" i="8"/>
  <c r="O156" i="8" s="1"/>
  <c r="Q44" i="8"/>
  <c r="Q146" i="8"/>
  <c r="T128" i="8"/>
  <c r="N155" i="8"/>
  <c r="O155" i="8" s="1"/>
  <c r="Q72" i="8"/>
  <c r="U244" i="8"/>
  <c r="N148" i="8"/>
  <c r="O148" i="8" s="1"/>
  <c r="Q161" i="8"/>
  <c r="Q34" i="8"/>
  <c r="R44" i="8"/>
  <c r="Q92" i="8"/>
  <c r="R148" i="8"/>
  <c r="S148" i="8" s="1"/>
  <c r="R203" i="8"/>
  <c r="R87" i="8"/>
  <c r="R149" i="8"/>
  <c r="U149" i="8" s="1"/>
  <c r="Q80" i="8"/>
  <c r="T87" i="8"/>
  <c r="N129" i="8"/>
  <c r="O129" i="8" s="1"/>
  <c r="Q155" i="8"/>
  <c r="S210" i="8"/>
  <c r="U210" i="8"/>
  <c r="N45" i="8"/>
  <c r="O45" i="8" s="1"/>
  <c r="S209" i="8"/>
  <c r="R237" i="8"/>
  <c r="U237" i="8" s="1"/>
  <c r="N163" i="8"/>
  <c r="O163" i="8" s="1"/>
  <c r="U209" i="8"/>
  <c r="Q163" i="8"/>
  <c r="S163" i="8" s="1"/>
  <c r="U277" i="8"/>
  <c r="U98" i="8"/>
  <c r="Q35" i="8"/>
  <c r="S113" i="8"/>
  <c r="T189" i="8"/>
  <c r="Q38" i="8"/>
  <c r="Q141" i="8"/>
  <c r="Q121" i="8"/>
  <c r="T121" i="8"/>
  <c r="T155" i="8"/>
  <c r="R155" i="8"/>
  <c r="Q43" i="8"/>
  <c r="R45" i="8"/>
  <c r="Q142" i="8"/>
  <c r="T83" i="8"/>
  <c r="Q83" i="8"/>
  <c r="T219" i="8"/>
  <c r="Q71" i="8"/>
  <c r="Q40" i="8"/>
  <c r="Q76" i="8"/>
  <c r="R99" i="8"/>
  <c r="Q106" i="8"/>
  <c r="T129" i="8"/>
  <c r="R129" i="8"/>
  <c r="R86" i="8"/>
  <c r="Q89" i="8"/>
  <c r="N112" i="8"/>
  <c r="O112" i="8" s="1"/>
  <c r="Q129" i="8"/>
  <c r="Q93" i="8"/>
  <c r="Q75" i="8"/>
  <c r="T112" i="8"/>
  <c r="Q112" i="8"/>
  <c r="Q203" i="8"/>
  <c r="T82" i="8"/>
  <c r="T86" i="8"/>
  <c r="R112" i="8"/>
  <c r="N130" i="8"/>
  <c r="O130" i="8" s="1"/>
  <c r="N203" i="8"/>
  <c r="O203" i="8" s="1"/>
  <c r="Q36" i="8"/>
  <c r="Q94" i="8"/>
  <c r="T94" i="8"/>
  <c r="Q99" i="8"/>
  <c r="Q135" i="8"/>
  <c r="Q233" i="8"/>
  <c r="Q167" i="8"/>
  <c r="Q98" i="8"/>
  <c r="S98" i="8" s="1"/>
  <c r="Q134" i="8"/>
  <c r="Q168" i="8"/>
  <c r="N87" i="8"/>
  <c r="O87" i="8" s="1"/>
  <c r="T130" i="8"/>
  <c r="Q130" i="8"/>
  <c r="N162" i="8"/>
  <c r="O162" i="8" s="1"/>
  <c r="R130" i="8"/>
  <c r="R162" i="8"/>
  <c r="R51" i="8"/>
  <c r="N51" i="8"/>
  <c r="O51" i="8" s="1"/>
  <c r="N122" i="8"/>
  <c r="O122" i="8" s="1"/>
  <c r="T59" i="8"/>
  <c r="T122" i="8"/>
  <c r="Q122" i="8"/>
  <c r="R52" i="8"/>
  <c r="N52" i="8"/>
  <c r="O52" i="8" s="1"/>
  <c r="R122" i="8"/>
  <c r="T179" i="8"/>
  <c r="T183" i="8" s="1"/>
  <c r="Q179" i="8"/>
  <c r="Q176" i="8"/>
  <c r="T146" i="8"/>
  <c r="Q149" i="8"/>
  <c r="T163" i="8"/>
  <c r="U163" i="8" s="1"/>
  <c r="T271" i="8"/>
  <c r="U271" i="8" s="1"/>
  <c r="S243" i="8"/>
  <c r="Q143" i="8"/>
  <c r="Q105" i="8"/>
  <c r="Q162" i="8"/>
  <c r="Q175" i="8"/>
  <c r="S278" i="8"/>
  <c r="Q156" i="8"/>
  <c r="R156" i="8"/>
  <c r="H48" i="11"/>
  <c r="K48" i="11"/>
  <c r="I35" i="11"/>
  <c r="I27" i="11" s="1"/>
  <c r="G36" i="11"/>
  <c r="H28" i="11" s="1"/>
  <c r="H42" i="11" s="1"/>
  <c r="I36" i="11"/>
  <c r="I28" i="11" s="1"/>
  <c r="I42" i="11" s="1"/>
  <c r="I54" i="11" s="1"/>
  <c r="I35" i="8" s="1"/>
  <c r="K36" i="11"/>
  <c r="J28" i="11" s="1"/>
  <c r="J42" i="11" s="1"/>
  <c r="G35" i="11"/>
  <c r="H27" i="11" s="1"/>
  <c r="J48" i="11"/>
  <c r="H24" i="11"/>
  <c r="G37" i="11"/>
  <c r="H29" i="11" s="1"/>
  <c r="H43" i="11" s="1"/>
  <c r="I37" i="11"/>
  <c r="I29" i="11" s="1"/>
  <c r="I43" i="11" s="1"/>
  <c r="I55" i="11" s="1"/>
  <c r="I36" i="8" s="1"/>
  <c r="K37" i="11"/>
  <c r="J29" i="11" s="1"/>
  <c r="K29" i="11" s="1"/>
  <c r="L23" i="14"/>
  <c r="L24" i="14"/>
  <c r="Q24" i="14" s="1"/>
  <c r="G33" i="14"/>
  <c r="O23" i="14"/>
  <c r="I57" i="15"/>
  <c r="L22" i="14"/>
  <c r="Q22" i="14" s="1"/>
  <c r="I30" i="12"/>
  <c r="I32" i="12" s="1"/>
  <c r="K24" i="11"/>
  <c r="K35" i="11"/>
  <c r="J27" i="11" s="1"/>
  <c r="J41" i="11" s="1"/>
  <c r="AB22" i="4"/>
  <c r="BV100" i="4"/>
  <c r="AE84" i="4"/>
  <c r="AC37" i="4"/>
  <c r="BB40" i="4"/>
  <c r="BX42" i="4"/>
  <c r="AC17" i="4"/>
  <c r="AC21" i="4" s="1"/>
  <c r="AT21" i="4"/>
  <c r="AC22" i="4" s="1"/>
  <c r="CA42" i="4"/>
  <c r="J368" i="4"/>
  <c r="D79" i="4"/>
  <c r="H79" i="4" s="1"/>
  <c r="J177" i="4"/>
  <c r="J72" i="4"/>
  <c r="D17" i="4"/>
  <c r="H17" i="4" s="1"/>
  <c r="D27" i="4"/>
  <c r="H27" i="4" s="1"/>
  <c r="AF19" i="4"/>
  <c r="AF21" i="4" s="1"/>
  <c r="AF43" i="4"/>
  <c r="AC32" i="4"/>
  <c r="AU33" i="4"/>
  <c r="AU80" i="4"/>
  <c r="BO80" i="4"/>
  <c r="CI80" i="4"/>
  <c r="AC77" i="4"/>
  <c r="AB37" i="4"/>
  <c r="AH40" i="4"/>
  <c r="AB84" i="4"/>
  <c r="AH100" i="4"/>
  <c r="CG33" i="4"/>
  <c r="AF31" i="4"/>
  <c r="BL80" i="4"/>
  <c r="AF77" i="4"/>
  <c r="AE89" i="4"/>
  <c r="BI198" i="4"/>
  <c r="AD176" i="4"/>
  <c r="AZ21" i="4"/>
  <c r="BT21" i="4"/>
  <c r="AE22" i="4" s="1"/>
  <c r="CN21" i="4"/>
  <c r="BD42" i="4"/>
  <c r="P20" i="8"/>
  <c r="Q20" i="8" s="1"/>
  <c r="AB31" i="4"/>
  <c r="D32" i="4"/>
  <c r="H32" i="4" s="1"/>
  <c r="AE176" i="4"/>
  <c r="BS198" i="4"/>
  <c r="AE199" i="4" s="1"/>
  <c r="AB26" i="4"/>
  <c r="AH28" i="4"/>
  <c r="D72" i="4"/>
  <c r="H72" i="4" s="1"/>
  <c r="AE200" i="4"/>
  <c r="AE26" i="4"/>
  <c r="BV28" i="4"/>
  <c r="BY42" i="4"/>
  <c r="D19" i="4"/>
  <c r="H19" i="4" s="1"/>
  <c r="AL42" i="4"/>
  <c r="AD26" i="4"/>
  <c r="BZ42" i="4"/>
  <c r="AE97" i="4"/>
  <c r="AR42" i="4"/>
  <c r="AD37" i="4"/>
  <c r="BF40" i="4"/>
  <c r="BF42" i="4" s="1"/>
  <c r="AD43" i="4" s="1"/>
  <c r="AF22" i="4"/>
  <c r="AK42" i="4"/>
  <c r="BB80" i="4"/>
  <c r="AR80" i="4"/>
  <c r="AE17" i="4"/>
  <c r="AE21" i="4" s="1"/>
  <c r="P15" i="8"/>
  <c r="Q15" i="8" s="1"/>
  <c r="AJ42" i="4"/>
  <c r="AJ21" i="4"/>
  <c r="AB17" i="4"/>
  <c r="AD31" i="4"/>
  <c r="AU40" i="4"/>
  <c r="AC38" i="4"/>
  <c r="BE42" i="4"/>
  <c r="AM42" i="4"/>
  <c r="AN42" i="4"/>
  <c r="BR172" i="4"/>
  <c r="AE165" i="4"/>
  <c r="BH276" i="4"/>
  <c r="AD269" i="4"/>
  <c r="AC26" i="4"/>
  <c r="AC28" i="4" s="1"/>
  <c r="BB28" i="4"/>
  <c r="AC39" i="4"/>
  <c r="AC165" i="4"/>
  <c r="AE37" i="4"/>
  <c r="BV40" i="4"/>
  <c r="AF165" i="4"/>
  <c r="AD17" i="4"/>
  <c r="AD21" i="4" s="1"/>
  <c r="BG21" i="4"/>
  <c r="AD22" i="4" s="1"/>
  <c r="AM80" i="4"/>
  <c r="CF80" i="4"/>
  <c r="AP42" i="4"/>
  <c r="AC177" i="4"/>
  <c r="AT198" i="4"/>
  <c r="AC199" i="4" s="1"/>
  <c r="BM80" i="4"/>
  <c r="AC78" i="4"/>
  <c r="CB80" i="4"/>
  <c r="AF84" i="4"/>
  <c r="BA100" i="4"/>
  <c r="BU100" i="4"/>
  <c r="CO100" i="4"/>
  <c r="AZ172" i="4"/>
  <c r="BT172" i="4"/>
  <c r="CN172" i="4"/>
  <c r="AD170" i="4"/>
  <c r="AD171" i="4"/>
  <c r="AF171" i="4"/>
  <c r="CE336" i="4"/>
  <c r="AF320" i="4"/>
  <c r="AL133" i="4"/>
  <c r="BK236" i="4"/>
  <c r="AD626" i="4"/>
  <c r="AE32" i="4"/>
  <c r="AE38" i="4"/>
  <c r="BE100" i="4"/>
  <c r="AO28" i="4"/>
  <c r="AO42" i="4" s="1"/>
  <c r="BI28" i="4"/>
  <c r="BI42" i="4" s="1"/>
  <c r="CC28" i="4"/>
  <c r="CC42" i="4" s="1"/>
  <c r="AS80" i="4"/>
  <c r="AE73" i="4"/>
  <c r="D78" i="4"/>
  <c r="H78" i="4" s="1"/>
  <c r="AE78" i="4"/>
  <c r="AF79" i="4"/>
  <c r="AB131" i="4"/>
  <c r="AB193" i="4"/>
  <c r="AD193" i="4"/>
  <c r="AB240" i="4"/>
  <c r="AE240" i="4"/>
  <c r="AE27" i="4"/>
  <c r="AK100" i="4"/>
  <c r="BY100" i="4"/>
  <c r="P13" i="8"/>
  <c r="Q13" i="8" s="1"/>
  <c r="AB19" i="4"/>
  <c r="AF26" i="4"/>
  <c r="AP33" i="4"/>
  <c r="BJ33" i="4"/>
  <c r="CD33" i="4"/>
  <c r="AF37" i="4"/>
  <c r="AB74" i="4"/>
  <c r="AM100" i="4"/>
  <c r="CA100" i="4"/>
  <c r="AC97" i="4"/>
  <c r="BH133" i="4"/>
  <c r="D220" i="4"/>
  <c r="H220" i="4" s="1"/>
  <c r="CM236" i="4"/>
  <c r="AC221" i="4"/>
  <c r="D386" i="4"/>
  <c r="H386" i="4" s="1"/>
  <c r="AE387" i="4"/>
  <c r="BS400" i="4"/>
  <c r="AT336" i="4"/>
  <c r="AC320" i="4"/>
  <c r="AC629" i="4"/>
  <c r="AC626" i="4"/>
  <c r="AC628" i="4" s="1"/>
  <c r="AQ28" i="4"/>
  <c r="AQ42" i="4" s="1"/>
  <c r="BK28" i="4"/>
  <c r="BK42" i="4" s="1"/>
  <c r="CE28" i="4"/>
  <c r="CE42" i="4" s="1"/>
  <c r="AQ33" i="4"/>
  <c r="BK33" i="4"/>
  <c r="CE33" i="4"/>
  <c r="AF72" i="4"/>
  <c r="BA80" i="4"/>
  <c r="BU80" i="4"/>
  <c r="CO80" i="4"/>
  <c r="AE169" i="4"/>
  <c r="AU28" i="4"/>
  <c r="BO28" i="4"/>
  <c r="BO42" i="4" s="1"/>
  <c r="CI28" i="4"/>
  <c r="CI42" i="4" s="1"/>
  <c r="D31" i="4"/>
  <c r="H31" i="4" s="1"/>
  <c r="BE80" i="4"/>
  <c r="CC100" i="4"/>
  <c r="AN133" i="4"/>
  <c r="AW299" i="4"/>
  <c r="BQ299" i="4"/>
  <c r="CK299" i="4"/>
  <c r="J397" i="4"/>
  <c r="N397" i="4" s="1"/>
  <c r="AI80" i="4"/>
  <c r="AB72" i="4"/>
  <c r="BH42" i="4"/>
  <c r="BP33" i="4"/>
  <c r="AF85" i="4"/>
  <c r="AF166" i="4"/>
  <c r="AC192" i="4"/>
  <c r="AE280" i="4"/>
  <c r="AE299" i="4" s="1"/>
  <c r="BR299" i="4"/>
  <c r="AD131" i="4"/>
  <c r="BF133" i="4"/>
  <c r="BJ42" i="4"/>
  <c r="D20" i="4"/>
  <c r="H20" i="4" s="1"/>
  <c r="AD27" i="4"/>
  <c r="CJ33" i="4"/>
  <c r="AD38" i="4"/>
  <c r="BF80" i="4"/>
  <c r="J73" i="4"/>
  <c r="AD72" i="4"/>
  <c r="J79" i="4"/>
  <c r="J560" i="4"/>
  <c r="J554" i="4"/>
  <c r="J514" i="4"/>
  <c r="J627" i="4"/>
  <c r="J612" i="4"/>
  <c r="J504" i="4"/>
  <c r="D576" i="4"/>
  <c r="H576" i="4" s="1"/>
  <c r="D560" i="4"/>
  <c r="H560" i="4" s="1"/>
  <c r="D554" i="4"/>
  <c r="H554" i="4" s="1"/>
  <c r="J523" i="4"/>
  <c r="D514" i="4"/>
  <c r="H514" i="4" s="1"/>
  <c r="D627" i="4"/>
  <c r="H627" i="4" s="1"/>
  <c r="D612" i="4"/>
  <c r="H612" i="4" s="1"/>
  <c r="J555" i="4"/>
  <c r="D523" i="4"/>
  <c r="H523" i="4" s="1"/>
  <c r="D561" i="4"/>
  <c r="H561" i="4" s="1"/>
  <c r="D555" i="4"/>
  <c r="H555" i="4" s="1"/>
  <c r="J524" i="4"/>
  <c r="J509" i="4"/>
  <c r="J502" i="4"/>
  <c r="D613" i="4"/>
  <c r="H613" i="4" s="1"/>
  <c r="D606" i="4"/>
  <c r="H606" i="4" s="1"/>
  <c r="J566" i="4"/>
  <c r="D575" i="4"/>
  <c r="H575" i="4" s="1"/>
  <c r="D626" i="4"/>
  <c r="H626" i="4" s="1"/>
  <c r="D504" i="4"/>
  <c r="H504" i="4" s="1"/>
  <c r="J468" i="4"/>
  <c r="J561" i="4"/>
  <c r="N561" i="4" s="1"/>
  <c r="D524" i="4"/>
  <c r="H524" i="4" s="1"/>
  <c r="D509" i="4"/>
  <c r="H509" i="4" s="1"/>
  <c r="J620" i="4"/>
  <c r="J473" i="4"/>
  <c r="C57" i="40" s="1"/>
  <c r="J569" i="4"/>
  <c r="D468" i="4"/>
  <c r="H468" i="4" s="1"/>
  <c r="D620" i="4"/>
  <c r="H620" i="4" s="1"/>
  <c r="J606" i="4"/>
  <c r="D473" i="4"/>
  <c r="H473" i="4" s="1"/>
  <c r="J617" i="4"/>
  <c r="J605" i="4"/>
  <c r="D569" i="4"/>
  <c r="H569" i="4" s="1"/>
  <c r="J529" i="4"/>
  <c r="J503" i="4"/>
  <c r="D617" i="4"/>
  <c r="H617" i="4" s="1"/>
  <c r="D605" i="4"/>
  <c r="H605" i="4" s="1"/>
  <c r="J576" i="4"/>
  <c r="D397" i="4"/>
  <c r="H397" i="4" s="1"/>
  <c r="J387" i="4"/>
  <c r="J381" i="4"/>
  <c r="J374" i="4"/>
  <c r="D369" i="4"/>
  <c r="H369" i="4" s="1"/>
  <c r="J391" i="4"/>
  <c r="N391" i="4" s="1"/>
  <c r="J517" i="4"/>
  <c r="D395" i="4"/>
  <c r="H395" i="4" s="1"/>
  <c r="D387" i="4"/>
  <c r="H387" i="4" s="1"/>
  <c r="J385" i="4"/>
  <c r="D381" i="4"/>
  <c r="H381" i="4" s="1"/>
  <c r="D374" i="4"/>
  <c r="H374" i="4" s="1"/>
  <c r="J370" i="4"/>
  <c r="D517" i="4"/>
  <c r="H517" i="4" s="1"/>
  <c r="J510" i="4"/>
  <c r="N510" i="4" s="1"/>
  <c r="D391" i="4"/>
  <c r="H391" i="4" s="1"/>
  <c r="J389" i="4"/>
  <c r="N389" i="4" s="1"/>
  <c r="J613" i="4"/>
  <c r="N613" i="4" s="1"/>
  <c r="D503" i="4"/>
  <c r="H503" i="4" s="1"/>
  <c r="D421" i="4"/>
  <c r="H421" i="4" s="1"/>
  <c r="J396" i="4"/>
  <c r="D54" i="40" s="1"/>
  <c r="H385" i="4"/>
  <c r="J382" i="4"/>
  <c r="D370" i="4"/>
  <c r="H370" i="4" s="1"/>
  <c r="D510" i="4"/>
  <c r="J467" i="4"/>
  <c r="D389" i="4"/>
  <c r="H389" i="4" s="1"/>
  <c r="J379" i="4"/>
  <c r="J372" i="4"/>
  <c r="D529" i="4"/>
  <c r="D396" i="4"/>
  <c r="H396" i="4" s="1"/>
  <c r="J386" i="4"/>
  <c r="D382" i="4"/>
  <c r="H382" i="4" s="1"/>
  <c r="D467" i="4"/>
  <c r="H467" i="4" s="1"/>
  <c r="J575" i="4"/>
  <c r="D566" i="4"/>
  <c r="H566" i="4" s="1"/>
  <c r="D390" i="4"/>
  <c r="D379" i="4"/>
  <c r="D320" i="4"/>
  <c r="H320" i="4" s="1"/>
  <c r="D280" i="4"/>
  <c r="D297" i="4"/>
  <c r="H297" i="4" s="1"/>
  <c r="J295" i="4"/>
  <c r="N295" i="4" s="1"/>
  <c r="J288" i="4"/>
  <c r="N288" i="4" s="1"/>
  <c r="D420" i="4"/>
  <c r="H420" i="4" s="1"/>
  <c r="J373" i="4"/>
  <c r="J321" i="4"/>
  <c r="J292" i="4"/>
  <c r="N292" i="4" s="1"/>
  <c r="J281" i="4"/>
  <c r="J274" i="4"/>
  <c r="D269" i="4"/>
  <c r="H269" i="4" s="1"/>
  <c r="D502" i="4"/>
  <c r="H502" i="4" s="1"/>
  <c r="H342" i="4"/>
  <c r="D373" i="4"/>
  <c r="H373" i="4" s="1"/>
  <c r="J369" i="4"/>
  <c r="D321" i="4"/>
  <c r="H321" i="4" s="1"/>
  <c r="D292" i="4"/>
  <c r="H292" i="4" s="1"/>
  <c r="J290" i="4"/>
  <c r="N290" i="4" s="1"/>
  <c r="D281" i="4"/>
  <c r="H281" i="4" s="1"/>
  <c r="D274" i="4"/>
  <c r="H274" i="4" s="1"/>
  <c r="J270" i="4"/>
  <c r="J296" i="4"/>
  <c r="N296" i="4" s="1"/>
  <c r="D286" i="4"/>
  <c r="H286" i="4" s="1"/>
  <c r="D422" i="4"/>
  <c r="H422" i="4" s="1"/>
  <c r="J322" i="4"/>
  <c r="D290" i="4"/>
  <c r="H290" i="4" s="1"/>
  <c r="J282" i="4"/>
  <c r="J275" i="4"/>
  <c r="D270" i="4"/>
  <c r="H270" i="4" s="1"/>
  <c r="D372" i="4"/>
  <c r="H372" i="4" s="1"/>
  <c r="D296" i="4"/>
  <c r="H296" i="4" s="1"/>
  <c r="J287" i="4"/>
  <c r="N287" i="4" s="1"/>
  <c r="D322" i="4"/>
  <c r="H322" i="4" s="1"/>
  <c r="D192" i="4"/>
  <c r="H192" i="4" s="1"/>
  <c r="D291" i="4"/>
  <c r="H291" i="4" s="1"/>
  <c r="J189" i="4"/>
  <c r="J380" i="4"/>
  <c r="J221" i="4"/>
  <c r="D184" i="4"/>
  <c r="H184" i="4" s="1"/>
  <c r="J178" i="4"/>
  <c r="J171" i="4"/>
  <c r="D282" i="4"/>
  <c r="H282" i="4" s="1"/>
  <c r="D189" i="4"/>
  <c r="H189" i="4" s="1"/>
  <c r="D380" i="4"/>
  <c r="H380" i="4" s="1"/>
  <c r="D295" i="4"/>
  <c r="H295" i="4" s="1"/>
  <c r="D221" i="4"/>
  <c r="H221" i="4" s="1"/>
  <c r="D182" i="4"/>
  <c r="H182" i="4" s="1"/>
  <c r="D178" i="4"/>
  <c r="H178" i="4" s="1"/>
  <c r="D171" i="4"/>
  <c r="H171" i="4" s="1"/>
  <c r="J197" i="4"/>
  <c r="D187" i="4"/>
  <c r="H187" i="4" s="1"/>
  <c r="J222" i="4"/>
  <c r="D28" i="22"/>
  <c r="U28" i="22" s="1"/>
  <c r="J273" i="4"/>
  <c r="D197" i="4"/>
  <c r="H197" i="4" s="1"/>
  <c r="J188" i="4"/>
  <c r="J176" i="4"/>
  <c r="D26" i="40" s="1"/>
  <c r="H233" i="4"/>
  <c r="D222" i="4"/>
  <c r="H222" i="4" s="1"/>
  <c r="D183" i="4"/>
  <c r="H183" i="4" s="1"/>
  <c r="J626" i="4"/>
  <c r="J283" i="4"/>
  <c r="D273" i="4"/>
  <c r="H273" i="4" s="1"/>
  <c r="D194" i="4"/>
  <c r="H194" i="4" s="1"/>
  <c r="D368" i="4"/>
  <c r="H368" i="4" s="1"/>
  <c r="D271" i="4"/>
  <c r="H271" i="4" s="1"/>
  <c r="J179" i="4"/>
  <c r="D176" i="4"/>
  <c r="J297" i="4"/>
  <c r="N297" i="4" s="1"/>
  <c r="D283" i="4"/>
  <c r="H283" i="4" s="1"/>
  <c r="D169" i="4"/>
  <c r="H169" i="4" s="1"/>
  <c r="J165" i="4"/>
  <c r="D132" i="4"/>
  <c r="H132" i="4" s="1"/>
  <c r="D86" i="4"/>
  <c r="H86" i="4" s="1"/>
  <c r="D179" i="4"/>
  <c r="H179" i="4" s="1"/>
  <c r="J269" i="4"/>
  <c r="D165" i="4"/>
  <c r="H165" i="4" s="1"/>
  <c r="J390" i="4"/>
  <c r="D51" i="40" s="1"/>
  <c r="D275" i="4"/>
  <c r="H275" i="4" s="1"/>
  <c r="D288" i="4"/>
  <c r="H288" i="4" s="1"/>
  <c r="J193" i="4"/>
  <c r="J166" i="4"/>
  <c r="J84" i="4"/>
  <c r="D193" i="4"/>
  <c r="H193" i="4" s="1"/>
  <c r="J220" i="4"/>
  <c r="D188" i="4"/>
  <c r="H188" i="4" s="1"/>
  <c r="D166" i="4"/>
  <c r="H166" i="4" s="1"/>
  <c r="D137" i="4"/>
  <c r="H137" i="4" s="1"/>
  <c r="D84" i="4"/>
  <c r="H84" i="4" s="1"/>
  <c r="D287" i="4"/>
  <c r="H287" i="4" s="1"/>
  <c r="J169" i="4"/>
  <c r="D131" i="4"/>
  <c r="H131" i="4" s="1"/>
  <c r="J194" i="4"/>
  <c r="J77" i="4"/>
  <c r="J286" i="4"/>
  <c r="N286" i="4" s="1"/>
  <c r="J170" i="4"/>
  <c r="J74" i="4"/>
  <c r="J320" i="4"/>
  <c r="J167" i="4"/>
  <c r="J86" i="4"/>
  <c r="D77" i="4"/>
  <c r="H77" i="4" s="1"/>
  <c r="D170" i="4"/>
  <c r="H170" i="4" s="1"/>
  <c r="D74" i="4"/>
  <c r="H74" i="4" s="1"/>
  <c r="D167" i="4"/>
  <c r="H167" i="4" s="1"/>
  <c r="J85" i="4"/>
  <c r="J78" i="4"/>
  <c r="J291" i="4"/>
  <c r="D42" i="40" s="1"/>
  <c r="D26" i="4"/>
  <c r="H26" i="4" s="1"/>
  <c r="BG80" i="4"/>
  <c r="AF90" i="4"/>
  <c r="BZ133" i="4"/>
  <c r="AE134" i="4" s="1"/>
  <c r="AF167" i="4"/>
  <c r="AE187" i="4"/>
  <c r="AD233" i="4"/>
  <c r="AC340" i="4"/>
  <c r="AB376" i="4"/>
  <c r="AV33" i="4"/>
  <c r="AD32" i="4"/>
  <c r="P21" i="8"/>
  <c r="Q21" i="8" s="1"/>
  <c r="AX33" i="4"/>
  <c r="BR33" i="4"/>
  <c r="CL33" i="4"/>
  <c r="AX40" i="4"/>
  <c r="AX42" i="4" s="1"/>
  <c r="BR40" i="4"/>
  <c r="BR42" i="4" s="1"/>
  <c r="CL40" i="4"/>
  <c r="CL42" i="4" s="1"/>
  <c r="BH80" i="4"/>
  <c r="AE79" i="4"/>
  <c r="BL100" i="4"/>
  <c r="AB98" i="4"/>
  <c r="CB133" i="4"/>
  <c r="BV236" i="4"/>
  <c r="AB340" i="4"/>
  <c r="BC80" i="4"/>
  <c r="AC31" i="4"/>
  <c r="AE31" i="4"/>
  <c r="AO80" i="4"/>
  <c r="CG80" i="4"/>
  <c r="BW80" i="4"/>
  <c r="AC84" i="4"/>
  <c r="BP100" i="4"/>
  <c r="CJ100" i="4"/>
  <c r="AF101" i="4" s="1"/>
  <c r="AD184" i="4"/>
  <c r="J271" i="4"/>
  <c r="AB299" i="4"/>
  <c r="CB100" i="4"/>
  <c r="AF27" i="4"/>
  <c r="AF32" i="4"/>
  <c r="AF38" i="4"/>
  <c r="AP80" i="4"/>
  <c r="BJ80" i="4"/>
  <c r="AC85" i="4"/>
  <c r="AV172" i="4"/>
  <c r="BP172" i="4"/>
  <c r="CJ172" i="4"/>
  <c r="AM336" i="4"/>
  <c r="AB321" i="4"/>
  <c r="BG336" i="4"/>
  <c r="AD321" i="4"/>
  <c r="AD329" i="4"/>
  <c r="AB27" i="4"/>
  <c r="AB32" i="4"/>
  <c r="AB38" i="4"/>
  <c r="BH100" i="4"/>
  <c r="AQ80" i="4"/>
  <c r="BK80" i="4"/>
  <c r="CE80" i="4"/>
  <c r="D73" i="4"/>
  <c r="H73" i="4" s="1"/>
  <c r="BY80" i="4"/>
  <c r="AX100" i="4"/>
  <c r="BR100" i="4"/>
  <c r="CL100" i="4"/>
  <c r="AW172" i="4"/>
  <c r="BQ172" i="4"/>
  <c r="CK172" i="4"/>
  <c r="AR198" i="4"/>
  <c r="CF198" i="4"/>
  <c r="BJ236" i="4"/>
  <c r="AB269" i="4"/>
  <c r="AT80" i="4"/>
  <c r="BN80" i="4"/>
  <c r="CH80" i="4"/>
  <c r="AJ100" i="4"/>
  <c r="BD100" i="4"/>
  <c r="BX100" i="4"/>
  <c r="CA133" i="4"/>
  <c r="AC137" i="4"/>
  <c r="AB189" i="4"/>
  <c r="AD229" i="4"/>
  <c r="AB230" i="4"/>
  <c r="AE629" i="4"/>
  <c r="AE626" i="4"/>
  <c r="AE628" i="4" s="1"/>
  <c r="AV80" i="4"/>
  <c r="BP80" i="4"/>
  <c r="CJ80" i="4"/>
  <c r="AL100" i="4"/>
  <c r="BF100" i="4"/>
  <c r="AD101" i="4" s="1"/>
  <c r="AD84" i="4"/>
  <c r="BZ100" i="4"/>
  <c r="AE132" i="4"/>
  <c r="AM133" i="4"/>
  <c r="CC133" i="4"/>
  <c r="AB137" i="4"/>
  <c r="AL172" i="4"/>
  <c r="BZ172" i="4"/>
  <c r="AC170" i="4"/>
  <c r="BY236" i="4"/>
  <c r="AX336" i="4"/>
  <c r="AW80" i="4"/>
  <c r="BQ80" i="4"/>
  <c r="CK80" i="4"/>
  <c r="AB90" i="4"/>
  <c r="AB132" i="4"/>
  <c r="AP133" i="4"/>
  <c r="BJ133" i="4"/>
  <c r="AF132" i="4"/>
  <c r="AF131" i="4"/>
  <c r="AM172" i="4"/>
  <c r="CA172" i="4"/>
  <c r="AO236" i="4"/>
  <c r="AD220" i="4"/>
  <c r="CC236" i="4"/>
  <c r="AF239" i="4"/>
  <c r="AC72" i="4"/>
  <c r="AX80" i="4"/>
  <c r="BR80" i="4"/>
  <c r="CL80" i="4"/>
  <c r="AQ133" i="4"/>
  <c r="BK133" i="4"/>
  <c r="CE133" i="4"/>
  <c r="AO133" i="4"/>
  <c r="AN172" i="4"/>
  <c r="CB172" i="4"/>
  <c r="AE167" i="4"/>
  <c r="AD169" i="4"/>
  <c r="AE182" i="4"/>
  <c r="AP236" i="4"/>
  <c r="CD236" i="4"/>
  <c r="AF220" i="4"/>
  <c r="AF330" i="4"/>
  <c r="AY80" i="4"/>
  <c r="BS80" i="4"/>
  <c r="CM80" i="4"/>
  <c r="AB85" i="4"/>
  <c r="AE90" i="4"/>
  <c r="AD98" i="4"/>
  <c r="AR133" i="4"/>
  <c r="AO172" i="4"/>
  <c r="CC172" i="4"/>
  <c r="AD166" i="4"/>
  <c r="BM198" i="4"/>
  <c r="AQ236" i="4"/>
  <c r="CE236" i="4"/>
  <c r="AN236" i="4"/>
  <c r="AB329" i="4"/>
  <c r="AI336" i="4"/>
  <c r="AB337" i="4" s="1"/>
  <c r="AC385" i="4"/>
  <c r="AE72" i="4"/>
  <c r="AZ80" i="4"/>
  <c r="BT80" i="4"/>
  <c r="CN80" i="4"/>
  <c r="BM133" i="4"/>
  <c r="CG133" i="4"/>
  <c r="AS133" i="4"/>
  <c r="AD137" i="4"/>
  <c r="BJ172" i="4"/>
  <c r="AF275" i="4"/>
  <c r="AC387" i="4"/>
  <c r="AT400" i="4"/>
  <c r="AD387" i="4"/>
  <c r="AD90" i="4"/>
  <c r="AQ172" i="4"/>
  <c r="BK172" i="4"/>
  <c r="CE172" i="4"/>
  <c r="AE170" i="4"/>
  <c r="AE193" i="4"/>
  <c r="AF274" i="4"/>
  <c r="AF280" i="4"/>
  <c r="BO133" i="4"/>
  <c r="CI133" i="4"/>
  <c r="BF172" i="4"/>
  <c r="AC220" i="4"/>
  <c r="AE226" i="4"/>
  <c r="AB233" i="4"/>
  <c r="AC234" i="4"/>
  <c r="AU400" i="4"/>
  <c r="BO400" i="4"/>
  <c r="CI400" i="4"/>
  <c r="AB439" i="4"/>
  <c r="AD85" i="4"/>
  <c r="AE85" i="4"/>
  <c r="AF98" i="4"/>
  <c r="AC131" i="4"/>
  <c r="BP133" i="4"/>
  <c r="CJ133" i="4"/>
  <c r="AC132" i="4"/>
  <c r="AP172" i="4"/>
  <c r="CD172" i="4"/>
  <c r="AB184" i="4"/>
  <c r="AD225" i="4"/>
  <c r="BQ133" i="4"/>
  <c r="CK133" i="4"/>
  <c r="AT172" i="4"/>
  <c r="BN172" i="4"/>
  <c r="CH172" i="4"/>
  <c r="AB167" i="4"/>
  <c r="AB172" i="4" s="1"/>
  <c r="BL198" i="4"/>
  <c r="AC189" i="4"/>
  <c r="AF199" i="4"/>
  <c r="AC270" i="4"/>
  <c r="BC276" i="4"/>
  <c r="BW276" i="4"/>
  <c r="AE270" i="4"/>
  <c r="AC273" i="4"/>
  <c r="AU276" i="4"/>
  <c r="AC277" i="4" s="1"/>
  <c r="AC275" i="4"/>
  <c r="AT299" i="4"/>
  <c r="AC300" i="4" s="1"/>
  <c r="AC280" i="4"/>
  <c r="AC299" i="4" s="1"/>
  <c r="AY375" i="4"/>
  <c r="BS375" i="4"/>
  <c r="CM375" i="4"/>
  <c r="AH172" i="4"/>
  <c r="AB173" i="4" s="1"/>
  <c r="BB172" i="4"/>
  <c r="BV172" i="4"/>
  <c r="AM198" i="4"/>
  <c r="BG198" i="4"/>
  <c r="AD199" i="4" s="1"/>
  <c r="CA198" i="4"/>
  <c r="AE177" i="4"/>
  <c r="AF189" i="4"/>
  <c r="AV236" i="4"/>
  <c r="AD226" i="4"/>
  <c r="AC229" i="4"/>
  <c r="AV336" i="4"/>
  <c r="BP336" i="4"/>
  <c r="CJ336" i="4"/>
  <c r="AB379" i="4"/>
  <c r="AB400" i="4" s="1"/>
  <c r="AH400" i="4"/>
  <c r="AC468" i="4"/>
  <c r="AC517" i="4"/>
  <c r="AV100" i="4"/>
  <c r="AC101" i="4" s="1"/>
  <c r="AI172" i="4"/>
  <c r="BC172" i="4"/>
  <c r="BW172" i="4"/>
  <c r="AN198" i="4"/>
  <c r="BH198" i="4"/>
  <c r="CB198" i="4"/>
  <c r="AC197" i="4"/>
  <c r="AW236" i="4"/>
  <c r="CB236" i="4"/>
  <c r="AJ236" i="4"/>
  <c r="BD236" i="4"/>
  <c r="AC233" i="4"/>
  <c r="AD234" i="4"/>
  <c r="AX400" i="4"/>
  <c r="BR400" i="4"/>
  <c r="CL400" i="4"/>
  <c r="AE389" i="4"/>
  <c r="AC391" i="4"/>
  <c r="AF391" i="4"/>
  <c r="AB177" i="4"/>
  <c r="AB192" i="4"/>
  <c r="AY236" i="4"/>
  <c r="AC237" i="4" s="1"/>
  <c r="AE220" i="4"/>
  <c r="BS236" i="4"/>
  <c r="AD222" i="4"/>
  <c r="AE275" i="4"/>
  <c r="AD373" i="4"/>
  <c r="AB433" i="4"/>
  <c r="AD433" i="4"/>
  <c r="A529" i="4"/>
  <c r="A528" i="4"/>
  <c r="A530" i="4" s="1"/>
  <c r="A531" i="4" s="1"/>
  <c r="A532" i="4" s="1"/>
  <c r="A533" i="4" s="1"/>
  <c r="A534" i="4" s="1"/>
  <c r="A535" i="4" s="1"/>
  <c r="A536" i="4" s="1"/>
  <c r="AZ236" i="4"/>
  <c r="BT236" i="4"/>
  <c r="AE225" i="4"/>
  <c r="AF230" i="4"/>
  <c r="AC240" i="4"/>
  <c r="BO276" i="4"/>
  <c r="AB274" i="4"/>
  <c r="BS336" i="4"/>
  <c r="AZ436" i="4"/>
  <c r="BT436" i="4"/>
  <c r="CN436" i="4"/>
  <c r="BU236" i="4"/>
  <c r="AE229" i="4"/>
  <c r="AE233" i="4"/>
  <c r="AF234" i="4"/>
  <c r="BB299" i="4"/>
  <c r="AD292" i="4"/>
  <c r="AF421" i="4"/>
  <c r="AF503" i="4"/>
  <c r="AE131" i="4"/>
  <c r="AF176" i="4"/>
  <c r="AB200" i="4"/>
  <c r="AH236" i="4"/>
  <c r="AB237" i="4" s="1"/>
  <c r="AB220" i="4"/>
  <c r="BB236" i="4"/>
  <c r="BQ276" i="4"/>
  <c r="AD192" i="4"/>
  <c r="AB197" i="4"/>
  <c r="AI236" i="4"/>
  <c r="BC236" i="4"/>
  <c r="BW236" i="4"/>
  <c r="BR276" i="4"/>
  <c r="AE269" i="4"/>
  <c r="AD273" i="4"/>
  <c r="AF301" i="4"/>
  <c r="AC389" i="4"/>
  <c r="AF474" i="4"/>
  <c r="AE184" i="4"/>
  <c r="BX236" i="4"/>
  <c r="AB225" i="4"/>
  <c r="AC226" i="4"/>
  <c r="AB229" i="4"/>
  <c r="AC230" i="4"/>
  <c r="AB275" i="4"/>
  <c r="AC176" i="4"/>
  <c r="AK236" i="4"/>
  <c r="BE236" i="4"/>
  <c r="AZ276" i="4"/>
  <c r="CN276" i="4"/>
  <c r="BT276" i="4"/>
  <c r="AF273" i="4"/>
  <c r="AD300" i="4"/>
  <c r="AE301" i="4"/>
  <c r="AF292" i="4"/>
  <c r="AB320" i="4"/>
  <c r="AE321" i="4"/>
  <c r="BX336" i="4"/>
  <c r="AB403" i="4"/>
  <c r="AB395" i="4"/>
  <c r="AD618" i="4"/>
  <c r="AR172" i="4"/>
  <c r="BL172" i="4"/>
  <c r="CF172" i="4"/>
  <c r="AL236" i="4"/>
  <c r="BF236" i="4"/>
  <c r="BZ236" i="4"/>
  <c r="AB239" i="4"/>
  <c r="AD281" i="4"/>
  <c r="AS172" i="4"/>
  <c r="BM172" i="4"/>
  <c r="CG172" i="4"/>
  <c r="AF177" i="4"/>
  <c r="AF200" i="4"/>
  <c r="AF192" i="4"/>
  <c r="AE194" i="4"/>
  <c r="AD197" i="4"/>
  <c r="AM236" i="4"/>
  <c r="BG236" i="4"/>
  <c r="CA236" i="4"/>
  <c r="AC222" i="4"/>
  <c r="AE340" i="4"/>
  <c r="AX375" i="4"/>
  <c r="BR375" i="4"/>
  <c r="CL375" i="4"/>
  <c r="AC370" i="4"/>
  <c r="AF370" i="4"/>
  <c r="AC426" i="4"/>
  <c r="AB467" i="4"/>
  <c r="AB469" i="4" s="1"/>
  <c r="AN469" i="4"/>
  <c r="BP236" i="4"/>
  <c r="CJ236" i="4"/>
  <c r="AW336" i="4"/>
  <c r="BQ336" i="4"/>
  <c r="CK336" i="4"/>
  <c r="AC474" i="4"/>
  <c r="BQ236" i="4"/>
  <c r="CK236" i="4"/>
  <c r="AE320" i="4"/>
  <c r="CL336" i="4"/>
  <c r="AF329" i="4"/>
  <c r="BR336" i="4"/>
  <c r="BR236" i="4"/>
  <c r="CL236" i="4"/>
  <c r="AF240" i="4"/>
  <c r="AB271" i="4"/>
  <c r="AC290" i="4"/>
  <c r="AC301" i="4"/>
  <c r="CM336" i="4"/>
  <c r="AD560" i="4"/>
  <c r="AE560" i="4"/>
  <c r="AD561" i="4"/>
  <c r="CN236" i="4"/>
  <c r="AD271" i="4"/>
  <c r="CO336" i="4"/>
  <c r="AY436" i="4"/>
  <c r="BS436" i="4"/>
  <c r="AD518" i="4"/>
  <c r="AH198" i="4"/>
  <c r="AC329" i="4"/>
  <c r="AF341" i="4"/>
  <c r="AN375" i="4"/>
  <c r="CB375" i="4"/>
  <c r="AE379" i="4"/>
  <c r="AC380" i="4"/>
  <c r="BN400" i="4"/>
  <c r="AD389" i="4"/>
  <c r="AC403" i="4"/>
  <c r="AF468" i="4"/>
  <c r="AC618" i="4"/>
  <c r="AH276" i="4"/>
  <c r="BB276" i="4"/>
  <c r="BV276" i="4"/>
  <c r="AD275" i="4"/>
  <c r="AM299" i="4"/>
  <c r="AB300" i="4" s="1"/>
  <c r="BG299" i="4"/>
  <c r="CA299" i="4"/>
  <c r="BP400" i="4"/>
  <c r="AF397" i="4"/>
  <c r="BR469" i="4"/>
  <c r="AE468" i="4"/>
  <c r="AF271" i="4"/>
  <c r="AE290" i="4"/>
  <c r="AB369" i="4"/>
  <c r="AF374" i="4"/>
  <c r="AW436" i="4"/>
  <c r="BQ436" i="4"/>
  <c r="AC421" i="4"/>
  <c r="AF557" i="4"/>
  <c r="AB557" i="4"/>
  <c r="AJ276" i="4"/>
  <c r="BD276" i="4"/>
  <c r="BX276" i="4"/>
  <c r="AQ276" i="4"/>
  <c r="BK276" i="4"/>
  <c r="CE276" i="4"/>
  <c r="AF277" i="4" s="1"/>
  <c r="AD280" i="4"/>
  <c r="CN336" i="4"/>
  <c r="AE329" i="4"/>
  <c r="AR375" i="4"/>
  <c r="BL375" i="4"/>
  <c r="CF375" i="4"/>
  <c r="AF376" i="4" s="1"/>
  <c r="AB373" i="4"/>
  <c r="AE373" i="4"/>
  <c r="AX436" i="4"/>
  <c r="BR436" i="4"/>
  <c r="AE420" i="4"/>
  <c r="AD239" i="4"/>
  <c r="AK276" i="4"/>
  <c r="BE276" i="4"/>
  <c r="BY276" i="4"/>
  <c r="AB301" i="4"/>
  <c r="AB290" i="4"/>
  <c r="AD379" i="4"/>
  <c r="BF400" i="4"/>
  <c r="BU400" i="4"/>
  <c r="AL276" i="4"/>
  <c r="BF276" i="4"/>
  <c r="BZ276" i="4"/>
  <c r="AQ299" i="4"/>
  <c r="BK299" i="4"/>
  <c r="CE299" i="4"/>
  <c r="AF300" i="4" s="1"/>
  <c r="AT375" i="4"/>
  <c r="BN375" i="4"/>
  <c r="AD376" i="4" s="1"/>
  <c r="CH375" i="4"/>
  <c r="AE395" i="4"/>
  <c r="AC397" i="4"/>
  <c r="CL436" i="4"/>
  <c r="AF526" i="4"/>
  <c r="AF523" i="4"/>
  <c r="AB270" i="4"/>
  <c r="AC271" i="4"/>
  <c r="AO336" i="4"/>
  <c r="BI336" i="4"/>
  <c r="CC336" i="4"/>
  <c r="AU375" i="4"/>
  <c r="AB385" i="4"/>
  <c r="AE385" i="4"/>
  <c r="AF387" i="4"/>
  <c r="AF395" i="4"/>
  <c r="AC420" i="4"/>
  <c r="BA436" i="4"/>
  <c r="CM436" i="4"/>
  <c r="AD503" i="4"/>
  <c r="AD506" i="4"/>
  <c r="AD320" i="4"/>
  <c r="AZ375" i="4"/>
  <c r="BT375" i="4"/>
  <c r="CN375" i="4"/>
  <c r="AF369" i="4"/>
  <c r="AF373" i="4"/>
  <c r="AD467" i="4"/>
  <c r="AD469" i="4" s="1"/>
  <c r="AF554" i="4"/>
  <c r="AF556" i="4" s="1"/>
  <c r="AB617" i="4"/>
  <c r="AB622" i="4" s="1"/>
  <c r="AE368" i="4"/>
  <c r="BA375" i="4"/>
  <c r="BU375" i="4"/>
  <c r="CO375" i="4"/>
  <c r="AP400" i="4"/>
  <c r="BJ400" i="4"/>
  <c r="CD400" i="4"/>
  <c r="AC514" i="4"/>
  <c r="AC515" i="4"/>
  <c r="AB518" i="4"/>
  <c r="AC557" i="4"/>
  <c r="AF609" i="4"/>
  <c r="AF606" i="4"/>
  <c r="AF608" i="4" s="1"/>
  <c r="AD617" i="4"/>
  <c r="AB372" i="4"/>
  <c r="AD420" i="4"/>
  <c r="AD429" i="4"/>
  <c r="AB580" i="4"/>
  <c r="AC581" i="4"/>
  <c r="AC373" i="4"/>
  <c r="AF467" i="4"/>
  <c r="CD469" i="4"/>
  <c r="AF576" i="4"/>
  <c r="AF578" i="4"/>
  <c r="AB609" i="4"/>
  <c r="AB605" i="4"/>
  <c r="AB341" i="4"/>
  <c r="AO436" i="4"/>
  <c r="BI436" i="4"/>
  <c r="CC436" i="4"/>
  <c r="AB575" i="4"/>
  <c r="AF575" i="4"/>
  <c r="AD368" i="4"/>
  <c r="AD380" i="4"/>
  <c r="BJ436" i="4"/>
  <c r="AF420" i="4"/>
  <c r="AB474" i="4"/>
  <c r="AC575" i="4"/>
  <c r="AD372" i="4"/>
  <c r="AC379" i="4"/>
  <c r="AE403" i="4"/>
  <c r="AQ436" i="4"/>
  <c r="BK436" i="4"/>
  <c r="CE436" i="4"/>
  <c r="AF437" i="4" s="1"/>
  <c r="AR436" i="4"/>
  <c r="AB437" i="4" s="1"/>
  <c r="BL436" i="4"/>
  <c r="CF436" i="4"/>
  <c r="AD526" i="4"/>
  <c r="AD341" i="4"/>
  <c r="AS436" i="4"/>
  <c r="BM436" i="4"/>
  <c r="CG436" i="4"/>
  <c r="AC504" i="4"/>
  <c r="AF629" i="4"/>
  <c r="AF368" i="4"/>
  <c r="AF380" i="4"/>
  <c r="AB389" i="4"/>
  <c r="AT436" i="4"/>
  <c r="BN436" i="4"/>
  <c r="CH436" i="4"/>
  <c r="AF434" i="4"/>
  <c r="CD336" i="4"/>
  <c r="AF337" i="4" s="1"/>
  <c r="AQ400" i="4"/>
  <c r="BK400" i="4"/>
  <c r="CE400" i="4"/>
  <c r="AC395" i="4"/>
  <c r="AF403" i="4"/>
  <c r="BO436" i="4"/>
  <c r="AE433" i="4"/>
  <c r="AB473" i="4"/>
  <c r="AF433" i="4"/>
  <c r="AT469" i="4"/>
  <c r="AC467" i="4"/>
  <c r="BN469" i="4"/>
  <c r="AD470" i="4" s="1"/>
  <c r="CH469" i="4"/>
  <c r="AB629" i="4"/>
  <c r="AB626" i="4"/>
  <c r="AU469" i="4"/>
  <c r="BO469" i="4"/>
  <c r="CI469" i="4"/>
  <c r="AF473" i="4"/>
  <c r="AE519" i="4"/>
  <c r="AF518" i="4"/>
  <c r="AE529" i="4"/>
  <c r="AD555" i="4"/>
  <c r="AE575" i="4"/>
  <c r="AV469" i="4"/>
  <c r="BP469" i="4"/>
  <c r="CJ469" i="4"/>
  <c r="AE502" i="4"/>
  <c r="AB612" i="4"/>
  <c r="AB368" i="4"/>
  <c r="AC429" i="4"/>
  <c r="AW469" i="4"/>
  <c r="BQ469" i="4"/>
  <c r="CK469" i="4"/>
  <c r="AE506" i="4"/>
  <c r="AB523" i="4"/>
  <c r="AB525" i="4" s="1"/>
  <c r="AB529" i="4"/>
  <c r="AB554" i="4"/>
  <c r="AC368" i="4"/>
  <c r="AC433" i="4"/>
  <c r="AB555" i="4"/>
  <c r="AB576" i="4"/>
  <c r="AE576" i="4"/>
  <c r="AB627" i="4"/>
  <c r="AC518" i="4"/>
  <c r="AE524" i="4"/>
  <c r="AD554" i="4"/>
  <c r="AE561" i="4"/>
  <c r="AD627" i="4"/>
  <c r="AD629" i="4"/>
  <c r="AK436" i="4"/>
  <c r="BE436" i="4"/>
  <c r="BY436" i="4"/>
  <c r="AC425" i="4"/>
  <c r="AE425" i="4"/>
  <c r="AC440" i="4"/>
  <c r="AZ469" i="4"/>
  <c r="BT469" i="4"/>
  <c r="CN469" i="4"/>
  <c r="AF515" i="4"/>
  <c r="AB561" i="4"/>
  <c r="AD612" i="4"/>
  <c r="AB613" i="4"/>
  <c r="AE613" i="4"/>
  <c r="AL436" i="4"/>
  <c r="BF436" i="4"/>
  <c r="BZ436" i="4"/>
  <c r="AF426" i="4"/>
  <c r="BA469" i="4"/>
  <c r="BU469" i="4"/>
  <c r="CO469" i="4"/>
  <c r="AD523" i="4"/>
  <c r="AE523" i="4"/>
  <c r="AB560" i="4"/>
  <c r="AD576" i="4"/>
  <c r="AM436" i="4"/>
  <c r="BG436" i="4"/>
  <c r="CA436" i="4"/>
  <c r="AH469" i="4"/>
  <c r="BB469" i="4"/>
  <c r="BV469" i="4"/>
  <c r="AB519" i="4"/>
  <c r="AD557" i="4"/>
  <c r="AE580" i="4"/>
  <c r="AD606" i="4"/>
  <c r="AD608" i="4" s="1"/>
  <c r="AD609" i="4"/>
  <c r="AN436" i="4"/>
  <c r="BH436" i="4"/>
  <c r="CB436" i="4"/>
  <c r="AB425" i="4"/>
  <c r="AI469" i="4"/>
  <c r="BC469" i="4"/>
  <c r="BW469" i="4"/>
  <c r="AD524" i="4"/>
  <c r="AD529" i="4"/>
  <c r="AC609" i="4"/>
  <c r="AC606" i="4"/>
  <c r="AC608" i="4" s="1"/>
  <c r="AD613" i="4"/>
  <c r="AB632" i="4"/>
  <c r="AD502" i="4"/>
  <c r="AC529" i="4"/>
  <c r="AC617" i="4"/>
  <c r="AE474" i="4"/>
  <c r="AF519" i="4"/>
  <c r="AF524" i="4"/>
  <c r="AD528" i="4"/>
  <c r="AD620" i="4"/>
  <c r="AE467" i="4"/>
  <c r="AB515" i="4"/>
  <c r="AC580" i="4"/>
  <c r="AE518" i="4"/>
  <c r="AC554" i="4"/>
  <c r="AD578" i="4"/>
  <c r="AD575" i="4"/>
  <c r="AF613" i="4"/>
  <c r="AD632" i="4"/>
  <c r="AF502" i="4"/>
  <c r="AC561" i="4"/>
  <c r="AC571" i="4" s="1"/>
  <c r="AE617" i="4"/>
  <c r="AE622" i="4" s="1"/>
  <c r="AC519" i="4"/>
  <c r="AC524" i="4"/>
  <c r="AC525" i="4" s="1"/>
  <c r="AF528" i="4"/>
  <c r="AE606" i="4"/>
  <c r="AE608" i="4" s="1"/>
  <c r="AF618" i="4"/>
  <c r="AF622" i="4" s="1"/>
  <c r="AC473" i="4"/>
  <c r="AE503" i="4"/>
  <c r="AB526" i="4"/>
  <c r="AE526" i="4"/>
  <c r="AC555" i="4"/>
  <c r="AC620" i="4"/>
  <c r="AF626" i="4"/>
  <c r="AF628" i="4" s="1"/>
  <c r="AB503" i="4"/>
  <c r="AB505" i="4" s="1"/>
  <c r="AF581" i="4"/>
  <c r="AB606" i="4"/>
  <c r="AE609" i="4"/>
  <c r="AC613" i="4"/>
  <c r="AC502" i="4"/>
  <c r="AC526" i="4"/>
  <c r="AF632" i="4"/>
  <c r="AE557" i="4"/>
  <c r="I234" i="8" l="1"/>
  <c r="AE400" i="4"/>
  <c r="J33" i="4"/>
  <c r="D74" i="22"/>
  <c r="D74" i="40"/>
  <c r="D83" i="22"/>
  <c r="R83" i="22" s="1"/>
  <c r="D83" i="40"/>
  <c r="D80" i="22"/>
  <c r="Q80" i="22" s="1"/>
  <c r="D80" i="40"/>
  <c r="D92" i="22"/>
  <c r="U92" i="22" s="1"/>
  <c r="D92" i="40"/>
  <c r="C34" i="22"/>
  <c r="V34" i="22" s="1"/>
  <c r="C34" i="40"/>
  <c r="S57" i="40"/>
  <c r="S105" i="40" s="1"/>
  <c r="R57" i="40"/>
  <c r="R105" i="40" s="1"/>
  <c r="T57" i="40"/>
  <c r="T105" i="40" s="1"/>
  <c r="U57" i="40"/>
  <c r="U105" i="40" s="1"/>
  <c r="Q57" i="40"/>
  <c r="Q105" i="40" s="1"/>
  <c r="P57" i="40"/>
  <c r="V57" i="40"/>
  <c r="V105" i="40" s="1"/>
  <c r="C26" i="22"/>
  <c r="V26" i="22" s="1"/>
  <c r="C26" i="40"/>
  <c r="R54" i="40"/>
  <c r="U54" i="40"/>
  <c r="Q54" i="40"/>
  <c r="D89" i="22"/>
  <c r="D89" i="40"/>
  <c r="D49" i="22"/>
  <c r="U49" i="22" s="1"/>
  <c r="D49" i="40"/>
  <c r="D93" i="22"/>
  <c r="U93" i="22" s="1"/>
  <c r="D93" i="40"/>
  <c r="C12" i="22"/>
  <c r="Q12" i="22" s="1"/>
  <c r="C12" i="40"/>
  <c r="C30" i="22"/>
  <c r="V30" i="22" s="1"/>
  <c r="C30" i="40"/>
  <c r="D71" i="22"/>
  <c r="U71" i="22" s="1"/>
  <c r="D71" i="40"/>
  <c r="C59" i="22"/>
  <c r="T59" i="22" s="1"/>
  <c r="C59" i="40"/>
  <c r="D36" i="22"/>
  <c r="U36" i="22" s="1"/>
  <c r="D36" i="40"/>
  <c r="C63" i="22"/>
  <c r="C63" i="40"/>
  <c r="C16" i="22"/>
  <c r="U16" i="22" s="1"/>
  <c r="C16" i="40"/>
  <c r="C62" i="22"/>
  <c r="V62" i="22" s="1"/>
  <c r="C62" i="40"/>
  <c r="C39" i="22"/>
  <c r="V39" i="22" s="1"/>
  <c r="C39" i="40"/>
  <c r="U51" i="40"/>
  <c r="R51" i="40"/>
  <c r="Q51" i="40"/>
  <c r="C65" i="22"/>
  <c r="T65" i="22" s="1"/>
  <c r="C65" i="40"/>
  <c r="D47" i="40"/>
  <c r="D79" i="22"/>
  <c r="U79" i="22" s="1"/>
  <c r="D79" i="40"/>
  <c r="D70" i="22"/>
  <c r="R70" i="22" s="1"/>
  <c r="D70" i="40"/>
  <c r="J28" i="4"/>
  <c r="C6" i="40"/>
  <c r="P7" i="40"/>
  <c r="S7" i="40"/>
  <c r="R7" i="40"/>
  <c r="U7" i="40"/>
  <c r="T7" i="40"/>
  <c r="V7" i="40"/>
  <c r="Q7" i="40"/>
  <c r="C40" i="22"/>
  <c r="V40" i="22" s="1"/>
  <c r="C40" i="40"/>
  <c r="U26" i="40"/>
  <c r="R26" i="40"/>
  <c r="Q26" i="40"/>
  <c r="D45" i="22"/>
  <c r="U45" i="22" s="1"/>
  <c r="D45" i="40"/>
  <c r="D88" i="22"/>
  <c r="U88" i="22" s="1"/>
  <c r="D88" i="40"/>
  <c r="D40" i="22"/>
  <c r="U40" i="22" s="1"/>
  <c r="D40" i="40"/>
  <c r="D75" i="22"/>
  <c r="R75" i="22" s="1"/>
  <c r="D75" i="40"/>
  <c r="D32" i="22"/>
  <c r="U32" i="22" s="1"/>
  <c r="D32" i="40"/>
  <c r="D84" i="22"/>
  <c r="U84" i="22" s="1"/>
  <c r="D84" i="40"/>
  <c r="D30" i="22"/>
  <c r="U30" i="22" s="1"/>
  <c r="D30" i="40"/>
  <c r="Q39" i="40"/>
  <c r="U39" i="40"/>
  <c r="R39" i="40"/>
  <c r="U42" i="40"/>
  <c r="R42" i="40"/>
  <c r="Q42" i="40"/>
  <c r="D34" i="22"/>
  <c r="U34" i="22" s="1"/>
  <c r="D34" i="40"/>
  <c r="C60" i="22"/>
  <c r="T60" i="22" s="1"/>
  <c r="C60" i="40"/>
  <c r="H234" i="8"/>
  <c r="R234" i="8" s="1"/>
  <c r="T234" i="8"/>
  <c r="H41" i="11"/>
  <c r="H53" i="11" s="1"/>
  <c r="I71" i="8" s="1"/>
  <c r="H30" i="11"/>
  <c r="Q234" i="8"/>
  <c r="A26" i="8"/>
  <c r="A27" i="8" s="1"/>
  <c r="A28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C41" i="40"/>
  <c r="C17" i="40"/>
  <c r="C20" i="40"/>
  <c r="H390" i="4"/>
  <c r="A395" i="4"/>
  <c r="A396" i="4" s="1"/>
  <c r="A397" i="4" s="1"/>
  <c r="A398" i="4" s="1"/>
  <c r="A399" i="4" s="1"/>
  <c r="A400" i="4" s="1"/>
  <c r="A401" i="4" s="1"/>
  <c r="A402" i="4" s="1"/>
  <c r="H39" i="4"/>
  <c r="H327" i="4"/>
  <c r="N327" i="4"/>
  <c r="H94" i="4"/>
  <c r="C18" i="40"/>
  <c r="H325" i="4"/>
  <c r="N325" i="4"/>
  <c r="H91" i="4"/>
  <c r="C15" i="40"/>
  <c r="H430" i="4"/>
  <c r="C51" i="40"/>
  <c r="H95" i="4"/>
  <c r="C19" i="40"/>
  <c r="N387" i="4"/>
  <c r="H38" i="4"/>
  <c r="H37" i="4"/>
  <c r="H98" i="4"/>
  <c r="C21" i="40"/>
  <c r="H234" i="4"/>
  <c r="H326" i="4"/>
  <c r="N326" i="4"/>
  <c r="H235" i="4"/>
  <c r="C13" i="40"/>
  <c r="H227" i="4"/>
  <c r="C29" i="40"/>
  <c r="H431" i="4"/>
  <c r="C52" i="40"/>
  <c r="H226" i="4"/>
  <c r="C28" i="40"/>
  <c r="H435" i="4"/>
  <c r="C55" i="40"/>
  <c r="H90" i="4"/>
  <c r="C14" i="40"/>
  <c r="H335" i="4"/>
  <c r="N335" i="4"/>
  <c r="N385" i="4"/>
  <c r="H334" i="4"/>
  <c r="N334" i="4"/>
  <c r="H231" i="4"/>
  <c r="N333" i="4"/>
  <c r="C27" i="40"/>
  <c r="H230" i="4"/>
  <c r="H331" i="4"/>
  <c r="C43" i="40"/>
  <c r="H330" i="4"/>
  <c r="C42" i="40"/>
  <c r="H434" i="4"/>
  <c r="C54" i="40"/>
  <c r="BB42" i="4"/>
  <c r="A186" i="4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185" i="4"/>
  <c r="H99" i="4"/>
  <c r="C22" i="40"/>
  <c r="I20" i="11"/>
  <c r="I24" i="11" s="1"/>
  <c r="I30" i="11" s="1"/>
  <c r="D54" i="22"/>
  <c r="U54" i="22" s="1"/>
  <c r="N396" i="4"/>
  <c r="H427" i="4"/>
  <c r="H89" i="4"/>
  <c r="H333" i="4"/>
  <c r="D299" i="4"/>
  <c r="H280" i="4"/>
  <c r="D42" i="22"/>
  <c r="U42" i="22" s="1"/>
  <c r="N291" i="4"/>
  <c r="D26" i="22"/>
  <c r="U26" i="22" s="1"/>
  <c r="J198" i="4"/>
  <c r="D400" i="4"/>
  <c r="H379" i="4"/>
  <c r="D47" i="22"/>
  <c r="U47" i="22" s="1"/>
  <c r="N386" i="4"/>
  <c r="H425" i="4"/>
  <c r="N395" i="4"/>
  <c r="H225" i="4"/>
  <c r="H97" i="4"/>
  <c r="D51" i="22"/>
  <c r="U51" i="22" s="1"/>
  <c r="N390" i="4"/>
  <c r="H429" i="4"/>
  <c r="H93" i="4"/>
  <c r="P19" i="8"/>
  <c r="Q19" i="8" s="1"/>
  <c r="D198" i="4"/>
  <c r="H176" i="4"/>
  <c r="H329" i="4"/>
  <c r="H433" i="4"/>
  <c r="A88" i="4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H426" i="4"/>
  <c r="H229" i="4"/>
  <c r="Q23" i="14"/>
  <c r="I30" i="15" s="1"/>
  <c r="H37" i="2"/>
  <c r="L37" i="2" s="1"/>
  <c r="U121" i="8"/>
  <c r="N72" i="4"/>
  <c r="H33" i="8"/>
  <c r="AC33" i="8" s="1"/>
  <c r="V16" i="22"/>
  <c r="U83" i="22"/>
  <c r="V63" i="22"/>
  <c r="U63" i="22"/>
  <c r="U89" i="22"/>
  <c r="R89" i="22"/>
  <c r="Q89" i="22"/>
  <c r="U74" i="22"/>
  <c r="R74" i="22"/>
  <c r="Q74" i="22"/>
  <c r="C7" i="22"/>
  <c r="P7" i="22" s="1"/>
  <c r="AC505" i="4"/>
  <c r="P63" i="22"/>
  <c r="S63" i="22"/>
  <c r="T63" i="22"/>
  <c r="Q49" i="22"/>
  <c r="R49" i="22"/>
  <c r="AC577" i="4"/>
  <c r="E30" i="5"/>
  <c r="C57" i="22"/>
  <c r="Q28" i="22"/>
  <c r="R28" i="22"/>
  <c r="D28" i="4"/>
  <c r="P12" i="22"/>
  <c r="P16" i="22"/>
  <c r="S16" i="22"/>
  <c r="Q16" i="22"/>
  <c r="D33" i="4"/>
  <c r="AB436" i="4"/>
  <c r="C6" i="22"/>
  <c r="T36" i="8"/>
  <c r="I40" i="8"/>
  <c r="T40" i="8" s="1"/>
  <c r="T35" i="8"/>
  <c r="I39" i="8"/>
  <c r="T39" i="8" s="1"/>
  <c r="AB556" i="4"/>
  <c r="AC469" i="4"/>
  <c r="AD505" i="4"/>
  <c r="AE469" i="4"/>
  <c r="AF525" i="4"/>
  <c r="AC556" i="4"/>
  <c r="AC276" i="4"/>
  <c r="AE571" i="4"/>
  <c r="AF40" i="4"/>
  <c r="AE577" i="4"/>
  <c r="AD172" i="4"/>
  <c r="AB336" i="4"/>
  <c r="AF375" i="4"/>
  <c r="AE276" i="4"/>
  <c r="AU42" i="4"/>
  <c r="AB628" i="4"/>
  <c r="AE436" i="4"/>
  <c r="AB198" i="4"/>
  <c r="AF505" i="4"/>
  <c r="D21" i="4"/>
  <c r="AE80" i="4"/>
  <c r="AB608" i="4"/>
  <c r="AF276" i="4"/>
  <c r="AH42" i="4"/>
  <c r="AB43" i="4" s="1"/>
  <c r="AC375" i="4"/>
  <c r="AB28" i="4"/>
  <c r="U87" i="8"/>
  <c r="S149" i="8"/>
  <c r="S121" i="8"/>
  <c r="S203" i="8"/>
  <c r="J30" i="11"/>
  <c r="K28" i="11"/>
  <c r="J43" i="11"/>
  <c r="K43" i="11" s="1"/>
  <c r="K55" i="11" s="1"/>
  <c r="I143" i="8" s="1"/>
  <c r="T143" i="8" s="1"/>
  <c r="S44" i="8"/>
  <c r="U44" i="8"/>
  <c r="U148" i="8"/>
  <c r="U203" i="8"/>
  <c r="S87" i="8"/>
  <c r="U86" i="8"/>
  <c r="S86" i="8"/>
  <c r="N99" i="8"/>
  <c r="O99" i="8" s="1"/>
  <c r="U51" i="8"/>
  <c r="S51" i="8"/>
  <c r="U112" i="8"/>
  <c r="S112" i="8"/>
  <c r="U99" i="8"/>
  <c r="S99" i="8"/>
  <c r="U155" i="8"/>
  <c r="S155" i="8"/>
  <c r="U122" i="8"/>
  <c r="S122" i="8"/>
  <c r="U156" i="8"/>
  <c r="S156" i="8"/>
  <c r="U162" i="8"/>
  <c r="S162" i="8"/>
  <c r="U52" i="8"/>
  <c r="S52" i="8"/>
  <c r="U130" i="8"/>
  <c r="S130" i="8"/>
  <c r="N237" i="8"/>
  <c r="O237" i="8" s="1"/>
  <c r="Q237" i="8"/>
  <c r="S237" i="8" s="1"/>
  <c r="Q102" i="8"/>
  <c r="Q171" i="8"/>
  <c r="N134" i="8"/>
  <c r="O134" i="8" s="1"/>
  <c r="R134" i="8"/>
  <c r="R167" i="8"/>
  <c r="N167" i="8"/>
  <c r="O167" i="8" s="1"/>
  <c r="R233" i="8"/>
  <c r="N233" i="8"/>
  <c r="O233" i="8" s="1"/>
  <c r="N135" i="8"/>
  <c r="O135" i="8" s="1"/>
  <c r="R135" i="8"/>
  <c r="S45" i="8"/>
  <c r="U45" i="8"/>
  <c r="Q183" i="8"/>
  <c r="N98" i="8"/>
  <c r="O98" i="8" s="1"/>
  <c r="Q138" i="8"/>
  <c r="R168" i="8"/>
  <c r="N168" i="8"/>
  <c r="O168" i="8" s="1"/>
  <c r="U129" i="8"/>
  <c r="S129" i="8"/>
  <c r="H55" i="11"/>
  <c r="I73" i="8" s="1"/>
  <c r="H54" i="11"/>
  <c r="I72" i="8" s="1"/>
  <c r="I44" i="15"/>
  <c r="I41" i="15"/>
  <c r="K27" i="11"/>
  <c r="J54" i="11"/>
  <c r="I106" i="8" s="1"/>
  <c r="T106" i="8" s="1"/>
  <c r="K42" i="11"/>
  <c r="K54" i="11" s="1"/>
  <c r="I142" i="8" s="1"/>
  <c r="T142" i="8" s="1"/>
  <c r="AC43" i="4"/>
  <c r="AB81" i="4"/>
  <c r="AB134" i="4"/>
  <c r="D515" i="4"/>
  <c r="H515" i="4" s="1"/>
  <c r="J608" i="4"/>
  <c r="AD556" i="4"/>
  <c r="AC436" i="4"/>
  <c r="D577" i="4"/>
  <c r="AD571" i="4"/>
  <c r="AF173" i="4"/>
  <c r="AE173" i="4"/>
  <c r="AE578" i="4"/>
  <c r="AC578" i="4"/>
  <c r="AF506" i="4"/>
  <c r="AC100" i="4"/>
  <c r="D436" i="4"/>
  <c r="J420" i="4"/>
  <c r="D567" i="4"/>
  <c r="H567" i="4" s="1"/>
  <c r="AC133" i="4"/>
  <c r="AE81" i="4"/>
  <c r="AF336" i="4"/>
  <c r="AC40" i="4"/>
  <c r="AC42" i="4" s="1"/>
  <c r="AC236" i="4"/>
  <c r="D630" i="4"/>
  <c r="H630" i="4" s="1"/>
  <c r="AD437" i="4"/>
  <c r="J195" i="4"/>
  <c r="N195" i="4" s="1"/>
  <c r="AD403" i="4"/>
  <c r="D293" i="4"/>
  <c r="H293" i="4" s="1"/>
  <c r="AV133" i="4"/>
  <c r="AC134" i="4" s="1"/>
  <c r="D100" i="4"/>
  <c r="AD40" i="4"/>
  <c r="AF73" i="4"/>
  <c r="AF80" i="4" s="1"/>
  <c r="BI80" i="4"/>
  <c r="AD81" i="4" s="1"/>
  <c r="D298" i="4"/>
  <c r="H298" i="4" s="1"/>
  <c r="J400" i="4"/>
  <c r="AD134" i="4"/>
  <c r="AB33" i="4"/>
  <c r="AC506" i="4"/>
  <c r="AC437" i="4"/>
  <c r="J525" i="4"/>
  <c r="E27" i="5" s="1"/>
  <c r="AE376" i="4"/>
  <c r="AF469" i="4"/>
  <c r="AE237" i="4"/>
  <c r="AB375" i="4"/>
  <c r="AF436" i="4"/>
  <c r="AE375" i="4"/>
  <c r="AD277" i="4"/>
  <c r="AE470" i="4"/>
  <c r="AE337" i="4"/>
  <c r="AE277" i="4"/>
  <c r="CD80" i="4"/>
  <c r="AF81" i="4" s="1"/>
  <c r="J137" i="4"/>
  <c r="J630" i="4"/>
  <c r="N630" i="4" s="1"/>
  <c r="AF33" i="4"/>
  <c r="AB236" i="4"/>
  <c r="J132" i="4"/>
  <c r="D80" i="4"/>
  <c r="J190" i="4"/>
  <c r="N190" i="4" s="1"/>
  <c r="D133" i="4"/>
  <c r="J131" i="4"/>
  <c r="AD628" i="4"/>
  <c r="AE437" i="4"/>
  <c r="D618" i="4"/>
  <c r="H618" i="4" s="1"/>
  <c r="AD237" i="4"/>
  <c r="AC198" i="4"/>
  <c r="AF236" i="4"/>
  <c r="D40" i="4"/>
  <c r="C9" i="40" s="1"/>
  <c r="D375" i="4"/>
  <c r="J505" i="4"/>
  <c r="AD132" i="4"/>
  <c r="AD133" i="4" s="1"/>
  <c r="J80" i="4"/>
  <c r="AE100" i="4"/>
  <c r="AB578" i="4"/>
  <c r="J298" i="4"/>
  <c r="N298" i="4" s="1"/>
  <c r="AE172" i="4"/>
  <c r="AB276" i="4"/>
  <c r="AB199" i="4"/>
  <c r="AF237" i="4"/>
  <c r="AD236" i="4"/>
  <c r="AE33" i="4"/>
  <c r="D172" i="4"/>
  <c r="J469" i="4"/>
  <c r="D608" i="4"/>
  <c r="J527" i="4"/>
  <c r="N527" i="4" s="1"/>
  <c r="AE300" i="4"/>
  <c r="AF172" i="4"/>
  <c r="AD28" i="4"/>
  <c r="AB101" i="4"/>
  <c r="J422" i="4"/>
  <c r="J577" i="4"/>
  <c r="E28" i="5" s="1"/>
  <c r="AD336" i="4"/>
  <c r="AF400" i="4"/>
  <c r="D628" i="4"/>
  <c r="J299" i="4"/>
  <c r="AB470" i="4"/>
  <c r="AF470" i="4"/>
  <c r="D621" i="4"/>
  <c r="H621" i="4" s="1"/>
  <c r="D632" i="4" s="1"/>
  <c r="AD299" i="4"/>
  <c r="AE336" i="4"/>
  <c r="AC33" i="4"/>
  <c r="J293" i="4"/>
  <c r="N293" i="4" s="1"/>
  <c r="D190" i="4"/>
  <c r="H190" i="4" s="1"/>
  <c r="J276" i="4"/>
  <c r="D336" i="4"/>
  <c r="D527" i="4"/>
  <c r="H527" i="4" s="1"/>
  <c r="J556" i="4"/>
  <c r="AC336" i="4"/>
  <c r="AD33" i="4"/>
  <c r="AB100" i="4"/>
  <c r="AE43" i="4"/>
  <c r="AF100" i="4"/>
  <c r="AC470" i="4"/>
  <c r="AC400" i="4"/>
  <c r="AC81" i="4"/>
  <c r="AF299" i="4"/>
  <c r="AB133" i="4"/>
  <c r="AE505" i="4"/>
  <c r="AD436" i="4"/>
  <c r="AE101" i="4"/>
  <c r="J579" i="4"/>
  <c r="N579" i="4" s="1"/>
  <c r="AC200" i="4"/>
  <c r="AC337" i="4"/>
  <c r="AF28" i="4"/>
  <c r="AE40" i="4"/>
  <c r="AB21" i="4"/>
  <c r="D236" i="4"/>
  <c r="AC73" i="4"/>
  <c r="AC80" i="4" s="1"/>
  <c r="AF198" i="4"/>
  <c r="AE133" i="4"/>
  <c r="D579" i="4"/>
  <c r="H579" i="4" s="1"/>
  <c r="AB571" i="4"/>
  <c r="AD200" i="4"/>
  <c r="J375" i="4"/>
  <c r="J421" i="4"/>
  <c r="C49" i="40" s="1"/>
  <c r="AB277" i="4"/>
  <c r="AD173" i="4"/>
  <c r="AD337" i="4"/>
  <c r="J172" i="4"/>
  <c r="D469" i="4"/>
  <c r="D556" i="4"/>
  <c r="AC376" i="4"/>
  <c r="AE198" i="4"/>
  <c r="AD375" i="4"/>
  <c r="D518" i="4"/>
  <c r="D570" i="4"/>
  <c r="H570" i="4" s="1"/>
  <c r="D581" i="4" s="1"/>
  <c r="H581" i="4" s="1"/>
  <c r="AE525" i="4"/>
  <c r="AF577" i="4"/>
  <c r="AD577" i="4"/>
  <c r="AC622" i="4"/>
  <c r="AD525" i="4"/>
  <c r="AB506" i="4"/>
  <c r="AD622" i="4"/>
  <c r="AD400" i="4"/>
  <c r="CD133" i="4"/>
  <c r="AF134" i="4" s="1"/>
  <c r="D505" i="4"/>
  <c r="AC172" i="4"/>
  <c r="BV42" i="4"/>
  <c r="AD198" i="4"/>
  <c r="AB40" i="4"/>
  <c r="AD100" i="4"/>
  <c r="AB73" i="4"/>
  <c r="AB80" i="4" s="1"/>
  <c r="AD276" i="4"/>
  <c r="AB577" i="4"/>
  <c r="AE236" i="4"/>
  <c r="AC173" i="4"/>
  <c r="AF133" i="4"/>
  <c r="D195" i="4"/>
  <c r="H195" i="4" s="1"/>
  <c r="J628" i="4"/>
  <c r="E29" i="5" s="1"/>
  <c r="D276" i="4"/>
  <c r="D525" i="4"/>
  <c r="AD73" i="4"/>
  <c r="AD80" i="4" s="1"/>
  <c r="AE28" i="4"/>
  <c r="H529" i="4"/>
  <c r="Q83" i="22" l="1"/>
  <c r="N234" i="8"/>
  <c r="O234" i="8" s="1"/>
  <c r="L662" i="43"/>
  <c r="L601" i="43"/>
  <c r="L720" i="43"/>
  <c r="L602" i="43"/>
  <c r="L663" i="43"/>
  <c r="L721" i="43"/>
  <c r="T34" i="22"/>
  <c r="R80" i="22"/>
  <c r="U80" i="22"/>
  <c r="T12" i="22"/>
  <c r="U70" i="22"/>
  <c r="W70" i="22" s="1"/>
  <c r="R16" i="22"/>
  <c r="W16" i="22" s="1"/>
  <c r="T26" i="22"/>
  <c r="V12" i="22"/>
  <c r="Q40" i="22"/>
  <c r="T16" i="22"/>
  <c r="U12" i="22"/>
  <c r="S12" i="22"/>
  <c r="P34" i="22"/>
  <c r="S34" i="22"/>
  <c r="Q70" i="22"/>
  <c r="Q75" i="22"/>
  <c r="U75" i="22"/>
  <c r="R40" i="22"/>
  <c r="U62" i="22"/>
  <c r="S62" i="22"/>
  <c r="T62" i="22"/>
  <c r="P62" i="22"/>
  <c r="V60" i="22"/>
  <c r="U59" i="22"/>
  <c r="V65" i="22"/>
  <c r="Q88" i="22"/>
  <c r="R88" i="22"/>
  <c r="S60" i="22"/>
  <c r="P60" i="22"/>
  <c r="U60" i="22"/>
  <c r="R12" i="22"/>
  <c r="D631" i="4"/>
  <c r="H631" i="4" s="1"/>
  <c r="Q92" i="22"/>
  <c r="Q32" i="22"/>
  <c r="R32" i="22"/>
  <c r="T30" i="22"/>
  <c r="R34" i="22"/>
  <c r="S39" i="22"/>
  <c r="T39" i="22"/>
  <c r="S65" i="22"/>
  <c r="R65" i="22"/>
  <c r="Q34" i="22"/>
  <c r="R84" i="22"/>
  <c r="Q84" i="22"/>
  <c r="P65" i="22"/>
  <c r="W74" i="22"/>
  <c r="Q71" i="22"/>
  <c r="R71" i="22"/>
  <c r="P39" i="22"/>
  <c r="U65" i="22"/>
  <c r="U9" i="40"/>
  <c r="S9" i="40"/>
  <c r="V9" i="40"/>
  <c r="P9" i="40"/>
  <c r="T9" i="40"/>
  <c r="R9" i="40"/>
  <c r="Q9" i="40"/>
  <c r="U45" i="40"/>
  <c r="R45" i="40"/>
  <c r="Q45" i="40"/>
  <c r="S26" i="22"/>
  <c r="P22" i="40"/>
  <c r="V22" i="40"/>
  <c r="Q22" i="40"/>
  <c r="R22" i="40"/>
  <c r="S22" i="40"/>
  <c r="U22" i="40"/>
  <c r="T22" i="40"/>
  <c r="C36" i="22"/>
  <c r="V36" i="22" s="1"/>
  <c r="C36" i="40"/>
  <c r="R34" i="40"/>
  <c r="U34" i="40"/>
  <c r="Q34" i="40"/>
  <c r="U88" i="40"/>
  <c r="Q88" i="40"/>
  <c r="R88" i="40"/>
  <c r="U70" i="40"/>
  <c r="R70" i="40"/>
  <c r="Q70" i="40"/>
  <c r="P26" i="22"/>
  <c r="W83" i="22"/>
  <c r="C46" i="22"/>
  <c r="V46" i="22" s="1"/>
  <c r="C46" i="40"/>
  <c r="R36" i="40"/>
  <c r="U36" i="40"/>
  <c r="Q36" i="40"/>
  <c r="P26" i="40"/>
  <c r="T26" i="40"/>
  <c r="S26" i="40"/>
  <c r="V26" i="40"/>
  <c r="P54" i="40"/>
  <c r="V54" i="40"/>
  <c r="T54" i="40"/>
  <c r="S54" i="40"/>
  <c r="P14" i="40"/>
  <c r="T14" i="40"/>
  <c r="Q14" i="40"/>
  <c r="U14" i="40"/>
  <c r="R14" i="40"/>
  <c r="V14" i="40"/>
  <c r="S14" i="40"/>
  <c r="P17" i="40"/>
  <c r="V17" i="40"/>
  <c r="U17" i="40"/>
  <c r="T17" i="40"/>
  <c r="R17" i="40"/>
  <c r="S17" i="40"/>
  <c r="Q17" i="40"/>
  <c r="U71" i="40"/>
  <c r="R71" i="40"/>
  <c r="Q71" i="40"/>
  <c r="S21" i="40"/>
  <c r="V21" i="40"/>
  <c r="P21" i="40"/>
  <c r="U21" i="40"/>
  <c r="Q21" i="40"/>
  <c r="T21" i="40"/>
  <c r="R21" i="40"/>
  <c r="T41" i="40"/>
  <c r="S41" i="40"/>
  <c r="V41" i="40"/>
  <c r="P41" i="40"/>
  <c r="Q47" i="40"/>
  <c r="U47" i="40"/>
  <c r="R47" i="40"/>
  <c r="U79" i="40"/>
  <c r="R79" i="40"/>
  <c r="Q79" i="40"/>
  <c r="R36" i="22"/>
  <c r="V49" i="40"/>
  <c r="S49" i="40"/>
  <c r="T49" i="40"/>
  <c r="P49" i="40"/>
  <c r="P59" i="22"/>
  <c r="W89" i="22"/>
  <c r="C35" i="22"/>
  <c r="V35" i="22" s="1"/>
  <c r="C35" i="40"/>
  <c r="V55" i="40"/>
  <c r="T55" i="40"/>
  <c r="S55" i="40"/>
  <c r="P55" i="40"/>
  <c r="C53" i="22"/>
  <c r="V53" i="22" s="1"/>
  <c r="C53" i="40"/>
  <c r="D95" i="40"/>
  <c r="R65" i="40"/>
  <c r="U65" i="40"/>
  <c r="T65" i="40"/>
  <c r="S65" i="40"/>
  <c r="V65" i="40"/>
  <c r="P65" i="40"/>
  <c r="V30" i="40"/>
  <c r="T30" i="40"/>
  <c r="S30" i="40"/>
  <c r="P30" i="40"/>
  <c r="Q20" i="40"/>
  <c r="S20" i="40"/>
  <c r="V20" i="40"/>
  <c r="P20" i="40"/>
  <c r="R20" i="40"/>
  <c r="U20" i="40"/>
  <c r="T20" i="40"/>
  <c r="C45" i="22"/>
  <c r="V45" i="22" s="1"/>
  <c r="C45" i="40"/>
  <c r="S59" i="22"/>
  <c r="V59" i="22"/>
  <c r="P42" i="40"/>
  <c r="S42" i="40"/>
  <c r="T42" i="40"/>
  <c r="V42" i="40"/>
  <c r="U19" i="40"/>
  <c r="T19" i="40"/>
  <c r="P19" i="40"/>
  <c r="V19" i="40"/>
  <c r="R19" i="40"/>
  <c r="S19" i="40"/>
  <c r="Q19" i="40"/>
  <c r="C50" i="22"/>
  <c r="V50" i="22" s="1"/>
  <c r="C50" i="40"/>
  <c r="U30" i="40"/>
  <c r="R30" i="40"/>
  <c r="Q30" i="40"/>
  <c r="T40" i="40"/>
  <c r="S40" i="40"/>
  <c r="V40" i="40"/>
  <c r="P40" i="40"/>
  <c r="C31" i="22"/>
  <c r="V31" i="22" s="1"/>
  <c r="C31" i="40"/>
  <c r="R79" i="22"/>
  <c r="P40" i="22"/>
  <c r="P51" i="40"/>
  <c r="T51" i="40"/>
  <c r="S51" i="40"/>
  <c r="V51" i="40"/>
  <c r="S12" i="40"/>
  <c r="P12" i="40"/>
  <c r="Q12" i="40"/>
  <c r="T12" i="40"/>
  <c r="U12" i="40"/>
  <c r="R12" i="40"/>
  <c r="V12" i="40"/>
  <c r="T34" i="40"/>
  <c r="P34" i="40"/>
  <c r="V34" i="40"/>
  <c r="S34" i="40"/>
  <c r="T40" i="22"/>
  <c r="P52" i="40"/>
  <c r="V52" i="40"/>
  <c r="T52" i="40"/>
  <c r="S52" i="40"/>
  <c r="R84" i="40"/>
  <c r="U84" i="40"/>
  <c r="Q84" i="40"/>
  <c r="P105" i="40"/>
  <c r="W57" i="40"/>
  <c r="W105" i="40" s="1"/>
  <c r="S40" i="22"/>
  <c r="C32" i="22"/>
  <c r="V32" i="22" s="1"/>
  <c r="C32" i="40"/>
  <c r="P15" i="40"/>
  <c r="R15" i="40"/>
  <c r="V15" i="40"/>
  <c r="S15" i="40"/>
  <c r="U15" i="40"/>
  <c r="Q15" i="40"/>
  <c r="T15" i="40"/>
  <c r="C10" i="40"/>
  <c r="U93" i="40"/>
  <c r="R93" i="40"/>
  <c r="Q93" i="40"/>
  <c r="R92" i="40"/>
  <c r="U92" i="40"/>
  <c r="Q92" i="40"/>
  <c r="T59" i="40"/>
  <c r="V59" i="40"/>
  <c r="U59" i="40"/>
  <c r="S59" i="40"/>
  <c r="P59" i="40"/>
  <c r="P43" i="40"/>
  <c r="T43" i="40"/>
  <c r="V43" i="40"/>
  <c r="S43" i="40"/>
  <c r="V29" i="40"/>
  <c r="T29" i="40"/>
  <c r="S29" i="40"/>
  <c r="P29" i="40"/>
  <c r="R32" i="40"/>
  <c r="U32" i="40"/>
  <c r="Q32" i="40"/>
  <c r="T39" i="40"/>
  <c r="S39" i="40"/>
  <c r="V39" i="40"/>
  <c r="P39" i="40"/>
  <c r="T27" i="40"/>
  <c r="V27" i="40"/>
  <c r="S27" i="40"/>
  <c r="P27" i="40"/>
  <c r="Q49" i="40"/>
  <c r="U49" i="40"/>
  <c r="R49" i="40"/>
  <c r="U80" i="40"/>
  <c r="Q80" i="40"/>
  <c r="R80" i="40"/>
  <c r="V28" i="40"/>
  <c r="S28" i="40"/>
  <c r="P28" i="40"/>
  <c r="T28" i="40"/>
  <c r="Q93" i="22"/>
  <c r="V13" i="40"/>
  <c r="R13" i="40"/>
  <c r="P13" i="40"/>
  <c r="Q13" i="40"/>
  <c r="T13" i="40"/>
  <c r="U13" i="40"/>
  <c r="S13" i="40"/>
  <c r="V62" i="40"/>
  <c r="U62" i="40"/>
  <c r="S62" i="40"/>
  <c r="T62" i="40"/>
  <c r="P62" i="40"/>
  <c r="Q79" i="22"/>
  <c r="C24" i="22"/>
  <c r="P24" i="22" s="1"/>
  <c r="C24" i="40"/>
  <c r="W63" i="22"/>
  <c r="Q45" i="22"/>
  <c r="R93" i="22"/>
  <c r="C37" i="22"/>
  <c r="V37" i="22" s="1"/>
  <c r="C37" i="40"/>
  <c r="U18" i="40"/>
  <c r="Q18" i="40"/>
  <c r="T18" i="40"/>
  <c r="V18" i="40"/>
  <c r="P18" i="40"/>
  <c r="S18" i="40"/>
  <c r="R18" i="40"/>
  <c r="R75" i="40"/>
  <c r="Q75" i="40"/>
  <c r="U75" i="40"/>
  <c r="W7" i="40"/>
  <c r="R89" i="40"/>
  <c r="Q89" i="40"/>
  <c r="U89" i="40"/>
  <c r="U83" i="40"/>
  <c r="Q83" i="40"/>
  <c r="R83" i="40"/>
  <c r="Q36" i="22"/>
  <c r="C47" i="40"/>
  <c r="R30" i="22"/>
  <c r="R45" i="22"/>
  <c r="P30" i="22"/>
  <c r="R92" i="22"/>
  <c r="W92" i="22" s="1"/>
  <c r="C33" i="22"/>
  <c r="V33" i="22" s="1"/>
  <c r="C33" i="40"/>
  <c r="P16" i="40"/>
  <c r="V16" i="40"/>
  <c r="U16" i="40"/>
  <c r="T16" i="40"/>
  <c r="S16" i="40"/>
  <c r="R16" i="40"/>
  <c r="Q16" i="40"/>
  <c r="Q30" i="22"/>
  <c r="S30" i="22"/>
  <c r="W80" i="22"/>
  <c r="P60" i="40"/>
  <c r="S60" i="40"/>
  <c r="V60" i="40"/>
  <c r="T60" i="40"/>
  <c r="U60" i="40"/>
  <c r="Q40" i="40"/>
  <c r="U40" i="40"/>
  <c r="R40" i="40"/>
  <c r="Q6" i="40"/>
  <c r="R6" i="40"/>
  <c r="P6" i="40"/>
  <c r="U6" i="40"/>
  <c r="T6" i="40"/>
  <c r="V6" i="40"/>
  <c r="S6" i="40"/>
  <c r="U74" i="40"/>
  <c r="R74" i="40"/>
  <c r="Q74" i="40"/>
  <c r="C48" i="40"/>
  <c r="P63" i="40"/>
  <c r="U63" i="40"/>
  <c r="V63" i="40"/>
  <c r="T63" i="40"/>
  <c r="S63" i="40"/>
  <c r="L660" i="35"/>
  <c r="L599" i="35"/>
  <c r="L718" i="35"/>
  <c r="L600" i="35"/>
  <c r="L719" i="35"/>
  <c r="L661" i="35"/>
  <c r="A53" i="8"/>
  <c r="A54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D341" i="4"/>
  <c r="D340" i="4"/>
  <c r="H340" i="4" s="1"/>
  <c r="D103" i="4"/>
  <c r="H103" i="4" s="1"/>
  <c r="AF42" i="4"/>
  <c r="J55" i="11"/>
  <c r="I107" i="8" s="1"/>
  <c r="T107" i="8" s="1"/>
  <c r="K30" i="11"/>
  <c r="D440" i="4"/>
  <c r="H440" i="4" s="1"/>
  <c r="D439" i="4"/>
  <c r="H439" i="4" s="1"/>
  <c r="D239" i="4"/>
  <c r="H239" i="4" s="1"/>
  <c r="D240" i="4"/>
  <c r="H240" i="4" s="1"/>
  <c r="D580" i="4"/>
  <c r="H580" i="4" s="1"/>
  <c r="H582" i="4" s="1"/>
  <c r="D528" i="4"/>
  <c r="H528" i="4" s="1"/>
  <c r="D102" i="4"/>
  <c r="H102" i="4" s="1"/>
  <c r="H42" i="4"/>
  <c r="R26" i="22"/>
  <c r="H400" i="4"/>
  <c r="R54" i="22"/>
  <c r="I41" i="11"/>
  <c r="I53" i="11" s="1"/>
  <c r="I34" i="8" s="1"/>
  <c r="I38" i="8" s="1"/>
  <c r="T38" i="8" s="1"/>
  <c r="Q26" i="22"/>
  <c r="H100" i="4"/>
  <c r="Q51" i="22"/>
  <c r="R51" i="22"/>
  <c r="J236" i="4"/>
  <c r="E24" i="5" s="1"/>
  <c r="J100" i="4"/>
  <c r="E22" i="5" s="1"/>
  <c r="E61" i="32" s="1"/>
  <c r="G42" i="9"/>
  <c r="G43" i="9" s="1"/>
  <c r="H510" i="4"/>
  <c r="H518" i="4"/>
  <c r="N330" i="4"/>
  <c r="C42" i="22"/>
  <c r="N93" i="4"/>
  <c r="C17" i="22"/>
  <c r="N430" i="4"/>
  <c r="C51" i="22"/>
  <c r="N225" i="4"/>
  <c r="C27" i="22"/>
  <c r="N90" i="4"/>
  <c r="C14" i="22"/>
  <c r="J336" i="4"/>
  <c r="E25" i="5" s="1"/>
  <c r="N94" i="4"/>
  <c r="C18" i="22"/>
  <c r="C28" i="22"/>
  <c r="V28" i="22" s="1"/>
  <c r="Q54" i="22"/>
  <c r="N435" i="4"/>
  <c r="C55" i="22"/>
  <c r="N99" i="4"/>
  <c r="C22" i="22"/>
  <c r="N89" i="4"/>
  <c r="C13" i="22"/>
  <c r="R47" i="22"/>
  <c r="Q42" i="22"/>
  <c r="N434" i="4"/>
  <c r="C54" i="22"/>
  <c r="N97" i="4"/>
  <c r="C20" i="22"/>
  <c r="N95" i="4"/>
  <c r="C19" i="22"/>
  <c r="N98" i="4"/>
  <c r="C21" i="22"/>
  <c r="N91" i="4"/>
  <c r="C15" i="22"/>
  <c r="Q47" i="22"/>
  <c r="R42" i="22"/>
  <c r="N427" i="4"/>
  <c r="C48" i="22"/>
  <c r="D95" i="22"/>
  <c r="N331" i="4"/>
  <c r="C43" i="22"/>
  <c r="N227" i="4"/>
  <c r="C29" i="22"/>
  <c r="N426" i="4"/>
  <c r="C47" i="22"/>
  <c r="N329" i="4"/>
  <c r="C41" i="22"/>
  <c r="N431" i="4"/>
  <c r="C52" i="22"/>
  <c r="N226" i="4"/>
  <c r="I221" i="8"/>
  <c r="T221" i="8" s="1"/>
  <c r="I191" i="8"/>
  <c r="T191" i="8" s="1"/>
  <c r="I255" i="8"/>
  <c r="T255" i="8" s="1"/>
  <c r="I229" i="8"/>
  <c r="T229" i="8" s="1"/>
  <c r="I199" i="8"/>
  <c r="T199" i="8" s="1"/>
  <c r="I263" i="8"/>
  <c r="T263" i="8" s="1"/>
  <c r="I264" i="8"/>
  <c r="T264" i="8" s="1"/>
  <c r="I230" i="8"/>
  <c r="T230" i="8" s="1"/>
  <c r="I200" i="8"/>
  <c r="T200" i="8" s="1"/>
  <c r="M37" i="2"/>
  <c r="U37" i="2"/>
  <c r="X37" i="2" s="1"/>
  <c r="I26" i="15"/>
  <c r="I217" i="8" s="1"/>
  <c r="T217" i="8" s="1"/>
  <c r="I21" i="15"/>
  <c r="I27" i="15"/>
  <c r="I218" i="8" s="1"/>
  <c r="T218" i="8" s="1"/>
  <c r="N33" i="8"/>
  <c r="O33" i="8" s="1"/>
  <c r="R33" i="8"/>
  <c r="I76" i="8"/>
  <c r="T76" i="8" s="1"/>
  <c r="T72" i="8"/>
  <c r="I77" i="8"/>
  <c r="T77" i="8" s="1"/>
  <c r="T73" i="8"/>
  <c r="I75" i="8"/>
  <c r="T75" i="8" s="1"/>
  <c r="T71" i="8"/>
  <c r="R7" i="22"/>
  <c r="Q7" i="22"/>
  <c r="D42" i="4"/>
  <c r="T7" i="22"/>
  <c r="S7" i="22"/>
  <c r="U103" i="22"/>
  <c r="V6" i="22"/>
  <c r="U6" i="22"/>
  <c r="U57" i="22"/>
  <c r="U105" i="22" s="1"/>
  <c r="V57" i="22"/>
  <c r="V105" i="22" s="1"/>
  <c r="U7" i="22"/>
  <c r="V7" i="22"/>
  <c r="AB42" i="4"/>
  <c r="R57" i="22"/>
  <c r="R105" i="22" s="1"/>
  <c r="Q57" i="22"/>
  <c r="Q105" i="22" s="1"/>
  <c r="S57" i="22"/>
  <c r="S105" i="22" s="1"/>
  <c r="T57" i="22"/>
  <c r="T105" i="22" s="1"/>
  <c r="P57" i="22"/>
  <c r="C49" i="22"/>
  <c r="S6" i="22"/>
  <c r="Q6" i="22"/>
  <c r="R6" i="22"/>
  <c r="P6" i="22"/>
  <c r="T6" i="22"/>
  <c r="AE42" i="4"/>
  <c r="AD42" i="4"/>
  <c r="E23" i="5"/>
  <c r="U168" i="8"/>
  <c r="S168" i="8"/>
  <c r="S135" i="8"/>
  <c r="U135" i="8"/>
  <c r="S233" i="8"/>
  <c r="U233" i="8"/>
  <c r="N271" i="8"/>
  <c r="O271" i="8" s="1"/>
  <c r="Q271" i="8"/>
  <c r="S271" i="8" s="1"/>
  <c r="U167" i="8"/>
  <c r="S167" i="8"/>
  <c r="S134" i="8"/>
  <c r="U134" i="8"/>
  <c r="U234" i="8"/>
  <c r="S234" i="8"/>
  <c r="J53" i="11"/>
  <c r="I105" i="8" s="1"/>
  <c r="T105" i="8" s="1"/>
  <c r="K41" i="11"/>
  <c r="K53" i="11" s="1"/>
  <c r="I141" i="8" s="1"/>
  <c r="T141" i="8" s="1"/>
  <c r="T171" i="8" s="1"/>
  <c r="H505" i="4"/>
  <c r="H577" i="4"/>
  <c r="H628" i="4"/>
  <c r="H469" i="4"/>
  <c r="H480" i="4" s="1"/>
  <c r="H632" i="4"/>
  <c r="H21" i="4"/>
  <c r="H80" i="4"/>
  <c r="H133" i="4"/>
  <c r="H144" i="4" s="1"/>
  <c r="H236" i="4"/>
  <c r="H608" i="4"/>
  <c r="H556" i="4"/>
  <c r="H622" i="4"/>
  <c r="H336" i="4"/>
  <c r="H525" i="4"/>
  <c r="H276" i="4"/>
  <c r="H375" i="4"/>
  <c r="H436" i="4"/>
  <c r="J436" i="4"/>
  <c r="E26" i="5" s="1"/>
  <c r="H571" i="4"/>
  <c r="J133" i="4"/>
  <c r="H172" i="4"/>
  <c r="E62" i="32" l="1"/>
  <c r="D88" i="32"/>
  <c r="F61" i="32"/>
  <c r="E87" i="32"/>
  <c r="E66" i="32"/>
  <c r="D92" i="32"/>
  <c r="W75" i="22"/>
  <c r="P36" i="22"/>
  <c r="T36" i="22"/>
  <c r="U104" i="22"/>
  <c r="N721" i="43"/>
  <c r="L724" i="43"/>
  <c r="N724" i="43" s="1"/>
  <c r="L618" i="4"/>
  <c r="L621" i="4" s="1"/>
  <c r="N621" i="4" s="1"/>
  <c r="N663" i="43"/>
  <c r="L666" i="43"/>
  <c r="N666" i="43" s="1"/>
  <c r="L567" i="4"/>
  <c r="N567" i="4" s="1"/>
  <c r="N602" i="43"/>
  <c r="L605" i="43"/>
  <c r="N605" i="43" s="1"/>
  <c r="L515" i="4"/>
  <c r="H200" i="8" s="1"/>
  <c r="N720" i="43"/>
  <c r="L617" i="4"/>
  <c r="H263" i="8" s="1"/>
  <c r="L723" i="43"/>
  <c r="N723" i="43" s="1"/>
  <c r="L514" i="4"/>
  <c r="H199" i="8" s="1"/>
  <c r="N601" i="43"/>
  <c r="L604" i="43"/>
  <c r="N604" i="43" s="1"/>
  <c r="L566" i="4"/>
  <c r="N566" i="4" s="1"/>
  <c r="N662" i="43"/>
  <c r="L665" i="43"/>
  <c r="N665" i="43" s="1"/>
  <c r="W12" i="22"/>
  <c r="R24" i="22"/>
  <c r="R101" i="22" s="1"/>
  <c r="W34" i="22"/>
  <c r="W62" i="22"/>
  <c r="U102" i="22"/>
  <c r="S24" i="22"/>
  <c r="S101" i="22" s="1"/>
  <c r="T46" i="22"/>
  <c r="S46" i="22"/>
  <c r="P46" i="22"/>
  <c r="W84" i="22"/>
  <c r="W60" i="22"/>
  <c r="H50" i="4"/>
  <c r="H633" i="4"/>
  <c r="P37" i="22"/>
  <c r="W84" i="40"/>
  <c r="W88" i="22"/>
  <c r="U24" i="22"/>
  <c r="U101" i="22" s="1"/>
  <c r="V24" i="22"/>
  <c r="V101" i="22" s="1"/>
  <c r="Q24" i="22"/>
  <c r="Q101" i="22" s="1"/>
  <c r="T24" i="22"/>
  <c r="T101" i="22" s="1"/>
  <c r="S37" i="22"/>
  <c r="P35" i="22"/>
  <c r="W39" i="22"/>
  <c r="T32" i="22"/>
  <c r="W65" i="22"/>
  <c r="S32" i="22"/>
  <c r="T31" i="22"/>
  <c r="R103" i="40"/>
  <c r="Q103" i="40"/>
  <c r="P50" i="22"/>
  <c r="U103" i="40"/>
  <c r="W83" i="40"/>
  <c r="W29" i="40"/>
  <c r="R102" i="22"/>
  <c r="W71" i="22"/>
  <c r="S53" i="22"/>
  <c r="U102" i="40"/>
  <c r="T50" i="22"/>
  <c r="W59" i="40"/>
  <c r="W59" i="22"/>
  <c r="Q102" i="22"/>
  <c r="W93" i="40"/>
  <c r="W71" i="40"/>
  <c r="S50" i="22"/>
  <c r="W89" i="40"/>
  <c r="S35" i="22"/>
  <c r="W80" i="40"/>
  <c r="T35" i="22"/>
  <c r="P32" i="22"/>
  <c r="P31" i="22"/>
  <c r="T37" i="22"/>
  <c r="Q102" i="40"/>
  <c r="W55" i="40"/>
  <c r="R102" i="40"/>
  <c r="W43" i="40"/>
  <c r="W15" i="40"/>
  <c r="V100" i="40"/>
  <c r="J40" i="4"/>
  <c r="J42" i="4" s="1"/>
  <c r="E21" i="5" s="1"/>
  <c r="C8" i="40"/>
  <c r="R100" i="40"/>
  <c r="W26" i="40"/>
  <c r="S45" i="22"/>
  <c r="W30" i="22"/>
  <c r="W27" i="40"/>
  <c r="W12" i="40"/>
  <c r="U100" i="40"/>
  <c r="V36" i="40"/>
  <c r="T36" i="40"/>
  <c r="P36" i="40"/>
  <c r="S36" i="40"/>
  <c r="R103" i="22"/>
  <c r="S33" i="22"/>
  <c r="W13" i="40"/>
  <c r="T100" i="40"/>
  <c r="P50" i="40"/>
  <c r="V50" i="40"/>
  <c r="T50" i="40"/>
  <c r="S50" i="40"/>
  <c r="W20" i="40"/>
  <c r="W41" i="40"/>
  <c r="T33" i="22"/>
  <c r="W63" i="40"/>
  <c r="Q100" i="40"/>
  <c r="V103" i="40"/>
  <c r="P45" i="22"/>
  <c r="V37" i="40"/>
  <c r="P37" i="40"/>
  <c r="S37" i="40"/>
  <c r="T37" i="40"/>
  <c r="W39" i="40"/>
  <c r="P103" i="40"/>
  <c r="S100" i="40"/>
  <c r="W17" i="40"/>
  <c r="S46" i="40"/>
  <c r="P46" i="40"/>
  <c r="T46" i="40"/>
  <c r="V46" i="40"/>
  <c r="W18" i="40"/>
  <c r="S48" i="40"/>
  <c r="P48" i="40"/>
  <c r="T48" i="40"/>
  <c r="V48" i="40"/>
  <c r="P47" i="40"/>
  <c r="T47" i="40"/>
  <c r="S47" i="40"/>
  <c r="V47" i="40"/>
  <c r="W92" i="40"/>
  <c r="W30" i="40"/>
  <c r="W22" i="40"/>
  <c r="V53" i="40"/>
  <c r="P53" i="40"/>
  <c r="T53" i="40"/>
  <c r="S53" i="40"/>
  <c r="P33" i="22"/>
  <c r="W60" i="40"/>
  <c r="W93" i="22"/>
  <c r="T103" i="40"/>
  <c r="W19" i="40"/>
  <c r="W49" i="40"/>
  <c r="W26" i="22"/>
  <c r="Q104" i="40"/>
  <c r="T45" i="22"/>
  <c r="P53" i="22"/>
  <c r="W74" i="40"/>
  <c r="W70" i="40"/>
  <c r="R104" i="40"/>
  <c r="S35" i="40"/>
  <c r="V35" i="40"/>
  <c r="T35" i="40"/>
  <c r="P35" i="40"/>
  <c r="W51" i="40"/>
  <c r="W65" i="40"/>
  <c r="U104" i="40"/>
  <c r="S103" i="40"/>
  <c r="S36" i="22"/>
  <c r="W36" i="22" s="1"/>
  <c r="W28" i="40"/>
  <c r="P10" i="40"/>
  <c r="R10" i="40"/>
  <c r="S10" i="40"/>
  <c r="T10" i="40"/>
  <c r="Q10" i="40"/>
  <c r="V10" i="40"/>
  <c r="U10" i="40"/>
  <c r="W40" i="22"/>
  <c r="W21" i="40"/>
  <c r="W14" i="40"/>
  <c r="W88" i="40"/>
  <c r="V33" i="40"/>
  <c r="P33" i="40"/>
  <c r="T33" i="40"/>
  <c r="S33" i="40"/>
  <c r="P32" i="40"/>
  <c r="T32" i="40"/>
  <c r="V32" i="40"/>
  <c r="S32" i="40"/>
  <c r="W42" i="40"/>
  <c r="W9" i="40"/>
  <c r="W57" i="22"/>
  <c r="W105" i="22" s="1"/>
  <c r="S31" i="22"/>
  <c r="W62" i="40"/>
  <c r="W40" i="40"/>
  <c r="W79" i="40"/>
  <c r="U24" i="40"/>
  <c r="U101" i="40" s="1"/>
  <c r="T24" i="40"/>
  <c r="T101" i="40" s="1"/>
  <c r="V24" i="40"/>
  <c r="V101" i="40" s="1"/>
  <c r="R24" i="40"/>
  <c r="R101" i="40" s="1"/>
  <c r="P24" i="40"/>
  <c r="S24" i="40"/>
  <c r="S101" i="40" s="1"/>
  <c r="Q24" i="40"/>
  <c r="Q101" i="40" s="1"/>
  <c r="W52" i="40"/>
  <c r="Q103" i="22"/>
  <c r="W54" i="40"/>
  <c r="P100" i="40"/>
  <c r="V31" i="40"/>
  <c r="T31" i="40"/>
  <c r="S31" i="40"/>
  <c r="P31" i="40"/>
  <c r="H444" i="4"/>
  <c r="W79" i="22"/>
  <c r="T53" i="22"/>
  <c r="W6" i="40"/>
  <c r="W16" i="40"/>
  <c r="W75" i="40"/>
  <c r="W34" i="40"/>
  <c r="T45" i="40"/>
  <c r="P45" i="40"/>
  <c r="S45" i="40"/>
  <c r="V45" i="40"/>
  <c r="L664" i="35"/>
  <c r="N664" i="35" s="1"/>
  <c r="N661" i="35"/>
  <c r="Q661" i="35" s="1"/>
  <c r="N719" i="35"/>
  <c r="L722" i="35"/>
  <c r="N722" i="35" s="1"/>
  <c r="L603" i="35"/>
  <c r="N603" i="35" s="1"/>
  <c r="N600" i="35"/>
  <c r="Q600" i="35" s="1"/>
  <c r="L721" i="35"/>
  <c r="N721" i="35" s="1"/>
  <c r="N718" i="35"/>
  <c r="L602" i="35"/>
  <c r="N602" i="35" s="1"/>
  <c r="N599" i="35"/>
  <c r="Q599" i="35" s="1"/>
  <c r="L663" i="35"/>
  <c r="N663" i="35" s="1"/>
  <c r="N660" i="35"/>
  <c r="Q660" i="35" s="1"/>
  <c r="I22" i="15"/>
  <c r="I188" i="8" s="1"/>
  <c r="T188" i="8" s="1"/>
  <c r="H245" i="4"/>
  <c r="H107" i="4"/>
  <c r="A211" i="8"/>
  <c r="A212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2" i="8" s="1"/>
  <c r="D530" i="4"/>
  <c r="H530" i="4" s="1"/>
  <c r="H531" i="4" s="1"/>
  <c r="Q104" i="22"/>
  <c r="T34" i="8"/>
  <c r="R104" i="22"/>
  <c r="P28" i="22"/>
  <c r="S28" i="22"/>
  <c r="V29" i="22"/>
  <c r="T29" i="22"/>
  <c r="P29" i="22"/>
  <c r="S29" i="22"/>
  <c r="V41" i="22"/>
  <c r="P41" i="22"/>
  <c r="T41" i="22"/>
  <c r="S41" i="22"/>
  <c r="V48" i="22"/>
  <c r="T48" i="22"/>
  <c r="P48" i="22"/>
  <c r="S48" i="22"/>
  <c r="U15" i="22"/>
  <c r="V15" i="22"/>
  <c r="P15" i="22"/>
  <c r="Q15" i="22"/>
  <c r="R15" i="22"/>
  <c r="S15" i="22"/>
  <c r="T15" i="22"/>
  <c r="V55" i="22"/>
  <c r="T55" i="22"/>
  <c r="S55" i="22"/>
  <c r="P55" i="22"/>
  <c r="T18" i="22"/>
  <c r="U18" i="22"/>
  <c r="P18" i="22"/>
  <c r="V18" i="22"/>
  <c r="S18" i="22"/>
  <c r="R18" i="22"/>
  <c r="Q18" i="22"/>
  <c r="V54" i="22"/>
  <c r="T54" i="22"/>
  <c r="S54" i="22"/>
  <c r="P54" i="22"/>
  <c r="P13" i="22"/>
  <c r="S13" i="22"/>
  <c r="R13" i="22"/>
  <c r="Q13" i="22"/>
  <c r="V13" i="22"/>
  <c r="U13" i="22"/>
  <c r="T13" i="22"/>
  <c r="V51" i="22"/>
  <c r="S51" i="22"/>
  <c r="T51" i="22"/>
  <c r="P51" i="22"/>
  <c r="T28" i="22"/>
  <c r="P25" i="8"/>
  <c r="C10" i="22"/>
  <c r="R21" i="22"/>
  <c r="Q21" i="22"/>
  <c r="U21" i="22"/>
  <c r="P21" i="22"/>
  <c r="V21" i="22"/>
  <c r="S21" i="22"/>
  <c r="T21" i="22"/>
  <c r="R17" i="22"/>
  <c r="Q17" i="22"/>
  <c r="U17" i="22"/>
  <c r="P17" i="22"/>
  <c r="T17" i="22"/>
  <c r="S17" i="22"/>
  <c r="V17" i="22"/>
  <c r="P24" i="8"/>
  <c r="C9" i="22"/>
  <c r="S19" i="22"/>
  <c r="Q19" i="22"/>
  <c r="V19" i="22"/>
  <c r="R19" i="22"/>
  <c r="U19" i="22"/>
  <c r="T19" i="22"/>
  <c r="P19" i="22"/>
  <c r="U14" i="22"/>
  <c r="T14" i="22"/>
  <c r="V14" i="22"/>
  <c r="R14" i="22"/>
  <c r="Q14" i="22"/>
  <c r="P14" i="22"/>
  <c r="S14" i="22"/>
  <c r="P23" i="8"/>
  <c r="C8" i="22"/>
  <c r="V43" i="22"/>
  <c r="S43" i="22"/>
  <c r="P43" i="22"/>
  <c r="T43" i="22"/>
  <c r="V47" i="22"/>
  <c r="T47" i="22"/>
  <c r="P47" i="22"/>
  <c r="S47" i="22"/>
  <c r="U22" i="22"/>
  <c r="V22" i="22"/>
  <c r="P22" i="22"/>
  <c r="R22" i="22"/>
  <c r="S22" i="22"/>
  <c r="Q22" i="22"/>
  <c r="T22" i="22"/>
  <c r="V42" i="22"/>
  <c r="S42" i="22"/>
  <c r="P42" i="22"/>
  <c r="T42" i="22"/>
  <c r="V52" i="22"/>
  <c r="T52" i="22"/>
  <c r="P52" i="22"/>
  <c r="S52" i="22"/>
  <c r="S20" i="22"/>
  <c r="R20" i="22"/>
  <c r="P20" i="22"/>
  <c r="U20" i="22"/>
  <c r="T20" i="22"/>
  <c r="Q20" i="22"/>
  <c r="V20" i="22"/>
  <c r="V27" i="22"/>
  <c r="S27" i="22"/>
  <c r="P27" i="22"/>
  <c r="T27" i="22"/>
  <c r="W7" i="22"/>
  <c r="I251" i="8"/>
  <c r="T251" i="8" s="1"/>
  <c r="I187" i="8"/>
  <c r="T187" i="8" s="1"/>
  <c r="I25" i="15"/>
  <c r="I216" i="8" s="1"/>
  <c r="I20" i="15"/>
  <c r="S33" i="8"/>
  <c r="U33" i="8"/>
  <c r="H341" i="4"/>
  <c r="H345" i="4" s="1"/>
  <c r="W6" i="22"/>
  <c r="V49" i="22"/>
  <c r="S49" i="22"/>
  <c r="T49" i="22"/>
  <c r="P49" i="22"/>
  <c r="P105" i="22"/>
  <c r="P101" i="22"/>
  <c r="H519" i="4"/>
  <c r="H198" i="4"/>
  <c r="H299" i="4"/>
  <c r="H584" i="4"/>
  <c r="E68" i="32" l="1"/>
  <c r="D94" i="32"/>
  <c r="E69" i="32"/>
  <c r="D95" i="32"/>
  <c r="F66" i="32"/>
  <c r="E92" i="32"/>
  <c r="G61" i="32"/>
  <c r="F87" i="32"/>
  <c r="F62" i="32"/>
  <c r="E88" i="32"/>
  <c r="I252" i="8"/>
  <c r="T252" i="8" s="1"/>
  <c r="N618" i="4"/>
  <c r="N514" i="4"/>
  <c r="H264" i="8"/>
  <c r="H230" i="8"/>
  <c r="H635" i="4"/>
  <c r="F26" i="6" s="1"/>
  <c r="W46" i="22"/>
  <c r="L518" i="4"/>
  <c r="N518" i="4" s="1"/>
  <c r="N515" i="4"/>
  <c r="L517" i="4"/>
  <c r="N517" i="4" s="1"/>
  <c r="L570" i="4"/>
  <c r="N570" i="4" s="1"/>
  <c r="L569" i="4"/>
  <c r="N569" i="4" s="1"/>
  <c r="H229" i="8"/>
  <c r="N617" i="4"/>
  <c r="L620" i="4"/>
  <c r="N620" i="4" s="1"/>
  <c r="W24" i="22"/>
  <c r="W101" i="22" s="1"/>
  <c r="W37" i="22"/>
  <c r="W32" i="22"/>
  <c r="W31" i="22"/>
  <c r="W50" i="22"/>
  <c r="W35" i="22"/>
  <c r="W52" i="22"/>
  <c r="V102" i="40"/>
  <c r="S102" i="40"/>
  <c r="P102" i="40"/>
  <c r="S104" i="40"/>
  <c r="W35" i="40"/>
  <c r="W54" i="22"/>
  <c r="W55" i="22"/>
  <c r="T102" i="40"/>
  <c r="W36" i="40"/>
  <c r="W14" i="22"/>
  <c r="V104" i="40"/>
  <c r="W37" i="40"/>
  <c r="W27" i="22"/>
  <c r="W13" i="22"/>
  <c r="W15" i="22"/>
  <c r="W28" i="22"/>
  <c r="W45" i="40"/>
  <c r="P104" i="40"/>
  <c r="W10" i="40"/>
  <c r="W45" i="22"/>
  <c r="T104" i="40"/>
  <c r="W53" i="22"/>
  <c r="W100" i="40"/>
  <c r="W49" i="22"/>
  <c r="W22" i="22"/>
  <c r="W47" i="40"/>
  <c r="W19" i="22"/>
  <c r="W21" i="22"/>
  <c r="W48" i="40"/>
  <c r="W47" i="22"/>
  <c r="W48" i="22"/>
  <c r="W20" i="22"/>
  <c r="P101" i="40"/>
  <c r="W24" i="40"/>
  <c r="W101" i="40" s="1"/>
  <c r="W32" i="40"/>
  <c r="V8" i="40"/>
  <c r="Q8" i="40"/>
  <c r="P8" i="40"/>
  <c r="R8" i="40"/>
  <c r="S8" i="40"/>
  <c r="U8" i="40"/>
  <c r="T8" i="40"/>
  <c r="C95" i="40"/>
  <c r="W18" i="22"/>
  <c r="W41" i="22"/>
  <c r="W43" i="22"/>
  <c r="W51" i="22"/>
  <c r="W33" i="22"/>
  <c r="W46" i="40"/>
  <c r="W50" i="40"/>
  <c r="W33" i="40"/>
  <c r="W53" i="40"/>
  <c r="W31" i="40"/>
  <c r="W42" i="22"/>
  <c r="W17" i="22"/>
  <c r="W29" i="22"/>
  <c r="W103" i="40"/>
  <c r="F27" i="6"/>
  <c r="P16" i="24" s="1"/>
  <c r="F20" i="6"/>
  <c r="L16" i="24" s="1"/>
  <c r="H247" i="4"/>
  <c r="E31" i="5"/>
  <c r="S102" i="22"/>
  <c r="P102" i="22"/>
  <c r="C95" i="22"/>
  <c r="R100" i="22"/>
  <c r="V8" i="22"/>
  <c r="R8" i="22"/>
  <c r="U8" i="22"/>
  <c r="T8" i="22"/>
  <c r="S8" i="22"/>
  <c r="Q8" i="22"/>
  <c r="P8" i="22"/>
  <c r="Q9" i="22"/>
  <c r="V9" i="22"/>
  <c r="T9" i="22"/>
  <c r="U9" i="22"/>
  <c r="P9" i="22"/>
  <c r="S9" i="22"/>
  <c r="R9" i="22"/>
  <c r="S100" i="22"/>
  <c r="T24" i="8"/>
  <c r="Q24" i="8"/>
  <c r="P104" i="22"/>
  <c r="T100" i="22"/>
  <c r="T23" i="8"/>
  <c r="Q23" i="8"/>
  <c r="U10" i="22"/>
  <c r="S10" i="22"/>
  <c r="V10" i="22"/>
  <c r="R10" i="22"/>
  <c r="P10" i="22"/>
  <c r="Q10" i="22"/>
  <c r="T10" i="22"/>
  <c r="U100" i="22"/>
  <c r="S103" i="22"/>
  <c r="P100" i="22"/>
  <c r="T25" i="8"/>
  <c r="Q25" i="8"/>
  <c r="V100" i="22"/>
  <c r="T103" i="22"/>
  <c r="V103" i="22"/>
  <c r="V104" i="22"/>
  <c r="V102" i="22"/>
  <c r="T102" i="22"/>
  <c r="Q100" i="22"/>
  <c r="P103" i="22"/>
  <c r="I250" i="8"/>
  <c r="T250" i="8" s="1"/>
  <c r="I186" i="8"/>
  <c r="T186" i="8" s="1"/>
  <c r="H446" i="4"/>
  <c r="H533" i="4"/>
  <c r="S104" i="22"/>
  <c r="H347" i="4"/>
  <c r="T104" i="22"/>
  <c r="F25" i="6"/>
  <c r="G62" i="32" l="1"/>
  <c r="F88" i="32"/>
  <c r="H61" i="32"/>
  <c r="G87" i="32"/>
  <c r="G66" i="32"/>
  <c r="F92" i="32"/>
  <c r="E64" i="32"/>
  <c r="D90" i="32"/>
  <c r="F69" i="32"/>
  <c r="E95" i="32"/>
  <c r="F68" i="32"/>
  <c r="E94" i="32"/>
  <c r="W102" i="40"/>
  <c r="T99" i="40"/>
  <c r="T107" i="40" s="1"/>
  <c r="T95" i="40"/>
  <c r="U99" i="40"/>
  <c r="U107" i="40" s="1"/>
  <c r="U95" i="40"/>
  <c r="S99" i="40"/>
  <c r="S107" i="40" s="1"/>
  <c r="S95" i="40"/>
  <c r="R99" i="40"/>
  <c r="R107" i="40" s="1"/>
  <c r="R95" i="40"/>
  <c r="W8" i="40"/>
  <c r="P99" i="40"/>
  <c r="P107" i="40" s="1"/>
  <c r="P95" i="40"/>
  <c r="Q95" i="40"/>
  <c r="Q99" i="40"/>
  <c r="Q107" i="40" s="1"/>
  <c r="V99" i="40"/>
  <c r="V107" i="40" s="1"/>
  <c r="V95" i="40"/>
  <c r="W104" i="40"/>
  <c r="A283" i="8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F22" i="6"/>
  <c r="N16" i="24" s="1"/>
  <c r="E34" i="5"/>
  <c r="W104" i="22"/>
  <c r="Q29" i="8"/>
  <c r="W102" i="22"/>
  <c r="P95" i="22"/>
  <c r="T95" i="22"/>
  <c r="S99" i="22"/>
  <c r="S107" i="22" s="1"/>
  <c r="Q99" i="22"/>
  <c r="Q107" i="22" s="1"/>
  <c r="Q95" i="22"/>
  <c r="W103" i="22"/>
  <c r="W9" i="22"/>
  <c r="T99" i="22"/>
  <c r="T107" i="22" s="1"/>
  <c r="W100" i="22"/>
  <c r="R95" i="22"/>
  <c r="R99" i="22"/>
  <c r="R107" i="22" s="1"/>
  <c r="S95" i="22"/>
  <c r="U95" i="22"/>
  <c r="U99" i="22"/>
  <c r="U107" i="22" s="1"/>
  <c r="V95" i="22"/>
  <c r="V99" i="22"/>
  <c r="V107" i="22" s="1"/>
  <c r="W10" i="22"/>
  <c r="W8" i="22"/>
  <c r="P99" i="22"/>
  <c r="P107" i="22" s="1"/>
  <c r="F24" i="6"/>
  <c r="F23" i="6"/>
  <c r="O16" i="24" s="1"/>
  <c r="F21" i="6"/>
  <c r="E67" i="32" l="1"/>
  <c r="D93" i="32"/>
  <c r="E65" i="32"/>
  <c r="D91" i="32"/>
  <c r="G68" i="32"/>
  <c r="F94" i="32"/>
  <c r="F64" i="32"/>
  <c r="E90" i="32"/>
  <c r="H66" i="32"/>
  <c r="G92" i="32"/>
  <c r="I61" i="32"/>
  <c r="H87" i="32"/>
  <c r="G69" i="32"/>
  <c r="F95" i="32"/>
  <c r="H62" i="32"/>
  <c r="G88" i="32"/>
  <c r="E63" i="32"/>
  <c r="D89" i="32"/>
  <c r="M16" i="24"/>
  <c r="T109" i="40"/>
  <c r="Q109" i="40"/>
  <c r="R109" i="40"/>
  <c r="V109" i="40"/>
  <c r="P109" i="40"/>
  <c r="W99" i="40"/>
  <c r="W107" i="40" s="1"/>
  <c r="W95" i="40"/>
  <c r="W109" i="40" s="1"/>
  <c r="S109" i="40"/>
  <c r="U109" i="40"/>
  <c r="Q109" i="22"/>
  <c r="T109" i="22"/>
  <c r="P109" i="22"/>
  <c r="S109" i="22"/>
  <c r="R109" i="22"/>
  <c r="W95" i="22"/>
  <c r="V109" i="22"/>
  <c r="U109" i="22"/>
  <c r="W99" i="22"/>
  <c r="W107" i="22" s="1"/>
  <c r="H69" i="32" l="1"/>
  <c r="G95" i="32"/>
  <c r="F63" i="32"/>
  <c r="E89" i="32"/>
  <c r="H68" i="32"/>
  <c r="G94" i="32"/>
  <c r="F67" i="32"/>
  <c r="E93" i="32"/>
  <c r="I66" i="32"/>
  <c r="H92" i="32"/>
  <c r="I62" i="32"/>
  <c r="H88" i="32"/>
  <c r="J61" i="32"/>
  <c r="I87" i="32"/>
  <c r="G64" i="32"/>
  <c r="F90" i="32"/>
  <c r="F65" i="32"/>
  <c r="E91" i="32"/>
  <c r="W109" i="22"/>
  <c r="J62" i="32" l="1"/>
  <c r="I88" i="32"/>
  <c r="K61" i="32"/>
  <c r="J87" i="32"/>
  <c r="G67" i="32"/>
  <c r="F93" i="32"/>
  <c r="I68" i="32"/>
  <c r="H94" i="32"/>
  <c r="I69" i="32"/>
  <c r="H95" i="32"/>
  <c r="H64" i="32"/>
  <c r="G90" i="32"/>
  <c r="J66" i="32"/>
  <c r="I92" i="32"/>
  <c r="E96" i="32"/>
  <c r="G63" i="32"/>
  <c r="F89" i="32"/>
  <c r="F96" i="32" s="1"/>
  <c r="G65" i="32"/>
  <c r="F91" i="32"/>
  <c r="J69" i="32" l="1"/>
  <c r="I95" i="32"/>
  <c r="K62" i="32"/>
  <c r="J88" i="32"/>
  <c r="K66" i="32"/>
  <c r="J92" i="32"/>
  <c r="I64" i="32"/>
  <c r="H90" i="32"/>
  <c r="J68" i="32"/>
  <c r="I94" i="32"/>
  <c r="L61" i="32"/>
  <c r="K87" i="32"/>
  <c r="H63" i="32"/>
  <c r="G89" i="32"/>
  <c r="H67" i="32"/>
  <c r="G93" i="32"/>
  <c r="H65" i="32"/>
  <c r="G91" i="32"/>
  <c r="I22" i="12"/>
  <c r="I67" i="32" l="1"/>
  <c r="H93" i="32"/>
  <c r="K68" i="32"/>
  <c r="J94" i="32"/>
  <c r="J64" i="32"/>
  <c r="I90" i="32"/>
  <c r="K69" i="32"/>
  <c r="J95" i="32"/>
  <c r="G96" i="32"/>
  <c r="H89" i="32"/>
  <c r="I63" i="32"/>
  <c r="M61" i="32"/>
  <c r="L87" i="32"/>
  <c r="L66" i="32"/>
  <c r="K92" i="32"/>
  <c r="L62" i="32"/>
  <c r="K88" i="32"/>
  <c r="I65" i="32"/>
  <c r="H91" i="32"/>
  <c r="I274" i="8"/>
  <c r="H274" i="8" s="1"/>
  <c r="I240" i="8"/>
  <c r="H240" i="8" s="1"/>
  <c r="I158" i="8"/>
  <c r="I125" i="8"/>
  <c r="H125" i="8" s="1"/>
  <c r="G22" i="12"/>
  <c r="J65" i="32" l="1"/>
  <c r="I91" i="32"/>
  <c r="H96" i="32"/>
  <c r="L69" i="32"/>
  <c r="K95" i="32"/>
  <c r="L68" i="32"/>
  <c r="K94" i="32"/>
  <c r="M62" i="32"/>
  <c r="L88" i="32"/>
  <c r="M66" i="32"/>
  <c r="L92" i="32"/>
  <c r="N61" i="32"/>
  <c r="M87" i="32"/>
  <c r="I89" i="32"/>
  <c r="J63" i="32"/>
  <c r="K64" i="32"/>
  <c r="J90" i="32"/>
  <c r="J67" i="32"/>
  <c r="I93" i="32"/>
  <c r="L212" i="43"/>
  <c r="L616" i="43"/>
  <c r="L210" i="35"/>
  <c r="N210" i="35" s="1"/>
  <c r="L614" i="35"/>
  <c r="N614" i="35" s="1"/>
  <c r="I206" i="8"/>
  <c r="H206" i="8" s="1"/>
  <c r="I89" i="8"/>
  <c r="H89" i="8" s="1"/>
  <c r="N125" i="8"/>
  <c r="O125" i="8" s="1"/>
  <c r="H158" i="8"/>
  <c r="N158" i="8" s="1"/>
  <c r="O158" i="8" s="1"/>
  <c r="R125" i="8"/>
  <c r="S125" i="8" s="1"/>
  <c r="I35" i="12"/>
  <c r="I65" i="8" s="1"/>
  <c r="H65" i="8" s="1"/>
  <c r="G35" i="12"/>
  <c r="I48" i="8" s="1"/>
  <c r="H48" i="8" s="1"/>
  <c r="G27" i="9"/>
  <c r="G29" i="9" s="1"/>
  <c r="I96" i="32" l="1"/>
  <c r="K67" i="32"/>
  <c r="J93" i="32"/>
  <c r="J89" i="32"/>
  <c r="K63" i="32"/>
  <c r="O61" i="32"/>
  <c r="O87" i="32" s="1"/>
  <c r="N87" i="32"/>
  <c r="M68" i="32"/>
  <c r="L94" i="32"/>
  <c r="N66" i="32"/>
  <c r="M92" i="32"/>
  <c r="M69" i="32"/>
  <c r="L95" i="32"/>
  <c r="L64" i="32"/>
  <c r="K90" i="32"/>
  <c r="N62" i="32"/>
  <c r="M88" i="32"/>
  <c r="K65" i="32"/>
  <c r="J91" i="32"/>
  <c r="L529" i="4"/>
  <c r="N529" i="4" s="1"/>
  <c r="N616" i="43"/>
  <c r="L197" i="4"/>
  <c r="N197" i="4" s="1"/>
  <c r="N212" i="43"/>
  <c r="R89" i="8"/>
  <c r="S89" i="8" s="1"/>
  <c r="N89" i="8"/>
  <c r="O89" i="8" s="1"/>
  <c r="L31" i="6"/>
  <c r="G39" i="9"/>
  <c r="G52" i="9" s="1"/>
  <c r="L33" i="43" s="1"/>
  <c r="L31" i="4" s="1"/>
  <c r="L65" i="32" l="1"/>
  <c r="K91" i="32"/>
  <c r="O66" i="32"/>
  <c r="O92" i="32" s="1"/>
  <c r="N92" i="32"/>
  <c r="N68" i="32"/>
  <c r="M94" i="32"/>
  <c r="J96" i="32"/>
  <c r="O62" i="32"/>
  <c r="O88" i="32" s="1"/>
  <c r="N88" i="32"/>
  <c r="M64" i="32"/>
  <c r="L90" i="32"/>
  <c r="N69" i="32"/>
  <c r="M95" i="32"/>
  <c r="K89" i="32"/>
  <c r="L63" i="32"/>
  <c r="L67" i="32"/>
  <c r="K93" i="32"/>
  <c r="G53" i="9"/>
  <c r="L34" i="43" s="1"/>
  <c r="G51" i="9"/>
  <c r="L29" i="43" s="1"/>
  <c r="G50" i="9"/>
  <c r="H39" i="9"/>
  <c r="N31" i="6"/>
  <c r="O31" i="6" s="1"/>
  <c r="K96" i="32" l="1"/>
  <c r="P92" i="32"/>
  <c r="J30" i="5" s="1"/>
  <c r="M67" i="32"/>
  <c r="L93" i="32"/>
  <c r="L89" i="32"/>
  <c r="M63" i="32"/>
  <c r="O69" i="32"/>
  <c r="O95" i="32" s="1"/>
  <c r="N95" i="32"/>
  <c r="N64" i="32"/>
  <c r="M90" i="32"/>
  <c r="P88" i="32"/>
  <c r="J23" i="5" s="1"/>
  <c r="O68" i="32"/>
  <c r="O94" i="32" s="1"/>
  <c r="N94" i="32"/>
  <c r="M65" i="32"/>
  <c r="L91" i="32"/>
  <c r="L28" i="43"/>
  <c r="L26" i="4" s="1"/>
  <c r="L32" i="4"/>
  <c r="L27" i="4"/>
  <c r="I20" i="8"/>
  <c r="T20" i="8" s="1"/>
  <c r="I19" i="8"/>
  <c r="T19" i="8" s="1"/>
  <c r="I21" i="8"/>
  <c r="T21" i="8" s="1"/>
  <c r="I43" i="8"/>
  <c r="T43" i="8" s="1"/>
  <c r="I22" i="8"/>
  <c r="T22" i="8" s="1"/>
  <c r="G17" i="9"/>
  <c r="G31" i="9" s="1"/>
  <c r="P95" i="32" l="1"/>
  <c r="J29" i="5" s="1"/>
  <c r="O64" i="32"/>
  <c r="O90" i="32" s="1"/>
  <c r="N90" i="32"/>
  <c r="P94" i="32"/>
  <c r="J28" i="5" s="1"/>
  <c r="M89" i="32"/>
  <c r="N63" i="32"/>
  <c r="N65" i="32"/>
  <c r="M91" i="32"/>
  <c r="L96" i="32"/>
  <c r="N67" i="32"/>
  <c r="M93" i="32"/>
  <c r="N32" i="4"/>
  <c r="H22" i="8"/>
  <c r="N31" i="4"/>
  <c r="H21" i="8"/>
  <c r="N21" i="8" s="1"/>
  <c r="O21" i="8" s="1"/>
  <c r="I13" i="8"/>
  <c r="E12" i="17"/>
  <c r="E19" i="17"/>
  <c r="F19" i="17" s="1"/>
  <c r="J19" i="17" s="1"/>
  <c r="F11" i="17"/>
  <c r="J11" i="17" s="1"/>
  <c r="E18" i="17"/>
  <c r="F18" i="17" s="1"/>
  <c r="J18" i="17" s="1"/>
  <c r="F10" i="17"/>
  <c r="J10" i="17" s="1"/>
  <c r="O65" i="32" l="1"/>
  <c r="O91" i="32" s="1"/>
  <c r="N91" i="32"/>
  <c r="N89" i="32"/>
  <c r="O63" i="32"/>
  <c r="O89" i="32" s="1"/>
  <c r="O67" i="32"/>
  <c r="O93" i="32" s="1"/>
  <c r="N93" i="32"/>
  <c r="M96" i="32"/>
  <c r="P90" i="32"/>
  <c r="J25" i="5" s="1"/>
  <c r="R22" i="8"/>
  <c r="U22" i="8" s="1"/>
  <c r="B8" i="33"/>
  <c r="B13" i="33" s="1"/>
  <c r="G99" i="32"/>
  <c r="G125" i="32" s="1"/>
  <c r="F99" i="32"/>
  <c r="F125" i="32" s="1"/>
  <c r="J99" i="32"/>
  <c r="J125" i="32" s="1"/>
  <c r="H99" i="32"/>
  <c r="H125" i="32" s="1"/>
  <c r="I99" i="32"/>
  <c r="I125" i="32" s="1"/>
  <c r="N99" i="32"/>
  <c r="N125" i="32" s="1"/>
  <c r="M99" i="32"/>
  <c r="M125" i="32" s="1"/>
  <c r="L99" i="32"/>
  <c r="L125" i="32" s="1"/>
  <c r="K99" i="32"/>
  <c r="K125" i="32" s="1"/>
  <c r="N22" i="8"/>
  <c r="O22" i="8" s="1"/>
  <c r="R21" i="8"/>
  <c r="U21" i="8" s="1"/>
  <c r="I15" i="8"/>
  <c r="T15" i="8" s="1"/>
  <c r="T13" i="8"/>
  <c r="F26" i="17"/>
  <c r="J27" i="17"/>
  <c r="F27" i="17"/>
  <c r="E20" i="17"/>
  <c r="F20" i="17" s="1"/>
  <c r="J20" i="17" s="1"/>
  <c r="F12" i="17"/>
  <c r="J12" i="17" s="1"/>
  <c r="N96" i="32" l="1"/>
  <c r="P89" i="32"/>
  <c r="J24" i="5" s="1"/>
  <c r="P93" i="32"/>
  <c r="J27" i="5" s="1"/>
  <c r="O96" i="32"/>
  <c r="P91" i="32"/>
  <c r="J26" i="5" s="1"/>
  <c r="S22" i="8"/>
  <c r="S21" i="8"/>
  <c r="T29" i="8"/>
  <c r="J28" i="17"/>
  <c r="F28" i="17"/>
  <c r="F22" i="17"/>
  <c r="J22" i="17"/>
  <c r="F14" i="17"/>
  <c r="J26" i="17"/>
  <c r="J30" i="17" s="1"/>
  <c r="J14" i="17"/>
  <c r="F30" i="17"/>
  <c r="I46" i="14" l="1"/>
  <c r="J46" i="14" s="1"/>
  <c r="I47" i="14"/>
  <c r="J47" i="14" s="1"/>
  <c r="J49" i="14" l="1"/>
  <c r="I34" i="15" s="1"/>
  <c r="L656" i="43"/>
  <c r="L596" i="43"/>
  <c r="L715" i="43"/>
  <c r="I258" i="8"/>
  <c r="T258" i="8" s="1"/>
  <c r="L594" i="35"/>
  <c r="N594" i="35" s="1"/>
  <c r="L713" i="35"/>
  <c r="N713" i="35" s="1"/>
  <c r="N723" i="35" s="1"/>
  <c r="Q723" i="35" s="1"/>
  <c r="L654" i="35"/>
  <c r="N654" i="35" s="1"/>
  <c r="T281" i="8"/>
  <c r="I194" i="8"/>
  <c r="T194" i="8" s="1"/>
  <c r="T213" i="8" s="1"/>
  <c r="I224" i="8"/>
  <c r="T224" i="8" s="1"/>
  <c r="T247" i="8" s="1"/>
  <c r="Q186" i="8"/>
  <c r="Q250" i="8"/>
  <c r="Q252" i="8"/>
  <c r="Q255" i="8"/>
  <c r="Q251" i="8"/>
  <c r="Q187" i="8"/>
  <c r="Q188" i="8"/>
  <c r="Q189" i="8"/>
  <c r="L612" i="4" l="1"/>
  <c r="N612" i="4" s="1"/>
  <c r="N622" i="4" s="1"/>
  <c r="N715" i="43"/>
  <c r="N725" i="43" s="1"/>
  <c r="L509" i="4"/>
  <c r="N509" i="4" s="1"/>
  <c r="N519" i="4" s="1"/>
  <c r="N596" i="43"/>
  <c r="L560" i="4"/>
  <c r="H224" i="8" s="1"/>
  <c r="N656" i="43"/>
  <c r="H258" i="8"/>
  <c r="Q654" i="35"/>
  <c r="N665" i="35"/>
  <c r="Q665" i="35" s="1"/>
  <c r="N604" i="35"/>
  <c r="Q604" i="35" s="1"/>
  <c r="Q594" i="35"/>
  <c r="Q221" i="8"/>
  <c r="Q194" i="8"/>
  <c r="Q224" i="8"/>
  <c r="Q264" i="8"/>
  <c r="Q229" i="8"/>
  <c r="Q199" i="8"/>
  <c r="Q253" i="8"/>
  <c r="Q217" i="8"/>
  <c r="Q200" i="8"/>
  <c r="Q191" i="8"/>
  <c r="Q263" i="8"/>
  <c r="Q230" i="8"/>
  <c r="Q218" i="8"/>
  <c r="Q219" i="8"/>
  <c r="Q258" i="8"/>
  <c r="H194" i="8" l="1"/>
  <c r="N560" i="4"/>
  <c r="N571" i="4" s="1"/>
  <c r="N606" i="43"/>
  <c r="N667" i="43"/>
  <c r="Q281" i="8"/>
  <c r="Q213" i="8"/>
  <c r="Q247" i="8"/>
  <c r="Q59" i="8"/>
  <c r="Q63" i="8"/>
  <c r="Q60" i="8"/>
  <c r="T125" i="8" l="1"/>
  <c r="T89" i="8"/>
  <c r="T48" i="8"/>
  <c r="T55" i="8" s="1"/>
  <c r="T65" i="8" l="1"/>
  <c r="T67" i="8" s="1"/>
  <c r="U89" i="8"/>
  <c r="T138" i="8"/>
  <c r="U125" i="8"/>
  <c r="Q48" i="8" l="1"/>
  <c r="Q55" i="8" s="1"/>
  <c r="Q65" i="8"/>
  <c r="Q67" i="8" s="1"/>
  <c r="R48" i="8" l="1"/>
  <c r="N48" i="8"/>
  <c r="O48" i="8" s="1"/>
  <c r="N274" i="8"/>
  <c r="O274" i="8" s="1"/>
  <c r="N240" i="8"/>
  <c r="O240" i="8" s="1"/>
  <c r="N206" i="8"/>
  <c r="O206" i="8" s="1"/>
  <c r="R65" i="8" l="1"/>
  <c r="N65" i="8"/>
  <c r="O65" i="8" s="1"/>
  <c r="U48" i="8"/>
  <c r="S48" i="8"/>
  <c r="R264" i="8" l="1"/>
  <c r="N264" i="8"/>
  <c r="O264" i="8" s="1"/>
  <c r="N230" i="8"/>
  <c r="O230" i="8" s="1"/>
  <c r="R230" i="8"/>
  <c r="U65" i="8"/>
  <c r="S65" i="8"/>
  <c r="N199" i="8"/>
  <c r="O199" i="8" s="1"/>
  <c r="R199" i="8"/>
  <c r="N263" i="8"/>
  <c r="O263" i="8" s="1"/>
  <c r="R263" i="8"/>
  <c r="N194" i="8"/>
  <c r="O194" i="8" s="1"/>
  <c r="R194" i="8"/>
  <c r="N200" i="8"/>
  <c r="O200" i="8" s="1"/>
  <c r="R200" i="8"/>
  <c r="N258" i="8"/>
  <c r="O258" i="8" s="1"/>
  <c r="R258" i="8"/>
  <c r="N229" i="8"/>
  <c r="O229" i="8" s="1"/>
  <c r="R229" i="8"/>
  <c r="N224" i="8"/>
  <c r="O224" i="8" s="1"/>
  <c r="R224" i="8"/>
  <c r="U200" i="8" l="1"/>
  <c r="S200" i="8"/>
  <c r="U258" i="8"/>
  <c r="S258" i="8"/>
  <c r="U229" i="8"/>
  <c r="S229" i="8"/>
  <c r="S194" i="8"/>
  <c r="U194" i="8"/>
  <c r="S224" i="8"/>
  <c r="U224" i="8"/>
  <c r="U230" i="8"/>
  <c r="S230" i="8"/>
  <c r="U264" i="8"/>
  <c r="S264" i="8"/>
  <c r="U263" i="8"/>
  <c r="S263" i="8"/>
  <c r="U199" i="8"/>
  <c r="S199" i="8"/>
  <c r="F68" i="4" l="1"/>
  <c r="F127" i="4"/>
  <c r="L127" i="4"/>
  <c r="F464" i="4"/>
  <c r="F216" i="4"/>
  <c r="L316" i="4"/>
  <c r="L464" i="4"/>
  <c r="L365" i="4"/>
  <c r="L551" i="4"/>
  <c r="F365" i="4"/>
  <c r="L265" i="4"/>
  <c r="L499" i="4"/>
  <c r="L68" i="4"/>
  <c r="F265" i="4"/>
  <c r="F316" i="4"/>
  <c r="F499" i="4"/>
  <c r="F162" i="4"/>
  <c r="F551" i="4"/>
  <c r="L162" i="4"/>
  <c r="L216" i="4"/>
  <c r="F602" i="4"/>
  <c r="F417" i="4"/>
  <c r="L602" i="4"/>
  <c r="L417" i="4"/>
  <c r="D216" i="4"/>
  <c r="D127" i="4"/>
  <c r="D265" i="4"/>
  <c r="D551" i="4"/>
  <c r="D316" i="4"/>
  <c r="D365" i="4"/>
  <c r="D417" i="4"/>
  <c r="D499" i="4"/>
  <c r="D162" i="4"/>
  <c r="D464" i="4"/>
  <c r="D602" i="4"/>
  <c r="D68" i="4"/>
  <c r="N45" i="4"/>
  <c r="N48" i="4"/>
  <c r="N49" i="4"/>
  <c r="F18" i="6" l="1"/>
  <c r="J16" i="24" s="1"/>
  <c r="G18" i="6" l="1"/>
  <c r="J17" i="24" s="1"/>
  <c r="J18" i="24" l="1"/>
  <c r="J24" i="24" s="1"/>
  <c r="J44" i="24" s="1"/>
  <c r="H18" i="6"/>
  <c r="F16" i="2" s="1"/>
  <c r="Y10" i="22" l="1"/>
  <c r="Y10" i="40"/>
  <c r="AA10" i="40" s="1"/>
  <c r="AA99" i="40" s="1"/>
  <c r="I20" i="36"/>
  <c r="H16" i="2"/>
  <c r="L16" i="2" s="1"/>
  <c r="F20" i="31"/>
  <c r="F22" i="31" s="1"/>
  <c r="Y99" i="40" l="1"/>
  <c r="AA10" i="22"/>
  <c r="Y99" i="22"/>
  <c r="AA99" i="22" s="1"/>
  <c r="F24" i="31"/>
  <c r="F25" i="31" l="1"/>
  <c r="F30" i="31"/>
  <c r="F31" i="31" s="1"/>
  <c r="F32" i="31" s="1"/>
  <c r="N104" i="4"/>
  <c r="H109" i="4"/>
  <c r="N106" i="4"/>
  <c r="E20" i="36" l="1"/>
  <c r="F19" i="6"/>
  <c r="F34" i="31"/>
  <c r="F29" i="6" l="1"/>
  <c r="F34" i="6" s="1"/>
  <c r="K16" i="24"/>
  <c r="I16" i="24" s="1"/>
  <c r="F35" i="31"/>
  <c r="X16" i="24" l="1"/>
  <c r="F16" i="24"/>
  <c r="AF16" i="24" s="1"/>
  <c r="L235" i="4"/>
  <c r="N235" i="4" s="1"/>
  <c r="H95" i="8"/>
  <c r="L231" i="4"/>
  <c r="N231" i="4" s="1"/>
  <c r="L192" i="4"/>
  <c r="N192" i="4" s="1"/>
  <c r="L187" i="4"/>
  <c r="N187" i="4" s="1"/>
  <c r="H83" i="8"/>
  <c r="L234" i="4"/>
  <c r="N234" i="4" s="1"/>
  <c r="L230" i="4"/>
  <c r="L194" i="4"/>
  <c r="N194" i="4" s="1"/>
  <c r="H82" i="8"/>
  <c r="L189" i="4"/>
  <c r="N189" i="4" s="1"/>
  <c r="L229" i="4"/>
  <c r="N229" i="4" s="1"/>
  <c r="L233" i="4"/>
  <c r="N233" i="4" s="1"/>
  <c r="H93" i="8"/>
  <c r="L193" i="4"/>
  <c r="N193" i="4" s="1"/>
  <c r="L188" i="4"/>
  <c r="N188" i="4" s="1"/>
  <c r="H84" i="8"/>
  <c r="N230" i="4" l="1"/>
  <c r="N84" i="8"/>
  <c r="O84" i="8" s="1"/>
  <c r="R84" i="8"/>
  <c r="R93" i="8"/>
  <c r="N93" i="8"/>
  <c r="O93" i="8" s="1"/>
  <c r="H94" i="8"/>
  <c r="N83" i="8"/>
  <c r="O83" i="8" s="1"/>
  <c r="R83" i="8"/>
  <c r="R82" i="8"/>
  <c r="N82" i="8"/>
  <c r="O82" i="8" s="1"/>
  <c r="U84" i="8" l="1"/>
  <c r="S84" i="8"/>
  <c r="R94" i="8"/>
  <c r="N94" i="8"/>
  <c r="O94" i="8" s="1"/>
  <c r="U82" i="8"/>
  <c r="S82" i="8"/>
  <c r="S93" i="8"/>
  <c r="U93" i="8"/>
  <c r="S83" i="8"/>
  <c r="U83" i="8"/>
  <c r="S94" i="8" l="1"/>
  <c r="U94" i="8"/>
  <c r="N425" i="4" l="1"/>
  <c r="L433" i="4"/>
  <c r="N433" i="4" s="1"/>
  <c r="N429" i="4" l="1"/>
  <c r="H20" i="8" l="1"/>
  <c r="H19" i="8"/>
  <c r="R19" i="8" s="1"/>
  <c r="N26" i="4"/>
  <c r="N27" i="4"/>
  <c r="N20" i="8" l="1"/>
  <c r="O20" i="8" s="1"/>
  <c r="B7" i="33"/>
  <c r="B12" i="33" s="1"/>
  <c r="B18" i="33" s="1"/>
  <c r="E99" i="32"/>
  <c r="E125" i="32" s="1"/>
  <c r="D99" i="32"/>
  <c r="D125" i="32" s="1"/>
  <c r="O99" i="32"/>
  <c r="O125" i="32" s="1"/>
  <c r="R20" i="8"/>
  <c r="S20" i="8" s="1"/>
  <c r="N19" i="8"/>
  <c r="O19" i="8" s="1"/>
  <c r="S19" i="8"/>
  <c r="U19" i="8"/>
  <c r="H24" i="8"/>
  <c r="N38" i="4"/>
  <c r="R24" i="8" l="1"/>
  <c r="U24" i="8" s="1"/>
  <c r="B9" i="33"/>
  <c r="B14" i="33" s="1"/>
  <c r="U20" i="8"/>
  <c r="P125" i="32"/>
  <c r="Q125" i="32" s="1"/>
  <c r="F21" i="5" s="1"/>
  <c r="N24" i="8"/>
  <c r="O24" i="8" s="1"/>
  <c r="H23" i="8"/>
  <c r="N39" i="4"/>
  <c r="N37" i="4"/>
  <c r="H25" i="8"/>
  <c r="B10" i="33" s="1"/>
  <c r="B15" i="33" s="1"/>
  <c r="S24" i="8" l="1"/>
  <c r="B19" i="33"/>
  <c r="B20" i="33" s="1"/>
  <c r="B22" i="33" s="1"/>
  <c r="R25" i="8"/>
  <c r="N25" i="8"/>
  <c r="O25" i="8" s="1"/>
  <c r="R23" i="8"/>
  <c r="N23" i="8"/>
  <c r="O23" i="8" s="1"/>
  <c r="I27" i="8" l="1"/>
  <c r="N42" i="4"/>
  <c r="U23" i="8"/>
  <c r="S23" i="8"/>
  <c r="U25" i="8"/>
  <c r="S25" i="8"/>
  <c r="L42" i="4" l="1"/>
  <c r="I21" i="5" l="1"/>
  <c r="J49" i="24" l="1"/>
  <c r="K18" i="6"/>
  <c r="M20" i="36" s="1"/>
  <c r="K21" i="5"/>
  <c r="M16" i="2" s="1"/>
  <c r="D32" i="5" l="1"/>
  <c r="V37" i="2"/>
  <c r="V39" i="2"/>
  <c r="D33" i="5" l="1"/>
  <c r="J33" i="2" l="1"/>
  <c r="J41" i="2" s="1"/>
  <c r="N342" i="4" l="1"/>
  <c r="G23" i="6"/>
  <c r="G20" i="6"/>
  <c r="G27" i="6"/>
  <c r="G24" i="6"/>
  <c r="H24" i="6" s="1"/>
  <c r="G26" i="6"/>
  <c r="H26" i="6" s="1"/>
  <c r="G25" i="6"/>
  <c r="H25" i="6" s="1"/>
  <c r="G21" i="6"/>
  <c r="G22" i="6"/>
  <c r="H27" i="6" l="1"/>
  <c r="F31" i="2" s="1"/>
  <c r="P17" i="24"/>
  <c r="P18" i="24" s="1"/>
  <c r="P24" i="24" s="1"/>
  <c r="H23" i="6"/>
  <c r="Y55" i="40" s="1"/>
  <c r="O17" i="24"/>
  <c r="O18" i="24" s="1"/>
  <c r="O24" i="24" s="1"/>
  <c r="O44" i="24" s="1"/>
  <c r="H21" i="6"/>
  <c r="I23" i="36" s="1"/>
  <c r="M17" i="24"/>
  <c r="M18" i="24" s="1"/>
  <c r="M24" i="24" s="1"/>
  <c r="H22" i="6"/>
  <c r="I24" i="36" s="1"/>
  <c r="N17" i="24"/>
  <c r="N18" i="24" s="1"/>
  <c r="N24" i="24" s="1"/>
  <c r="H20" i="6"/>
  <c r="F21" i="2" s="1"/>
  <c r="H21" i="2" s="1"/>
  <c r="L21" i="2" s="1"/>
  <c r="L17" i="24"/>
  <c r="L18" i="24" s="1"/>
  <c r="L24" i="24" s="1"/>
  <c r="F24" i="2"/>
  <c r="H24" i="2" s="1"/>
  <c r="L24" i="2" s="1"/>
  <c r="Y57" i="40"/>
  <c r="Y57" i="22"/>
  <c r="Y37" i="22"/>
  <c r="Y37" i="40"/>
  <c r="I25" i="36"/>
  <c r="Y55" i="22"/>
  <c r="I26" i="36"/>
  <c r="Y43" i="40" l="1"/>
  <c r="F27" i="2"/>
  <c r="H27" i="2" s="1"/>
  <c r="L27" i="2" s="1"/>
  <c r="Y43" i="22"/>
  <c r="Y24" i="40"/>
  <c r="Y24" i="22"/>
  <c r="P44" i="24"/>
  <c r="K20" i="31"/>
  <c r="I22" i="36"/>
  <c r="N44" i="24"/>
  <c r="J20" i="31"/>
  <c r="M44" i="24"/>
  <c r="I20" i="31"/>
  <c r="L44" i="24"/>
  <c r="H20" i="31"/>
  <c r="Y103" i="40"/>
  <c r="AA43" i="40"/>
  <c r="AA103" i="40" s="1"/>
  <c r="Y104" i="40"/>
  <c r="AA55" i="40"/>
  <c r="AA104" i="40" s="1"/>
  <c r="Y101" i="40"/>
  <c r="AA24" i="40"/>
  <c r="AA101" i="40" s="1"/>
  <c r="Y102" i="40"/>
  <c r="AA37" i="40"/>
  <c r="Y105" i="40"/>
  <c r="AA57" i="40"/>
  <c r="AA105" i="40" s="1"/>
  <c r="AA24" i="22"/>
  <c r="Y101" i="22"/>
  <c r="AA101" i="22" s="1"/>
  <c r="AA43" i="22"/>
  <c r="Y103" i="22"/>
  <c r="AA103" i="22" s="1"/>
  <c r="AA55" i="22"/>
  <c r="Y104" i="22"/>
  <c r="AA104" i="22" s="1"/>
  <c r="AA37" i="22"/>
  <c r="Y102" i="22"/>
  <c r="AA102" i="22" s="1"/>
  <c r="AA57" i="22"/>
  <c r="Y105" i="22"/>
  <c r="AA105" i="22" s="1"/>
  <c r="K22" i="31" l="1"/>
  <c r="K24" i="31" s="1"/>
  <c r="J22" i="31"/>
  <c r="J24" i="31" s="1"/>
  <c r="I22" i="31"/>
  <c r="I24" i="31" s="1"/>
  <c r="H22" i="31"/>
  <c r="H24" i="31" s="1"/>
  <c r="AA102" i="40"/>
  <c r="K25" i="31" l="1"/>
  <c r="E26" i="36" s="1"/>
  <c r="K30" i="31"/>
  <c r="K31" i="31" s="1"/>
  <c r="K32" i="31" s="1"/>
  <c r="K34" i="31" s="1"/>
  <c r="K35" i="31" s="1"/>
  <c r="I25" i="31"/>
  <c r="I30" i="31"/>
  <c r="I31" i="31" s="1"/>
  <c r="I32" i="31" s="1"/>
  <c r="I34" i="31" s="1"/>
  <c r="I35" i="31" s="1"/>
  <c r="J25" i="31"/>
  <c r="J30" i="31"/>
  <c r="J31" i="31" s="1"/>
  <c r="J32" i="31" s="1"/>
  <c r="J34" i="31" s="1"/>
  <c r="J35" i="31" s="1"/>
  <c r="H25" i="31"/>
  <c r="E22" i="36" s="1"/>
  <c r="H30" i="31"/>
  <c r="H31" i="31" s="1"/>
  <c r="H32" i="31" s="1"/>
  <c r="H34" i="31" s="1"/>
  <c r="H35" i="31" s="1"/>
  <c r="L41" i="31"/>
  <c r="E25" i="36" l="1"/>
  <c r="E24" i="36"/>
  <c r="E23" i="36"/>
  <c r="L43" i="31"/>
  <c r="L44" i="31" l="1"/>
  <c r="R30" i="36" s="1"/>
  <c r="L49" i="31"/>
  <c r="L50" i="31" s="1"/>
  <c r="L51" i="31" l="1"/>
  <c r="L53" i="31" l="1"/>
  <c r="L54" i="31" l="1"/>
  <c r="M21" i="2" l="1"/>
  <c r="M24" i="2"/>
  <c r="M27" i="2"/>
  <c r="D33" i="2"/>
  <c r="D41" i="2" s="1"/>
  <c r="H31" i="2" l="1"/>
  <c r="L31" i="2" s="1"/>
  <c r="M31" i="2" l="1"/>
  <c r="N139" i="35" l="1"/>
  <c r="H38" i="35" l="1"/>
  <c r="H42" i="35" s="1"/>
  <c r="D40" i="35"/>
  <c r="H50" i="35" l="1"/>
  <c r="D42" i="35"/>
  <c r="F42" i="35" s="1"/>
  <c r="C41" i="41" l="1"/>
  <c r="C37" i="41"/>
  <c r="C39" i="41"/>
  <c r="C40" i="41"/>
  <c r="C38" i="41"/>
  <c r="I37" i="41" l="1"/>
  <c r="E37" i="41"/>
  <c r="J37" i="41"/>
  <c r="M37" i="41"/>
  <c r="D37" i="41"/>
  <c r="O37" i="41"/>
  <c r="L37" i="41"/>
  <c r="H37" i="41"/>
  <c r="F37" i="41"/>
  <c r="K37" i="41"/>
  <c r="G37" i="41"/>
  <c r="N37" i="41"/>
  <c r="J38" i="41"/>
  <c r="E38" i="41"/>
  <c r="F38" i="41"/>
  <c r="O38" i="41"/>
  <c r="D38" i="41"/>
  <c r="M38" i="41"/>
  <c r="L38" i="41"/>
  <c r="N38" i="41"/>
  <c r="I38" i="41"/>
  <c r="G38" i="41"/>
  <c r="H38" i="41"/>
  <c r="K38" i="41"/>
  <c r="I39" i="41"/>
  <c r="J39" i="41"/>
  <c r="G39" i="41"/>
  <c r="H39" i="41"/>
  <c r="M39" i="41"/>
  <c r="L39" i="41"/>
  <c r="F39" i="41"/>
  <c r="K39" i="41"/>
  <c r="D39" i="41"/>
  <c r="E39" i="41"/>
  <c r="N39" i="41"/>
  <c r="O39" i="41"/>
  <c r="O41" i="41"/>
  <c r="L41" i="41"/>
  <c r="G41" i="41"/>
  <c r="I41" i="41"/>
  <c r="K41" i="41"/>
  <c r="J41" i="41"/>
  <c r="H41" i="41"/>
  <c r="N41" i="41"/>
  <c r="E41" i="41"/>
  <c r="F41" i="41"/>
  <c r="D41" i="41"/>
  <c r="M41" i="41"/>
  <c r="N40" i="41"/>
  <c r="G40" i="41"/>
  <c r="H40" i="41"/>
  <c r="L40" i="41"/>
  <c r="E40" i="41"/>
  <c r="M40" i="41"/>
  <c r="O40" i="41"/>
  <c r="K40" i="41"/>
  <c r="F40" i="41"/>
  <c r="D40" i="41"/>
  <c r="J40" i="41"/>
  <c r="I40" i="41"/>
  <c r="N107" i="41" l="1"/>
  <c r="P38" i="41"/>
  <c r="Q38" i="41"/>
  <c r="D29" i="43" s="1"/>
  <c r="R38" i="41"/>
  <c r="D34" i="43" s="1"/>
  <c r="K107" i="41"/>
  <c r="R37" i="41"/>
  <c r="D33" i="43" s="1"/>
  <c r="F107" i="41"/>
  <c r="P39" i="41"/>
  <c r="H107" i="41"/>
  <c r="L107" i="41"/>
  <c r="O107" i="41"/>
  <c r="G107" i="41"/>
  <c r="P41" i="41"/>
  <c r="P37" i="41"/>
  <c r="D107" i="41"/>
  <c r="Q37" i="41"/>
  <c r="D28" i="43" s="1"/>
  <c r="M107" i="41"/>
  <c r="J107" i="41"/>
  <c r="E107" i="41"/>
  <c r="P40" i="41"/>
  <c r="I107" i="41"/>
  <c r="D42" i="43" l="1"/>
  <c r="N40" i="43" s="1"/>
  <c r="J28" i="43"/>
  <c r="D30" i="43"/>
  <c r="H28" i="43"/>
  <c r="P107" i="41"/>
  <c r="H33" i="43"/>
  <c r="D35" i="43"/>
  <c r="J33" i="43"/>
  <c r="H40" i="43"/>
  <c r="H39" i="43"/>
  <c r="J34" i="43"/>
  <c r="N34" i="43" s="1"/>
  <c r="H34" i="43"/>
  <c r="J29" i="43"/>
  <c r="N29" i="43" s="1"/>
  <c r="H29" i="43"/>
  <c r="D44" i="43" l="1"/>
  <c r="J30" i="43"/>
  <c r="N28" i="43"/>
  <c r="J40" i="35"/>
  <c r="J42" i="35" s="1"/>
  <c r="N33" i="43"/>
  <c r="J35" i="43"/>
  <c r="N41" i="43"/>
  <c r="H41" i="43"/>
  <c r="H44" i="43" s="1"/>
  <c r="H52" i="43" l="1"/>
  <c r="F44" i="43"/>
  <c r="N39" i="43"/>
  <c r="N44" i="43" s="1"/>
  <c r="J42" i="43"/>
  <c r="J44" i="43" s="1"/>
  <c r="L44" i="43" l="1"/>
  <c r="H95" i="43" l="1"/>
  <c r="N96" i="43"/>
  <c r="D106" i="43"/>
  <c r="J106" i="43" l="1"/>
  <c r="N95" i="43"/>
  <c r="N97" i="43"/>
  <c r="H106" i="43"/>
  <c r="H115" i="43" s="1"/>
  <c r="D87" i="32" l="1"/>
  <c r="P87" i="32" s="1"/>
  <c r="J22" i="5" l="1"/>
  <c r="P96" i="32"/>
  <c r="D96" i="32"/>
  <c r="J31" i="5" l="1"/>
  <c r="J34" i="5" s="1"/>
  <c r="G19" i="6"/>
  <c r="K17" i="24" s="1"/>
  <c r="H19" i="6" l="1"/>
  <c r="G29" i="6"/>
  <c r="G34" i="6" s="1"/>
  <c r="I21" i="36"/>
  <c r="F18" i="2"/>
  <c r="Y22" i="22"/>
  <c r="H29" i="6"/>
  <c r="H34" i="6" s="1"/>
  <c r="Y22" i="40"/>
  <c r="I17" i="24"/>
  <c r="K18" i="24"/>
  <c r="K24" i="24" s="1"/>
  <c r="I18" i="24" l="1"/>
  <c r="I24" i="24" s="1"/>
  <c r="I44" i="24" s="1"/>
  <c r="X17" i="24"/>
  <c r="F17" i="24"/>
  <c r="F18" i="24" s="1"/>
  <c r="F24" i="24" s="1"/>
  <c r="F44" i="24" s="1"/>
  <c r="Y100" i="40"/>
  <c r="Y107" i="40" s="1"/>
  <c r="AA22" i="40"/>
  <c r="Y95" i="40"/>
  <c r="K44" i="24"/>
  <c r="G20" i="31"/>
  <c r="H18" i="2"/>
  <c r="F33" i="2"/>
  <c r="F41" i="2" s="1"/>
  <c r="Y100" i="22"/>
  <c r="AA22" i="22"/>
  <c r="Y95" i="22"/>
  <c r="I27" i="36"/>
  <c r="I33" i="36" s="1"/>
  <c r="Y109" i="40" l="1"/>
  <c r="AA95" i="22"/>
  <c r="AA100" i="22"/>
  <c r="Y107" i="22"/>
  <c r="AA107" i="22" s="1"/>
  <c r="AA95" i="40"/>
  <c r="AA100" i="40"/>
  <c r="AA107" i="40" s="1"/>
  <c r="U44" i="24"/>
  <c r="L18" i="2"/>
  <c r="H33" i="2"/>
  <c r="H41" i="2" s="1"/>
  <c r="AF17" i="24"/>
  <c r="AF18" i="24" s="1"/>
  <c r="X18" i="24"/>
  <c r="G22" i="31"/>
  <c r="E20" i="31"/>
  <c r="G24" i="31" l="1"/>
  <c r="M18" i="2"/>
  <c r="L33" i="2"/>
  <c r="Y109" i="22"/>
  <c r="E22" i="31"/>
  <c r="L41" i="2" l="1"/>
  <c r="M41" i="2" s="1"/>
  <c r="M33" i="2"/>
  <c r="M34" i="2" s="1"/>
  <c r="P18" i="2" s="1"/>
  <c r="G25" i="31"/>
  <c r="G30" i="31"/>
  <c r="G31" i="31" s="1"/>
  <c r="G32" i="31" s="1"/>
  <c r="G34" i="31" s="1"/>
  <c r="G35" i="31" s="1"/>
  <c r="E24" i="31"/>
  <c r="E21" i="36" l="1"/>
  <c r="O18" i="2"/>
  <c r="R18" i="2" s="1"/>
  <c r="P27" i="2"/>
  <c r="P31" i="2"/>
  <c r="P16" i="2"/>
  <c r="P24" i="2"/>
  <c r="P21" i="2"/>
  <c r="E25" i="31"/>
  <c r="M26" i="31" s="1"/>
  <c r="E30" i="31"/>
  <c r="E23" i="31"/>
  <c r="E31" i="31" l="1"/>
  <c r="O31" i="2"/>
  <c r="R31" i="2"/>
  <c r="H26" i="31"/>
  <c r="E33" i="36"/>
  <c r="K26" i="31"/>
  <c r="I26" i="31"/>
  <c r="E26" i="31"/>
  <c r="F26" i="31"/>
  <c r="E27" i="36"/>
  <c r="J26" i="31"/>
  <c r="L26" i="31"/>
  <c r="O24" i="2"/>
  <c r="R24" i="2" s="1"/>
  <c r="O27" i="2"/>
  <c r="R27" i="2"/>
  <c r="O21" i="2"/>
  <c r="R21" i="2"/>
  <c r="O16" i="2"/>
  <c r="R16" i="2" s="1"/>
  <c r="G26" i="31"/>
  <c r="R33" i="2" l="1"/>
  <c r="R41" i="2" s="1"/>
  <c r="F26" i="36"/>
  <c r="F23" i="36"/>
  <c r="F25" i="36"/>
  <c r="F24" i="36"/>
  <c r="F20" i="36"/>
  <c r="F30" i="36"/>
  <c r="F31" i="36"/>
  <c r="F22" i="36"/>
  <c r="F21" i="36"/>
  <c r="E32" i="31"/>
  <c r="O33" i="2"/>
  <c r="P33" i="2" l="1"/>
  <c r="O41" i="2"/>
  <c r="P41" i="2" s="1"/>
  <c r="S34" i="2"/>
  <c r="E34" i="31"/>
  <c r="E35" i="31" l="1"/>
  <c r="S18" i="2"/>
  <c r="U18" i="2" s="1"/>
  <c r="S21" i="2"/>
  <c r="U21" i="2" s="1"/>
  <c r="S16" i="2"/>
  <c r="S24" i="2"/>
  <c r="U24" i="2" s="1"/>
  <c r="S31" i="2"/>
  <c r="U31" i="2" s="1"/>
  <c r="S27" i="2"/>
  <c r="U27" i="2" s="1"/>
  <c r="V31" i="2" l="1"/>
  <c r="L528" i="43" s="1"/>
  <c r="X31" i="2"/>
  <c r="N545" i="43"/>
  <c r="Q545" i="43" s="1"/>
  <c r="N543" i="35"/>
  <c r="Q543" i="35" s="1"/>
  <c r="S33" i="2"/>
  <c r="S41" i="2" s="1"/>
  <c r="U16" i="2"/>
  <c r="X27" i="2"/>
  <c r="V27" i="2"/>
  <c r="X21" i="2"/>
  <c r="N158" i="43"/>
  <c r="Q158" i="43" s="1"/>
  <c r="V21" i="2"/>
  <c r="N156" i="35"/>
  <c r="Q156" i="35" s="1"/>
  <c r="X24" i="2"/>
  <c r="V24" i="2"/>
  <c r="N119" i="43"/>
  <c r="Q119" i="43" s="1"/>
  <c r="V18" i="2"/>
  <c r="N117" i="35"/>
  <c r="Q117" i="35" s="1"/>
  <c r="X18" i="2"/>
  <c r="L81" i="43" l="1"/>
  <c r="L77" i="35"/>
  <c r="L79" i="43"/>
  <c r="L88" i="35"/>
  <c r="L79" i="35"/>
  <c r="L78" i="35"/>
  <c r="L80" i="43"/>
  <c r="L93" i="35"/>
  <c r="L90" i="43"/>
  <c r="L94" i="35"/>
  <c r="L95" i="35"/>
  <c r="L147" i="43"/>
  <c r="L145" i="35"/>
  <c r="N145" i="35" s="1"/>
  <c r="L140" i="35"/>
  <c r="N140" i="35" s="1"/>
  <c r="L142" i="43"/>
  <c r="L141" i="43"/>
  <c r="L471" i="35"/>
  <c r="L729" i="43"/>
  <c r="L312" i="35"/>
  <c r="L306" i="43"/>
  <c r="L671" i="43"/>
  <c r="L650" i="43"/>
  <c r="N742" i="43"/>
  <c r="Q742" i="43" s="1"/>
  <c r="L468" i="43"/>
  <c r="N684" i="43"/>
  <c r="Q684" i="43" s="1"/>
  <c r="L707" i="35"/>
  <c r="N707" i="35" s="1"/>
  <c r="L708" i="43"/>
  <c r="L648" i="35"/>
  <c r="N648" i="35" s="1"/>
  <c r="L727" i="35"/>
  <c r="H250" i="8"/>
  <c r="L409" i="43"/>
  <c r="L472" i="35"/>
  <c r="L473" i="35"/>
  <c r="L295" i="43"/>
  <c r="L408" i="43"/>
  <c r="L417" i="35"/>
  <c r="L293" i="35"/>
  <c r="L466" i="35"/>
  <c r="L311" i="35"/>
  <c r="L669" i="35"/>
  <c r="L349" i="35"/>
  <c r="L651" i="43"/>
  <c r="L296" i="43"/>
  <c r="L351" i="43"/>
  <c r="L355" i="35"/>
  <c r="L708" i="35"/>
  <c r="N708" i="35" s="1"/>
  <c r="L419" i="43"/>
  <c r="L356" i="35"/>
  <c r="L354" i="35"/>
  <c r="N380" i="35"/>
  <c r="L295" i="35"/>
  <c r="L297" i="43"/>
  <c r="L310" i="35"/>
  <c r="H216" i="8"/>
  <c r="N382" i="43"/>
  <c r="L408" i="35"/>
  <c r="L423" i="35"/>
  <c r="L304" i="35"/>
  <c r="L294" i="35"/>
  <c r="L424" i="35"/>
  <c r="L710" i="43"/>
  <c r="L407" i="35"/>
  <c r="L706" i="35"/>
  <c r="N706" i="35" s="1"/>
  <c r="H219" i="8"/>
  <c r="L406" i="35"/>
  <c r="N682" i="35"/>
  <c r="L425" i="35"/>
  <c r="N740" i="35"/>
  <c r="L410" i="43"/>
  <c r="L649" i="35"/>
  <c r="N649" i="35" s="1"/>
  <c r="N54" i="35"/>
  <c r="Q54" i="35" s="1"/>
  <c r="N56" i="43"/>
  <c r="Q56" i="43" s="1"/>
  <c r="V16" i="2"/>
  <c r="X16" i="2"/>
  <c r="X33" i="2" s="1"/>
  <c r="X41" i="2" s="1"/>
  <c r="U33" i="2"/>
  <c r="L178" i="35"/>
  <c r="N622" i="35"/>
  <c r="L610" i="43"/>
  <c r="L591" i="43"/>
  <c r="L589" i="43"/>
  <c r="L180" i="43"/>
  <c r="L189" i="35"/>
  <c r="L241" i="35"/>
  <c r="L180" i="35"/>
  <c r="L590" i="43"/>
  <c r="L587" i="35"/>
  <c r="N587" i="35" s="1"/>
  <c r="L196" i="35"/>
  <c r="N624" i="43"/>
  <c r="L236" i="35"/>
  <c r="L588" i="35"/>
  <c r="N588" i="35" s="1"/>
  <c r="L191" i="43"/>
  <c r="L238" i="43"/>
  <c r="L181" i="43"/>
  <c r="H186" i="8"/>
  <c r="L182" i="43"/>
  <c r="L242" i="35"/>
  <c r="L589" i="35"/>
  <c r="N589" i="35" s="1"/>
  <c r="L195" i="35"/>
  <c r="L197" i="35"/>
  <c r="L179" i="35"/>
  <c r="L608" i="35"/>
  <c r="L243" i="35"/>
  <c r="L534" i="43"/>
  <c r="L532" i="35"/>
  <c r="N532" i="35" s="1"/>
  <c r="L526" i="35"/>
  <c r="N526" i="35" s="1"/>
  <c r="L527" i="35"/>
  <c r="N527" i="35" s="1"/>
  <c r="L529" i="43"/>
  <c r="N709" i="35" l="1"/>
  <c r="N243" i="35"/>
  <c r="L251" i="35"/>
  <c r="N251" i="35" s="1"/>
  <c r="L247" i="35"/>
  <c r="N247" i="35" s="1"/>
  <c r="L609" i="35"/>
  <c r="N609" i="35" s="1"/>
  <c r="J615" i="35" s="1"/>
  <c r="N615" i="35" s="1"/>
  <c r="N608" i="35"/>
  <c r="N424" i="35"/>
  <c r="L428" i="35"/>
  <c r="L670" i="35"/>
  <c r="N670" i="35" s="1"/>
  <c r="J675" i="35" s="1"/>
  <c r="N675" i="35" s="1"/>
  <c r="N669" i="35"/>
  <c r="N197" i="35"/>
  <c r="L202" i="35"/>
  <c r="N202" i="35" s="1"/>
  <c r="L207" i="35"/>
  <c r="N207" i="35" s="1"/>
  <c r="L709" i="43"/>
  <c r="L504" i="4"/>
  <c r="N591" i="43"/>
  <c r="L298" i="35"/>
  <c r="N298" i="35" s="1"/>
  <c r="N294" i="35"/>
  <c r="N311" i="35"/>
  <c r="L315" i="35"/>
  <c r="N312" i="35"/>
  <c r="L316" i="35"/>
  <c r="L307" i="43"/>
  <c r="L309" i="43"/>
  <c r="N306" i="43"/>
  <c r="L308" i="43"/>
  <c r="L280" i="4"/>
  <c r="L205" i="35"/>
  <c r="N205" i="35" s="1"/>
  <c r="N195" i="35"/>
  <c r="L200" i="35"/>
  <c r="N200" i="35" s="1"/>
  <c r="N466" i="35"/>
  <c r="L468" i="35"/>
  <c r="N468" i="35" s="1"/>
  <c r="L467" i="35"/>
  <c r="N467" i="35" s="1"/>
  <c r="L626" i="4"/>
  <c r="L730" i="43"/>
  <c r="N730" i="43" s="1"/>
  <c r="J735" i="43" s="1"/>
  <c r="N735" i="43" s="1"/>
  <c r="N729" i="43"/>
  <c r="L523" i="4"/>
  <c r="N610" i="43"/>
  <c r="L611" i="43"/>
  <c r="N611" i="43" s="1"/>
  <c r="J617" i="43" s="1"/>
  <c r="N617" i="43" s="1"/>
  <c r="N304" i="35"/>
  <c r="L306" i="35"/>
  <c r="N306" i="35" s="1"/>
  <c r="L307" i="35"/>
  <c r="N307" i="35" s="1"/>
  <c r="L305" i="35"/>
  <c r="N305" i="35" s="1"/>
  <c r="Q622" i="35"/>
  <c r="N267" i="35"/>
  <c r="Q267" i="35" s="1"/>
  <c r="L427" i="35"/>
  <c r="N423" i="35"/>
  <c r="N293" i="35"/>
  <c r="L297" i="35"/>
  <c r="N297" i="35" s="1"/>
  <c r="L475" i="35"/>
  <c r="N471" i="35"/>
  <c r="N141" i="43"/>
  <c r="L131" i="4"/>
  <c r="L132" i="4"/>
  <c r="N142" i="43"/>
  <c r="L182" i="35"/>
  <c r="N182" i="35" s="1"/>
  <c r="N178" i="35"/>
  <c r="N182" i="43"/>
  <c r="L167" i="4"/>
  <c r="L186" i="43"/>
  <c r="N186" i="43" s="1"/>
  <c r="L368" i="4"/>
  <c r="N408" i="43"/>
  <c r="L412" i="43"/>
  <c r="N412" i="43" s="1"/>
  <c r="N186" i="8"/>
  <c r="O186" i="8" s="1"/>
  <c r="AC186" i="8"/>
  <c r="R186" i="8"/>
  <c r="AC216" i="8"/>
  <c r="N216" i="8"/>
  <c r="O216" i="8" s="1"/>
  <c r="L269" i="4"/>
  <c r="L299" i="43"/>
  <c r="N299" i="43" s="1"/>
  <c r="N295" i="43"/>
  <c r="N141" i="35"/>
  <c r="N181" i="43"/>
  <c r="L166" i="4"/>
  <c r="L185" i="43"/>
  <c r="N185" i="43" s="1"/>
  <c r="L38" i="35"/>
  <c r="N38" i="35" s="1"/>
  <c r="L39" i="35"/>
  <c r="N39" i="35" s="1"/>
  <c r="L31" i="35"/>
  <c r="L32" i="35"/>
  <c r="N32" i="35" s="1"/>
  <c r="L27" i="35"/>
  <c r="N27" i="35" s="1"/>
  <c r="L37" i="35"/>
  <c r="L17" i="35"/>
  <c r="L19" i="43"/>
  <c r="L26" i="35"/>
  <c r="N310" i="35"/>
  <c r="L314" i="35"/>
  <c r="N473" i="35"/>
  <c r="L477" i="35"/>
  <c r="L191" i="35"/>
  <c r="N191" i="35" s="1"/>
  <c r="L192" i="35"/>
  <c r="N192" i="35" s="1"/>
  <c r="L190" i="35"/>
  <c r="N190" i="35" s="1"/>
  <c r="N189" i="35"/>
  <c r="N408" i="35"/>
  <c r="L412" i="35"/>
  <c r="N412" i="35" s="1"/>
  <c r="N472" i="35"/>
  <c r="L476" i="35"/>
  <c r="N147" i="43"/>
  <c r="L137" i="4"/>
  <c r="L184" i="43"/>
  <c r="N184" i="43" s="1"/>
  <c r="L165" i="4"/>
  <c r="N180" i="43"/>
  <c r="N295" i="35"/>
  <c r="L299" i="35"/>
  <c r="N299" i="35" s="1"/>
  <c r="L413" i="43"/>
  <c r="N413" i="43" s="1"/>
  <c r="N409" i="43"/>
  <c r="L369" i="4"/>
  <c r="L99" i="35"/>
  <c r="N99" i="35" s="1"/>
  <c r="N95" i="35"/>
  <c r="L103" i="35"/>
  <c r="N103" i="35" s="1"/>
  <c r="L250" i="35"/>
  <c r="N250" i="35" s="1"/>
  <c r="N242" i="35"/>
  <c r="L246" i="35"/>
  <c r="N246" i="35" s="1"/>
  <c r="N250" i="8"/>
  <c r="O250" i="8" s="1"/>
  <c r="R250" i="8"/>
  <c r="AC250" i="8"/>
  <c r="L102" i="35"/>
  <c r="N102" i="35" s="1"/>
  <c r="L98" i="35"/>
  <c r="N98" i="35" s="1"/>
  <c r="N94" i="35"/>
  <c r="L370" i="4"/>
  <c r="N410" i="43"/>
  <c r="L414" i="43"/>
  <c r="N414" i="43" s="1"/>
  <c r="L84" i="4"/>
  <c r="N90" i="43"/>
  <c r="L91" i="43"/>
  <c r="N179" i="35"/>
  <c r="L183" i="35"/>
  <c r="N183" i="35" s="1"/>
  <c r="L239" i="43"/>
  <c r="N238" i="43"/>
  <c r="L220" i="4"/>
  <c r="L237" i="35"/>
  <c r="N236" i="35"/>
  <c r="Q624" i="43"/>
  <c r="N269" i="43"/>
  <c r="Q269" i="43" s="1"/>
  <c r="Q740" i="35"/>
  <c r="L360" i="35"/>
  <c r="N356" i="35"/>
  <c r="N650" i="35"/>
  <c r="Q650" i="35" s="1"/>
  <c r="L101" i="35"/>
  <c r="N101" i="35" s="1"/>
  <c r="L97" i="35"/>
  <c r="N97" i="35" s="1"/>
  <c r="N93" i="35"/>
  <c r="L271" i="4"/>
  <c r="L301" i="43"/>
  <c r="N301" i="43" s="1"/>
  <c r="N297" i="43"/>
  <c r="Q380" i="35"/>
  <c r="N496" i="35"/>
  <c r="Q496" i="35" s="1"/>
  <c r="N727" i="35"/>
  <c r="L728" i="35"/>
  <c r="N728" i="35" s="1"/>
  <c r="J733" i="35" s="1"/>
  <c r="N733" i="35" s="1"/>
  <c r="N425" i="35"/>
  <c r="L429" i="35"/>
  <c r="L421" i="43"/>
  <c r="L379" i="4"/>
  <c r="L420" i="43"/>
  <c r="L422" i="43"/>
  <c r="N419" i="43"/>
  <c r="L605" i="4"/>
  <c r="N708" i="43"/>
  <c r="L74" i="4"/>
  <c r="L84" i="43"/>
  <c r="N84" i="43" s="1"/>
  <c r="N80" i="43"/>
  <c r="V33" i="2"/>
  <c r="U41" i="2"/>
  <c r="V41" i="2" s="1"/>
  <c r="Q382" i="43"/>
  <c r="N498" i="43"/>
  <c r="Q498" i="43" s="1"/>
  <c r="L192" i="43"/>
  <c r="N191" i="43"/>
  <c r="L194" i="43"/>
  <c r="L176" i="4"/>
  <c r="L193" i="43"/>
  <c r="L358" i="35"/>
  <c r="N354" i="35"/>
  <c r="L468" i="4"/>
  <c r="N529" i="43"/>
  <c r="L201" i="35"/>
  <c r="N201" i="35" s="1"/>
  <c r="N196" i="35"/>
  <c r="L206" i="35"/>
  <c r="N206" i="35" s="1"/>
  <c r="N528" i="35"/>
  <c r="N590" i="35"/>
  <c r="Q590" i="35" s="1"/>
  <c r="Q682" i="35"/>
  <c r="N78" i="35"/>
  <c r="L82" i="35"/>
  <c r="N82" i="35" s="1"/>
  <c r="L502" i="4"/>
  <c r="N589" i="43"/>
  <c r="L418" i="35"/>
  <c r="N418" i="35" s="1"/>
  <c r="L419" i="35"/>
  <c r="N419" i="35" s="1"/>
  <c r="L420" i="35"/>
  <c r="N420" i="35" s="1"/>
  <c r="N417" i="35"/>
  <c r="L503" i="4"/>
  <c r="N590" i="43"/>
  <c r="L410" i="35"/>
  <c r="N410" i="35" s="1"/>
  <c r="N406" i="35"/>
  <c r="L359" i="35"/>
  <c r="N355" i="35"/>
  <c r="L83" i="35"/>
  <c r="N83" i="35" s="1"/>
  <c r="N79" i="35"/>
  <c r="L473" i="4"/>
  <c r="N534" i="43"/>
  <c r="L184" i="35"/>
  <c r="N184" i="35" s="1"/>
  <c r="N180" i="35"/>
  <c r="R219" i="8"/>
  <c r="AC219" i="8"/>
  <c r="N219" i="8"/>
  <c r="O219" i="8" s="1"/>
  <c r="L353" i="43"/>
  <c r="N353" i="43" s="1"/>
  <c r="N351" i="43"/>
  <c r="L352" i="43"/>
  <c r="N352" i="43" s="1"/>
  <c r="L320" i="4"/>
  <c r="L469" i="43"/>
  <c r="N469" i="43" s="1"/>
  <c r="N468" i="43"/>
  <c r="L420" i="4"/>
  <c r="L470" i="43"/>
  <c r="N470" i="43" s="1"/>
  <c r="N88" i="35"/>
  <c r="L89" i="35"/>
  <c r="N528" i="43"/>
  <c r="L467" i="4"/>
  <c r="N241" i="35"/>
  <c r="L245" i="35"/>
  <c r="N245" i="35" s="1"/>
  <c r="L249" i="35"/>
  <c r="N249" i="35" s="1"/>
  <c r="Q709" i="35"/>
  <c r="N296" i="43"/>
  <c r="L300" i="43"/>
  <c r="N300" i="43" s="1"/>
  <c r="L270" i="4"/>
  <c r="N79" i="43"/>
  <c r="L73" i="4"/>
  <c r="L83" i="43"/>
  <c r="N83" i="43" s="1"/>
  <c r="L411" i="35"/>
  <c r="N411" i="35" s="1"/>
  <c r="N407" i="35"/>
  <c r="N651" i="43"/>
  <c r="L555" i="4"/>
  <c r="L554" i="4"/>
  <c r="N650" i="43"/>
  <c r="N77" i="35"/>
  <c r="L81" i="35"/>
  <c r="N81" i="35" s="1"/>
  <c r="N710" i="43"/>
  <c r="L607" i="4"/>
  <c r="N349" i="35"/>
  <c r="L351" i="35"/>
  <c r="N351" i="35" s="1"/>
  <c r="L350" i="35"/>
  <c r="N350" i="35" s="1"/>
  <c r="N671" i="43"/>
  <c r="L672" i="43"/>
  <c r="N672" i="43" s="1"/>
  <c r="J677" i="43" s="1"/>
  <c r="N677" i="43" s="1"/>
  <c r="L575" i="4"/>
  <c r="L85" i="43"/>
  <c r="N85" i="43" s="1"/>
  <c r="L75" i="4"/>
  <c r="N81" i="43"/>
  <c r="N592" i="43" l="1"/>
  <c r="N86" i="43"/>
  <c r="N84" i="35"/>
  <c r="N652" i="43"/>
  <c r="N370" i="4"/>
  <c r="L374" i="4"/>
  <c r="N374" i="4" s="1"/>
  <c r="H143" i="8"/>
  <c r="N607" i="4"/>
  <c r="H252" i="8"/>
  <c r="H63" i="8"/>
  <c r="N137" i="4"/>
  <c r="N31" i="35"/>
  <c r="L171" i="4"/>
  <c r="H73" i="8"/>
  <c r="N167" i="4"/>
  <c r="L320" i="35"/>
  <c r="N320" i="35" s="1"/>
  <c r="N315" i="35"/>
  <c r="N369" i="4"/>
  <c r="L373" i="4"/>
  <c r="N373" i="4" s="1"/>
  <c r="H142" i="8"/>
  <c r="J676" i="43"/>
  <c r="N676" i="43" s="1"/>
  <c r="N678" i="43" s="1"/>
  <c r="N673" i="43"/>
  <c r="N473" i="4"/>
  <c r="H179" i="8"/>
  <c r="H107" i="8"/>
  <c r="L275" i="4"/>
  <c r="N275" i="4" s="1"/>
  <c r="N271" i="4"/>
  <c r="N187" i="43"/>
  <c r="N539" i="35"/>
  <c r="H35" i="8"/>
  <c r="N74" i="4"/>
  <c r="L78" i="4"/>
  <c r="N467" i="4"/>
  <c r="H175" i="8"/>
  <c r="H251" i="8"/>
  <c r="N605" i="4"/>
  <c r="N530" i="43"/>
  <c r="N360" i="35"/>
  <c r="L364" i="35"/>
  <c r="N364" i="35" s="1"/>
  <c r="L480" i="35"/>
  <c r="N480" i="35" s="1"/>
  <c r="N476" i="35"/>
  <c r="N185" i="35"/>
  <c r="N612" i="43"/>
  <c r="J615" i="43"/>
  <c r="N615" i="43" s="1"/>
  <c r="N618" i="43" s="1"/>
  <c r="N523" i="4"/>
  <c r="L524" i="4"/>
  <c r="N524" i="4" s="1"/>
  <c r="J530" i="4" s="1"/>
  <c r="N530" i="4" s="1"/>
  <c r="H191" i="8"/>
  <c r="N166" i="4"/>
  <c r="L170" i="4"/>
  <c r="H72" i="8"/>
  <c r="N731" i="43"/>
  <c r="J734" i="43"/>
  <c r="N734" i="43" s="1"/>
  <c r="N736" i="43" s="1"/>
  <c r="N379" i="4"/>
  <c r="H146" i="8"/>
  <c r="H60" i="8"/>
  <c r="N132" i="4"/>
  <c r="H189" i="8"/>
  <c r="N504" i="4"/>
  <c r="N359" i="35"/>
  <c r="L363" i="35"/>
  <c r="N363" i="35" s="1"/>
  <c r="L380" i="4"/>
  <c r="N380" i="4" s="1"/>
  <c r="N420" i="43"/>
  <c r="N554" i="4"/>
  <c r="H217" i="8"/>
  <c r="L362" i="35"/>
  <c r="N362" i="35" s="1"/>
  <c r="N358" i="35"/>
  <c r="N421" i="43"/>
  <c r="L381" i="4"/>
  <c r="N381" i="4" s="1"/>
  <c r="N211" i="35"/>
  <c r="N131" i="4"/>
  <c r="H59" i="8"/>
  <c r="N626" i="4"/>
  <c r="L627" i="4"/>
  <c r="N627" i="4" s="1"/>
  <c r="J632" i="4" s="1"/>
  <c r="N632" i="4" s="1"/>
  <c r="H255" i="8"/>
  <c r="N709" i="43"/>
  <c r="N711" i="43" s="1"/>
  <c r="L606" i="4"/>
  <c r="N484" i="43"/>
  <c r="H188" i="8"/>
  <c r="N503" i="4"/>
  <c r="L178" i="4"/>
  <c r="N178" i="4" s="1"/>
  <c r="N193" i="43"/>
  <c r="L435" i="35"/>
  <c r="N435" i="35" s="1"/>
  <c r="N429" i="35"/>
  <c r="N152" i="35"/>
  <c r="N143" i="43"/>
  <c r="H176" i="8"/>
  <c r="N468" i="4"/>
  <c r="H218" i="8"/>
  <c r="N555" i="4"/>
  <c r="N420" i="4"/>
  <c r="H161" i="8"/>
  <c r="L422" i="4"/>
  <c r="N422" i="4" s="1"/>
  <c r="L421" i="4"/>
  <c r="N421" i="4" s="1"/>
  <c r="N176" i="4"/>
  <c r="H80" i="8"/>
  <c r="L238" i="35"/>
  <c r="N238" i="35" s="1"/>
  <c r="J256" i="35" s="1"/>
  <c r="N256" i="35" s="1"/>
  <c r="N237" i="35"/>
  <c r="N302" i="43"/>
  <c r="N413" i="35"/>
  <c r="U250" i="8"/>
  <c r="S250" i="8"/>
  <c r="N320" i="4"/>
  <c r="H128" i="8"/>
  <c r="L322" i="4"/>
  <c r="N322" i="4" s="1"/>
  <c r="L321" i="4"/>
  <c r="N321" i="4" s="1"/>
  <c r="L179" i="4"/>
  <c r="N179" i="4" s="1"/>
  <c r="N194" i="43"/>
  <c r="H92" i="8"/>
  <c r="N220" i="4"/>
  <c r="L221" i="4"/>
  <c r="L479" i="35"/>
  <c r="N479" i="35" s="1"/>
  <c r="N475" i="35"/>
  <c r="J732" i="35"/>
  <c r="N732" i="35" s="1"/>
  <c r="N734" i="35" s="1"/>
  <c r="N729" i="35"/>
  <c r="N477" i="35"/>
  <c r="L481" i="35"/>
  <c r="N481" i="35" s="1"/>
  <c r="N269" i="4"/>
  <c r="H105" i="8"/>
  <c r="L273" i="4"/>
  <c r="N273" i="4" s="1"/>
  <c r="J674" i="35"/>
  <c r="N674" i="35" s="1"/>
  <c r="N676" i="35" s="1"/>
  <c r="N671" i="35"/>
  <c r="Q671" i="35" s="1"/>
  <c r="L77" i="4"/>
  <c r="H34" i="8"/>
  <c r="N73" i="4"/>
  <c r="N367" i="43"/>
  <c r="N192" i="43"/>
  <c r="L177" i="4"/>
  <c r="N177" i="4" s="1"/>
  <c r="L240" i="43"/>
  <c r="N240" i="43" s="1"/>
  <c r="N239" i="43"/>
  <c r="N300" i="35"/>
  <c r="L434" i="35"/>
  <c r="N434" i="35" s="1"/>
  <c r="N428" i="35"/>
  <c r="L382" i="4"/>
  <c r="N382" i="4" s="1"/>
  <c r="N422" i="43"/>
  <c r="H106" i="8"/>
  <c r="N270" i="4"/>
  <c r="L274" i="4"/>
  <c r="N274" i="4" s="1"/>
  <c r="U186" i="8"/>
  <c r="S186" i="8"/>
  <c r="N427" i="35"/>
  <c r="L433" i="35"/>
  <c r="N433" i="35" s="1"/>
  <c r="N280" i="4"/>
  <c r="H110" i="8"/>
  <c r="L319" i="35"/>
  <c r="N319" i="35" s="1"/>
  <c r="N314" i="35"/>
  <c r="N502" i="4"/>
  <c r="H187" i="8"/>
  <c r="H221" i="8"/>
  <c r="L576" i="4"/>
  <c r="N576" i="4" s="1"/>
  <c r="J581" i="4" s="1"/>
  <c r="N581" i="4" s="1"/>
  <c r="N575" i="4"/>
  <c r="N91" i="43"/>
  <c r="J108" i="43" s="1"/>
  <c r="N108" i="43" s="1"/>
  <c r="L92" i="43"/>
  <c r="N92" i="43" s="1"/>
  <c r="J109" i="43" s="1"/>
  <c r="N109" i="43" s="1"/>
  <c r="N26" i="35"/>
  <c r="L282" i="4"/>
  <c r="N282" i="4" s="1"/>
  <c r="N308" i="43"/>
  <c r="J613" i="35"/>
  <c r="N613" i="35" s="1"/>
  <c r="N616" i="35" s="1"/>
  <c r="N610" i="35"/>
  <c r="Q610" i="35" s="1"/>
  <c r="N89" i="35"/>
  <c r="J106" i="35" s="1"/>
  <c r="N106" i="35" s="1"/>
  <c r="L90" i="35"/>
  <c r="N90" i="35" s="1"/>
  <c r="J107" i="35" s="1"/>
  <c r="N107" i="35" s="1"/>
  <c r="U219" i="8"/>
  <c r="S219" i="8"/>
  <c r="L21" i="43"/>
  <c r="N19" i="43"/>
  <c r="L17" i="4"/>
  <c r="N84" i="4"/>
  <c r="H43" i="8"/>
  <c r="L85" i="4"/>
  <c r="N17" i="35"/>
  <c r="L19" i="35"/>
  <c r="N309" i="43"/>
  <c r="L283" i="4"/>
  <c r="N283" i="4" s="1"/>
  <c r="N37" i="35"/>
  <c r="N415" i="43"/>
  <c r="N307" i="43"/>
  <c r="L281" i="4"/>
  <c r="N281" i="4" s="1"/>
  <c r="H36" i="8"/>
  <c r="L79" i="4"/>
  <c r="N75" i="4"/>
  <c r="H71" i="8"/>
  <c r="N165" i="4"/>
  <c r="L169" i="4"/>
  <c r="N368" i="4"/>
  <c r="H141" i="8"/>
  <c r="L372" i="4"/>
  <c r="N372" i="4" s="1"/>
  <c r="N316" i="35"/>
  <c r="L321" i="35"/>
  <c r="N321" i="35" s="1"/>
  <c r="J340" i="4" l="1"/>
  <c r="N340" i="4" s="1"/>
  <c r="N254" i="43"/>
  <c r="N680" i="43"/>
  <c r="Q680" i="43" s="1"/>
  <c r="N104" i="35"/>
  <c r="J485" i="35"/>
  <c r="N485" i="35" s="1"/>
  <c r="J486" i="35"/>
  <c r="N486" i="35" s="1"/>
  <c r="N440" i="43"/>
  <c r="N325" i="43"/>
  <c r="J341" i="4"/>
  <c r="N341" i="4" s="1"/>
  <c r="N252" i="35"/>
  <c r="N482" i="35"/>
  <c r="N375" i="4"/>
  <c r="N365" i="35"/>
  <c r="N106" i="43"/>
  <c r="J370" i="35"/>
  <c r="N370" i="35" s="1"/>
  <c r="N505" i="4"/>
  <c r="N678" i="35"/>
  <c r="Q678" i="35" s="1"/>
  <c r="N299" i="4"/>
  <c r="J257" i="43"/>
  <c r="N257" i="43" s="1"/>
  <c r="N336" i="4"/>
  <c r="R36" i="8"/>
  <c r="N36" i="8"/>
  <c r="O36" i="8" s="1"/>
  <c r="AC36" i="8"/>
  <c r="L20" i="35"/>
  <c r="N20" i="35" s="1"/>
  <c r="N19" i="35"/>
  <c r="R92" i="8"/>
  <c r="N92" i="8"/>
  <c r="O92" i="8" s="1"/>
  <c r="N80" i="8"/>
  <c r="O80" i="8" s="1"/>
  <c r="R80" i="8"/>
  <c r="J255" i="35"/>
  <c r="N255" i="35" s="1"/>
  <c r="N261" i="35" s="1"/>
  <c r="R59" i="8"/>
  <c r="N59" i="8"/>
  <c r="O59" i="8" s="1"/>
  <c r="AC59" i="8"/>
  <c r="R60" i="8"/>
  <c r="AC60" i="8"/>
  <c r="N60" i="8"/>
  <c r="O60" i="8" s="1"/>
  <c r="N738" i="43"/>
  <c r="AC106" i="8"/>
  <c r="N106" i="8"/>
  <c r="O106" i="8" s="1"/>
  <c r="R106" i="8"/>
  <c r="N198" i="4"/>
  <c r="N133" i="4"/>
  <c r="N146" i="8"/>
  <c r="O146" i="8" s="1"/>
  <c r="R146" i="8"/>
  <c r="N179" i="8"/>
  <c r="O179" i="8" s="1"/>
  <c r="R179" i="8"/>
  <c r="R71" i="8"/>
  <c r="AC71" i="8"/>
  <c r="N71" i="8"/>
  <c r="O71" i="8" s="1"/>
  <c r="N85" i="4"/>
  <c r="J102" i="4" s="1"/>
  <c r="N102" i="4" s="1"/>
  <c r="L86" i="4"/>
  <c r="N86" i="4" s="1"/>
  <c r="J103" i="4" s="1"/>
  <c r="N103" i="4" s="1"/>
  <c r="N42" i="35"/>
  <c r="N400" i="4"/>
  <c r="R161" i="8"/>
  <c r="N161" i="8"/>
  <c r="O161" i="8" s="1"/>
  <c r="N43" i="8"/>
  <c r="O43" i="8" s="1"/>
  <c r="R43" i="8"/>
  <c r="N438" i="35"/>
  <c r="N541" i="43"/>
  <c r="R110" i="8"/>
  <c r="N110" i="8"/>
  <c r="O110" i="8" s="1"/>
  <c r="N141" i="8"/>
  <c r="O141" i="8" s="1"/>
  <c r="R141" i="8"/>
  <c r="AC141" i="8"/>
  <c r="H75" i="8"/>
  <c r="N169" i="4"/>
  <c r="N113" i="43"/>
  <c r="N577" i="4"/>
  <c r="J580" i="4"/>
  <c r="N580" i="4" s="1"/>
  <c r="N582" i="4" s="1"/>
  <c r="Q729" i="35"/>
  <c r="N736" i="35"/>
  <c r="N17" i="4"/>
  <c r="H13" i="8"/>
  <c r="L19" i="4"/>
  <c r="N128" i="8"/>
  <c r="O128" i="8" s="1"/>
  <c r="R128" i="8"/>
  <c r="I37" i="9"/>
  <c r="I39" i="9" s="1"/>
  <c r="I92" i="8" s="1"/>
  <c r="T92" i="8" s="1"/>
  <c r="T102" i="8" s="1"/>
  <c r="N72" i="8"/>
  <c r="O72" i="8" s="1"/>
  <c r="R72" i="8"/>
  <c r="AC72" i="8"/>
  <c r="R221" i="8"/>
  <c r="N221" i="8"/>
  <c r="O221" i="8" s="1"/>
  <c r="R34" i="8"/>
  <c r="AC34" i="8"/>
  <c r="N34" i="8"/>
  <c r="O34" i="8" s="1"/>
  <c r="J440" i="4"/>
  <c r="N440" i="4" s="1"/>
  <c r="H76" i="8"/>
  <c r="N170" i="4"/>
  <c r="AC251" i="8"/>
  <c r="R251" i="8"/>
  <c r="N251" i="8"/>
  <c r="O251" i="8" s="1"/>
  <c r="N252" i="8"/>
  <c r="O252" i="8" s="1"/>
  <c r="R252" i="8"/>
  <c r="AC252" i="8"/>
  <c r="H40" i="8"/>
  <c r="N79" i="4"/>
  <c r="N21" i="43"/>
  <c r="L22" i="43"/>
  <c r="N22" i="43" s="1"/>
  <c r="R187" i="8"/>
  <c r="N187" i="8"/>
  <c r="O187" i="8" s="1"/>
  <c r="AC187" i="8"/>
  <c r="H38" i="8"/>
  <c r="N77" i="4"/>
  <c r="N213" i="43"/>
  <c r="J258" i="43"/>
  <c r="N258" i="43" s="1"/>
  <c r="J488" i="43"/>
  <c r="N488" i="43" s="1"/>
  <c r="N175" i="8"/>
  <c r="O175" i="8" s="1"/>
  <c r="R175" i="8"/>
  <c r="AC175" i="8"/>
  <c r="R142" i="8"/>
  <c r="N142" i="8"/>
  <c r="O142" i="8" s="1"/>
  <c r="AC142" i="8"/>
  <c r="N191" i="8"/>
  <c r="O191" i="8" s="1"/>
  <c r="R191" i="8"/>
  <c r="N469" i="4"/>
  <c r="N436" i="4"/>
  <c r="H39" i="8"/>
  <c r="N78" i="4"/>
  <c r="R217" i="8"/>
  <c r="AC217" i="8"/>
  <c r="N217" i="8"/>
  <c r="O217" i="8" s="1"/>
  <c r="N525" i="4"/>
  <c r="J528" i="4"/>
  <c r="N528" i="4" s="1"/>
  <c r="N531" i="4" s="1"/>
  <c r="J371" i="43"/>
  <c r="N371" i="43" s="1"/>
  <c r="N218" i="8"/>
  <c r="O218" i="8" s="1"/>
  <c r="AC218" i="8"/>
  <c r="R218" i="8"/>
  <c r="N556" i="4"/>
  <c r="N620" i="43"/>
  <c r="AC35" i="8"/>
  <c r="R35" i="8"/>
  <c r="N35" i="8"/>
  <c r="O35" i="8" s="1"/>
  <c r="N323" i="35"/>
  <c r="R176" i="8"/>
  <c r="AC176" i="8"/>
  <c r="N176" i="8"/>
  <c r="O176" i="8" s="1"/>
  <c r="J487" i="43"/>
  <c r="N487" i="43" s="1"/>
  <c r="AC143" i="8"/>
  <c r="R143" i="8"/>
  <c r="N143" i="8"/>
  <c r="O143" i="8" s="1"/>
  <c r="AC188" i="8"/>
  <c r="R188" i="8"/>
  <c r="N188" i="8"/>
  <c r="O188" i="8" s="1"/>
  <c r="J369" i="35"/>
  <c r="N369" i="35" s="1"/>
  <c r="J439" i="4"/>
  <c r="N439" i="4" s="1"/>
  <c r="R73" i="8"/>
  <c r="N73" i="8"/>
  <c r="O73" i="8" s="1"/>
  <c r="AC73" i="8"/>
  <c r="N541" i="35"/>
  <c r="N545" i="35" s="1"/>
  <c r="Q539" i="35"/>
  <c r="N111" i="35"/>
  <c r="N113" i="35" s="1"/>
  <c r="N606" i="4"/>
  <c r="N608" i="4" s="1"/>
  <c r="H253" i="8"/>
  <c r="H77" i="8"/>
  <c r="N171" i="4"/>
  <c r="N105" i="8"/>
  <c r="O105" i="8" s="1"/>
  <c r="R105" i="8"/>
  <c r="AC105" i="8"/>
  <c r="N618" i="35"/>
  <c r="N276" i="4"/>
  <c r="N154" i="43"/>
  <c r="R255" i="8"/>
  <c r="N255" i="8"/>
  <c r="O255" i="8" s="1"/>
  <c r="J372" i="43"/>
  <c r="N372" i="43" s="1"/>
  <c r="N221" i="4"/>
  <c r="J239" i="4" s="1"/>
  <c r="N239" i="4" s="1"/>
  <c r="L222" i="4"/>
  <c r="N222" i="4" s="1"/>
  <c r="J240" i="4" s="1"/>
  <c r="N240" i="4" s="1"/>
  <c r="R189" i="8"/>
  <c r="AC189" i="8"/>
  <c r="N189" i="8"/>
  <c r="O189" i="8" s="1"/>
  <c r="AC107" i="8"/>
  <c r="N107" i="8"/>
  <c r="O107" i="8" s="1"/>
  <c r="R107" i="8"/>
  <c r="Q152" i="35"/>
  <c r="N154" i="35"/>
  <c r="N158" i="35" s="1"/>
  <c r="N628" i="4"/>
  <c r="J631" i="4"/>
  <c r="N631" i="4" s="1"/>
  <c r="N633" i="4" s="1"/>
  <c r="N63" i="8"/>
  <c r="O63" i="8" s="1"/>
  <c r="R63" i="8"/>
  <c r="N682" i="43" l="1"/>
  <c r="N686" i="43" s="1"/>
  <c r="N688" i="43" s="1"/>
  <c r="N374" i="35"/>
  <c r="N376" i="35" s="1"/>
  <c r="N490" i="35"/>
  <c r="N492" i="35" s="1"/>
  <c r="N115" i="43"/>
  <c r="Q115" i="43" s="1"/>
  <c r="N263" i="43"/>
  <c r="N265" i="43" s="1"/>
  <c r="N345" i="4"/>
  <c r="N347" i="4" s="1"/>
  <c r="N23" i="43"/>
  <c r="N52" i="43" s="1"/>
  <c r="N680" i="35"/>
  <c r="N684" i="35" s="1"/>
  <c r="N686" i="35" s="1"/>
  <c r="N263" i="35"/>
  <c r="Q263" i="35" s="1"/>
  <c r="N172" i="4"/>
  <c r="N21" i="35"/>
  <c r="N100" i="4"/>
  <c r="N236" i="4"/>
  <c r="N80" i="4"/>
  <c r="N115" i="35"/>
  <c r="N119" i="35" s="1"/>
  <c r="Q113" i="35"/>
  <c r="U142" i="8"/>
  <c r="S142" i="8"/>
  <c r="U110" i="8"/>
  <c r="S110" i="8"/>
  <c r="S59" i="8"/>
  <c r="U59" i="8"/>
  <c r="R67" i="8"/>
  <c r="U128" i="8"/>
  <c r="S128" i="8"/>
  <c r="S176" i="8"/>
  <c r="U176" i="8"/>
  <c r="U175" i="8"/>
  <c r="R183" i="8"/>
  <c r="S175" i="8"/>
  <c r="Q541" i="43"/>
  <c r="N543" i="43"/>
  <c r="N547" i="43" s="1"/>
  <c r="S71" i="8"/>
  <c r="U71" i="8"/>
  <c r="S80" i="8"/>
  <c r="U80" i="8"/>
  <c r="U217" i="8"/>
  <c r="R247" i="8"/>
  <c r="S217" i="8"/>
  <c r="S251" i="8"/>
  <c r="U251" i="8"/>
  <c r="L20" i="4"/>
  <c r="N20" i="4" s="1"/>
  <c r="N19" i="4"/>
  <c r="H15" i="8"/>
  <c r="U179" i="8"/>
  <c r="S179" i="8"/>
  <c r="N13" i="8"/>
  <c r="O13" i="8" s="1"/>
  <c r="R13" i="8"/>
  <c r="AC13" i="8"/>
  <c r="S189" i="8"/>
  <c r="U189" i="8"/>
  <c r="N492" i="43"/>
  <c r="N494" i="43" s="1"/>
  <c r="R39" i="8"/>
  <c r="N39" i="8"/>
  <c r="O39" i="8" s="1"/>
  <c r="U146" i="8"/>
  <c r="S146" i="8"/>
  <c r="S92" i="8"/>
  <c r="U92" i="8"/>
  <c r="R76" i="8"/>
  <c r="N76" i="8"/>
  <c r="O76" i="8" s="1"/>
  <c r="AC76" i="8"/>
  <c r="U43" i="8"/>
  <c r="S43" i="8"/>
  <c r="N144" i="4"/>
  <c r="N444" i="4"/>
  <c r="N446" i="4" s="1"/>
  <c r="R38" i="8"/>
  <c r="N38" i="8"/>
  <c r="O38" i="8" s="1"/>
  <c r="N738" i="35"/>
  <c r="N742" i="35" s="1"/>
  <c r="N744" i="35" s="1"/>
  <c r="Q736" i="35"/>
  <c r="U106" i="8"/>
  <c r="S106" i="8"/>
  <c r="S187" i="8"/>
  <c r="U187" i="8"/>
  <c r="R213" i="8"/>
  <c r="N533" i="4"/>
  <c r="R77" i="8"/>
  <c r="AC77" i="8"/>
  <c r="N77" i="8"/>
  <c r="O77" i="8" s="1"/>
  <c r="R253" i="8"/>
  <c r="N253" i="8"/>
  <c r="O253" i="8" s="1"/>
  <c r="AC253" i="8"/>
  <c r="U255" i="8"/>
  <c r="S255" i="8"/>
  <c r="S35" i="8"/>
  <c r="U35" i="8"/>
  <c r="S188" i="8"/>
  <c r="U188" i="8"/>
  <c r="U34" i="8"/>
  <c r="S34" i="8"/>
  <c r="N584" i="4"/>
  <c r="N245" i="4"/>
  <c r="U63" i="8"/>
  <c r="S63" i="8"/>
  <c r="N156" i="43"/>
  <c r="N160" i="43" s="1"/>
  <c r="Q154" i="43"/>
  <c r="Q620" i="43"/>
  <c r="N622" i="43"/>
  <c r="N626" i="43" s="1"/>
  <c r="N628" i="43" s="1"/>
  <c r="U161" i="8"/>
  <c r="S161" i="8"/>
  <c r="N480" i="4"/>
  <c r="N740" i="43"/>
  <c r="N744" i="43" s="1"/>
  <c r="N746" i="43" s="1"/>
  <c r="Q738" i="43"/>
  <c r="U218" i="8"/>
  <c r="S218" i="8"/>
  <c r="S36" i="8"/>
  <c r="U36" i="8"/>
  <c r="N75" i="8"/>
  <c r="O75" i="8" s="1"/>
  <c r="R75" i="8"/>
  <c r="AC75" i="8"/>
  <c r="L42" i="35"/>
  <c r="S221" i="8"/>
  <c r="U221" i="8"/>
  <c r="U143" i="8"/>
  <c r="S143" i="8"/>
  <c r="R40" i="8"/>
  <c r="N40" i="8"/>
  <c r="O40" i="8" s="1"/>
  <c r="U72" i="8"/>
  <c r="S72" i="8"/>
  <c r="N635" i="4"/>
  <c r="N620" i="35"/>
  <c r="N624" i="35" s="1"/>
  <c r="N626" i="35" s="1"/>
  <c r="Q618" i="35"/>
  <c r="N376" i="43"/>
  <c r="N378" i="43" s="1"/>
  <c r="S141" i="8"/>
  <c r="R171" i="8"/>
  <c r="U141" i="8"/>
  <c r="U60" i="8"/>
  <c r="S60" i="8"/>
  <c r="U107" i="8"/>
  <c r="S107" i="8"/>
  <c r="U191" i="8"/>
  <c r="S191" i="8"/>
  <c r="S73" i="8"/>
  <c r="U73" i="8"/>
  <c r="R138" i="8"/>
  <c r="U105" i="8"/>
  <c r="S105" i="8"/>
  <c r="U252" i="8"/>
  <c r="S252" i="8"/>
  <c r="N107" i="4"/>
  <c r="N117" i="43" l="1"/>
  <c r="N121" i="43" s="1"/>
  <c r="N265" i="35"/>
  <c r="N269" i="35" s="1"/>
  <c r="N247" i="4"/>
  <c r="Q247" i="4" s="1"/>
  <c r="N109" i="4"/>
  <c r="Q109" i="4" s="1"/>
  <c r="R55" i="8"/>
  <c r="N50" i="35"/>
  <c r="N52" i="35" s="1"/>
  <c r="N56" i="35" s="1"/>
  <c r="S138" i="8"/>
  <c r="N21" i="4"/>
  <c r="U171" i="8"/>
  <c r="U138" i="8"/>
  <c r="S171" i="8"/>
  <c r="S183" i="8"/>
  <c r="D26" i="5"/>
  <c r="D104" i="32" s="1"/>
  <c r="Q446" i="4"/>
  <c r="J23" i="6"/>
  <c r="N448" i="4"/>
  <c r="N111" i="4"/>
  <c r="S253" i="8"/>
  <c r="S281" i="8" s="1"/>
  <c r="U253" i="8"/>
  <c r="U281" i="8" s="1"/>
  <c r="S247" i="8"/>
  <c r="U76" i="8"/>
  <c r="S76" i="8"/>
  <c r="U38" i="8"/>
  <c r="S38" i="8"/>
  <c r="U39" i="8"/>
  <c r="S39" i="8"/>
  <c r="N267" i="43"/>
  <c r="N271" i="43" s="1"/>
  <c r="Q265" i="43"/>
  <c r="Q635" i="4"/>
  <c r="D29" i="5"/>
  <c r="D108" i="32" s="1"/>
  <c r="N637" i="4"/>
  <c r="J26" i="6"/>
  <c r="S213" i="8"/>
  <c r="U67" i="8"/>
  <c r="U247" i="8"/>
  <c r="S75" i="8"/>
  <c r="U75" i="8"/>
  <c r="S77" i="8"/>
  <c r="U77" i="8"/>
  <c r="S67" i="8"/>
  <c r="N496" i="43"/>
  <c r="N500" i="43" s="1"/>
  <c r="Q494" i="43"/>
  <c r="Q378" i="43"/>
  <c r="N380" i="43"/>
  <c r="N384" i="43" s="1"/>
  <c r="J24" i="6"/>
  <c r="N535" i="4"/>
  <c r="Q533" i="4"/>
  <c r="D27" i="5"/>
  <c r="D106" i="32" s="1"/>
  <c r="Q144" i="4"/>
  <c r="N146" i="4"/>
  <c r="J20" i="6"/>
  <c r="D23" i="5"/>
  <c r="D101" i="32" s="1"/>
  <c r="J21" i="6"/>
  <c r="N586" i="4"/>
  <c r="J25" i="6"/>
  <c r="Q584" i="4"/>
  <c r="D28" i="5"/>
  <c r="D107" i="32" s="1"/>
  <c r="R102" i="8"/>
  <c r="U213" i="8"/>
  <c r="Q52" i="43"/>
  <c r="N54" i="43"/>
  <c r="N58" i="43" s="1"/>
  <c r="U183" i="8"/>
  <c r="J22" i="6"/>
  <c r="Q347" i="4"/>
  <c r="D25" i="5"/>
  <c r="D103" i="32" s="1"/>
  <c r="N349" i="4"/>
  <c r="S13" i="8"/>
  <c r="U13" i="8"/>
  <c r="J27" i="6"/>
  <c r="D30" i="5"/>
  <c r="D105" i="32" s="1"/>
  <c r="N482" i="4"/>
  <c r="Q480" i="4"/>
  <c r="Q376" i="35"/>
  <c r="N378" i="35"/>
  <c r="N382" i="35" s="1"/>
  <c r="AC15" i="8"/>
  <c r="R15" i="8"/>
  <c r="R29" i="8" s="1"/>
  <c r="N15" i="8"/>
  <c r="O15" i="8" s="1"/>
  <c r="Q492" i="35"/>
  <c r="N494" i="35"/>
  <c r="N498" i="35" s="1"/>
  <c r="R281" i="8"/>
  <c r="S40" i="8"/>
  <c r="U40" i="8"/>
  <c r="N50" i="4" l="1"/>
  <c r="J18" i="6" s="1"/>
  <c r="J19" i="6"/>
  <c r="L21" i="36" s="1"/>
  <c r="Q50" i="35"/>
  <c r="D22" i="5"/>
  <c r="D100" i="32" s="1"/>
  <c r="D126" i="32" s="1"/>
  <c r="D24" i="5"/>
  <c r="D102" i="32" s="1"/>
  <c r="D128" i="32" s="1"/>
  <c r="N249" i="4"/>
  <c r="S102" i="8"/>
  <c r="U102" i="8"/>
  <c r="U55" i="8"/>
  <c r="S55" i="8"/>
  <c r="E107" i="32"/>
  <c r="D133" i="32"/>
  <c r="E103" i="32"/>
  <c r="D129" i="32"/>
  <c r="L23" i="36"/>
  <c r="M48" i="24"/>
  <c r="E101" i="32"/>
  <c r="D127" i="32"/>
  <c r="D21" i="5"/>
  <c r="Q50" i="4"/>
  <c r="N52" i="4"/>
  <c r="N48" i="24"/>
  <c r="L24" i="36"/>
  <c r="L48" i="24"/>
  <c r="L22" i="36"/>
  <c r="S15" i="8"/>
  <c r="S29" i="8" s="1"/>
  <c r="U15" i="8"/>
  <c r="U29" i="8" s="1"/>
  <c r="D134" i="32"/>
  <c r="E108" i="32"/>
  <c r="D132" i="32"/>
  <c r="E106" i="32"/>
  <c r="D131" i="32"/>
  <c r="E105" i="32"/>
  <c r="L25" i="36"/>
  <c r="O48" i="24"/>
  <c r="L26" i="36"/>
  <c r="P48" i="24"/>
  <c r="E104" i="32"/>
  <c r="D130" i="32"/>
  <c r="K48" i="24" l="1"/>
  <c r="E100" i="32"/>
  <c r="E102" i="32"/>
  <c r="F102" i="32" s="1"/>
  <c r="D31" i="5"/>
  <c r="E127" i="32"/>
  <c r="F101" i="32"/>
  <c r="F106" i="32"/>
  <c r="E132" i="32"/>
  <c r="F105" i="32"/>
  <c r="E131" i="32"/>
  <c r="D135" i="32"/>
  <c r="E126" i="32"/>
  <c r="F100" i="32"/>
  <c r="F103" i="32"/>
  <c r="E129" i="32"/>
  <c r="F104" i="32"/>
  <c r="E130" i="32"/>
  <c r="E134" i="32"/>
  <c r="F108" i="32"/>
  <c r="L20" i="36"/>
  <c r="J48" i="24"/>
  <c r="J29" i="6"/>
  <c r="J34" i="6" s="1"/>
  <c r="L18" i="6"/>
  <c r="F107" i="32"/>
  <c r="E133" i="32"/>
  <c r="D34" i="5" l="1"/>
  <c r="F31" i="5"/>
  <c r="E128" i="32"/>
  <c r="E135" i="32" s="1"/>
  <c r="N18" i="6"/>
  <c r="Z10" i="22"/>
  <c r="Z10" i="40"/>
  <c r="I48" i="24"/>
  <c r="J50" i="24"/>
  <c r="J57" i="24" s="1"/>
  <c r="L27" i="36"/>
  <c r="L33" i="36" s="1"/>
  <c r="N20" i="36"/>
  <c r="F131" i="32"/>
  <c r="G105" i="32"/>
  <c r="F134" i="32"/>
  <c r="G108" i="32"/>
  <c r="G104" i="32"/>
  <c r="F130" i="32"/>
  <c r="F128" i="32"/>
  <c r="G102" i="32"/>
  <c r="G107" i="32"/>
  <c r="F133" i="32"/>
  <c r="G106" i="32"/>
  <c r="F132" i="32"/>
  <c r="F129" i="32"/>
  <c r="G103" i="32"/>
  <c r="F127" i="32"/>
  <c r="G101" i="32"/>
  <c r="G100" i="32"/>
  <c r="F126" i="32"/>
  <c r="H105" i="32" l="1"/>
  <c r="G131" i="32"/>
  <c r="G128" i="32"/>
  <c r="H102" i="32"/>
  <c r="G130" i="32"/>
  <c r="H104" i="32"/>
  <c r="F135" i="32"/>
  <c r="H100" i="32"/>
  <c r="G126" i="32"/>
  <c r="G127" i="32"/>
  <c r="H101" i="32"/>
  <c r="J59" i="24"/>
  <c r="F39" i="31"/>
  <c r="H103" i="32"/>
  <c r="G129" i="32"/>
  <c r="G134" i="32"/>
  <c r="H108" i="32"/>
  <c r="AB10" i="22"/>
  <c r="Z99" i="22"/>
  <c r="F48" i="24"/>
  <c r="P20" i="36"/>
  <c r="U20" i="36"/>
  <c r="AB10" i="40"/>
  <c r="AC10" i="40" s="1"/>
  <c r="V20" i="36" s="1"/>
  <c r="Z99" i="40"/>
  <c r="O18" i="6"/>
  <c r="G132" i="32"/>
  <c r="H106" i="32"/>
  <c r="G133" i="32"/>
  <c r="H107" i="32"/>
  <c r="F41" i="31" l="1"/>
  <c r="I101" i="32"/>
  <c r="H127" i="32"/>
  <c r="G135" i="32"/>
  <c r="I100" i="32"/>
  <c r="H126" i="32"/>
  <c r="AB99" i="22"/>
  <c r="H133" i="32"/>
  <c r="I107" i="32"/>
  <c r="I105" i="32"/>
  <c r="H131" i="32"/>
  <c r="U48" i="24"/>
  <c r="H130" i="32"/>
  <c r="I104" i="32"/>
  <c r="H128" i="32"/>
  <c r="I102" i="32"/>
  <c r="I106" i="32"/>
  <c r="H132" i="32"/>
  <c r="AB99" i="40"/>
  <c r="AC99" i="40" s="1"/>
  <c r="I108" i="32"/>
  <c r="H134" i="32"/>
  <c r="I103" i="32"/>
  <c r="H129" i="32"/>
  <c r="J100" i="32" l="1"/>
  <c r="I126" i="32"/>
  <c r="J102" i="32"/>
  <c r="I128" i="32"/>
  <c r="I131" i="32"/>
  <c r="J105" i="32"/>
  <c r="J107" i="32"/>
  <c r="I133" i="32"/>
  <c r="H135" i="32"/>
  <c r="I134" i="32"/>
  <c r="J108" i="32"/>
  <c r="I127" i="32"/>
  <c r="J101" i="32"/>
  <c r="F43" i="31"/>
  <c r="J106" i="32"/>
  <c r="I132" i="32"/>
  <c r="I130" i="32"/>
  <c r="J104" i="32"/>
  <c r="I129" i="32"/>
  <c r="J103" i="32"/>
  <c r="K108" i="32" l="1"/>
  <c r="J134" i="32"/>
  <c r="K105" i="32"/>
  <c r="J131" i="32"/>
  <c r="K102" i="32"/>
  <c r="J128" i="32"/>
  <c r="F44" i="31"/>
  <c r="F49" i="31"/>
  <c r="K107" i="32"/>
  <c r="J133" i="32"/>
  <c r="K103" i="32"/>
  <c r="J129" i="32"/>
  <c r="K104" i="32"/>
  <c r="J130" i="32"/>
  <c r="I135" i="32"/>
  <c r="K106" i="32"/>
  <c r="J132" i="32"/>
  <c r="K101" i="32"/>
  <c r="J127" i="32"/>
  <c r="J126" i="32"/>
  <c r="K100" i="32"/>
  <c r="K132" i="32" l="1"/>
  <c r="L106" i="32"/>
  <c r="L104" i="32"/>
  <c r="K130" i="32"/>
  <c r="L103" i="32"/>
  <c r="K129" i="32"/>
  <c r="K133" i="32"/>
  <c r="L107" i="32"/>
  <c r="F50" i="31"/>
  <c r="J135" i="32"/>
  <c r="L101" i="32"/>
  <c r="K127" i="32"/>
  <c r="R20" i="36"/>
  <c r="K128" i="32"/>
  <c r="L102" i="32"/>
  <c r="L100" i="32"/>
  <c r="K126" i="32"/>
  <c r="L105" i="32"/>
  <c r="K131" i="32"/>
  <c r="K134" i="32"/>
  <c r="L108" i="32"/>
  <c r="M102" i="32" l="1"/>
  <c r="L128" i="32"/>
  <c r="K135" i="32"/>
  <c r="L126" i="32"/>
  <c r="M100" i="32"/>
  <c r="M101" i="32"/>
  <c r="L127" i="32"/>
  <c r="L129" i="32"/>
  <c r="M103" i="32"/>
  <c r="F51" i="31"/>
  <c r="M107" i="32"/>
  <c r="L133" i="32"/>
  <c r="M108" i="32"/>
  <c r="L134" i="32"/>
  <c r="M104" i="32"/>
  <c r="L130" i="32"/>
  <c r="M106" i="32"/>
  <c r="L132" i="32"/>
  <c r="L131" i="32"/>
  <c r="M105" i="32"/>
  <c r="N108" i="32" l="1"/>
  <c r="M134" i="32"/>
  <c r="N107" i="32"/>
  <c r="M133" i="32"/>
  <c r="M129" i="32"/>
  <c r="N103" i="32"/>
  <c r="M132" i="32"/>
  <c r="N106" i="32"/>
  <c r="M130" i="32"/>
  <c r="N104" i="32"/>
  <c r="F53" i="31"/>
  <c r="N101" i="32"/>
  <c r="M127" i="32"/>
  <c r="M126" i="32"/>
  <c r="N100" i="32"/>
  <c r="N105" i="32"/>
  <c r="M131" i="32"/>
  <c r="L135" i="32"/>
  <c r="N102" i="32"/>
  <c r="M128" i="32"/>
  <c r="N128" i="32" l="1"/>
  <c r="O102" i="32"/>
  <c r="O128" i="32" s="1"/>
  <c r="M135" i="32"/>
  <c r="N131" i="32"/>
  <c r="O105" i="32"/>
  <c r="O131" i="32" s="1"/>
  <c r="P131" i="32" s="1"/>
  <c r="Q131" i="32" s="1"/>
  <c r="F30" i="5" s="1"/>
  <c r="I30" i="5" s="1"/>
  <c r="N127" i="32"/>
  <c r="O101" i="32"/>
  <c r="O127" i="32" s="1"/>
  <c r="O104" i="32"/>
  <c r="O130" i="32" s="1"/>
  <c r="N130" i="32"/>
  <c r="N126" i="32"/>
  <c r="O100" i="32"/>
  <c r="O126" i="32" s="1"/>
  <c r="F54" i="31"/>
  <c r="N132" i="32"/>
  <c r="O106" i="32"/>
  <c r="O132" i="32" s="1"/>
  <c r="O103" i="32"/>
  <c r="O129" i="32" s="1"/>
  <c r="N129" i="32"/>
  <c r="O107" i="32"/>
  <c r="O133" i="32" s="1"/>
  <c r="N133" i="32"/>
  <c r="O108" i="32"/>
  <c r="O134" i="32" s="1"/>
  <c r="N134" i="32"/>
  <c r="P132" i="32" l="1"/>
  <c r="Q132" i="32" s="1"/>
  <c r="F27" i="5" s="1"/>
  <c r="I27" i="5" s="1"/>
  <c r="P128" i="32"/>
  <c r="Q128" i="32" s="1"/>
  <c r="F24" i="5" s="1"/>
  <c r="I24" i="5" s="1"/>
  <c r="P134" i="32"/>
  <c r="Q134" i="32" s="1"/>
  <c r="F29" i="5" s="1"/>
  <c r="I29" i="5" s="1"/>
  <c r="P130" i="32"/>
  <c r="Q130" i="32" s="1"/>
  <c r="F26" i="5" s="1"/>
  <c r="I26" i="5" s="1"/>
  <c r="K24" i="6"/>
  <c r="L24" i="6" s="1"/>
  <c r="N24" i="6" s="1"/>
  <c r="O24" i="6" s="1"/>
  <c r="K27" i="5"/>
  <c r="N135" i="32"/>
  <c r="P127" i="32"/>
  <c r="Q127" i="32" s="1"/>
  <c r="F23" i="5" s="1"/>
  <c r="I23" i="5" s="1"/>
  <c r="P133" i="32"/>
  <c r="Q133" i="32" s="1"/>
  <c r="F28" i="5" s="1"/>
  <c r="I28" i="5" s="1"/>
  <c r="P129" i="32"/>
  <c r="Q129" i="32" s="1"/>
  <c r="F25" i="5" s="1"/>
  <c r="I25" i="5" s="1"/>
  <c r="O135" i="32"/>
  <c r="P126" i="32"/>
  <c r="P49" i="24"/>
  <c r="P50" i="24" s="1"/>
  <c r="P57" i="24" s="1"/>
  <c r="K30" i="5"/>
  <c r="K27" i="6"/>
  <c r="K29" i="5" l="1"/>
  <c r="K21" i="6"/>
  <c r="M23" i="36" s="1"/>
  <c r="N23" i="36" s="1"/>
  <c r="M49" i="24"/>
  <c r="M50" i="24" s="1"/>
  <c r="M57" i="24" s="1"/>
  <c r="M59" i="24" s="1"/>
  <c r="K24" i="5"/>
  <c r="K26" i="5"/>
  <c r="K26" i="6"/>
  <c r="L26" i="6" s="1"/>
  <c r="N26" i="6" s="1"/>
  <c r="O26" i="6" s="1"/>
  <c r="K23" i="6"/>
  <c r="L23" i="6" s="1"/>
  <c r="N49" i="24"/>
  <c r="N50" i="24" s="1"/>
  <c r="N57" i="24" s="1"/>
  <c r="K22" i="6"/>
  <c r="K25" i="5"/>
  <c r="Q126" i="32"/>
  <c r="F22" i="5" s="1"/>
  <c r="I22" i="5" s="1"/>
  <c r="P135" i="32"/>
  <c r="K25" i="6"/>
  <c r="L25" i="6" s="1"/>
  <c r="N25" i="6" s="1"/>
  <c r="O25" i="6" s="1"/>
  <c r="K28" i="5"/>
  <c r="K20" i="6"/>
  <c r="K23" i="5"/>
  <c r="L49" i="24"/>
  <c r="L50" i="24" s="1"/>
  <c r="L57" i="24" s="1"/>
  <c r="M26" i="36"/>
  <c r="N26" i="36" s="1"/>
  <c r="P26" i="36" s="1"/>
  <c r="L27" i="6"/>
  <c r="P59" i="24"/>
  <c r="K39" i="31"/>
  <c r="O49" i="24"/>
  <c r="O50" i="24" s="1"/>
  <c r="O57" i="24" s="1"/>
  <c r="O59" i="24" s="1"/>
  <c r="I39" i="31" l="1"/>
  <c r="L21" i="6"/>
  <c r="N21" i="6" s="1"/>
  <c r="O21" i="6" s="1"/>
  <c r="M22" i="36"/>
  <c r="N22" i="36" s="1"/>
  <c r="L20" i="6"/>
  <c r="I41" i="31"/>
  <c r="I31" i="5"/>
  <c r="I34" i="5" s="1"/>
  <c r="K49" i="24"/>
  <c r="K22" i="5"/>
  <c r="K31" i="5" s="1"/>
  <c r="K34" i="5" s="1"/>
  <c r="K19" i="6"/>
  <c r="N59" i="24"/>
  <c r="J39" i="31"/>
  <c r="M24" i="36"/>
  <c r="N24" i="36" s="1"/>
  <c r="L22" i="6"/>
  <c r="L59" i="24"/>
  <c r="H39" i="31"/>
  <c r="Z57" i="40"/>
  <c r="N27" i="6"/>
  <c r="O27" i="6" s="1"/>
  <c r="U26" i="36" s="1"/>
  <c r="Z57" i="22"/>
  <c r="K41" i="31"/>
  <c r="Z55" i="40"/>
  <c r="N23" i="6"/>
  <c r="O23" i="6" s="1"/>
  <c r="Z55" i="22"/>
  <c r="M25" i="36"/>
  <c r="N25" i="36" s="1"/>
  <c r="U23" i="36"/>
  <c r="P23" i="36"/>
  <c r="P25" i="36" l="1"/>
  <c r="U24" i="36"/>
  <c r="U25" i="36" s="1"/>
  <c r="Z37" i="22"/>
  <c r="Z102" i="22" s="1"/>
  <c r="AB102" i="22" s="1"/>
  <c r="Z37" i="40"/>
  <c r="AB37" i="40" s="1"/>
  <c r="AC37" i="40" s="1"/>
  <c r="V23" i="36" s="1"/>
  <c r="Z43" i="22"/>
  <c r="Z43" i="40"/>
  <c r="N22" i="6"/>
  <c r="O22" i="6" s="1"/>
  <c r="P24" i="36"/>
  <c r="J41" i="31"/>
  <c r="AB55" i="40"/>
  <c r="AC55" i="40" s="1"/>
  <c r="V25" i="36" s="1"/>
  <c r="Z104" i="40"/>
  <c r="AB104" i="40" s="1"/>
  <c r="AC104" i="40" s="1"/>
  <c r="K29" i="6"/>
  <c r="K34" i="6" s="1"/>
  <c r="M21" i="36"/>
  <c r="L19" i="6"/>
  <c r="AB55" i="22"/>
  <c r="Z104" i="22"/>
  <c r="AB104" i="22" s="1"/>
  <c r="Z105" i="22"/>
  <c r="AB105" i="22" s="1"/>
  <c r="AB57" i="22"/>
  <c r="I49" i="24"/>
  <c r="K50" i="24"/>
  <c r="K57" i="24" s="1"/>
  <c r="AB57" i="40"/>
  <c r="AC57" i="40" s="1"/>
  <c r="V26" i="36" s="1"/>
  <c r="Z105" i="40"/>
  <c r="AB105" i="40" s="1"/>
  <c r="AC105" i="40" s="1"/>
  <c r="I43" i="31"/>
  <c r="H41" i="31"/>
  <c r="K43" i="31"/>
  <c r="N20" i="6"/>
  <c r="O20" i="6" s="1"/>
  <c r="Z24" i="22"/>
  <c r="Z24" i="40"/>
  <c r="U22" i="36"/>
  <c r="P22" i="36"/>
  <c r="Z102" i="40" l="1"/>
  <c r="AB102" i="40" s="1"/>
  <c r="AC102" i="40" s="1"/>
  <c r="AB37" i="22"/>
  <c r="Z22" i="22"/>
  <c r="N19" i="6"/>
  <c r="Z22" i="40"/>
  <c r="L29" i="6"/>
  <c r="L34" i="6" s="1"/>
  <c r="M27" i="36"/>
  <c r="M33" i="36" s="1"/>
  <c r="N21" i="36"/>
  <c r="K44" i="31"/>
  <c r="K49" i="31"/>
  <c r="I49" i="31"/>
  <c r="I44" i="31"/>
  <c r="J43" i="31"/>
  <c r="H43" i="31"/>
  <c r="K59" i="24"/>
  <c r="G39" i="31"/>
  <c r="F49" i="24"/>
  <c r="I50" i="24"/>
  <c r="I57" i="24" s="1"/>
  <c r="I59" i="24" s="1"/>
  <c r="Z103" i="40"/>
  <c r="AB103" i="40" s="1"/>
  <c r="AC103" i="40" s="1"/>
  <c r="AB43" i="40"/>
  <c r="AC43" i="40" s="1"/>
  <c r="V24" i="36" s="1"/>
  <c r="Z101" i="40"/>
  <c r="AB101" i="40" s="1"/>
  <c r="AC101" i="40" s="1"/>
  <c r="AB24" i="40"/>
  <c r="AC24" i="40" s="1"/>
  <c r="V22" i="36" s="1"/>
  <c r="Z101" i="22"/>
  <c r="AB101" i="22" s="1"/>
  <c r="AB24" i="22"/>
  <c r="AB43" i="22"/>
  <c r="Z103" i="22"/>
  <c r="AB103" i="22" s="1"/>
  <c r="H49" i="31" l="1"/>
  <c r="H44" i="31"/>
  <c r="J44" i="31"/>
  <c r="J49" i="31"/>
  <c r="R23" i="36"/>
  <c r="K50" i="31"/>
  <c r="R26" i="36"/>
  <c r="AB22" i="40"/>
  <c r="AC22" i="40" s="1"/>
  <c r="V21" i="36" s="1"/>
  <c r="Z100" i="40"/>
  <c r="Z95" i="40"/>
  <c r="I50" i="31"/>
  <c r="U21" i="36"/>
  <c r="P21" i="36"/>
  <c r="P27" i="36" s="1"/>
  <c r="P33" i="36" s="1"/>
  <c r="N27" i="36"/>
  <c r="U27" i="36" s="1"/>
  <c r="G41" i="31"/>
  <c r="E39" i="31"/>
  <c r="O19" i="6"/>
  <c r="N29" i="6"/>
  <c r="U49" i="24"/>
  <c r="F50" i="24"/>
  <c r="AB22" i="22"/>
  <c r="Z100" i="22"/>
  <c r="Z95" i="22"/>
  <c r="AB95" i="22" l="1"/>
  <c r="AB100" i="22"/>
  <c r="Z107" i="22"/>
  <c r="AB107" i="22" s="1"/>
  <c r="AB100" i="40"/>
  <c r="AC100" i="40" s="1"/>
  <c r="Z107" i="40"/>
  <c r="AB107" i="40" s="1"/>
  <c r="AC107" i="40" s="1"/>
  <c r="AB95" i="40"/>
  <c r="AC95" i="40" s="1"/>
  <c r="U50" i="24"/>
  <c r="F57" i="24"/>
  <c r="N33" i="36"/>
  <c r="U33" i="36" s="1"/>
  <c r="U35" i="36"/>
  <c r="R25" i="36"/>
  <c r="R24" i="36"/>
  <c r="K51" i="31"/>
  <c r="E41" i="31"/>
  <c r="G43" i="31"/>
  <c r="J50" i="31"/>
  <c r="R22" i="36"/>
  <c r="N34" i="6"/>
  <c r="O34" i="6" s="1"/>
  <c r="O29" i="6"/>
  <c r="H50" i="31"/>
  <c r="I51" i="31"/>
  <c r="Z109" i="40" l="1"/>
  <c r="I53" i="31"/>
  <c r="H51" i="31"/>
  <c r="AC109" i="40"/>
  <c r="V27" i="36"/>
  <c r="V33" i="36" s="1"/>
  <c r="J51" i="31"/>
  <c r="U57" i="24"/>
  <c r="F59" i="24"/>
  <c r="U59" i="24" s="1"/>
  <c r="G44" i="31"/>
  <c r="G49" i="31"/>
  <c r="Z109" i="22"/>
  <c r="K53" i="31"/>
  <c r="E43" i="31"/>
  <c r="AB109" i="22"/>
  <c r="K54" i="31" l="1"/>
  <c r="E44" i="31"/>
  <c r="E49" i="31"/>
  <c r="G50" i="31"/>
  <c r="J53" i="31"/>
  <c r="R21" i="36"/>
  <c r="H53" i="31"/>
  <c r="I54" i="31"/>
  <c r="G45" i="31" l="1"/>
  <c r="M45" i="31"/>
  <c r="H54" i="31"/>
  <c r="E50" i="31"/>
  <c r="J54" i="31"/>
  <c r="G51" i="31"/>
  <c r="L45" i="31"/>
  <c r="E45" i="31"/>
  <c r="R33" i="36"/>
  <c r="R27" i="36"/>
  <c r="F45" i="31"/>
  <c r="I45" i="31"/>
  <c r="K45" i="31"/>
  <c r="J45" i="31"/>
  <c r="H45" i="31"/>
  <c r="S31" i="36" l="1"/>
  <c r="S30" i="36"/>
  <c r="S20" i="36"/>
  <c r="S26" i="36"/>
  <c r="S23" i="36"/>
  <c r="S24" i="36"/>
  <c r="S22" i="36"/>
  <c r="S25" i="36"/>
  <c r="G53" i="31"/>
  <c r="E51" i="31"/>
  <c r="S21" i="36"/>
  <c r="E53" i="31" l="1"/>
  <c r="G54" i="31"/>
  <c r="E54" i="3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ot02273</author>
  </authors>
  <commentList>
    <comment ref="D53" authorId="0" shapeId="0" xr:uid="{493BAB8A-AF93-4E13-89AA-9438D9A6F689}">
      <text>
        <r>
          <rPr>
            <b/>
            <sz val="8"/>
            <color indexed="81"/>
            <rFont val="Tahoma"/>
            <family val="2"/>
          </rPr>
          <t>using this line for standard transm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ot02273</author>
  </authors>
  <commentList>
    <comment ref="D53" authorId="0" shapeId="0" xr:uid="{C8C5595C-4082-4276-B557-9A704813E393}">
      <text>
        <r>
          <rPr>
            <b/>
            <sz val="8"/>
            <color indexed="81"/>
            <rFont val="Tahoma"/>
            <family val="2"/>
          </rPr>
          <t>using this line for standard transm</t>
        </r>
      </text>
    </comment>
  </commentList>
</comments>
</file>

<file path=xl/sharedStrings.xml><?xml version="1.0" encoding="utf-8"?>
<sst xmlns="http://schemas.openxmlformats.org/spreadsheetml/2006/main" count="10299" uniqueCount="1115">
  <si>
    <t>Schedule E-1</t>
  </si>
  <si>
    <t>COST OF SERVICE STUDIES</t>
  </si>
  <si>
    <t>Page 3 of 4</t>
  </si>
  <si>
    <t>FLORIDA PUBLIC SERVICE COMMISSION</t>
  </si>
  <si>
    <t>EXPLANATION:</t>
  </si>
  <si>
    <t>(See page 1 for Explanation)</t>
  </si>
  <si>
    <t>Type of Data Shown:</t>
  </si>
  <si>
    <t>_</t>
  </si>
  <si>
    <t>Projected Test Year 3 Ended</t>
  </si>
  <si>
    <t>COMPANY: DUKE ENERGY FLORIDA</t>
  </si>
  <si>
    <t>X</t>
  </si>
  <si>
    <t>Projected Test Year 2 Ended</t>
  </si>
  <si>
    <t>Projected Test Year 1 Ended</t>
  </si>
  <si>
    <t>DOCKET NO.:</t>
  </si>
  <si>
    <t>20240025-EI</t>
  </si>
  <si>
    <t>Witness:  Chatelain, Olivier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</si>
  <si>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</si>
  <si>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</si>
  <si>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</si>
  <si>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</si>
  <si>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</si>
  <si>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</si>
  <si>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</si>
  <si>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</si>
  <si>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</si>
  <si>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</si>
  <si>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</si>
  <si>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Production Capacity Allocation Method: 12 CP and 25% AD</t>
  </si>
  <si>
    <t>GEN SERV</t>
  </si>
  <si>
    <t>CURTAIL/</t>
  </si>
  <si>
    <t>Line</t>
  </si>
  <si>
    <t xml:space="preserve">TOTAL </t>
  </si>
  <si>
    <t>RESIDENTIAL</t>
  </si>
  <si>
    <t>NON DEM</t>
  </si>
  <si>
    <t>100% LF</t>
  </si>
  <si>
    <t xml:space="preserve">DEMAND    </t>
  </si>
  <si>
    <t>INTERR</t>
  </si>
  <si>
    <t xml:space="preserve">     LIGHTING (LS)     </t>
  </si>
  <si>
    <t>EV</t>
  </si>
  <si>
    <t>No.</t>
  </si>
  <si>
    <t>SUMMARY OF RESULTS ($000s)</t>
  </si>
  <si>
    <t>Reference</t>
  </si>
  <si>
    <t>RETAIL</t>
  </si>
  <si>
    <t>(RS)</t>
  </si>
  <si>
    <t>(GS-1)</t>
  </si>
  <si>
    <t>(GS-2)</t>
  </si>
  <si>
    <t>(GSD, SS-1)</t>
  </si>
  <si>
    <t>(CS, SS-3, IS, SS-2)</t>
  </si>
  <si>
    <t>ENERGY</t>
  </si>
  <si>
    <t>FACILITIES</t>
  </si>
  <si>
    <t>SOLUTION</t>
  </si>
  <si>
    <t>Total Rate Base</t>
  </si>
  <si>
    <t>Sch. E-1 Class COS</t>
  </si>
  <si>
    <t>FULLY ADJUSTED - PRESENT RATES:</t>
  </si>
  <si>
    <t>Development of Return:</t>
  </si>
  <si>
    <t>Present Class Revenue</t>
  </si>
  <si>
    <t>Sch. E-1 Class COS (E-5)</t>
  </si>
  <si>
    <t>Present Revenue Credits</t>
  </si>
  <si>
    <t>Total Revenues</t>
  </si>
  <si>
    <t>Line 5 + Line 6</t>
  </si>
  <si>
    <t>Less Total Operating Expenses</t>
  </si>
  <si>
    <t>Equals Return Earned</t>
  </si>
  <si>
    <t>Line 7 - Line 8</t>
  </si>
  <si>
    <t>Rate of Return Earned</t>
  </si>
  <si>
    <t>Line 9 / Line 1</t>
  </si>
  <si>
    <t>Rate of Return Index @ Present Rates</t>
  </si>
  <si>
    <t>Line 10 / Total Line 10</t>
  </si>
  <si>
    <t>Development of Class Revenue Requirements:</t>
  </si>
  <si>
    <t>Allowed Return @</t>
  </si>
  <si>
    <t>Line 1 x ROR in Class COS</t>
  </si>
  <si>
    <t>Return Deficiency/(Surplus)</t>
  </si>
  <si>
    <t>Line 14 - Line 9</t>
  </si>
  <si>
    <t>Revenue Deficiency/(Surplus)</t>
  </si>
  <si>
    <t>Line 15 x 1.3436 multiplier</t>
  </si>
  <si>
    <t>Total Revenue Requirement</t>
  </si>
  <si>
    <t>Line 7 + Line 16</t>
  </si>
  <si>
    <t>Less:  Revenue Credits</t>
  </si>
  <si>
    <t>Line 6</t>
  </si>
  <si>
    <t>Equals Class Revenue Requirement</t>
  </si>
  <si>
    <t>Line 17 - Line 18</t>
  </si>
  <si>
    <t>Class Revenue Requirement Index</t>
  </si>
  <si>
    <t>Line 5 / Line 19</t>
  </si>
  <si>
    <t>FULLY ADJUSTED - PROPOSED RATES:</t>
  </si>
  <si>
    <t>Proposed Class Revenue</t>
  </si>
  <si>
    <t>Sch. E-5</t>
  </si>
  <si>
    <t>Proposed Revenue Credits</t>
  </si>
  <si>
    <t>Line 24 + Line 25</t>
  </si>
  <si>
    <t>Line 8 adj'd for tax on new rev.</t>
  </si>
  <si>
    <t>Line 26 - Line 27</t>
  </si>
  <si>
    <t>Line 28 / Line 1</t>
  </si>
  <si>
    <t>Rate of Return Index @ Proposed Rates</t>
  </si>
  <si>
    <t>Line 29 / Total Line 29</t>
  </si>
  <si>
    <t>Line 33 - Line 28</t>
  </si>
  <si>
    <t>Line 34 x 1.3436 multiplier</t>
  </si>
  <si>
    <t>Line 26 + Line 35</t>
  </si>
  <si>
    <t>Line 25</t>
  </si>
  <si>
    <t>Line 36 - Line 37</t>
  </si>
  <si>
    <t>Line 24 / Line 38</t>
  </si>
  <si>
    <t>Supporting Schedules:</t>
  </si>
  <si>
    <t>Recap Schedules:</t>
  </si>
  <si>
    <t>Year 2026</t>
  </si>
  <si>
    <t>Schedule E-5</t>
  </si>
  <si>
    <t>SOURCE AND AMOUNT OF REVENUES - AT PRESENT AND PROPOSED RATES</t>
  </si>
  <si>
    <t>Page 2 of 3</t>
  </si>
  <si>
    <t>Provide a schedule by rate class which identifies the source and amount of all revenue</t>
  </si>
  <si>
    <t>included in the Cost of Service Study.  The base rate revenue from retail sales of</t>
  </si>
  <si>
    <t>Projected Test Year Ended 12/31/27</t>
  </si>
  <si>
    <t>electricity must equal that shown on MFR Schedule E-13a and E-13d. The revenue from</t>
  </si>
  <si>
    <t>Projected Test Year Ended 12/31/26</t>
  </si>
  <si>
    <t>service charges must equal that shown on MFR Schedule E-13b.  The total revenue for</t>
  </si>
  <si>
    <t>Projected Test Year Ended 12/31/25</t>
  </si>
  <si>
    <t>the retail system must equal that shown on MFR Schedule C-4.</t>
  </si>
  <si>
    <t>Checks</t>
  </si>
  <si>
    <t>Rate Base</t>
  </si>
  <si>
    <t>Production Demand</t>
  </si>
  <si>
    <t>Transmission Demand</t>
  </si>
  <si>
    <t>Distribution Primary</t>
  </si>
  <si>
    <t>Distribution Secondary</t>
  </si>
  <si>
    <t>Distribution Services</t>
  </si>
  <si>
    <t>Account</t>
  </si>
  <si>
    <t xml:space="preserve">Total </t>
  </si>
  <si>
    <t>Total</t>
  </si>
  <si>
    <t>GSD-1</t>
  </si>
  <si>
    <t>CS-1,2,3</t>
  </si>
  <si>
    <t>IS-1,2,3</t>
  </si>
  <si>
    <t>LS-1</t>
  </si>
  <si>
    <t>Whls</t>
  </si>
  <si>
    <t>Retail</t>
  </si>
  <si>
    <t>Rate</t>
  </si>
  <si>
    <t>Prod</t>
  </si>
  <si>
    <t>Distrib</t>
  </si>
  <si>
    <t>Number</t>
  </si>
  <si>
    <t>Description of Source</t>
  </si>
  <si>
    <t>System</t>
  </si>
  <si>
    <t>Wholesale</t>
  </si>
  <si>
    <t>RS-1</t>
  </si>
  <si>
    <t>GS-1</t>
  </si>
  <si>
    <t>GS-2</t>
  </si>
  <si>
    <t>SS-1</t>
  </si>
  <si>
    <t>SS-3</t>
  </si>
  <si>
    <t>SS-2</t>
  </si>
  <si>
    <t>Energy</t>
  </si>
  <si>
    <t>Facilities</t>
  </si>
  <si>
    <t>EV Solution</t>
  </si>
  <si>
    <t>Class</t>
  </si>
  <si>
    <t>Base</t>
  </si>
  <si>
    <t>Demand</t>
  </si>
  <si>
    <t>Transm</t>
  </si>
  <si>
    <t>Primary</t>
  </si>
  <si>
    <t>Secondary</t>
  </si>
  <si>
    <t>Services</t>
  </si>
  <si>
    <t>check</t>
  </si>
  <si>
    <t>Solution</t>
  </si>
  <si>
    <t>PRESENT REVENUES</t>
  </si>
  <si>
    <t>440-447</t>
  </si>
  <si>
    <t>Sales of Electricity</t>
  </si>
  <si>
    <t>Unbilled Revenue</t>
  </si>
  <si>
    <t xml:space="preserve">SUBTOTAL </t>
  </si>
  <si>
    <t>Minimum Bill</t>
  </si>
  <si>
    <t>EV Off-Peak Credits</t>
  </si>
  <si>
    <t>*Retail Revenue - Base ( Rate Case EV Off-Peak Credits - Adj Reduce Rev and Reduc]*</t>
  </si>
  <si>
    <t>EV Make-Ready Credit</t>
  </si>
  <si>
    <t>*EV Make-Ready Credit*</t>
  </si>
  <si>
    <t>Clean Energy Connect (CEC)</t>
  </si>
  <si>
    <t>*Retail Revenue - Base - Clean Energy Connect*</t>
  </si>
  <si>
    <t xml:space="preserve">Clean Energy Connect 2.0 (CEC) </t>
  </si>
  <si>
    <t>*CEC 2.0*</t>
  </si>
  <si>
    <t>TOTAL SALES OF ELECTRICITY</t>
  </si>
  <si>
    <t>Check</t>
  </si>
  <si>
    <t>450-451</t>
  </si>
  <si>
    <t>Misc. Service Charges:</t>
  </si>
  <si>
    <t>Late Payment Charge (E-13b)</t>
  </si>
  <si>
    <t>*0450100  Late Payment Charge*</t>
  </si>
  <si>
    <t>Other Service Charges (E-13b)</t>
  </si>
  <si>
    <t>*0451100 Misc Service Revenues*</t>
  </si>
  <si>
    <t>Returned Check Chgs (E-13b)</t>
  </si>
  <si>
    <t>Rent from Elect Property:</t>
  </si>
  <si>
    <t>EV Charger</t>
  </si>
  <si>
    <t>*0454175 EV Charger Revenue*</t>
  </si>
  <si>
    <t>Street Lighting Facilities (E-13d)</t>
  </si>
  <si>
    <t>*0454002  Rent - Lighting Equipment (Retail 100%)*</t>
  </si>
  <si>
    <t>Equipment Rental (E-13b)</t>
  </si>
  <si>
    <t>*0454003  Rent - Non Lighting Equipment*</t>
  </si>
  <si>
    <t>Rent - Joint Use</t>
  </si>
  <si>
    <t>*0454004  Rent - Joint Use*</t>
  </si>
  <si>
    <t>Rent from Electric Property - I/C</t>
  </si>
  <si>
    <t>*0454105  IC Other Electric Rents*</t>
  </si>
  <si>
    <t>Rent - Transmission</t>
  </si>
  <si>
    <t>*(Transmission 100%)*</t>
  </si>
  <si>
    <t>Other Electric Revenue:</t>
  </si>
  <si>
    <t>Other Electric Revenue</t>
  </si>
  <si>
    <t>*0456001 Other Electric Revenues (Retail 100%)*</t>
  </si>
  <si>
    <t>Ancillary Svcs</t>
  </si>
  <si>
    <t>*(Wholesale 100%)*</t>
  </si>
  <si>
    <t>Muni/Commission Tax Collection</t>
  </si>
  <si>
    <t>*0456006 Muni Co Tax Coll/comm (Wtd Total Rate Base)*</t>
  </si>
  <si>
    <t>TOTAL OTHER OPERATING REVENUE</t>
  </si>
  <si>
    <t>TOTAL PRESENT REVENUE</t>
  </si>
  <si>
    <t>PROPOSED INCREASE</t>
  </si>
  <si>
    <t>Unbilled Revenue - Retail</t>
  </si>
  <si>
    <t>Service Charges (E-13b)</t>
  </si>
  <si>
    <t>TOTAL PROPOSED INCREASE</t>
  </si>
  <si>
    <t>TOTAL REV. WITH PROP. INCREASE</t>
  </si>
  <si>
    <t>Supporting Schedules: E-12, E-13a, E-13b</t>
  </si>
  <si>
    <t>__X__  Projected Test Year Ended 12/31/26</t>
  </si>
  <si>
    <t xml:space="preserve">EV </t>
  </si>
  <si>
    <t>DEMAND</t>
  </si>
  <si>
    <t>CURTAIL</t>
  </si>
  <si>
    <t>(CS, IS, SS-2, SS-3)</t>
  </si>
  <si>
    <t>(CS, SS-3)</t>
  </si>
  <si>
    <t>(IS, SS-2)</t>
  </si>
  <si>
    <t>COST OF SERVICE - (000'S):</t>
  </si>
  <si>
    <t>Production Capacity - CP Component</t>
  </si>
  <si>
    <t>Production Capacity - AD Component</t>
  </si>
  <si>
    <t>Production Capacity - Total</t>
  </si>
  <si>
    <t>Production Energy</t>
  </si>
  <si>
    <t>Transmission</t>
  </si>
  <si>
    <t>Distribution Primary (MDS)</t>
  </si>
  <si>
    <t>CUSTOMER</t>
  </si>
  <si>
    <t>Distribution Secondary (MDS)</t>
  </si>
  <si>
    <t>Metering</t>
  </si>
  <si>
    <t>Interruptible Equipment</t>
  </si>
  <si>
    <t>Lighting Facilities</t>
  </si>
  <si>
    <t>N/A</t>
  </si>
  <si>
    <t>Customer Billing, Info, etc.</t>
  </si>
  <si>
    <t>Rounding Adjustment (Tie to Juris &amp; Class)</t>
  </si>
  <si>
    <t>BILLING UNITS:</t>
  </si>
  <si>
    <t>Number of Monthly Bills:</t>
  </si>
  <si>
    <t xml:space="preserve">Metered Bills </t>
  </si>
  <si>
    <t>Unmetered Bills</t>
  </si>
  <si>
    <t>Total Bills</t>
  </si>
  <si>
    <t>Total Bills with Secondary Service Tap</t>
  </si>
  <si>
    <t>Total Bills with IS Equipment</t>
  </si>
  <si>
    <t>Annual Effective MWH Sales:</t>
  </si>
  <si>
    <t>Production and Transmission Services</t>
  </si>
  <si>
    <t>Distribution Primary Service</t>
  </si>
  <si>
    <t>Distribution Secondary Service</t>
  </si>
  <si>
    <t>Sum of Monthly Effective Billing KW:</t>
  </si>
  <si>
    <t>n/a</t>
  </si>
  <si>
    <t>12 CP Allocator</t>
  </si>
  <si>
    <t>Avg Demand Allocator</t>
  </si>
  <si>
    <t>12 CP and 25% AD Allocator</t>
  </si>
  <si>
    <t>UNIT COSTS:</t>
  </si>
  <si>
    <t>Customer Related Costs $/Bill:</t>
  </si>
  <si>
    <t>Ln 8 / Ln 22</t>
  </si>
  <si>
    <t>Ln 10 / Ln 22</t>
  </si>
  <si>
    <t>Distribution Service Tap</t>
  </si>
  <si>
    <t>Ln 11 / Ln 23</t>
  </si>
  <si>
    <t>Ln 12 / Ln 20</t>
  </si>
  <si>
    <t>Ln 13 / Ln 24</t>
  </si>
  <si>
    <t>Ln 15 / Ln 22</t>
  </si>
  <si>
    <t>Total Customer Related Costs $/Bill</t>
  </si>
  <si>
    <t>Energy Related Costs $/MWH:</t>
  </si>
  <si>
    <t>Ln 5 / Ln 26</t>
  </si>
  <si>
    <t>Total Energy Related Costs $/mWh</t>
  </si>
  <si>
    <t>Capacity Related Costs $/MWH:</t>
  </si>
  <si>
    <t>Production Capacity 12CP</t>
  </si>
  <si>
    <t>Ln 2 / Ln 26</t>
  </si>
  <si>
    <t>Production Capacity AD</t>
  </si>
  <si>
    <t>Ln 3 / Ln 26</t>
  </si>
  <si>
    <t>Ln 6 / Ln 26</t>
  </si>
  <si>
    <t>Ln 7 / Ln 27</t>
  </si>
  <si>
    <t>Ln 9 / Ln 28</t>
  </si>
  <si>
    <t>Total Capacity Related Costs $/mWh</t>
  </si>
  <si>
    <t>Or Billing Demand  $/kW/Month:</t>
  </si>
  <si>
    <t>Ln 2 / Ln 30</t>
  </si>
  <si>
    <t>Ln 3 / Ln 30</t>
  </si>
  <si>
    <t>Ln 6 / Ln 30</t>
  </si>
  <si>
    <t>Ln 7 / Ln 31</t>
  </si>
  <si>
    <t>Ln 9 / Ln 32</t>
  </si>
  <si>
    <t>Total Capacity Related Costs $/kW/Month</t>
  </si>
  <si>
    <t>Supporting Schedules: E-1, E-3, E-4, E-13b</t>
  </si>
  <si>
    <t>GSD</t>
  </si>
  <si>
    <t>IS</t>
  </si>
  <si>
    <t>LS</t>
  </si>
  <si>
    <t>CS</t>
  </si>
  <si>
    <t>Schedule E-6b</t>
  </si>
  <si>
    <t>COST OF SERVICE STUDY - UNIT COSTS, PROPOSED RATES</t>
  </si>
  <si>
    <t xml:space="preserve"> Page 3 of 7</t>
  </si>
  <si>
    <t>See Schedule E-6b, Page 1 for explanation</t>
  </si>
  <si>
    <t>Witness:  Borsch, Chatelain, Olivier</t>
  </si>
  <si>
    <t>PRODUCTION CAPACITY ALLOCATION METHOD = 12 CP and 25% AD</t>
  </si>
  <si>
    <t>Schedule E-8</t>
  </si>
  <si>
    <t>COMPANY-PROPOSED ALLOCATION OF THE RATE INCREASE/(DECREASE) BY RATE CLASS</t>
  </si>
  <si>
    <t>Provide a schedule which shows the company proposed increase/(decrease) in revenue</t>
  </si>
  <si>
    <t>by rate schedule and the present and company-proposed class rates of return under</t>
  </si>
  <si>
    <t>the proposed cost of service study.  Provide justification for every class not left at the</t>
  </si>
  <si>
    <t>system rate of return.  If the Increase / (decrease) from service charges by rate class</t>
  </si>
  <si>
    <t>does not equal that shown on Schedule E-13b or if the increase / (decrease) from sales</t>
  </si>
  <si>
    <t>of electricity does not equal that shown on Schedule E-13a, provide an explanation.</t>
  </si>
  <si>
    <t>$000's WHERE APPLICABLE</t>
  </si>
  <si>
    <t>Rate Schedule</t>
  </si>
  <si>
    <t>Present ROR (%)</t>
  </si>
  <si>
    <t>Present Index</t>
  </si>
  <si>
    <t>Cost of
Service
12CP&amp;25%AD</t>
  </si>
  <si>
    <t>Increase from Service Charges</t>
  </si>
  <si>
    <t>Base Revenue Increase from Sales of Electricity</t>
  </si>
  <si>
    <t>Unbilled Base Revenue Increase</t>
  </si>
  <si>
    <t>Total Base Revenue Increase</t>
  </si>
  <si>
    <t>Company Proposed ROR (%)</t>
  </si>
  <si>
    <t>Company Proposed Index</t>
  </si>
  <si>
    <t>% Incr / (Decr) of Base Revenue(**)</t>
  </si>
  <si>
    <t>% Incr / (Decr) of Total Revenue(***)</t>
  </si>
  <si>
    <t>RS-1, RST-1</t>
  </si>
  <si>
    <t>GS-1, GST-1</t>
  </si>
  <si>
    <t>GSD-1, GSDT-1, SS-1</t>
  </si>
  <si>
    <t>CS-2, CST-2, CS-3, CST-3, SS-3</t>
  </si>
  <si>
    <t>IS-2, IST-2, SS-2</t>
  </si>
  <si>
    <t>LS-1 (Energy)</t>
  </si>
  <si>
    <t>Total Sales of Electricity</t>
  </si>
  <si>
    <t>Other Revenue Classes(*):</t>
  </si>
  <si>
    <t>LS-1 (Facilities)</t>
  </si>
  <si>
    <t>Total Retail</t>
  </si>
  <si>
    <t>1.5x Sys. Avg. %:</t>
  </si>
  <si>
    <t>Notes:</t>
  </si>
  <si>
    <t>(*) Excluded from system rate of return</t>
  </si>
  <si>
    <t>(**) Base revenue excludes clause revenue in % Calculation. Rate classes left below the system rate of return are due to application of FPSC practice of limiting rate class increases to 1.5 times the system average increase.</t>
  </si>
  <si>
    <t>(***) Total Revenue in Column 13 is based on forecast revenue with projected 2025 BA-1 rates , except for ECCR, ECRC, and ASC, which use current March 2024 rates.</t>
  </si>
  <si>
    <t>E-1, E-6b, E-13a</t>
  </si>
  <si>
    <t>From E-13a</t>
  </si>
  <si>
    <t>Choose Year</t>
  </si>
  <si>
    <t>Yr 4</t>
  </si>
  <si>
    <t>2026</t>
  </si>
  <si>
    <t>Customers by Voltage Level by Class</t>
  </si>
  <si>
    <t>Fuel</t>
  </si>
  <si>
    <t>ECCR</t>
  </si>
  <si>
    <t>CCR</t>
  </si>
  <si>
    <t>ECRC</t>
  </si>
  <si>
    <t>ASC</t>
  </si>
  <si>
    <t>SPPCRC</t>
  </si>
  <si>
    <t>SCRS</t>
  </si>
  <si>
    <t>Clauses</t>
  </si>
  <si>
    <t>Percent</t>
  </si>
  <si>
    <t>mWh</t>
  </si>
  <si>
    <t>kW</t>
  </si>
  <si>
    <t>¢/ kWh</t>
  </si>
  <si>
    <t>$/ kW</t>
  </si>
  <si>
    <t>by</t>
  </si>
  <si>
    <t>by Class</t>
  </si>
  <si>
    <t>Total by</t>
  </si>
  <si>
    <t>Revenues</t>
  </si>
  <si>
    <t>Change</t>
  </si>
  <si>
    <t>per E13c</t>
  </si>
  <si>
    <t>Present</t>
  </si>
  <si>
    <t>Proposed</t>
  </si>
  <si>
    <t>Total Rev</t>
  </si>
  <si>
    <t>RS</t>
  </si>
  <si>
    <t>Secondary STD</t>
  </si>
  <si>
    <t>0-1000 KWH</t>
  </si>
  <si>
    <t>over 1000 KWH</t>
  </si>
  <si>
    <t>TOU Sec on peak</t>
  </si>
  <si>
    <t>TOU Sec off peak</t>
  </si>
  <si>
    <t>TOU Sec discount</t>
  </si>
  <si>
    <t>Primary STD</t>
  </si>
  <si>
    <t>TOU Prim on peak</t>
  </si>
  <si>
    <t>TOU Prim off peak</t>
  </si>
  <si>
    <t>TOU Prim discount</t>
  </si>
  <si>
    <t>TOU Trans on peak</t>
  </si>
  <si>
    <t>TOU Trans off peak</t>
  </si>
  <si>
    <t>TOU Trans discount</t>
  </si>
  <si>
    <t>Transmission STD</t>
  </si>
  <si>
    <t>*SS-1</t>
  </si>
  <si>
    <t xml:space="preserve">  Monthly</t>
  </si>
  <si>
    <t xml:space="preserve">    Secondary</t>
  </si>
  <si>
    <t xml:space="preserve">    Primary</t>
  </si>
  <si>
    <t xml:space="preserve">    Transmission</t>
  </si>
  <si>
    <t xml:space="preserve">  Daily</t>
  </si>
  <si>
    <t>*SS-2</t>
  </si>
  <si>
    <t>*SS-3</t>
  </si>
  <si>
    <t xml:space="preserve">Grand Total </t>
  </si>
  <si>
    <t>Summary by Rate Class:</t>
  </si>
  <si>
    <t>GSD, SS-1</t>
  </si>
  <si>
    <t>CS, SS-3</t>
  </si>
  <si>
    <t>IS, SS-2</t>
  </si>
  <si>
    <t>TOTAL</t>
  </si>
  <si>
    <t>=</t>
  </si>
  <si>
    <t>MJC Exhibit No. 2</t>
  </si>
  <si>
    <t>COMPANY-PROPOSED ALLOCATION OF THE TARGET REVENUE AND RATE INCREASE/(DECREASE) BY RATE CLASS</t>
  </si>
  <si>
    <t>Present
Class
Revenue</t>
  </si>
  <si>
    <t>Revenue
Deficiency</t>
  </si>
  <si>
    <t>(Incr)/Decr
Revenue
Credits</t>
  </si>
  <si>
    <t>Net Revenue
Deficiency</t>
  </si>
  <si>
    <t>Revenue Increase
Before Socialization *</t>
  </si>
  <si>
    <t>1st Socialization of
Remaining Deficiency **</t>
  </si>
  <si>
    <t>1st Socialization Total Targeted 
Revenue Increase</t>
  </si>
  <si>
    <t>Total
Proposed
Revenue</t>
  </si>
  <si>
    <t>Rate Class</t>
  </si>
  <si>
    <t>(MFR E-6b)</t>
  </si>
  <si>
    <t>(E-13a)</t>
  </si>
  <si>
    <t>(1) - (2)</t>
  </si>
  <si>
    <t>(MFR E-5)</t>
  </si>
  <si>
    <t>(3) + (4)</t>
  </si>
  <si>
    <t>(5) / (2)</t>
  </si>
  <si>
    <t>(2) X (8)</t>
  </si>
  <si>
    <t>% with Cap</t>
  </si>
  <si>
    <t>(2) + (7)</t>
  </si>
  <si>
    <t>(5) - (7)</t>
  </si>
  <si>
    <t>(7) + (10)</t>
  </si>
  <si>
    <t>(2) + (11)</t>
  </si>
  <si>
    <t>Residential (RS)</t>
  </si>
  <si>
    <t>General Service</t>
  </si>
  <si>
    <t>Non-Demand (GS-1)</t>
  </si>
  <si>
    <t>General Service 100%</t>
  </si>
  <si>
    <t>Load Factor (GS-2)</t>
  </si>
  <si>
    <t>Demand (GSD, SS-1)</t>
  </si>
  <si>
    <t>Curtailable/Interruptible</t>
  </si>
  <si>
    <t>General Service (CS, IS, SS-2, SS-3)</t>
  </si>
  <si>
    <t>Lighting (LS)</t>
  </si>
  <si>
    <t>Rounding Adj to Juris</t>
  </si>
  <si>
    <t>Sales of Electricity Total</t>
  </si>
  <si>
    <t>Cap at 1.5 times average %</t>
  </si>
  <si>
    <t>Other Revenue Classes</t>
  </si>
  <si>
    <t>*Percentage increase set at no more than 1.5 times system average percentage increase and no decrease per FPSC staff policy.</t>
  </si>
  <si>
    <t>**Only applies to rate classes in which percentage increase is not capped at 1.5 times system average percentage increase</t>
  </si>
  <si>
    <t>E-6b, E-13a</t>
  </si>
  <si>
    <t>Generation</t>
  </si>
  <si>
    <t xml:space="preserve"> </t>
  </si>
  <si>
    <t>Meter</t>
  </si>
  <si>
    <t>Difference</t>
  </si>
  <si>
    <t>%</t>
  </si>
  <si>
    <t>Schedule E-12</t>
  </si>
  <si>
    <t>Provide a schedule showing the calculation of the adjustment</t>
  </si>
  <si>
    <t>by rate class to the test year amount of unbilled revenue for</t>
  </si>
  <si>
    <t>the effect of the proposed rate increase.  The calculation of</t>
  </si>
  <si>
    <t>test year unbilled revenue at present rates is provided in</t>
  </si>
  <si>
    <t>Schedule C-11.</t>
  </si>
  <si>
    <t>Sales of Electricity (excluding unbilled)</t>
  </si>
  <si>
    <t>Unbilled Sales</t>
  </si>
  <si>
    <t>Base Energy</t>
  </si>
  <si>
    <t>Per</t>
  </si>
  <si>
    <t>&amp; Demand</t>
  </si>
  <si>
    <t>Unit</t>
  </si>
  <si>
    <t>Adjustment</t>
  </si>
  <si>
    <t>Revenue</t>
  </si>
  <si>
    <t>Billed</t>
  </si>
  <si>
    <t>$/MWH</t>
  </si>
  <si>
    <t>Unbilled</t>
  </si>
  <si>
    <t>($000)</t>
  </si>
  <si>
    <t>Schedule</t>
  </si>
  <si>
    <t>MWH</t>
  </si>
  <si>
    <t>col(1)/col(2)</t>
  </si>
  <si>
    <t>col(3)*col(6)</t>
  </si>
  <si>
    <t>col(5)*col(6)</t>
  </si>
  <si>
    <t>col(7)-col(8)</t>
  </si>
  <si>
    <t>*</t>
  </si>
  <si>
    <t>CS-2, CS-3</t>
  </si>
  <si>
    <t>IS-2</t>
  </si>
  <si>
    <t>SUBTOTAL</t>
  </si>
  <si>
    <t>LS-1 Facilities</t>
  </si>
  <si>
    <t>* Weighted for Seasonality</t>
  </si>
  <si>
    <t>E-13c, E-10</t>
  </si>
  <si>
    <t>Customer</t>
  </si>
  <si>
    <t>LABEL</t>
  </si>
  <si>
    <t>Line No.</t>
  </si>
  <si>
    <t>Forecasted Billed Energy Revenue:</t>
  </si>
  <si>
    <t>Forecasted Billed Demand Revenue</t>
  </si>
  <si>
    <t>Total Billed Revenue</t>
  </si>
  <si>
    <t>Billed mWh:</t>
  </si>
  <si>
    <t>Derived Revenue Rate</t>
  </si>
  <si>
    <t>Unbilled mWh:</t>
  </si>
  <si>
    <t>Derived Unbilled Revenue</t>
  </si>
  <si>
    <t>(13)
Sum (1) - (12)</t>
  </si>
  <si>
    <t>Derived Proposed Revenue Rate</t>
  </si>
  <si>
    <t>Derived Proposed Unbilled Revenue</t>
  </si>
  <si>
    <t>Unbilled Derived Rate</t>
  </si>
  <si>
    <t>Unbilled mWh Adjustment:</t>
  </si>
  <si>
    <t>Winter</t>
  </si>
  <si>
    <t>Non-Winter</t>
  </si>
  <si>
    <t>0-1000 kWH</t>
  </si>
  <si>
    <t>Over 1000 KWH</t>
  </si>
  <si>
    <t>TOU On-Peak</t>
  </si>
  <si>
    <t>TOU Off-Peak</t>
  </si>
  <si>
    <t>TOU Discount</t>
  </si>
  <si>
    <t>Standard Sec</t>
  </si>
  <si>
    <t>Standard Pri</t>
  </si>
  <si>
    <t>Standard Trans</t>
  </si>
  <si>
    <t>TOU On-Peak Sec</t>
  </si>
  <si>
    <t>TOU Off-Peak Sec</t>
  </si>
  <si>
    <t>TOU Discount Sec</t>
  </si>
  <si>
    <t>TOU On-Peak Pri</t>
  </si>
  <si>
    <t>TOU Off-Peak Pri</t>
  </si>
  <si>
    <t>TOU Discount Pri</t>
  </si>
  <si>
    <t>TOU On-Peak Trans</t>
  </si>
  <si>
    <t>TOU Off-Peak Trans</t>
  </si>
  <si>
    <t>TOU Discount Trans</t>
  </si>
  <si>
    <t>Schedule E-13a</t>
  </si>
  <si>
    <t>REVENUE FROM SALE OF ELECTRICITY BY RATE SCHEDULE</t>
  </si>
  <si>
    <t>Compare jurisdictional revenue excluding service charges by rate schedule</t>
  </si>
  <si>
    <t xml:space="preserve">under present and proposed rates for the test year. If any customers are to be </t>
  </si>
  <si>
    <t>transferred from one schedule to another, the revenue and billing determinant</t>
  </si>
  <si>
    <t>information shall be shown separately for the transfer group and not be</t>
  </si>
  <si>
    <t>DOCKET NO:</t>
  </si>
  <si>
    <t>included under either the new or old classification.</t>
  </si>
  <si>
    <t>Witness:  Chatelain</t>
  </si>
  <si>
    <t>Base Revenue $000's</t>
  </si>
  <si>
    <t>Present Rates</t>
  </si>
  <si>
    <t>Proposed Rates</t>
  </si>
  <si>
    <t>Increase / (Decrease)</t>
  </si>
  <si>
    <t>$000's</t>
  </si>
  <si>
    <t>per E-13c</t>
  </si>
  <si>
    <t>per E-12</t>
  </si>
  <si>
    <t>(7)-(4)</t>
  </si>
  <si>
    <t>(8) / (4)</t>
  </si>
  <si>
    <t>Sales of Electricity TOTAL</t>
  </si>
  <si>
    <t>Supporting Schedules: E-12, E-13c</t>
  </si>
  <si>
    <t>SCHEDULE E-13c</t>
  </si>
  <si>
    <t>BASE REVENUE BY RATE SCHEDULE - CALCULATIONS</t>
  </si>
  <si>
    <t>Page 14 of 39</t>
  </si>
  <si>
    <t>By rate schedule, calculate revenues under present and proposed rates for the test year.  If any customers</t>
  </si>
  <si>
    <t>are to be transferred from one schedule to another, show revenues separately for the transfer group.</t>
  </si>
  <si>
    <t>Correction factors are used for historic test years only.  The total base revenue by class must equal that</t>
  </si>
  <si>
    <t>Year 4</t>
  </si>
  <si>
    <t xml:space="preserve">shown in Schedule E-13a.  The billing units must equal those shown in Schedules E-15.  </t>
  </si>
  <si>
    <t>Yr 1</t>
  </si>
  <si>
    <t>Yr 2</t>
  </si>
  <si>
    <t>Yr 3</t>
  </si>
  <si>
    <t>Yr 5</t>
  </si>
  <si>
    <t>Mo 1</t>
  </si>
  <si>
    <t>Mo 2</t>
  </si>
  <si>
    <t>Mo 3</t>
  </si>
  <si>
    <t>Mo 4</t>
  </si>
  <si>
    <t>Mo 5</t>
  </si>
  <si>
    <t>Mo 6</t>
  </si>
  <si>
    <t>Mo 7</t>
  </si>
  <si>
    <t>Mo 8</t>
  </si>
  <si>
    <t>Mo 9</t>
  </si>
  <si>
    <t>Mo 10</t>
  </si>
  <si>
    <t>Mo 11</t>
  </si>
  <si>
    <t>Mo 12</t>
  </si>
  <si>
    <r>
      <t xml:space="preserve">Rate Schedule </t>
    </r>
    <r>
      <rPr>
        <b/>
        <u/>
        <sz val="12"/>
        <color indexed="8"/>
        <rFont val="Calibri"/>
        <family val="2"/>
        <scheme val="minor"/>
      </rPr>
      <t>RS-1</t>
    </r>
  </si>
  <si>
    <t>Look up Rates:</t>
  </si>
  <si>
    <t>Map to E-13c Summary:</t>
  </si>
  <si>
    <t>Type of</t>
  </si>
  <si>
    <t>Present Revenue Calculation</t>
  </si>
  <si>
    <t>Proposed Revenue Calculation</t>
  </si>
  <si>
    <t>Charges</t>
  </si>
  <si>
    <t>Units</t>
  </si>
  <si>
    <t>Charge/Unit</t>
  </si>
  <si>
    <t>$ Revenue</t>
  </si>
  <si>
    <t>Increase</t>
  </si>
  <si>
    <t>col #</t>
  </si>
  <si>
    <t>Charge</t>
  </si>
  <si>
    <t>Customer Charge:</t>
  </si>
  <si>
    <t>Standard</t>
  </si>
  <si>
    <t>Secondary Standard</t>
  </si>
  <si>
    <t>Bills @</t>
  </si>
  <si>
    <t>Time-of-Use</t>
  </si>
  <si>
    <t>Secondary (single &amp; three phase)</t>
  </si>
  <si>
    <t>RST-1</t>
  </si>
  <si>
    <t>Customer CIAC Paid</t>
  </si>
  <si>
    <t xml:space="preserve">Bills   </t>
  </si>
  <si>
    <t>Energy Charge:</t>
  </si>
  <si>
    <t>Enter 1 for Winter, Enter 2 for Non-Winter:</t>
  </si>
  <si>
    <t>Winter - Standard</t>
  </si>
  <si>
    <t>Seasonal Ratio</t>
  </si>
  <si>
    <t>MWH @</t>
  </si>
  <si>
    <t>Subtotal</t>
  </si>
  <si>
    <t>Non-Winter - Standard</t>
  </si>
  <si>
    <t>TOU Ratio</t>
  </si>
  <si>
    <t>On-Peak</t>
  </si>
  <si>
    <t>Off-Peak</t>
  </si>
  <si>
    <t>Discount</t>
  </si>
  <si>
    <t xml:space="preserve">MWH    </t>
  </si>
  <si>
    <t>Adjustments</t>
  </si>
  <si>
    <t>CEC Subscription Revenue 1.0</t>
  </si>
  <si>
    <t>CEC</t>
  </si>
  <si>
    <t>CEC Subscription Revenue 2.0</t>
  </si>
  <si>
    <t>Make Ready Credit Program</t>
  </si>
  <si>
    <t>EV Make Ready</t>
  </si>
  <si>
    <t>Min Bill</t>
  </si>
  <si>
    <t>EV Off-Peak Credit</t>
  </si>
  <si>
    <t>EV Credit</t>
  </si>
  <si>
    <t>Total RS-1 Base Revenue</t>
  </si>
  <si>
    <t>Increase/ (Decrease) - $</t>
  </si>
  <si>
    <t>Target RS-1 Increase</t>
  </si>
  <si>
    <t>Difference from Target</t>
  </si>
  <si>
    <t>Page 15 of 39</t>
  </si>
  <si>
    <r>
      <t xml:space="preserve">Rate Schedule </t>
    </r>
    <r>
      <rPr>
        <b/>
        <u/>
        <sz val="12"/>
        <color indexed="8"/>
        <rFont val="Calibri"/>
        <family val="2"/>
        <scheme val="minor"/>
      </rPr>
      <t>GS-1</t>
    </r>
  </si>
  <si>
    <t>Unmetered</t>
  </si>
  <si>
    <t>GS</t>
  </si>
  <si>
    <t>GST-1</t>
  </si>
  <si>
    <t>Bills</t>
  </si>
  <si>
    <t>Distribution Primary Metering</t>
  </si>
  <si>
    <t>Transmission Metering</t>
  </si>
  <si>
    <t>Total GS-1 Base Revenue</t>
  </si>
  <si>
    <t>Target GS-1 Increase</t>
  </si>
  <si>
    <t>Page 16 of 39</t>
  </si>
  <si>
    <r>
      <t xml:space="preserve">Rate Schedule </t>
    </r>
    <r>
      <rPr>
        <b/>
        <u/>
        <sz val="12"/>
        <color indexed="8"/>
        <rFont val="Calibri"/>
        <family val="2"/>
        <scheme val="minor"/>
      </rPr>
      <t>GS-2</t>
    </r>
  </si>
  <si>
    <t>Total GS-2 Base Revenue</t>
  </si>
  <si>
    <t>Target GS-2 Increase</t>
  </si>
  <si>
    <t>Page 17 of 39</t>
  </si>
  <si>
    <r>
      <t xml:space="preserve">Rate Schedule </t>
    </r>
    <r>
      <rPr>
        <b/>
        <u/>
        <sz val="12"/>
        <color indexed="8"/>
        <rFont val="Calibri"/>
        <family val="2"/>
        <scheme val="minor"/>
      </rPr>
      <t>GSD</t>
    </r>
  </si>
  <si>
    <t>GSDT-1</t>
  </si>
  <si>
    <t xml:space="preserve">  Bills</t>
  </si>
  <si>
    <t>Demand Charge:</t>
  </si>
  <si>
    <t>Standard w/ DVC</t>
  </si>
  <si>
    <t>kW @</t>
  </si>
  <si>
    <t>Transmission &lt; 230 kV</t>
  </si>
  <si>
    <r>
      <t xml:space="preserve">Transmission </t>
    </r>
    <r>
      <rPr>
        <u/>
        <sz val="8"/>
        <rFont val="Calibri"/>
        <family val="2"/>
        <scheme val="minor"/>
      </rPr>
      <t>&gt;</t>
    </r>
    <r>
      <rPr>
        <sz val="8"/>
        <rFont val="Calibri"/>
        <family val="2"/>
        <scheme val="minor"/>
      </rPr>
      <t xml:space="preserve"> 230 kV</t>
    </r>
  </si>
  <si>
    <t>Mid-Peak</t>
  </si>
  <si>
    <t>Delivery Voltage Credit - Primary</t>
  </si>
  <si>
    <t>Delivery Voltage Credit</t>
  </si>
  <si>
    <t>Premium Distrib. Charge</t>
  </si>
  <si>
    <t>TOTAL Billed/Base</t>
  </si>
  <si>
    <t>Page 18 of 39</t>
  </si>
  <si>
    <t>2024XXXX-EI</t>
  </si>
  <si>
    <t xml:space="preserve">MWH  </t>
  </si>
  <si>
    <t>Power Factor</t>
  </si>
  <si>
    <t>Power</t>
  </si>
  <si>
    <t>Total GSD-1 Base Revenue</t>
  </si>
  <si>
    <t>Target GSD Increase</t>
  </si>
  <si>
    <t>Page 19 of 39</t>
  </si>
  <si>
    <r>
      <t xml:space="preserve">Rate Schedule </t>
    </r>
    <r>
      <rPr>
        <b/>
        <u/>
        <sz val="12"/>
        <color indexed="8"/>
        <rFont val="Calibri"/>
        <family val="2"/>
        <scheme val="minor"/>
      </rPr>
      <t>CS</t>
    </r>
  </si>
  <si>
    <t>CS-1</t>
  </si>
  <si>
    <t>CST-1</t>
  </si>
  <si>
    <t xml:space="preserve">  kW</t>
  </si>
  <si>
    <t>Page 20 of 39</t>
  </si>
  <si>
    <t xml:space="preserve">  MWH     </t>
  </si>
  <si>
    <t>Kvar</t>
  </si>
  <si>
    <t>Total CS-2, CS-3 Base Revenue</t>
  </si>
  <si>
    <t>Target CS Increase</t>
  </si>
  <si>
    <t>Page 21 of 39</t>
  </si>
  <si>
    <r>
      <t xml:space="preserve">Rate Schedule </t>
    </r>
    <r>
      <rPr>
        <b/>
        <u/>
        <sz val="12"/>
        <color indexed="8"/>
        <rFont val="Calibri"/>
        <family val="2"/>
        <scheme val="minor"/>
      </rPr>
      <t>IS</t>
    </r>
  </si>
  <si>
    <t>IS-1</t>
  </si>
  <si>
    <t>IST-1</t>
  </si>
  <si>
    <t xml:space="preserve">Bills    </t>
  </si>
  <si>
    <t>Delivery Voltage Credit Trans &lt; 230kV</t>
  </si>
  <si>
    <t>Delivery Voltage Credit  &lt; 230kV</t>
  </si>
  <si>
    <r>
      <t xml:space="preserve">Delivery Voltage Credit  </t>
    </r>
    <r>
      <rPr>
        <u/>
        <sz val="8"/>
        <rFont val="Calibri"/>
        <family val="2"/>
        <scheme val="minor"/>
      </rPr>
      <t>&gt;</t>
    </r>
    <r>
      <rPr>
        <sz val="8"/>
        <rFont val="Calibri"/>
        <family val="2"/>
        <scheme val="minor"/>
      </rPr>
      <t xml:space="preserve"> 230 kV</t>
    </r>
  </si>
  <si>
    <t xml:space="preserve">   kW</t>
  </si>
  <si>
    <t>Page 22 of 39</t>
  </si>
  <si>
    <t>Total IS-2 Base Revenue</t>
  </si>
  <si>
    <t>Target IS Increase</t>
  </si>
  <si>
    <t>Page 23 of 39</t>
  </si>
  <si>
    <r>
      <t>Rate Schedule</t>
    </r>
    <r>
      <rPr>
        <b/>
        <u/>
        <sz val="12"/>
        <color indexed="8"/>
        <rFont val="Calibri"/>
        <family val="2"/>
      </rPr>
      <t xml:space="preserve"> LS</t>
    </r>
  </si>
  <si>
    <t>Energy &amp; Demand Charge:</t>
  </si>
  <si>
    <t>Total LS-1 Base Revenue</t>
  </si>
  <si>
    <t>Target LS-1 Increase</t>
  </si>
  <si>
    <t>Page 24 of 39</t>
  </si>
  <si>
    <r>
      <t xml:space="preserve">Rate Schedule </t>
    </r>
    <r>
      <rPr>
        <b/>
        <u/>
        <sz val="12"/>
        <color indexed="8"/>
        <rFont val="Calibri"/>
        <family val="2"/>
      </rPr>
      <t>SS-1</t>
    </r>
  </si>
  <si>
    <t>Pri/Transm (Cust. Owned - CIAC)</t>
  </si>
  <si>
    <t xml:space="preserve">Bills     </t>
  </si>
  <si>
    <t>Distribution Charge</t>
  </si>
  <si>
    <t xml:space="preserve">   Primary</t>
  </si>
  <si>
    <t xml:space="preserve">   Transmission</t>
  </si>
  <si>
    <t xml:space="preserve"> (Greater of SB Cap or DD)</t>
  </si>
  <si>
    <t>Enter the Billing Month Factor</t>
  </si>
  <si>
    <t xml:space="preserve">      Specified SB Cap</t>
  </si>
  <si>
    <t xml:space="preserve">      Daily Demand</t>
  </si>
  <si>
    <t xml:space="preserve">MWH     </t>
  </si>
  <si>
    <t>Premium Distribution Charge</t>
  </si>
  <si>
    <t>Total SS-1 Base Revenue</t>
  </si>
  <si>
    <t>Target SS-1 Increase</t>
  </si>
  <si>
    <t>Page 25 of 39</t>
  </si>
  <si>
    <r>
      <t xml:space="preserve">Rate Schedule </t>
    </r>
    <r>
      <rPr>
        <b/>
        <u/>
        <sz val="12"/>
        <color indexed="8"/>
        <rFont val="Calibri"/>
        <family val="2"/>
      </rPr>
      <t>SS-2</t>
    </r>
  </si>
  <si>
    <t>Generation &amp; Transm</t>
  </si>
  <si>
    <t xml:space="preserve"> (Greater of SB Cap/DD)</t>
  </si>
  <si>
    <t>Sub-Transmission</t>
  </si>
  <si>
    <t>Total SS-2 Base Revenue</t>
  </si>
  <si>
    <t>Target SS-2 Increase</t>
  </si>
  <si>
    <t>Page 26 of 39</t>
  </si>
  <si>
    <r>
      <t xml:space="preserve">Rate Schedule </t>
    </r>
    <r>
      <rPr>
        <b/>
        <u/>
        <sz val="12"/>
        <color indexed="8"/>
        <rFont val="Calibri"/>
        <family val="2"/>
      </rPr>
      <t>SS-3</t>
    </r>
  </si>
  <si>
    <t>Primary (Customer Owned)</t>
  </si>
  <si>
    <t xml:space="preserve">MWH </t>
  </si>
  <si>
    <t>Adjustments:</t>
  </si>
  <si>
    <t>Total SS-3 Base Revenue</t>
  </si>
  <si>
    <t>Target SS-3 Increase</t>
  </si>
  <si>
    <t>MJC Exhibit No. 3</t>
  </si>
  <si>
    <t>BASE REVENUE BY RATE SCHEDULE - CALCULATIONS - CALENDAR YEAR DETERMINANTS</t>
  </si>
  <si>
    <t>This exhibit calculates the class revenues under present and proposed rates for the test year using calendar year</t>
  </si>
  <si>
    <t xml:space="preserve">billing determinants, to account for the change in unbilled MWH. The target increase for each class comes from </t>
  </si>
  <si>
    <t>MJC Exhibit No. 2. The derived rates are then used in MFR E-13c to reflect the revenues using Billed Determinants.</t>
  </si>
  <si>
    <t>MJC-2</t>
  </si>
  <si>
    <t>Jan '26-Dec '26</t>
  </si>
  <si>
    <t>Supporting Schedules: E-14, E-15</t>
  </si>
  <si>
    <t>Recap Schedules: E-13a</t>
  </si>
  <si>
    <t>Schedule E-14</t>
  </si>
  <si>
    <t>PROPOSED TARIFF SHEETS AND SUPPORT FOR CHARGES</t>
  </si>
  <si>
    <t>Page 1 of 1</t>
  </si>
  <si>
    <t>Provide proposed tariff sheets highlighting changes in legislative format from existing tariff</t>
  </si>
  <si>
    <t>provisions. For each charge, reference by footnote unit costs as shown on Schedules E-6b and E-7, if</t>
  </si>
  <si>
    <t>__X__  Projected Test Year Ended 12/31/25</t>
  </si>
  <si>
    <t>applicable.  Indicate whether unit costs are calculated at the class or system rate of return.  On</t>
  </si>
  <si>
    <t>separate attachment explain any differences between unit costs and proposed charges.  Provide the</t>
  </si>
  <si>
    <t>__X__  Projected Test Year Ended 12/31/27</t>
  </si>
  <si>
    <t>derivation (calculation and assumptions) of all charges and credits other than those for which unit</t>
  </si>
  <si>
    <t>costs are calculated in these MFR schedules, including those charges and credits the company</t>
  </si>
  <si>
    <t>proposes to continue at the present level. Workpapers for street and outdoor lighting rates, T-O-U</t>
  </si>
  <si>
    <t>rates and standard energy charges shall be furnished under separate cover to staff, Commissioners,</t>
  </si>
  <si>
    <t>Commission Clerk and upon request to other parties to this docket.</t>
  </si>
  <si>
    <t>This schedule includes all Tariff Sheets of those Rate Schedules and Standard Contract Forms which are proposed to be changed.</t>
  </si>
  <si>
    <t>Proposed changes are highlighted in legislative format.</t>
  </si>
  <si>
    <t>Unit Charges / Cost Data are provided in the following attachments:</t>
  </si>
  <si>
    <t>Attachment A - Summary of Unit Charges and Unit Cost Data by Rate Class</t>
  </si>
  <si>
    <t>Attachment B - Development of Residential and General Service Customer Charges</t>
  </si>
  <si>
    <t>Attachment C - Development of Time of Use Billing Determinants</t>
  </si>
  <si>
    <t>Attachment D -  Development of Standby Service Rate Charges</t>
  </si>
  <si>
    <t>Attachment E -  Development of Customer Charge Unit Costs for Non-Residential Classes</t>
  </si>
  <si>
    <t>Attachment F -  Development of Monthly Fixed Charge Rate for Lighting Facilities</t>
  </si>
  <si>
    <t>Attachment G -  Development of Premium Distribution Service Charges</t>
  </si>
  <si>
    <t>Attachment H -  Unitized Cost of Service: Summary of Residential Unit Cost Methodology for Optional</t>
  </si>
  <si>
    <t xml:space="preserve"> Company Offered Load Control Programs</t>
  </si>
  <si>
    <t>DUKE ENERGY FLORIDA</t>
  </si>
  <si>
    <t>MFR Schedule E-14</t>
  </si>
  <si>
    <t>Attachment A</t>
  </si>
  <si>
    <t>Unit Charge / Unit Cost Data</t>
  </si>
  <si>
    <t>Prop vs Pres</t>
  </si>
  <si>
    <t>Prop vs Cost</t>
  </si>
  <si>
    <t>Current</t>
  </si>
  <si>
    <t>Unit Cost</t>
  </si>
  <si>
    <t>@ Present</t>
  </si>
  <si>
    <t>@ Proposed</t>
  </si>
  <si>
    <t>@ Cost</t>
  </si>
  <si>
    <t>Lookups</t>
  </si>
  <si>
    <t>Type of Charge</t>
  </si>
  <si>
    <t>Cost</t>
  </si>
  <si>
    <t>Explanation</t>
  </si>
  <si>
    <t>$</t>
  </si>
  <si>
    <t>Do not delete</t>
  </si>
  <si>
    <t>Customer Charge - $ per Line of Billing</t>
  </si>
  <si>
    <t>E-14B</t>
  </si>
  <si>
    <t>Set to meet revenue requirements</t>
  </si>
  <si>
    <t>RSL-1</t>
  </si>
  <si>
    <t>Time of Use</t>
  </si>
  <si>
    <t>RSL-2</t>
  </si>
  <si>
    <t>Single &amp; Three Phase</t>
  </si>
  <si>
    <t>Set to RS-1 Standard</t>
  </si>
  <si>
    <t>Energy Charge</t>
  </si>
  <si>
    <t>Two-Tiered Rate</t>
  </si>
  <si>
    <t>0 - 1,000 kWh (Winter)</t>
  </si>
  <si>
    <t>¢/kWh</t>
  </si>
  <si>
    <t>Set to meet revenue requirements with seasonal differentiation</t>
  </si>
  <si>
    <t>Over 1,000 kWh (Winter)</t>
  </si>
  <si>
    <t>0 - 1,000 kWh (Non-Winter)</t>
  </si>
  <si>
    <t>Over 1,000 kWh (Non-Winter)</t>
  </si>
  <si>
    <t>Time of Use - On Peak</t>
  </si>
  <si>
    <t>E-14C</t>
  </si>
  <si>
    <t>Set to meet revenue requirements with proposed TOU design</t>
  </si>
  <si>
    <t>Time of Use - Off Peak</t>
  </si>
  <si>
    <t>Time of Use - Discount</t>
  </si>
  <si>
    <t>EV Off-Peak Charging Credit</t>
  </si>
  <si>
    <t>EV Off-Pk</t>
  </si>
  <si>
    <t>Set to reasonable credit for 2025/2026/2027 to limit changes from year to year</t>
  </si>
  <si>
    <t>check s/b 0</t>
  </si>
  <si>
    <t>GS-1,</t>
  </si>
  <si>
    <t>Ties to E-6b</t>
  </si>
  <si>
    <t>E-14E</t>
  </si>
  <si>
    <t>Set to unit cost</t>
  </si>
  <si>
    <t>Set to meet revenue requirements in alignment with class increase</t>
  </si>
  <si>
    <t>Set to GS-1 Standard</t>
  </si>
  <si>
    <t>E-14G</t>
  </si>
  <si>
    <t>Set to reflect COS</t>
  </si>
  <si>
    <t>Meter Voltage Adjustment - % of Demand &amp; Energy Charges</t>
  </si>
  <si>
    <t>No Change</t>
  </si>
  <si>
    <t>Equipment Rental - % of Installed Equipment Cost</t>
  </si>
  <si>
    <t>E-14F 3b</t>
  </si>
  <si>
    <t>Set to COS</t>
  </si>
  <si>
    <t>E-6b</t>
  </si>
  <si>
    <t>Metered</t>
  </si>
  <si>
    <t>Set to GSD-1</t>
  </si>
  <si>
    <t>Demand Charge</t>
  </si>
  <si>
    <t>$/kW</t>
  </si>
  <si>
    <t>On Peak</t>
  </si>
  <si>
    <t>Mid Peak</t>
  </si>
  <si>
    <t>Delivery Voltage Credits</t>
  </si>
  <si>
    <t>DVC</t>
  </si>
  <si>
    <r>
      <t xml:space="preserve">Transmission </t>
    </r>
    <r>
      <rPr>
        <u/>
        <sz val="10"/>
        <rFont val="Calibri"/>
        <family val="2"/>
        <scheme val="minor"/>
      </rPr>
      <t>&gt;</t>
    </r>
    <r>
      <rPr>
        <sz val="10"/>
        <rFont val="Calibri"/>
        <family val="2"/>
        <scheme val="minor"/>
      </rPr>
      <t xml:space="preserve"> 230 kV</t>
    </r>
  </si>
  <si>
    <t>CS-2</t>
  </si>
  <si>
    <t>CS-3</t>
  </si>
  <si>
    <t>CST-2</t>
  </si>
  <si>
    <t>CST-3</t>
  </si>
  <si>
    <t>Curtailable Demand Credit</t>
  </si>
  <si>
    <t>CS-2, CST-2 - $ per KW of Curtailable On-Pk Capability</t>
  </si>
  <si>
    <t>Set to ensure cost-effectiveness used in FEECA Docket</t>
  </si>
  <si>
    <t>CS-3, CST-3 - $ per KW of Contract Demand</t>
  </si>
  <si>
    <t>Curtailable Event Incentive</t>
  </si>
  <si>
    <t>IST-2</t>
  </si>
  <si>
    <t>Demand Charge - $ per KW</t>
  </si>
  <si>
    <t>Interruptible Demand Credit</t>
  </si>
  <si>
    <t>IS-2, IST-2 - $ per KW On-Peak Demand</t>
  </si>
  <si>
    <t>Other Fixture Charge Rate - % of Installed Fixture Cost</t>
  </si>
  <si>
    <t>E-14F 3a</t>
  </si>
  <si>
    <t>Other Pole Charge Rate - % of Installed Pole Cost</t>
  </si>
  <si>
    <t>E-14D</t>
  </si>
  <si>
    <t>Set to class increase due to no billing determinants</t>
  </si>
  <si>
    <t>Customer Owned</t>
  </si>
  <si>
    <t>Applicable to Specified SB Capacity</t>
  </si>
  <si>
    <t>Generation and Transmission Capacity Charge</t>
  </si>
  <si>
    <t>Greater of :</t>
  </si>
  <si>
    <t>Monthly Reservation Charge</t>
  </si>
  <si>
    <t>Peak Day Utilized SB Power Charge</t>
  </si>
  <si>
    <t>Interruptible Capacity Credit</t>
  </si>
  <si>
    <t>Monthly Reservation Credit</t>
  </si>
  <si>
    <t>Daily Demand Credit</t>
  </si>
  <si>
    <t>Curtailable Capacity Credit</t>
  </si>
  <si>
    <t>SC-1</t>
  </si>
  <si>
    <t>Initial Connection</t>
  </si>
  <si>
    <t>E-7</t>
  </si>
  <si>
    <t>No change proposed</t>
  </si>
  <si>
    <t>Reconnection</t>
  </si>
  <si>
    <t>Transfer of Account - No LSA Contract</t>
  </si>
  <si>
    <t>Transfer of Account - LSA Contract Required</t>
  </si>
  <si>
    <t>Investigation of Unauthorized Use - (RPI)</t>
  </si>
  <si>
    <t>Late Payment Charge</t>
  </si>
  <si>
    <t>Greater of</t>
  </si>
  <si>
    <t>Or</t>
  </si>
  <si>
    <t>Returned Check Charge</t>
  </si>
  <si>
    <t>if check amount $0 &lt;= $50</t>
  </si>
  <si>
    <t>Florida Statute 68.065</t>
  </si>
  <si>
    <t>if check amount $50 &lt;= $300</t>
  </si>
  <si>
    <t>if check amount &lt;= $800</t>
  </si>
  <si>
    <t>if check amount &gt; $800</t>
  </si>
  <si>
    <t>TS-1</t>
  </si>
  <si>
    <t>Temporary Service Extension - Monthly</t>
  </si>
  <si>
    <t>Attachment B</t>
  </si>
  <si>
    <t>Development of All RS Unit Costs and GS and GSD Energy Unit Costs</t>
  </si>
  <si>
    <t>Description</t>
  </si>
  <si>
    <t>Customer Charge based on Unit Costs:</t>
  </si>
  <si>
    <t xml:space="preserve">Unit Cost </t>
  </si>
  <si>
    <t>Billing</t>
  </si>
  <si>
    <t>Secondary Service Tap</t>
  </si>
  <si>
    <t>Distribution Primary / Secondary Transformer Costs ($000)</t>
  </si>
  <si>
    <t>Gross Plant FERC 368 - Line Transformers</t>
  </si>
  <si>
    <t>COSS</t>
  </si>
  <si>
    <t>Gross Plant - Total Distribution Secondary Delivery</t>
  </si>
  <si>
    <t>Ratio</t>
  </si>
  <si>
    <t>Line 9 / Line 10</t>
  </si>
  <si>
    <t>Distribution Secondary Cost of Service</t>
  </si>
  <si>
    <t>Distribution Secondary Cost of Service ($000)</t>
  </si>
  <si>
    <t>Schedule E-6</t>
  </si>
  <si>
    <t>Number of Bills</t>
  </si>
  <si>
    <t>Average Unit Cost per Customer</t>
  </si>
  <si>
    <t>Line 14 / Line 15</t>
  </si>
  <si>
    <t xml:space="preserve">Transformer Ratio </t>
  </si>
  <si>
    <t>Line 12</t>
  </si>
  <si>
    <t>Transformer Unit Cost</t>
  </si>
  <si>
    <t>Line 16 x Line 17</t>
  </si>
  <si>
    <t>Total Proposed Customer Charge</t>
  </si>
  <si>
    <t>Line 6 + Line 18</t>
  </si>
  <si>
    <t>Demand and Energy Charge based on Unit Costs:</t>
  </si>
  <si>
    <t>Levelized Energy Rate:</t>
  </si>
  <si>
    <t>Total Demand and Energy Cost of Service ($000)</t>
  </si>
  <si>
    <t>Schedules E-6b; E-13c</t>
  </si>
  <si>
    <t>kWh Sales (000)</t>
  </si>
  <si>
    <t>Energy Rate Levelized (¢/kWh)</t>
  </si>
  <si>
    <t>Line 26 / Line 27</t>
  </si>
  <si>
    <t>Two Tier Energy Rates:</t>
  </si>
  <si>
    <r>
      <t xml:space="preserve">Percentage of Sales </t>
    </r>
    <r>
      <rPr>
        <u/>
        <sz val="10"/>
        <rFont val="Calibri"/>
        <family val="2"/>
      </rPr>
      <t>&lt;</t>
    </r>
    <r>
      <rPr>
        <sz val="10"/>
        <rFont val="Calibri"/>
        <family val="2"/>
        <scheme val="minor"/>
      </rPr>
      <t xml:space="preserve"> 1,000 kWh</t>
    </r>
  </si>
  <si>
    <t>Based on forecasted usage data - E-13c</t>
  </si>
  <si>
    <t>Percentage of Sales  &gt; 1,000 kWh</t>
  </si>
  <si>
    <t>Differential in 2-Tier Rate (¢/kWh)</t>
  </si>
  <si>
    <t>RS Seasonal Analysis</t>
  </si>
  <si>
    <t>Input</t>
  </si>
  <si>
    <r>
      <t xml:space="preserve">Winter seasonal percentage </t>
    </r>
    <r>
      <rPr>
        <u/>
        <sz val="10"/>
        <rFont val="Calibri"/>
        <family val="2"/>
        <scheme val="minor"/>
      </rPr>
      <t>&lt;</t>
    </r>
    <r>
      <rPr>
        <sz val="10"/>
        <rFont val="Calibri"/>
        <family val="2"/>
        <scheme val="minor"/>
      </rPr>
      <t xml:space="preserve"> 1,000 kWh</t>
    </r>
  </si>
  <si>
    <t>Based on 2022 data w/ gradualism impacts</t>
  </si>
  <si>
    <t>Winter seasonal percentage &gt; 1,000 kWh</t>
  </si>
  <si>
    <t>Based on 2022 data w/ gradualism (set at 19%)</t>
  </si>
  <si>
    <r>
      <t xml:space="preserve">Non-winter seasonal percentage </t>
    </r>
    <r>
      <rPr>
        <u/>
        <sz val="10"/>
        <rFont val="Calibri"/>
        <family val="2"/>
        <scheme val="minor"/>
      </rPr>
      <t>&lt;</t>
    </r>
    <r>
      <rPr>
        <sz val="10"/>
        <rFont val="Calibri"/>
        <family val="2"/>
        <scheme val="minor"/>
      </rPr>
      <t xml:space="preserve"> 1,000 kWh</t>
    </r>
  </si>
  <si>
    <t>Non-winter seasonal percentage &gt; 1,000 kWh</t>
  </si>
  <si>
    <r>
      <t xml:space="preserve">Winter Proposed Energy Charge </t>
    </r>
    <r>
      <rPr>
        <u/>
        <sz val="10"/>
        <rFont val="Calibri"/>
        <family val="2"/>
      </rPr>
      <t>&lt;</t>
    </r>
    <r>
      <rPr>
        <sz val="10"/>
        <rFont val="Calibri"/>
        <family val="2"/>
        <scheme val="minor"/>
      </rPr>
      <t xml:space="preserve"> 1,000 kWh (¢/kWh)</t>
    </r>
  </si>
  <si>
    <t>(Line 28 - [1*Line 32]) * (1 + Line 34)</t>
  </si>
  <si>
    <t>Winter Proposed Energy Charge &gt; 1,000 kWh (¢/kWh)</t>
  </si>
  <si>
    <t>(Line 28 + [1*Line 31]) * (1 + Line 35)</t>
  </si>
  <si>
    <r>
      <t xml:space="preserve">Non-Winter Proposed Energy Charge </t>
    </r>
    <r>
      <rPr>
        <u/>
        <sz val="10"/>
        <rFont val="Calibri"/>
        <family val="2"/>
      </rPr>
      <t>&lt;</t>
    </r>
    <r>
      <rPr>
        <sz val="10"/>
        <rFont val="Calibri"/>
        <family val="2"/>
        <scheme val="minor"/>
      </rPr>
      <t xml:space="preserve"> 1,000 kWh (¢/kWh)</t>
    </r>
  </si>
  <si>
    <t>(Line 28 - [1*Line 32]) * (1 + Line 36)</t>
  </si>
  <si>
    <t>Non-Winter Proposed Energy Charge &gt; 1,000 kWh (¢/kWh)</t>
  </si>
  <si>
    <t>(Line 28 + [1*Line 31]) * (1 + Line 37)</t>
  </si>
  <si>
    <t>E-14C Time of Use Billing Determinants:</t>
  </si>
  <si>
    <t>Attachment C</t>
  </si>
  <si>
    <t>Page 6 of 15</t>
  </si>
  <si>
    <t xml:space="preserve">Development of Time of Use Billing Determinants </t>
  </si>
  <si>
    <t>Distribution</t>
  </si>
  <si>
    <t xml:space="preserve">Distribution </t>
  </si>
  <si>
    <t xml:space="preserve">Customer </t>
  </si>
  <si>
    <t>Capacity</t>
  </si>
  <si>
    <t>Revenue required ($)</t>
  </si>
  <si>
    <t>Allocator</t>
  </si>
  <si>
    <t>net load</t>
  </si>
  <si>
    <t>gross load</t>
  </si>
  <si>
    <t>res load</t>
  </si>
  <si>
    <t>LMP</t>
  </si>
  <si>
    <t>Flat</t>
  </si>
  <si>
    <t>Ratio / Allocation Factor</t>
  </si>
  <si>
    <t>Peak</t>
  </si>
  <si>
    <t>Super Off-Peak</t>
  </si>
  <si>
    <t xml:space="preserve">Residential MWH </t>
  </si>
  <si>
    <t>Intermediate calculation</t>
  </si>
  <si>
    <t>Prices (c/kWh)</t>
  </si>
  <si>
    <t>w/ Gradualism</t>
  </si>
  <si>
    <t>Calculated</t>
  </si>
  <si>
    <t>Page 7 of 15</t>
  </si>
  <si>
    <t xml:space="preserve">Class MWH </t>
  </si>
  <si>
    <t>Page 8 of 15</t>
  </si>
  <si>
    <t>Demand Prices ($/kW)</t>
  </si>
  <si>
    <t>Page 9 of 15</t>
  </si>
  <si>
    <t>Rate Schedule CS</t>
  </si>
  <si>
    <t>Page 10 of 15</t>
  </si>
  <si>
    <t>Rate Schedule IS</t>
  </si>
  <si>
    <t>Attachment D</t>
  </si>
  <si>
    <t>Page 3 of 6</t>
  </si>
  <si>
    <t>Development of Standby Service Rate Charges</t>
  </si>
  <si>
    <t>Summary of Retail Cost of Service by Functional Component</t>
  </si>
  <si>
    <t>Production Capacity Allocation Method:  12 CP and 25% AD</t>
  </si>
  <si>
    <t>I.  Development of Retail System Power Supply Unit Cost</t>
  </si>
  <si>
    <t>Unit of Measure</t>
  </si>
  <si>
    <t>Unit Cost at</t>
  </si>
  <si>
    <t>Delivery</t>
  </si>
  <si>
    <t>Cost of Svc</t>
  </si>
  <si>
    <t>Retail Units</t>
  </si>
  <si>
    <t>at Source Level</t>
  </si>
  <si>
    <t>Generation Level</t>
  </si>
  <si>
    <t>Level Factor</t>
  </si>
  <si>
    <t>Sec Del Level</t>
  </si>
  <si>
    <t>Production Capacity</t>
  </si>
  <si>
    <t>Avg Monthly CP</t>
  </si>
  <si>
    <t xml:space="preserve"> per KW Month</t>
  </si>
  <si>
    <t>per MWH</t>
  </si>
  <si>
    <t>Lighting Fixtures</t>
  </si>
  <si>
    <t>Customer Billing , Info, etc.</t>
  </si>
  <si>
    <t>II.  Development of GSD Rate Class' Distribution Unit Cost</t>
  </si>
  <si>
    <t>Sum Individual</t>
  </si>
  <si>
    <t>GSD Class</t>
  </si>
  <si>
    <t>Annual Max</t>
  </si>
  <si>
    <t>KW Demand</t>
  </si>
  <si>
    <t>a/b*1000/12</t>
  </si>
  <si>
    <t>Page 4 of 6</t>
  </si>
  <si>
    <t>Development of Demand and Energy Charges Stated at Secondary Delivery and Metering Voltage</t>
  </si>
  <si>
    <t>Amount</t>
  </si>
  <si>
    <t>SS-1, SS-3</t>
  </si>
  <si>
    <t xml:space="preserve"> / Month</t>
  </si>
  <si>
    <t>Schedule E-14E - CS/IS Customer Unit Cost</t>
  </si>
  <si>
    <t>Schedule E-14E - CS/IS Unit Cost + IS Equipment</t>
  </si>
  <si>
    <t>Base Rate Energy Charge:</t>
  </si>
  <si>
    <t xml:space="preserve"> / MWH</t>
  </si>
  <si>
    <t>Schedule E-14D Page 1</t>
  </si>
  <si>
    <t>Distribution Charge:</t>
  </si>
  <si>
    <t xml:space="preserve"> / KW Month</t>
  </si>
  <si>
    <t>Schedule E-14D Page 1 - Distribution Unit Cost</t>
  </si>
  <si>
    <t>Generation and Transmission Capacity Charge:</t>
  </si>
  <si>
    <t>A. Monthly Reservation Charge</t>
  </si>
  <si>
    <t>Schedule E-14D Page 1 - Sum of Production Capacity</t>
  </si>
  <si>
    <t>plus Transmission times assumed unavailability of 10%</t>
  </si>
  <si>
    <t>B. Peak Day Utilized SB Power Charge of:</t>
  </si>
  <si>
    <t xml:space="preserve"> / KW Day</t>
  </si>
  <si>
    <t>plus Transmission divided by 21 peak days per month</t>
  </si>
  <si>
    <t>Non-Firm Service Credits</t>
  </si>
  <si>
    <t>Curtailable</t>
  </si>
  <si>
    <t>1. Monthly Reservation Credit</t>
  </si>
  <si>
    <t xml:space="preserve">Curtailable capacity credit times assumed unavailablity of 10% </t>
  </si>
  <si>
    <t>2. Daily Demand Credit</t>
  </si>
  <si>
    <t>Curtailable capacity credit divided by 21 peak days per month</t>
  </si>
  <si>
    <t>Interruptible</t>
  </si>
  <si>
    <t xml:space="preserve">Interruptible capacity credit times assumed unavailablity of 10% </t>
  </si>
  <si>
    <t>Interruptible capacity credit divided by 21 peak days per month</t>
  </si>
  <si>
    <t>This page is not filed</t>
  </si>
  <si>
    <t>GSD Indiv Ann Max KW Demand</t>
  </si>
  <si>
    <t>Including</t>
  </si>
  <si>
    <t>Sum of Ind</t>
  </si>
  <si>
    <t>Effective</t>
  </si>
  <si>
    <t>Ann Max</t>
  </si>
  <si>
    <t>MWH Sales</t>
  </si>
  <si>
    <t>Sales</t>
  </si>
  <si>
    <t>Max Dem LF</t>
  </si>
  <si>
    <t>KW Dem</t>
  </si>
  <si>
    <t>Sec Del Prim Mtr</t>
  </si>
  <si>
    <t>Totals</t>
  </si>
  <si>
    <t>Attachment E</t>
  </si>
  <si>
    <t>Development of Customer Unit Costs for Non-Residential Classes</t>
  </si>
  <si>
    <t>Factor to</t>
  </si>
  <si>
    <t>Investment</t>
  </si>
  <si>
    <t>CS/IS</t>
  </si>
  <si>
    <t>per Meter</t>
  </si>
  <si>
    <t>Excludes IS Equip</t>
  </si>
  <si>
    <t>Includes IS Equip</t>
  </si>
  <si>
    <t xml:space="preserve">Metering Unit Cost </t>
  </si>
  <si>
    <t>Average Unit Cost</t>
  </si>
  <si>
    <t>Number of Meters</t>
  </si>
  <si>
    <t>Secondary Standard Demand or TOU</t>
  </si>
  <si>
    <t>Schedule E-10 page 11 / E-13c</t>
  </si>
  <si>
    <t>Secondary Network/3ph/TR</t>
  </si>
  <si>
    <t>Schedule E-10 page 11</t>
  </si>
  <si>
    <t>Metering Unit Cost of Service</t>
  </si>
  <si>
    <t>Solve so that Line 15 Equals Line 2</t>
  </si>
  <si>
    <t>Line 11 x Line 20 Relative Relationship</t>
  </si>
  <si>
    <t>Line 11 x Line 21 Relative Relationship</t>
  </si>
  <si>
    <t>Line 11 x Line 22 Relative Relationship</t>
  </si>
  <si>
    <t>Weighted Average</t>
  </si>
  <si>
    <t>Meter Cost by Metering Voltage</t>
  </si>
  <si>
    <t>Full CIAC</t>
  </si>
  <si>
    <t>Summary Metering Weighted Unit Costs</t>
  </si>
  <si>
    <t>(Lines 5:6 x Lines 11:12) / Lines 5:6</t>
  </si>
  <si>
    <t>Line 13</t>
  </si>
  <si>
    <t>Line 14</t>
  </si>
  <si>
    <t>Total Customer Billing and Secondary Services Unit Cost</t>
  </si>
  <si>
    <t>Customer Billing Unit Cost</t>
  </si>
  <si>
    <t>Customer Secondary Services Unit Cost</t>
  </si>
  <si>
    <t>Interruptible Equipment Unit Cost</t>
  </si>
  <si>
    <t>Total Customer Unit Cost</t>
  </si>
  <si>
    <t>Line 26 + Line 33 + Line 35</t>
  </si>
  <si>
    <t>Line 27 + Line 33 + Line 35</t>
  </si>
  <si>
    <t>Line 28 + Line 33 + Line 35</t>
  </si>
  <si>
    <t>Attachment G</t>
  </si>
  <si>
    <t>Development of Premium Distribution Service Charges</t>
  </si>
  <si>
    <t>Dollars in Thousands</t>
  </si>
  <si>
    <t>General Service Demand Metered Rate Schedules:</t>
  </si>
  <si>
    <t>GSD/SS-1</t>
  </si>
  <si>
    <t>CS/IS/SS-2/SS-3</t>
  </si>
  <si>
    <t>Distribution Primary Unit Cost - $ / KW Month</t>
  </si>
  <si>
    <t>Times:  Expected Capacity Requirement</t>
  </si>
  <si>
    <t>Equals:  Premium Distribution Service Charge - $ per Kw Month</t>
  </si>
  <si>
    <t>(Line 3 x Line 5)</t>
  </si>
  <si>
    <t>General Service Non-Demand Metered Rate Schedules:</t>
  </si>
  <si>
    <t>Customer Max Load Factor per E-17</t>
  </si>
  <si>
    <t>Hours per Month</t>
  </si>
  <si>
    <t>Hours Usage per Month (Line 14 x Line 15)</t>
  </si>
  <si>
    <t>Premium Distribution Service Charge - $ per KWH</t>
  </si>
  <si>
    <t>(Line 8 / Line 16)</t>
  </si>
  <si>
    <t>Attachment H</t>
  </si>
  <si>
    <t>Unitized Cost of Service: Summary of Residential Unit Cost Methodology for Optional Company Offered Load Control Programs</t>
  </si>
  <si>
    <t>Billing Determinant</t>
  </si>
  <si>
    <t>Type of Costs Recovered</t>
  </si>
  <si>
    <t>Per Customer</t>
  </si>
  <si>
    <t>On Peak - ¢/kWh</t>
  </si>
  <si>
    <t>Per On Peak kWh</t>
  </si>
  <si>
    <t>On Peak Energy</t>
  </si>
  <si>
    <t>Off Peak - ¢/kWh</t>
  </si>
  <si>
    <t>Per Off Peak kWh</t>
  </si>
  <si>
    <t>Off Peak Energy</t>
  </si>
  <si>
    <t>Super Off Peak - ¢/kWh</t>
  </si>
  <si>
    <t>Per Super Off Peak kWh</t>
  </si>
  <si>
    <t>Super Off Peak Energy</t>
  </si>
  <si>
    <t>CP Demand Charge - $/kW</t>
  </si>
  <si>
    <t>Per System Peak kW</t>
  </si>
  <si>
    <t>Production &amp; Transmission</t>
  </si>
  <si>
    <t>Class Peak Demand Charge - $/kW</t>
  </si>
  <si>
    <t>Per Class Peak kW, last 12 months</t>
  </si>
  <si>
    <t>Primary Distribution</t>
  </si>
  <si>
    <t>Customer Max Demand Charge - $/kW</t>
  </si>
  <si>
    <t>Per Customer Maximum kW, last 12 months</t>
  </si>
  <si>
    <t>Secondary Distribution</t>
  </si>
  <si>
    <t>Note: This rate design is only applicable for customers who grant the Company the ability to control different customer owned assets outside of, or in addition to, applicable Commission-approved DSM programs.</t>
  </si>
  <si>
    <t>This links to E-8, the last column.  Update the following blue cells with the most current BA-1</t>
  </si>
  <si>
    <r>
      <t xml:space="preserve">BILLING ADJUSTMENT RECOVERY FACTORS - Effective </t>
    </r>
    <r>
      <rPr>
        <b/>
        <sz val="8"/>
        <color rgb="FF0000FF"/>
        <rFont val="Arial"/>
        <family val="2"/>
      </rPr>
      <t>3/1/24</t>
    </r>
  </si>
  <si>
    <t>Fuel Cost Recovery</t>
  </si>
  <si>
    <t>Rate Schedule/                                  Metering Level</t>
  </si>
  <si>
    <t>Levelized
¢/kWh</t>
  </si>
  <si>
    <t>On-Peak
¢/kWh</t>
  </si>
  <si>
    <t>Off-Peak
¢/kWh</t>
  </si>
  <si>
    <t>Discount
¢/kWh</t>
  </si>
  <si>
    <t>RS-1, RST-1 (Sec.)</t>
  </si>
  <si>
    <t>&lt; 1000</t>
  </si>
  <si>
    <t>&gt; 1000</t>
  </si>
  <si>
    <t xml:space="preserve">GS-1, GST-1 </t>
  </si>
  <si>
    <t>GS-2 (Sec.)</t>
  </si>
  <si>
    <t>-</t>
  </si>
  <si>
    <t>LS-1 (Sec.)</t>
  </si>
  <si>
    <t>*SS-1, SS-2, SS-3</t>
  </si>
  <si>
    <t>GSLM-1, GSLM-2</t>
  </si>
  <si>
    <t>See appropriate General Service rate schedule</t>
  </si>
  <si>
    <t>This links to E-8, the last column.  Update the following blue cells with the forecasted BA-1</t>
  </si>
  <si>
    <r>
      <t xml:space="preserve">BILLING ADJUSTMENT RECOVERY FACTORS - Forecasted </t>
    </r>
    <r>
      <rPr>
        <b/>
        <sz val="8"/>
        <color rgb="FFFFC000"/>
        <rFont val="Arial"/>
        <family val="2"/>
      </rPr>
      <t>1/1/25</t>
    </r>
    <r>
      <rPr>
        <b/>
        <sz val="8"/>
        <rFont val="Arial"/>
        <family val="2"/>
      </rPr>
      <t xml:space="preserve"> or Effective </t>
    </r>
    <r>
      <rPr>
        <b/>
        <sz val="8"/>
        <color rgb="FF0000FF"/>
        <rFont val="Arial"/>
        <family val="2"/>
      </rPr>
      <t>3/1/24</t>
    </r>
  </si>
  <si>
    <t>DEF Settlement TOU kWh Allocation</t>
  </si>
  <si>
    <t>Cost Duration Model kWh Allocation</t>
  </si>
  <si>
    <t>GS/GSD</t>
  </si>
  <si>
    <t>IS/CS</t>
  </si>
  <si>
    <t>Present E-13c kWh Allocation</t>
  </si>
  <si>
    <t>Updated E-13c kWh Differentials</t>
  </si>
  <si>
    <t>CDM Differential</t>
  </si>
  <si>
    <t>Hour % (cap)</t>
  </si>
  <si>
    <t>Duke Energy Florida</t>
  </si>
  <si>
    <t>Pg 1 of 2</t>
  </si>
  <si>
    <t>Delivery Voltage Credit (DVC) Calculation no MDS; 12CP &amp; 25% AD</t>
  </si>
  <si>
    <t>Credits calculated based on Cost of Service (Column 1). Final credits will be adjusted based on proposed revenue.</t>
  </si>
  <si>
    <t>Billed kW</t>
  </si>
  <si>
    <t>Cost of</t>
  </si>
  <si>
    <t>at Effective</t>
  </si>
  <si>
    <t>Cumulative</t>
  </si>
  <si>
    <t>Service</t>
  </si>
  <si>
    <t>E-6b (p.4)</t>
  </si>
  <si>
    <t>(1)/(2)</t>
  </si>
  <si>
    <t>GSD, CS, IS, SS-1, SS-2, SS-3</t>
  </si>
  <si>
    <t>line 9, col. 5 &amp; 6</t>
  </si>
  <si>
    <t>line 32, col. 5 &amp; 6</t>
  </si>
  <si>
    <t>&lt;- DVC Dist Primary</t>
  </si>
  <si>
    <t>line 7, col. 5 &amp; 6</t>
  </si>
  <si>
    <t>line 31, col. 5 &amp; 6</t>
  </si>
  <si>
    <t>&lt;- DVC Transmission &lt; 230 kV</t>
  </si>
  <si>
    <t>line 6, col. 5 &amp; 6 x 65.36%</t>
  </si>
  <si>
    <t>line 30, col. 5 &amp; 6</t>
  </si>
  <si>
    <t>&lt;- DVC Transmission &gt; 230 kV</t>
  </si>
  <si>
    <t>Percentage of Transmission System Assets less than 230kV</t>
  </si>
  <si>
    <t>E-6b (p.3)</t>
  </si>
  <si>
    <t>Cost of Service</t>
  </si>
  <si>
    <t>E-6b (p.2)</t>
  </si>
  <si>
    <t>Distribution Secondary System</t>
  </si>
  <si>
    <t>Distribution Primary System</t>
  </si>
  <si>
    <t>Transmission System &lt; 230 kV</t>
  </si>
  <si>
    <t>% Increase per E-8</t>
  </si>
  <si>
    <t>EV Off-Peak Charging Credit Calculation</t>
  </si>
  <si>
    <t>RS-1 &gt; 1,000 kWh Rates</t>
  </si>
  <si>
    <t>Monthly EV kWh Usage (Avg)</t>
  </si>
  <si>
    <r>
      <t>RS-1 Winter Rate (</t>
    </r>
    <r>
      <rPr>
        <sz val="11"/>
        <color theme="1"/>
        <rFont val="Calibri"/>
        <family val="2"/>
      </rPr>
      <t>¢/kWh)</t>
    </r>
  </si>
  <si>
    <r>
      <t>RS-1 Summer Rate (</t>
    </r>
    <r>
      <rPr>
        <sz val="11"/>
        <color theme="1"/>
        <rFont val="Calibri"/>
        <family val="2"/>
      </rPr>
      <t>¢/kWh)</t>
    </r>
  </si>
  <si>
    <r>
      <t>RST-1 Off-Peak Rate (</t>
    </r>
    <r>
      <rPr>
        <sz val="11"/>
        <color theme="1"/>
        <rFont val="Calibri"/>
        <family val="2"/>
      </rPr>
      <t>¢/kWh)</t>
    </r>
  </si>
  <si>
    <r>
      <t>RST-1 Discount Rate (</t>
    </r>
    <r>
      <rPr>
        <sz val="11"/>
        <color theme="1"/>
        <rFont val="Calibri"/>
        <family val="2"/>
      </rPr>
      <t>¢/kWh)</t>
    </r>
  </si>
  <si>
    <t>RS-1 Winter $/kWh</t>
  </si>
  <si>
    <t>RS-1 Summer $/kWh</t>
  </si>
  <si>
    <t>RST-1 Off-Peak (25%) $/kWh</t>
  </si>
  <si>
    <t>RST-1 Discount (75%) $/kWh</t>
  </si>
  <si>
    <t>RS-1 Annual $/kWh</t>
  </si>
  <si>
    <t>RST-1 Off-Pk Annual $/kWh</t>
  </si>
  <si>
    <t>MRC uses 225 kWh per month</t>
  </si>
  <si>
    <t>This exhibit shows the target class revenue increase/(decrease) by rate class. The Class Revenue Increase shown in column (6) of MJC-2 shows the proposed calculated</t>
  </si>
  <si>
    <t>Test Year Ended 2026</t>
  </si>
  <si>
    <t>class revenue up to, but not exceeding the total targeted revenue increase for each rate class and ties to the detailed calculations in MJC-3.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</si>
</sst>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_);\(0\)"/>
    <numFmt numFmtId="166" formatCode="_(* #,##0.000000_);_(* \(#,##0.000000\);_(* &quot;-&quot;??_);_(@_)"/>
    <numFmt numFmtId="167" formatCode="_(&quot;$&quot;* #,##0_);_(&quot;$&quot;* \(#,##0\);_(&quot;$&quot;* &quot;-&quot;??_);_(@_)"/>
    <numFmt numFmtId="168" formatCode="_(* #,##0.00000_);_(* \(#,##0.00000\);_(* &quot;-&quot;??_);_(@_)"/>
    <numFmt numFmtId="169" formatCode="m/d/yyyy;@"/>
    <numFmt numFmtId="170" formatCode="m/d/yy;@"/>
    <numFmt numFmtId="171" formatCode="_(* #,##0.000_);_(* \(#,##0.000\);_(* &quot;-&quot;??_);_(@_)"/>
    <numFmt numFmtId="172" formatCode="_([$$-409]* #,##0.00_);_([$$-409]* \(#,##0.00\);_([$$-409]* &quot;-&quot;??_);_(@_)"/>
    <numFmt numFmtId="173" formatCode="0.0000%"/>
    <numFmt numFmtId="174" formatCode="0.0%"/>
    <numFmt numFmtId="175" formatCode="&quot;$&quot;#,##0.000_);\(&quot;$&quot;#,##0.000\)"/>
    <numFmt numFmtId="176" formatCode="0.0;\-0.0;\-"/>
    <numFmt numFmtId="177" formatCode="_(* #,##0.0_);_(* \(#,##0.0\);_(* &quot;-&quot;??_);_(@_)"/>
    <numFmt numFmtId="178" formatCode="_(&quot;$&quot;* #,##0.00000_);_(&quot;$&quot;* \(#,##0.00000\);_(&quot;$&quot;* &quot;-&quot;??_);_(@_)"/>
    <numFmt numFmtId="179" formatCode="0.0000000"/>
    <numFmt numFmtId="180" formatCode="mm/dd/yy"/>
    <numFmt numFmtId="181" formatCode="0.000%"/>
    <numFmt numFmtId="182" formatCode="&quot;$&quot;#,##0"/>
    <numFmt numFmtId="183" formatCode="0.000"/>
    <numFmt numFmtId="184" formatCode="#,##0_);[Red]\(#,##0\);&quot; &quot;"/>
    <numFmt numFmtId="185" formatCode="_(* #,##0.0000_);_(* \(#,##0.0000\);_(* &quot;-&quot;??_);_(@_)"/>
    <numFmt numFmtId="186" formatCode="0.000;\-0.000;\-"/>
    <numFmt numFmtId="187" formatCode="_(&quot;$&quot;* #,##0.000_);_(&quot;$&quot;* \(#,##0.000\);_(&quot;$&quot;* &quot;-&quot;??_);_(@_)"/>
    <numFmt numFmtId="188" formatCode="0.00000"/>
    <numFmt numFmtId="189" formatCode="[$-409]mmm\-yy;@"/>
    <numFmt numFmtId="190" formatCode="_(* #,##0.0000000_);_(* \(#,##0.0000000\);_(* &quot;-&quot;??_);_(@_)"/>
  </numFmts>
  <fonts count="9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2"/>
      <name val="Arial"/>
      <family val="2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12"/>
      <name val="Calibri"/>
      <family val="2"/>
      <scheme val="minor"/>
    </font>
    <font>
      <sz val="10"/>
      <name val="Courier"/>
      <family val="3"/>
    </font>
    <font>
      <b/>
      <sz val="12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indexed="18"/>
      <name val="Calibri"/>
      <family val="2"/>
      <scheme val="minor"/>
    </font>
    <font>
      <sz val="8"/>
      <name val="Calibri"/>
      <family val="2"/>
      <scheme val="minor"/>
    </font>
    <font>
      <sz val="8"/>
      <color indexed="12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b/>
      <sz val="8"/>
      <color indexed="12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name val="Arial"/>
      <family val="2"/>
    </font>
    <font>
      <u/>
      <sz val="8"/>
      <name val="Calibri"/>
      <family val="2"/>
      <scheme val="minor"/>
    </font>
    <font>
      <sz val="8"/>
      <name val="Arial"/>
      <family val="2"/>
    </font>
    <font>
      <b/>
      <u/>
      <sz val="12"/>
      <color indexed="8"/>
      <name val="Calibri"/>
      <family val="2"/>
    </font>
    <font>
      <b/>
      <sz val="14"/>
      <color theme="1"/>
      <name val="Calibri"/>
      <family val="2"/>
      <scheme val="minor"/>
    </font>
    <font>
      <u/>
      <sz val="10"/>
      <name val="Calibri"/>
      <family val="2"/>
      <scheme val="minor"/>
    </font>
    <font>
      <sz val="9"/>
      <name val="Arial Narrow"/>
      <family val="2"/>
    </font>
    <font>
      <sz val="12"/>
      <name val="Calibri"/>
      <family val="2"/>
      <scheme val="minor"/>
    </font>
    <font>
      <u/>
      <sz val="1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FFFF"/>
      <name val="Arial"/>
      <family val="2"/>
    </font>
    <font>
      <b/>
      <sz val="9"/>
      <name val="Arial"/>
      <family val="2"/>
    </font>
    <font>
      <sz val="14"/>
      <color rgb="FF0000FF"/>
      <name val="Calibri"/>
      <family val="2"/>
      <scheme val="minor"/>
    </font>
    <font>
      <sz val="14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2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MS Sans Serif"/>
      <family val="2"/>
    </font>
    <font>
      <sz val="10"/>
      <name val="Calibri"/>
      <family val="2"/>
    </font>
    <font>
      <b/>
      <sz val="10"/>
      <color theme="1"/>
      <name val="Calibri"/>
      <family val="2"/>
      <scheme val="minor"/>
    </font>
    <font>
      <sz val="14"/>
      <name val="Arial"/>
      <family val="2"/>
    </font>
    <font>
      <sz val="10"/>
      <color indexed="8"/>
      <name val="Calibri"/>
      <family val="2"/>
      <scheme val="minor"/>
    </font>
    <font>
      <sz val="10"/>
      <color rgb="FF0000FF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rgb="FF0000FF"/>
      <name val="Arial"/>
      <family val="2"/>
    </font>
    <font>
      <b/>
      <sz val="8"/>
      <color rgb="FF0000FF"/>
      <name val="Arial"/>
      <family val="2"/>
    </font>
    <font>
      <sz val="8"/>
      <color indexed="12"/>
      <name val="Arial"/>
      <family val="2"/>
    </font>
    <font>
      <b/>
      <sz val="12"/>
      <color rgb="FF0000FF"/>
      <name val="Calibri"/>
      <family val="2"/>
      <scheme val="minor"/>
    </font>
    <font>
      <sz val="12"/>
      <color rgb="FF0000FF"/>
      <name val="Calibri"/>
      <family val="2"/>
      <scheme val="minor"/>
    </font>
    <font>
      <u/>
      <sz val="10"/>
      <color indexed="8"/>
      <name val="Calibri"/>
      <family val="2"/>
      <scheme val="minor"/>
    </font>
    <font>
      <b/>
      <sz val="14"/>
      <name val="Calibri"/>
      <family val="2"/>
    </font>
    <font>
      <sz val="9"/>
      <name val="Calibri"/>
      <family val="2"/>
    </font>
    <font>
      <b/>
      <sz val="10"/>
      <name val="Calibri"/>
      <family val="2"/>
    </font>
    <font>
      <b/>
      <u/>
      <sz val="10"/>
      <name val="Calibri"/>
      <family val="2"/>
    </font>
    <font>
      <sz val="10"/>
      <color rgb="FF000000"/>
      <name val="Calibri"/>
      <family val="2"/>
    </font>
    <font>
      <sz val="10"/>
      <color rgb="FF0000FF"/>
      <name val="Calibri"/>
      <family val="2"/>
    </font>
    <font>
      <b/>
      <sz val="14"/>
      <name val="Calibri"/>
      <family val="2"/>
      <scheme val="minor"/>
    </font>
    <font>
      <b/>
      <u val="singleAccounting"/>
      <sz val="10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8"/>
      <color theme="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1"/>
      <color theme="1"/>
      <name val="Calibri"/>
      <family val="2"/>
    </font>
    <font>
      <sz val="16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1"/>
      <name val="Calibri"/>
      <family val="2"/>
      <scheme val="minor"/>
    </font>
    <font>
      <b/>
      <sz val="8"/>
      <color rgb="FFFFC000"/>
      <name val="Arial"/>
      <family val="2"/>
    </font>
    <font>
      <sz val="8"/>
      <color rgb="FFFFC000"/>
      <name val="Arial"/>
      <family val="2"/>
    </font>
    <font>
      <b/>
      <sz val="16"/>
      <color rgb="FFFF0000"/>
      <name val="Calibri"/>
      <family val="2"/>
      <scheme val="minor"/>
    </font>
    <font>
      <sz val="9"/>
      <name val="Calibri"/>
      <family val="2"/>
      <scheme val="minor"/>
    </font>
    <font>
      <b/>
      <sz val="8"/>
      <color rgb="FFFFFFFF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10"/>
      <color rgb="FFFFFFFF"/>
      <name val="Arial"/>
      <family val="2"/>
    </font>
    <font>
      <sz val="8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</patternFill>
    </fill>
    <fill>
      <patternFill patternType="solid">
        <fgColor rgb="FF555759"/>
        <bgColor indexed="64"/>
      </patternFill>
    </fill>
    <fill>
      <patternFill patternType="solid">
        <fgColor rgb="FFCCEB8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555759"/>
        <bgColor rgb="FF000000"/>
      </patternFill>
    </fill>
    <fill>
      <patternFill patternType="solid">
        <fgColor rgb="FFEDFFC4"/>
        <bgColor rgb="FF000000"/>
      </patternFill>
    </fill>
    <fill>
      <patternFill patternType="solid">
        <fgColor rgb="FFCCEB8D"/>
        <bgColor rgb="FF000000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DFFC4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medium">
        <color rgb="FF95D600"/>
      </bottom>
      <diagonal/>
    </border>
    <border>
      <left style="hair">
        <color rgb="FFBBBCBD"/>
      </left>
      <right style="hair">
        <color rgb="FFBBBCBD"/>
      </right>
      <top style="hair">
        <color rgb="FFBBBCBD"/>
      </top>
      <bottom style="hair">
        <color rgb="FFBBBCB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rgb="FFBBBCBD"/>
      </left>
      <right style="hair">
        <color rgb="FFBBBCBD"/>
      </right>
      <top style="hair">
        <color rgb="FFBBBCBD"/>
      </top>
      <bottom/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37" fontId="5" fillId="0" borderId="0"/>
    <xf numFmtId="0" fontId="3" fillId="0" borderId="0"/>
    <xf numFmtId="44" fontId="3" fillId="0" borderId="0" applyFont="0" applyFill="0" applyBorder="0" applyAlignment="0" applyProtection="0"/>
    <xf numFmtId="0" fontId="10" fillId="0" borderId="0"/>
    <xf numFmtId="0" fontId="1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7" borderId="0"/>
    <xf numFmtId="0" fontId="3" fillId="0" borderId="0"/>
    <xf numFmtId="0" fontId="10" fillId="0" borderId="0"/>
    <xf numFmtId="0" fontId="5" fillId="7" borderId="0"/>
    <xf numFmtId="0" fontId="3" fillId="0" borderId="0"/>
    <xf numFmtId="0" fontId="3" fillId="0" borderId="0"/>
    <xf numFmtId="0" fontId="3" fillId="0" borderId="0"/>
    <xf numFmtId="0" fontId="1" fillId="0" borderId="0"/>
    <xf numFmtId="0" fontId="38" fillId="8" borderId="19" applyNumberFormat="0" applyAlignment="0"/>
    <xf numFmtId="0" fontId="29" fillId="9" borderId="20" applyNumberFormat="0" applyAlignment="0"/>
    <xf numFmtId="43" fontId="1" fillId="0" borderId="0" applyFont="0" applyFill="0" applyBorder="0" applyAlignment="0" applyProtection="0"/>
    <xf numFmtId="0" fontId="3" fillId="0" borderId="0"/>
    <xf numFmtId="0" fontId="5" fillId="7" borderId="0"/>
    <xf numFmtId="0" fontId="3" fillId="0" borderId="0"/>
    <xf numFmtId="9" fontId="1" fillId="0" borderId="0" applyFont="0" applyFill="0" applyBorder="0" applyAlignment="0" applyProtection="0"/>
    <xf numFmtId="0" fontId="1" fillId="0" borderId="0"/>
    <xf numFmtId="0" fontId="47" fillId="0" borderId="0"/>
    <xf numFmtId="0" fontId="3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37" fontId="50" fillId="7" borderId="0"/>
    <xf numFmtId="40" fontId="47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89" fillId="8" borderId="19" applyNumberFormat="0">
      <alignment vertical="center" wrapText="1"/>
    </xf>
  </cellStyleXfs>
  <cellXfs count="1402">
    <xf numFmtId="0" fontId="0" fillId="0" borderId="0" xfId="0"/>
    <xf numFmtId="164" fontId="4" fillId="0" borderId="0" xfId="2" applyNumberFormat="1" applyFont="1" applyBorder="1" applyAlignment="1">
      <alignment vertical="center"/>
    </xf>
    <xf numFmtId="164" fontId="6" fillId="0" borderId="0" xfId="2" applyNumberFormat="1" applyFont="1" applyBorder="1" applyAlignment="1">
      <alignment horizontal="center" vertical="center"/>
    </xf>
    <xf numFmtId="164" fontId="6" fillId="0" borderId="6" xfId="2" applyNumberFormat="1" applyFont="1" applyBorder="1" applyAlignment="1">
      <alignment horizontal="centerContinuous" vertical="center"/>
    </xf>
    <xf numFmtId="164" fontId="4" fillId="0" borderId="0" xfId="2" applyNumberFormat="1" applyFont="1" applyFill="1" applyBorder="1" applyAlignment="1">
      <alignment vertical="center"/>
    </xf>
    <xf numFmtId="5" fontId="4" fillId="0" borderId="15" xfId="5" applyNumberFormat="1" applyFont="1" applyBorder="1" applyAlignment="1">
      <alignment vertical="center"/>
    </xf>
    <xf numFmtId="164" fontId="4" fillId="0" borderId="6" xfId="2" applyNumberFormat="1" applyFont="1" applyBorder="1" applyAlignment="1">
      <alignment vertical="center"/>
    </xf>
    <xf numFmtId="164" fontId="6" fillId="0" borderId="6" xfId="2" applyNumberFormat="1" applyFont="1" applyBorder="1" applyAlignment="1">
      <alignment horizontal="center" vertical="center"/>
    </xf>
    <xf numFmtId="0" fontId="4" fillId="0" borderId="0" xfId="6" applyFont="1"/>
    <xf numFmtId="0" fontId="4" fillId="4" borderId="0" xfId="7" applyFont="1" applyFill="1" applyAlignment="1">
      <alignment vertical="center"/>
    </xf>
    <xf numFmtId="0" fontId="11" fillId="2" borderId="0" xfId="7" applyFont="1" applyFill="1" applyAlignment="1">
      <alignment horizontal="centerContinuous" vertical="center"/>
    </xf>
    <xf numFmtId="0" fontId="11" fillId="0" borderId="0" xfId="7" applyFont="1" applyAlignment="1">
      <alignment horizontal="centerContinuous" vertical="center"/>
    </xf>
    <xf numFmtId="0" fontId="4" fillId="0" borderId="0" xfId="7" applyFont="1" applyAlignment="1">
      <alignment horizontal="left" vertical="center"/>
    </xf>
    <xf numFmtId="0" fontId="4" fillId="0" borderId="0" xfId="7" applyFont="1" applyAlignment="1">
      <alignment vertical="center"/>
    </xf>
    <xf numFmtId="0" fontId="9" fillId="0" borderId="0" xfId="7" applyFont="1" applyAlignment="1" applyProtection="1">
      <alignment horizontal="left" vertical="center"/>
      <protection locked="0"/>
    </xf>
    <xf numFmtId="0" fontId="4" fillId="0" borderId="0" xfId="7" applyFont="1" applyAlignment="1" applyProtection="1">
      <alignment vertical="center"/>
      <protection locked="0"/>
    </xf>
    <xf numFmtId="0" fontId="9" fillId="0" borderId="0" xfId="7" applyFont="1" applyAlignment="1" applyProtection="1">
      <alignment vertical="center"/>
      <protection locked="0"/>
    </xf>
    <xf numFmtId="0" fontId="4" fillId="0" borderId="0" xfId="7" applyFont="1" applyAlignment="1">
      <alignment horizontal="right" vertical="center"/>
    </xf>
    <xf numFmtId="0" fontId="4" fillId="0" borderId="6" xfId="7" applyFont="1" applyBorder="1" applyAlignment="1">
      <alignment horizontal="left" vertical="center"/>
    </xf>
    <xf numFmtId="0" fontId="4" fillId="0" borderId="6" xfId="7" applyFont="1" applyBorder="1" applyAlignment="1">
      <alignment vertical="center"/>
    </xf>
    <xf numFmtId="0" fontId="4" fillId="0" borderId="0" xfId="4" applyFont="1" applyAlignment="1">
      <alignment horizontal="left"/>
    </xf>
    <xf numFmtId="0" fontId="4" fillId="0" borderId="0" xfId="4" applyFont="1"/>
    <xf numFmtId="0" fontId="4" fillId="0" borderId="0" xfId="4" quotePrefix="1" applyFont="1"/>
    <xf numFmtId="0" fontId="4" fillId="4" borderId="0" xfId="6" applyFont="1" applyFill="1"/>
    <xf numFmtId="0" fontId="12" fillId="0" borderId="0" xfId="6" applyFont="1"/>
    <xf numFmtId="0" fontId="4" fillId="0" borderId="0" xfId="6" applyFont="1" applyAlignment="1">
      <alignment horizontal="left"/>
    </xf>
    <xf numFmtId="165" fontId="4" fillId="0" borderId="0" xfId="2" quotePrefix="1" applyNumberFormat="1" applyFont="1" applyFill="1" applyAlignment="1">
      <alignment horizontal="center" vertical="center"/>
    </xf>
    <xf numFmtId="165" fontId="4" fillId="0" borderId="0" xfId="2" applyNumberFormat="1" applyFont="1" applyFill="1" applyAlignment="1">
      <alignment horizontal="center" vertical="center"/>
    </xf>
    <xf numFmtId="0" fontId="4" fillId="0" borderId="0" xfId="6" applyFont="1" applyAlignment="1">
      <alignment horizontal="center"/>
    </xf>
    <xf numFmtId="164" fontId="4" fillId="0" borderId="0" xfId="8" applyNumberFormat="1" applyFont="1" applyAlignment="1">
      <alignment horizontal="centerContinuous"/>
    </xf>
    <xf numFmtId="164" fontId="4" fillId="0" borderId="0" xfId="2" applyNumberFormat="1" applyFont="1" applyFill="1" applyBorder="1" applyProtection="1">
      <protection locked="0"/>
    </xf>
    <xf numFmtId="164" fontId="4" fillId="0" borderId="12" xfId="8" applyNumberFormat="1" applyFont="1" applyBorder="1" applyAlignment="1">
      <alignment horizontal="centerContinuous" wrapText="1"/>
    </xf>
    <xf numFmtId="0" fontId="4" fillId="0" borderId="12" xfId="6" applyFont="1" applyBorder="1" applyAlignment="1">
      <alignment horizontal="center" wrapText="1"/>
    </xf>
    <xf numFmtId="0" fontId="4" fillId="0" borderId="12" xfId="6" applyFont="1" applyBorder="1" applyAlignment="1" applyProtection="1">
      <alignment horizontal="center" wrapText="1"/>
      <protection locked="0"/>
    </xf>
    <xf numFmtId="0" fontId="4" fillId="0" borderId="14" xfId="6" applyFont="1" applyBorder="1" applyAlignment="1">
      <alignment horizontal="centerContinuous" wrapText="1"/>
    </xf>
    <xf numFmtId="0" fontId="4" fillId="0" borderId="13" xfId="6" applyFont="1" applyBorder="1" applyAlignment="1">
      <alignment horizontal="centerContinuous"/>
    </xf>
    <xf numFmtId="0" fontId="4" fillId="0" borderId="13" xfId="6" applyFont="1" applyBorder="1" applyAlignment="1">
      <alignment horizontal="centerContinuous" wrapText="1"/>
    </xf>
    <xf numFmtId="164" fontId="4" fillId="0" borderId="0" xfId="8" quotePrefix="1" applyNumberFormat="1" applyFont="1" applyBorder="1" applyAlignment="1">
      <alignment horizontal="centerContinuous"/>
    </xf>
    <xf numFmtId="0" fontId="4" fillId="0" borderId="0" xfId="6" applyFont="1" applyAlignment="1" applyProtection="1">
      <alignment horizontal="center"/>
      <protection locked="0"/>
    </xf>
    <xf numFmtId="0" fontId="4" fillId="0" borderId="6" xfId="6" applyFont="1" applyBorder="1" applyAlignment="1" applyProtection="1">
      <alignment horizontal="center"/>
      <protection locked="0"/>
    </xf>
    <xf numFmtId="0" fontId="4" fillId="0" borderId="6" xfId="6" quotePrefix="1" applyFont="1" applyBorder="1" applyAlignment="1">
      <alignment horizontal="center"/>
    </xf>
    <xf numFmtId="0" fontId="4" fillId="0" borderId="0" xfId="6" quotePrefix="1" applyFont="1" applyAlignment="1">
      <alignment horizontal="center"/>
    </xf>
    <xf numFmtId="0" fontId="9" fillId="0" borderId="0" xfId="6" applyFont="1" applyProtection="1">
      <protection locked="0"/>
    </xf>
    <xf numFmtId="0" fontId="4" fillId="0" borderId="0" xfId="6" applyFont="1" applyAlignment="1" applyProtection="1">
      <alignment horizontal="left"/>
      <protection locked="0"/>
    </xf>
    <xf numFmtId="10" fontId="4" fillId="0" borderId="0" xfId="9" applyNumberFormat="1" applyFont="1" applyProtection="1">
      <protection locked="0"/>
    </xf>
    <xf numFmtId="164" fontId="4" fillId="0" borderId="0" xfId="2" applyNumberFormat="1" applyFont="1" applyProtection="1">
      <protection locked="0"/>
    </xf>
    <xf numFmtId="164" fontId="4" fillId="0" borderId="0" xfId="2" applyNumberFormat="1" applyFont="1" applyBorder="1" applyProtection="1">
      <protection locked="0"/>
    </xf>
    <xf numFmtId="164" fontId="4" fillId="0" borderId="0" xfId="6" applyNumberFormat="1" applyFont="1"/>
    <xf numFmtId="164" fontId="4" fillId="0" borderId="0" xfId="9" applyNumberFormat="1" applyFont="1"/>
    <xf numFmtId="10" fontId="4" fillId="0" borderId="0" xfId="9" applyNumberFormat="1" applyFont="1"/>
    <xf numFmtId="168" fontId="4" fillId="0" borderId="0" xfId="8" applyNumberFormat="1" applyFont="1" applyFill="1" applyBorder="1" applyProtection="1">
      <protection locked="0"/>
    </xf>
    <xf numFmtId="0" fontId="4" fillId="0" borderId="0" xfId="6" applyFont="1" applyProtection="1">
      <protection locked="0"/>
    </xf>
    <xf numFmtId="164" fontId="4" fillId="0" borderId="0" xfId="8" applyNumberFormat="1" applyFont="1" applyProtection="1">
      <protection locked="0"/>
    </xf>
    <xf numFmtId="164" fontId="4" fillId="0" borderId="0" xfId="8" applyNumberFormat="1" applyFont="1" applyFill="1" applyBorder="1" applyProtection="1">
      <protection locked="0"/>
    </xf>
    <xf numFmtId="10" fontId="13" fillId="0" borderId="0" xfId="9" applyNumberFormat="1" applyFont="1" applyFill="1" applyBorder="1" applyProtection="1">
      <protection locked="0"/>
    </xf>
    <xf numFmtId="164" fontId="4" fillId="0" borderId="0" xfId="8" applyNumberFormat="1" applyFont="1" applyBorder="1" applyProtection="1">
      <protection locked="0"/>
    </xf>
    <xf numFmtId="0" fontId="4" fillId="0" borderId="0" xfId="6" applyFont="1" applyAlignment="1" applyProtection="1">
      <alignment horizontal="left" indent="1"/>
      <protection locked="0"/>
    </xf>
    <xf numFmtId="167" fontId="4" fillId="0" borderId="0" xfId="10" applyNumberFormat="1" applyFont="1" applyBorder="1" applyProtection="1">
      <protection locked="0"/>
    </xf>
    <xf numFmtId="164" fontId="4" fillId="0" borderId="15" xfId="2" applyNumberFormat="1" applyFont="1" applyBorder="1" applyProtection="1">
      <protection locked="0"/>
    </xf>
    <xf numFmtId="10" fontId="4" fillId="0" borderId="15" xfId="9" applyNumberFormat="1" applyFont="1" applyBorder="1" applyProtection="1">
      <protection locked="0"/>
    </xf>
    <xf numFmtId="168" fontId="4" fillId="0" borderId="0" xfId="8" applyNumberFormat="1" applyFont="1" applyFill="1" applyBorder="1"/>
    <xf numFmtId="164" fontId="4" fillId="0" borderId="0" xfId="9" applyNumberFormat="1" applyFont="1" applyBorder="1" applyProtection="1">
      <protection locked="0"/>
    </xf>
    <xf numFmtId="167" fontId="4" fillId="0" borderId="0" xfId="10" applyNumberFormat="1" applyFont="1" applyFill="1" applyBorder="1" applyProtection="1">
      <protection locked="0"/>
    </xf>
    <xf numFmtId="164" fontId="13" fillId="0" borderId="0" xfId="6" applyNumberFormat="1" applyFont="1" applyProtection="1">
      <protection locked="0"/>
    </xf>
    <xf numFmtId="10" fontId="4" fillId="0" borderId="0" xfId="9" applyNumberFormat="1" applyFont="1" applyBorder="1" applyProtection="1">
      <protection locked="0"/>
    </xf>
    <xf numFmtId="43" fontId="13" fillId="0" borderId="0" xfId="8" applyFont="1" applyBorder="1" applyProtection="1">
      <protection locked="0"/>
    </xf>
    <xf numFmtId="10" fontId="4" fillId="0" borderId="0" xfId="9" applyNumberFormat="1" applyFont="1" applyBorder="1"/>
    <xf numFmtId="10" fontId="4" fillId="0" borderId="0" xfId="6" applyNumberFormat="1" applyFont="1"/>
    <xf numFmtId="164" fontId="4" fillId="0" borderId="0" xfId="8" quotePrefix="1" applyNumberFormat="1" applyFont="1"/>
    <xf numFmtId="169" fontId="4" fillId="0" borderId="0" xfId="6" applyNumberFormat="1" applyFont="1"/>
    <xf numFmtId="164" fontId="4" fillId="4" borderId="0" xfId="2" applyNumberFormat="1" applyFont="1" applyFill="1" applyAlignment="1">
      <alignment vertical="center"/>
    </xf>
    <xf numFmtId="164" fontId="4" fillId="0" borderId="0" xfId="2" applyNumberFormat="1" applyFont="1" applyFill="1" applyAlignment="1" applyProtection="1">
      <alignment horizontal="left" vertical="center"/>
    </xf>
    <xf numFmtId="164" fontId="4" fillId="0" borderId="0" xfId="2" applyNumberFormat="1" applyFont="1" applyFill="1" applyAlignment="1">
      <alignment vertical="center"/>
    </xf>
    <xf numFmtId="164" fontId="4" fillId="0" borderId="0" xfId="2" quotePrefix="1" applyNumberFormat="1" applyFont="1" applyFill="1" applyAlignment="1">
      <alignment horizontal="center" vertical="center"/>
    </xf>
    <xf numFmtId="0" fontId="4" fillId="0" borderId="0" xfId="7" quotePrefix="1" applyFont="1" applyAlignment="1">
      <alignment horizontal="center" vertical="center"/>
    </xf>
    <xf numFmtId="0" fontId="4" fillId="0" borderId="0" xfId="7" quotePrefix="1" applyFont="1" applyAlignment="1">
      <alignment horizontal="centerContinuous" vertical="center"/>
    </xf>
    <xf numFmtId="0" fontId="4" fillId="0" borderId="0" xfId="7" applyFont="1" applyAlignment="1">
      <alignment horizontal="centerContinuous" vertical="center"/>
    </xf>
    <xf numFmtId="0" fontId="4" fillId="0" borderId="0" xfId="7" applyFont="1" applyAlignment="1">
      <alignment horizontal="center" vertical="center"/>
    </xf>
    <xf numFmtId="0" fontId="4" fillId="0" borderId="0" xfId="7" applyFont="1" applyAlignment="1" applyProtection="1">
      <alignment horizontal="centerContinuous" vertical="center"/>
      <protection locked="0"/>
    </xf>
    <xf numFmtId="0" fontId="4" fillId="0" borderId="0" xfId="7" applyFont="1" applyAlignment="1" applyProtection="1">
      <alignment horizontal="center" vertical="center"/>
      <protection locked="0"/>
    </xf>
    <xf numFmtId="0" fontId="4" fillId="0" borderId="6" xfId="7" applyFont="1" applyBorder="1" applyAlignment="1" applyProtection="1">
      <alignment horizontal="left" vertical="center"/>
      <protection locked="0"/>
    </xf>
    <xf numFmtId="0" fontId="9" fillId="0" borderId="6" xfId="7" applyFont="1" applyBorder="1" applyAlignment="1" applyProtection="1">
      <alignment vertical="center"/>
      <protection locked="0"/>
    </xf>
    <xf numFmtId="43" fontId="4" fillId="0" borderId="0" xfId="2" applyFont="1" applyFill="1" applyAlignment="1" applyProtection="1">
      <alignment vertical="center"/>
      <protection locked="0"/>
    </xf>
    <xf numFmtId="0" fontId="13" fillId="0" borderId="0" xfId="7" applyFont="1" applyAlignment="1" applyProtection="1">
      <alignment vertical="center"/>
      <protection locked="0"/>
    </xf>
    <xf numFmtId="164" fontId="4" fillId="0" borderId="0" xfId="2" applyNumberFormat="1" applyFont="1" applyFill="1" applyAlignment="1" applyProtection="1">
      <alignment vertical="center"/>
      <protection locked="0"/>
    </xf>
    <xf numFmtId="167" fontId="4" fillId="0" borderId="0" xfId="5" applyNumberFormat="1" applyFont="1" applyFill="1" applyAlignment="1" applyProtection="1">
      <alignment vertical="center"/>
      <protection locked="0"/>
    </xf>
    <xf numFmtId="10" fontId="4" fillId="0" borderId="0" xfId="11" applyNumberFormat="1" applyFont="1" applyFill="1" applyBorder="1" applyAlignment="1" applyProtection="1">
      <alignment vertical="center"/>
      <protection locked="0"/>
    </xf>
    <xf numFmtId="0" fontId="4" fillId="0" borderId="0" xfId="4" applyFont="1" applyAlignment="1" applyProtection="1">
      <alignment wrapText="1"/>
      <protection locked="0"/>
    </xf>
    <xf numFmtId="43" fontId="13" fillId="0" borderId="0" xfId="2" applyFont="1" applyFill="1" applyBorder="1" applyAlignment="1" applyProtection="1">
      <alignment vertical="center"/>
      <protection locked="0"/>
    </xf>
    <xf numFmtId="0" fontId="12" fillId="0" borderId="0" xfId="7" applyFont="1" applyAlignment="1" applyProtection="1">
      <alignment vertical="center"/>
      <protection locked="0"/>
    </xf>
    <xf numFmtId="43" fontId="4" fillId="0" borderId="15" xfId="2" applyFont="1" applyFill="1" applyBorder="1" applyAlignment="1" applyProtection="1">
      <alignment vertical="center"/>
      <protection locked="0"/>
    </xf>
    <xf numFmtId="167" fontId="4" fillId="0" borderId="15" xfId="5" applyNumberFormat="1" applyFont="1" applyFill="1" applyBorder="1" applyAlignment="1" applyProtection="1">
      <alignment vertical="center"/>
      <protection locked="0"/>
    </xf>
    <xf numFmtId="10" fontId="13" fillId="0" borderId="0" xfId="11" applyNumberFormat="1" applyFont="1" applyFill="1" applyBorder="1" applyAlignment="1" applyProtection="1">
      <alignment vertical="center"/>
      <protection locked="0"/>
    </xf>
    <xf numFmtId="167" fontId="4" fillId="0" borderId="0" xfId="5" applyNumberFormat="1" applyFont="1" applyFill="1" applyBorder="1" applyAlignment="1" applyProtection="1">
      <alignment vertical="center"/>
      <protection locked="0"/>
    </xf>
    <xf numFmtId="0" fontId="4" fillId="0" borderId="0" xfId="7" applyFont="1" applyAlignment="1" applyProtection="1">
      <alignment horizontal="left" vertical="center"/>
      <protection locked="0"/>
    </xf>
    <xf numFmtId="10" fontId="4" fillId="0" borderId="0" xfId="11" quotePrefix="1" applyNumberFormat="1" applyFont="1" applyFill="1" applyBorder="1" applyAlignment="1" applyProtection="1">
      <alignment vertical="center"/>
      <protection locked="0"/>
    </xf>
    <xf numFmtId="43" fontId="9" fillId="0" borderId="0" xfId="2" applyFont="1" applyFill="1" applyAlignment="1" applyProtection="1">
      <alignment vertical="center"/>
      <protection locked="0"/>
    </xf>
    <xf numFmtId="0" fontId="4" fillId="0" borderId="2" xfId="7" applyFont="1" applyBorder="1" applyAlignment="1">
      <alignment horizontal="left" vertical="center"/>
    </xf>
    <xf numFmtId="0" fontId="4" fillId="0" borderId="2" xfId="7" applyFont="1" applyBorder="1" applyAlignment="1">
      <alignment vertical="center"/>
    </xf>
    <xf numFmtId="0" fontId="9" fillId="0" borderId="2" xfId="7" applyFont="1" applyBorder="1" applyAlignment="1" applyProtection="1">
      <alignment vertical="center"/>
      <protection locked="0"/>
    </xf>
    <xf numFmtId="0" fontId="14" fillId="0" borderId="0" xfId="4" applyFont="1" applyAlignment="1">
      <alignment horizontal="left"/>
    </xf>
    <xf numFmtId="0" fontId="14" fillId="0" borderId="0" xfId="4" applyFont="1"/>
    <xf numFmtId="0" fontId="14" fillId="0" borderId="0" xfId="4" applyFont="1" applyAlignment="1" applyProtection="1">
      <alignment horizontal="left"/>
      <protection locked="0"/>
    </xf>
    <xf numFmtId="164" fontId="14" fillId="0" borderId="0" xfId="2" applyNumberFormat="1" applyFont="1"/>
    <xf numFmtId="0" fontId="15" fillId="0" borderId="0" xfId="4" applyFont="1" applyProtection="1">
      <protection locked="0"/>
    </xf>
    <xf numFmtId="0" fontId="14" fillId="0" borderId="0" xfId="4" applyFont="1" applyAlignment="1">
      <alignment horizontal="left" indent="1"/>
    </xf>
    <xf numFmtId="0" fontId="14" fillId="0" borderId="0" xfId="4" applyFont="1" applyAlignment="1">
      <alignment horizontal="right"/>
    </xf>
    <xf numFmtId="0" fontId="16" fillId="0" borderId="0" xfId="4" applyFont="1"/>
    <xf numFmtId="22" fontId="14" fillId="0" borderId="17" xfId="4" applyNumberFormat="1" applyFont="1" applyBorder="1"/>
    <xf numFmtId="0" fontId="14" fillId="0" borderId="17" xfId="4" applyFont="1" applyBorder="1"/>
    <xf numFmtId="0" fontId="15" fillId="0" borderId="17" xfId="4" applyFont="1" applyBorder="1" applyAlignment="1" applyProtection="1">
      <alignment horizontal="left"/>
      <protection locked="0"/>
    </xf>
    <xf numFmtId="0" fontId="14" fillId="0" borderId="17" xfId="4" applyFont="1" applyBorder="1" applyAlignment="1">
      <alignment horizontal="left" indent="1"/>
    </xf>
    <xf numFmtId="0" fontId="17" fillId="0" borderId="17" xfId="4" applyFont="1" applyBorder="1"/>
    <xf numFmtId="22" fontId="14" fillId="0" borderId="0" xfId="4" applyNumberFormat="1" applyFont="1"/>
    <xf numFmtId="0" fontId="17" fillId="0" borderId="0" xfId="4" applyFont="1"/>
    <xf numFmtId="0" fontId="18" fillId="0" borderId="0" xfId="4" applyFont="1" applyAlignment="1">
      <alignment horizontal="left"/>
    </xf>
    <xf numFmtId="0" fontId="18" fillId="0" borderId="0" xfId="4" applyFont="1" applyAlignment="1">
      <alignment horizontal="center"/>
    </xf>
    <xf numFmtId="0" fontId="16" fillId="0" borderId="0" xfId="4" applyFont="1" applyAlignment="1">
      <alignment horizontal="center"/>
    </xf>
    <xf numFmtId="0" fontId="14" fillId="0" borderId="0" xfId="4" applyFont="1" applyAlignment="1">
      <alignment horizontal="center"/>
    </xf>
    <xf numFmtId="0" fontId="14" fillId="0" borderId="0" xfId="4" quotePrefix="1" applyFont="1"/>
    <xf numFmtId="14" fontId="16" fillId="3" borderId="0" xfId="4" applyNumberFormat="1" applyFont="1" applyFill="1"/>
    <xf numFmtId="0" fontId="14" fillId="0" borderId="6" xfId="4" applyFont="1" applyBorder="1" applyAlignment="1">
      <alignment horizontal="center"/>
    </xf>
    <xf numFmtId="0" fontId="16" fillId="0" borderId="6" xfId="4" applyFont="1" applyBorder="1" applyAlignment="1">
      <alignment horizontal="center"/>
    </xf>
    <xf numFmtId="0" fontId="14" fillId="0" borderId="17" xfId="4" applyFont="1" applyBorder="1" applyAlignment="1">
      <alignment horizontal="left"/>
    </xf>
    <xf numFmtId="0" fontId="19" fillId="0" borderId="0" xfId="4" quotePrefix="1" applyFont="1" applyAlignment="1">
      <alignment vertical="center"/>
    </xf>
    <xf numFmtId="0" fontId="17" fillId="0" borderId="0" xfId="4" applyFont="1" applyAlignment="1">
      <alignment vertical="center"/>
    </xf>
    <xf numFmtId="0" fontId="20" fillId="0" borderId="0" xfId="4" quotePrefix="1" applyFont="1" applyAlignment="1">
      <alignment horizontal="center" vertical="center"/>
    </xf>
    <xf numFmtId="0" fontId="17" fillId="5" borderId="1" xfId="4" applyFont="1" applyFill="1" applyBorder="1" applyAlignment="1">
      <alignment vertical="center"/>
    </xf>
    <xf numFmtId="0" fontId="14" fillId="5" borderId="2" xfId="4" applyFont="1" applyFill="1" applyBorder="1"/>
    <xf numFmtId="0" fontId="14" fillId="5" borderId="3" xfId="4" applyFont="1" applyFill="1" applyBorder="1"/>
    <xf numFmtId="0" fontId="17" fillId="5" borderId="1" xfId="4" applyFont="1" applyFill="1" applyBorder="1"/>
    <xf numFmtId="0" fontId="16" fillId="5" borderId="3" xfId="4" applyFont="1" applyFill="1" applyBorder="1"/>
    <xf numFmtId="0" fontId="17" fillId="0" borderId="0" xfId="4" applyFont="1" applyAlignment="1">
      <alignment horizontal="centerContinuous" vertical="center"/>
    </xf>
    <xf numFmtId="0" fontId="17" fillId="0" borderId="6" xfId="4" applyFont="1" applyBorder="1" applyAlignment="1">
      <alignment horizontal="centerContinuous" vertical="center"/>
    </xf>
    <xf numFmtId="0" fontId="22" fillId="0" borderId="6" xfId="4" applyFont="1" applyBorder="1" applyAlignment="1" applyProtection="1">
      <alignment horizontal="centerContinuous" vertical="center"/>
      <protection locked="0"/>
    </xf>
    <xf numFmtId="0" fontId="22" fillId="0" borderId="0" xfId="4" applyFont="1" applyAlignment="1" applyProtection="1">
      <alignment vertical="center"/>
      <protection locked="0"/>
    </xf>
    <xf numFmtId="0" fontId="17" fillId="0" borderId="6" xfId="4" applyFont="1" applyBorder="1" applyAlignment="1">
      <alignment horizontal="centerContinuous"/>
    </xf>
    <xf numFmtId="0" fontId="22" fillId="0" borderId="0" xfId="4" applyFont="1" applyAlignment="1" applyProtection="1">
      <alignment horizontal="centerContinuous" vertical="center"/>
      <protection locked="0"/>
    </xf>
    <xf numFmtId="0" fontId="14" fillId="5" borderId="4" xfId="4" applyFont="1" applyFill="1" applyBorder="1"/>
    <xf numFmtId="0" fontId="14" fillId="5" borderId="0" xfId="4" applyFont="1" applyFill="1"/>
    <xf numFmtId="0" fontId="14" fillId="5" borderId="5" xfId="4" applyFont="1" applyFill="1" applyBorder="1"/>
    <xf numFmtId="0" fontId="16" fillId="5" borderId="5" xfId="4" applyFont="1" applyFill="1" applyBorder="1"/>
    <xf numFmtId="0" fontId="14" fillId="0" borderId="0" xfId="4" applyFont="1" applyAlignment="1" applyProtection="1">
      <alignment horizontal="center"/>
      <protection locked="0"/>
    </xf>
    <xf numFmtId="0" fontId="14" fillId="0" borderId="0" xfId="4" applyFont="1" applyProtection="1">
      <protection locked="0"/>
    </xf>
    <xf numFmtId="0" fontId="23" fillId="0" borderId="0" xfId="4" applyFont="1" applyAlignment="1" applyProtection="1">
      <alignment horizontal="center"/>
      <protection locked="0"/>
    </xf>
    <xf numFmtId="0" fontId="14" fillId="0" borderId="0" xfId="4" applyFont="1" applyAlignment="1">
      <alignment horizontal="center" vertical="center"/>
    </xf>
    <xf numFmtId="0" fontId="14" fillId="5" borderId="0" xfId="4" applyFont="1" applyFill="1" applyAlignment="1">
      <alignment horizontal="center"/>
    </xf>
    <xf numFmtId="0" fontId="14" fillId="5" borderId="5" xfId="4" applyFont="1" applyFill="1" applyBorder="1" applyAlignment="1">
      <alignment horizontal="center"/>
    </xf>
    <xf numFmtId="0" fontId="14" fillId="5" borderId="4" xfId="4" applyFont="1" applyFill="1" applyBorder="1" applyAlignment="1">
      <alignment horizontal="center"/>
    </xf>
    <xf numFmtId="0" fontId="16" fillId="5" borderId="5" xfId="4" applyFont="1" applyFill="1" applyBorder="1" applyAlignment="1">
      <alignment horizontal="center"/>
    </xf>
    <xf numFmtId="0" fontId="15" fillId="0" borderId="17" xfId="4" applyFont="1" applyBorder="1" applyProtection="1">
      <protection locked="0"/>
    </xf>
    <xf numFmtId="0" fontId="25" fillId="0" borderId="17" xfId="4" applyFont="1" applyBorder="1" applyProtection="1">
      <protection locked="0"/>
    </xf>
    <xf numFmtId="170" fontId="26" fillId="0" borderId="17" xfId="4" applyNumberFormat="1" applyFont="1" applyBorder="1" applyAlignment="1" applyProtection="1">
      <alignment horizontal="center"/>
      <protection locked="0"/>
    </xf>
    <xf numFmtId="0" fontId="25" fillId="0" borderId="17" xfId="4" applyFont="1" applyBorder="1" applyAlignment="1" applyProtection="1">
      <alignment horizontal="center"/>
      <protection locked="0"/>
    </xf>
    <xf numFmtId="0" fontId="14" fillId="0" borderId="17" xfId="4" applyFont="1" applyBorder="1" applyAlignment="1" applyProtection="1">
      <alignment horizontal="center"/>
      <protection locked="0"/>
    </xf>
    <xf numFmtId="0" fontId="17" fillId="0" borderId="17" xfId="4" applyFont="1" applyBorder="1" applyAlignment="1">
      <alignment horizontal="centerContinuous" vertical="center"/>
    </xf>
    <xf numFmtId="0" fontId="14" fillId="0" borderId="17" xfId="4" applyFont="1" applyBorder="1" applyAlignment="1">
      <alignment horizontal="center" vertical="center"/>
    </xf>
    <xf numFmtId="0" fontId="14" fillId="5" borderId="8" xfId="4" applyFont="1" applyFill="1" applyBorder="1"/>
    <xf numFmtId="0" fontId="14" fillId="5" borderId="6" xfId="4" applyFont="1" applyFill="1" applyBorder="1" applyAlignment="1">
      <alignment horizontal="center"/>
    </xf>
    <xf numFmtId="0" fontId="14" fillId="5" borderId="10" xfId="4" applyFont="1" applyFill="1" applyBorder="1" applyAlignment="1">
      <alignment horizontal="center"/>
    </xf>
    <xf numFmtId="0" fontId="14" fillId="5" borderId="8" xfId="4" applyFont="1" applyFill="1" applyBorder="1" applyAlignment="1">
      <alignment horizontal="center"/>
    </xf>
    <xf numFmtId="0" fontId="15" fillId="0" borderId="0" xfId="4" applyFont="1" applyAlignment="1" applyProtection="1">
      <alignment horizontal="left"/>
      <protection locked="0"/>
    </xf>
    <xf numFmtId="0" fontId="23" fillId="6" borderId="0" xfId="4" applyFont="1" applyFill="1" applyAlignment="1" applyProtection="1">
      <alignment horizontal="center"/>
      <protection locked="0"/>
    </xf>
    <xf numFmtId="0" fontId="14" fillId="5" borderId="4" xfId="4" applyFont="1" applyFill="1" applyBorder="1" applyAlignment="1">
      <alignment horizontal="left"/>
    </xf>
    <xf numFmtId="0" fontId="17" fillId="0" borderId="0" xfId="4" applyFont="1" applyAlignment="1" applyProtection="1">
      <alignment horizontal="left" vertical="center"/>
      <protection locked="0"/>
    </xf>
    <xf numFmtId="43" fontId="14" fillId="0" borderId="0" xfId="4" applyNumberFormat="1" applyFont="1" applyAlignment="1" applyProtection="1">
      <alignment horizontal="left"/>
      <protection locked="0"/>
    </xf>
    <xf numFmtId="0" fontId="14" fillId="0" borderId="0" xfId="4" applyFont="1" applyAlignment="1" applyProtection="1">
      <alignment horizontal="right"/>
      <protection locked="0"/>
    </xf>
    <xf numFmtId="44" fontId="14" fillId="0" borderId="0" xfId="4" applyNumberFormat="1" applyFont="1" applyAlignment="1">
      <alignment horizontal="left"/>
    </xf>
    <xf numFmtId="164" fontId="14" fillId="0" borderId="0" xfId="2" applyNumberFormat="1" applyFont="1" applyProtection="1">
      <protection locked="0"/>
    </xf>
    <xf numFmtId="44" fontId="14" fillId="0" borderId="0" xfId="4" applyNumberFormat="1" applyFont="1" applyProtection="1">
      <protection locked="0"/>
    </xf>
    <xf numFmtId="167" fontId="14" fillId="0" borderId="0" xfId="5" applyNumberFormat="1" applyFont="1" applyProtection="1">
      <protection locked="0"/>
    </xf>
    <xf numFmtId="0" fontId="14" fillId="0" borderId="0" xfId="4" applyFont="1" applyAlignment="1" applyProtection="1">
      <alignment horizontal="left" indent="1"/>
      <protection locked="0"/>
    </xf>
    <xf numFmtId="164" fontId="14" fillId="0" borderId="0" xfId="2" applyNumberFormat="1" applyFont="1" applyAlignment="1" applyProtection="1">
      <alignment horizontal="right"/>
      <protection locked="0"/>
    </xf>
    <xf numFmtId="43" fontId="14" fillId="0" borderId="0" xfId="2" applyFont="1" applyProtection="1">
      <protection locked="0"/>
    </xf>
    <xf numFmtId="164" fontId="14" fillId="0" borderId="0" xfId="12" applyNumberFormat="1" applyFont="1" applyProtection="1">
      <protection locked="0"/>
    </xf>
    <xf numFmtId="164" fontId="14" fillId="0" borderId="0" xfId="2" applyNumberFormat="1" applyFont="1" applyFill="1" applyProtection="1">
      <protection locked="0"/>
    </xf>
    <xf numFmtId="10" fontId="14" fillId="0" borderId="0" xfId="11" applyNumberFormat="1" applyFont="1"/>
    <xf numFmtId="43" fontId="14" fillId="0" borderId="0" xfId="4" applyNumberFormat="1" applyFont="1"/>
    <xf numFmtId="14" fontId="16" fillId="5" borderId="4" xfId="7" applyNumberFormat="1" applyFont="1" applyFill="1" applyBorder="1" applyAlignment="1">
      <alignment horizontal="left"/>
    </xf>
    <xf numFmtId="1" fontId="14" fillId="5" borderId="0" xfId="4" applyNumberFormat="1" applyFont="1" applyFill="1"/>
    <xf numFmtId="1" fontId="14" fillId="5" borderId="5" xfId="4" applyNumberFormat="1" applyFont="1" applyFill="1" applyBorder="1"/>
    <xf numFmtId="1" fontId="16" fillId="5" borderId="5" xfId="4" applyNumberFormat="1" applyFont="1" applyFill="1" applyBorder="1"/>
    <xf numFmtId="164" fontId="14" fillId="0" borderId="0" xfId="4" applyNumberFormat="1" applyFont="1"/>
    <xf numFmtId="43" fontId="14" fillId="0" borderId="0" xfId="12" applyFont="1" applyProtection="1">
      <protection locked="0"/>
    </xf>
    <xf numFmtId="0" fontId="16" fillId="5" borderId="4" xfId="4" applyFont="1" applyFill="1" applyBorder="1" applyAlignment="1">
      <alignment horizontal="left"/>
    </xf>
    <xf numFmtId="164" fontId="14" fillId="0" borderId="0" xfId="2" applyNumberFormat="1" applyFont="1" applyFill="1" applyAlignment="1" applyProtection="1">
      <alignment horizontal="right"/>
      <protection locked="0"/>
    </xf>
    <xf numFmtId="44" fontId="14" fillId="0" borderId="0" xfId="13" applyFont="1" applyBorder="1"/>
    <xf numFmtId="164" fontId="14" fillId="0" borderId="6" xfId="12" applyNumberFormat="1" applyFont="1" applyBorder="1" applyProtection="1">
      <protection locked="0"/>
    </xf>
    <xf numFmtId="164" fontId="14" fillId="0" borderId="2" xfId="2" applyNumberFormat="1" applyFont="1" applyBorder="1" applyAlignment="1" applyProtection="1">
      <alignment horizontal="right"/>
      <protection locked="0"/>
    </xf>
    <xf numFmtId="167" fontId="14" fillId="0" borderId="0" xfId="4" applyNumberFormat="1" applyFont="1" applyAlignment="1" applyProtection="1">
      <alignment horizontal="right"/>
      <protection locked="0"/>
    </xf>
    <xf numFmtId="167" fontId="24" fillId="5" borderId="4" xfId="4" applyNumberFormat="1" applyFont="1" applyFill="1" applyBorder="1" applyAlignment="1">
      <alignment horizontal="left"/>
    </xf>
    <xf numFmtId="167" fontId="17" fillId="5" borderId="0" xfId="4" applyNumberFormat="1" applyFont="1" applyFill="1"/>
    <xf numFmtId="167" fontId="16" fillId="5" borderId="4" xfId="4" applyNumberFormat="1" applyFont="1" applyFill="1" applyBorder="1" applyAlignment="1">
      <alignment horizontal="left"/>
    </xf>
    <xf numFmtId="164" fontId="14" fillId="3" borderId="0" xfId="4" applyNumberFormat="1" applyFont="1" applyFill="1"/>
    <xf numFmtId="164" fontId="14" fillId="3" borderId="0" xfId="2" applyNumberFormat="1" applyFont="1" applyFill="1" applyProtection="1">
      <protection locked="0"/>
    </xf>
    <xf numFmtId="0" fontId="17" fillId="0" borderId="0" xfId="4" applyFont="1" applyAlignment="1" applyProtection="1">
      <alignment horizontal="left"/>
      <protection locked="0"/>
    </xf>
    <xf numFmtId="10" fontId="14" fillId="0" borderId="0" xfId="14" applyNumberFormat="1" applyFont="1" applyBorder="1"/>
    <xf numFmtId="43" fontId="14" fillId="0" borderId="0" xfId="12" applyFont="1"/>
    <xf numFmtId="0" fontId="14" fillId="0" borderId="0" xfId="4" applyFont="1" applyAlignment="1">
      <alignment horizontal="left" indent="2"/>
    </xf>
    <xf numFmtId="0" fontId="14" fillId="0" borderId="0" xfId="4" applyFont="1" applyAlignment="1" applyProtection="1">
      <alignment horizontal="left" indent="2"/>
      <protection locked="0"/>
    </xf>
    <xf numFmtId="164" fontId="14" fillId="0" borderId="2" xfId="2" applyNumberFormat="1" applyFont="1" applyFill="1" applyBorder="1" applyAlignment="1" applyProtection="1">
      <alignment horizontal="right"/>
      <protection locked="0"/>
    </xf>
    <xf numFmtId="171" fontId="14" fillId="0" borderId="0" xfId="12" applyNumberFormat="1" applyFont="1" applyProtection="1">
      <protection locked="0"/>
    </xf>
    <xf numFmtId="10" fontId="14" fillId="0" borderId="0" xfId="11" applyNumberFormat="1" applyFont="1" applyAlignment="1" applyProtection="1">
      <alignment horizontal="right"/>
      <protection locked="0"/>
    </xf>
    <xf numFmtId="164" fontId="14" fillId="0" borderId="0" xfId="12" applyNumberFormat="1" applyFont="1"/>
    <xf numFmtId="164" fontId="14" fillId="0" borderId="2" xfId="2" applyNumberFormat="1" applyFont="1" applyBorder="1" applyProtection="1">
      <protection locked="0"/>
    </xf>
    <xf numFmtId="43" fontId="14" fillId="0" borderId="0" xfId="12" applyFont="1" applyAlignment="1" applyProtection="1">
      <alignment horizontal="right"/>
      <protection locked="0"/>
    </xf>
    <xf numFmtId="164" fontId="14" fillId="0" borderId="2" xfId="12" applyNumberFormat="1" applyFont="1" applyBorder="1" applyProtection="1">
      <protection locked="0"/>
    </xf>
    <xf numFmtId="0" fontId="17" fillId="0" borderId="0" xfId="4" applyFont="1" applyProtection="1">
      <protection locked="0"/>
    </xf>
    <xf numFmtId="164" fontId="14" fillId="0" borderId="0" xfId="4" applyNumberFormat="1" applyFont="1" applyProtection="1">
      <protection locked="0"/>
    </xf>
    <xf numFmtId="44" fontId="14" fillId="0" borderId="0" xfId="4" applyNumberFormat="1" applyFont="1" applyAlignment="1" applyProtection="1">
      <alignment horizontal="right"/>
      <protection locked="0"/>
    </xf>
    <xf numFmtId="164" fontId="14" fillId="0" borderId="15" xfId="12" applyNumberFormat="1" applyFont="1" applyBorder="1" applyProtection="1">
      <protection locked="0"/>
    </xf>
    <xf numFmtId="167" fontId="14" fillId="0" borderId="0" xfId="4" applyNumberFormat="1" applyFont="1" applyProtection="1">
      <protection locked="0"/>
    </xf>
    <xf numFmtId="172" fontId="14" fillId="0" borderId="0" xfId="11" applyNumberFormat="1" applyFont="1" applyProtection="1">
      <protection locked="0"/>
    </xf>
    <xf numFmtId="10" fontId="14" fillId="0" borderId="0" xfId="4" applyNumberFormat="1" applyFont="1"/>
    <xf numFmtId="167" fontId="14" fillId="0" borderId="0" xfId="13" applyNumberFormat="1" applyFont="1"/>
    <xf numFmtId="0" fontId="14" fillId="0" borderId="2" xfId="4" applyFont="1" applyBorder="1"/>
    <xf numFmtId="0" fontId="14" fillId="4" borderId="0" xfId="4" applyFont="1" applyFill="1"/>
    <xf numFmtId="0" fontId="16" fillId="4" borderId="0" xfId="4" applyFont="1" applyFill="1"/>
    <xf numFmtId="0" fontId="24" fillId="0" borderId="0" xfId="4" applyFont="1"/>
    <xf numFmtId="0" fontId="14" fillId="0" borderId="0" xfId="4" applyFont="1" applyAlignment="1">
      <alignment horizontal="centerContinuous" vertical="center"/>
    </xf>
    <xf numFmtId="0" fontId="17" fillId="0" borderId="17" xfId="4" applyFont="1" applyBorder="1" applyAlignment="1" applyProtection="1">
      <alignment horizontal="center"/>
      <protection locked="0"/>
    </xf>
    <xf numFmtId="0" fontId="14" fillId="0" borderId="17" xfId="4" applyFont="1" applyBorder="1" applyProtection="1">
      <protection locked="0"/>
    </xf>
    <xf numFmtId="0" fontId="17" fillId="0" borderId="0" xfId="15" applyFont="1" applyFill="1" applyAlignment="1" applyProtection="1">
      <alignment horizontal="left" vertical="center"/>
      <protection locked="0"/>
    </xf>
    <xf numFmtId="0" fontId="14" fillId="0" borderId="0" xfId="15" applyFont="1" applyFill="1" applyProtection="1">
      <protection locked="0"/>
    </xf>
    <xf numFmtId="43" fontId="14" fillId="0" borderId="0" xfId="2" applyFont="1" applyAlignment="1" applyProtection="1">
      <alignment horizontal="left"/>
      <protection locked="0"/>
    </xf>
    <xf numFmtId="0" fontId="14" fillId="0" borderId="0" xfId="15" applyFont="1" applyFill="1" applyAlignment="1" applyProtection="1">
      <alignment horizontal="right"/>
      <protection locked="0"/>
    </xf>
    <xf numFmtId="0" fontId="14" fillId="0" borderId="0" xfId="15" applyFont="1" applyFill="1" applyAlignment="1" applyProtection="1">
      <alignment horizontal="left"/>
      <protection locked="0"/>
    </xf>
    <xf numFmtId="0" fontId="14" fillId="0" borderId="0" xfId="15" applyFont="1" applyFill="1"/>
    <xf numFmtId="0" fontId="14" fillId="0" borderId="0" xfId="15" applyFont="1" applyFill="1" applyAlignment="1">
      <alignment horizontal="left"/>
    </xf>
    <xf numFmtId="0" fontId="23" fillId="6" borderId="0" xfId="15" applyFont="1" applyFill="1" applyAlignment="1" applyProtection="1">
      <alignment horizontal="center"/>
      <protection locked="0"/>
    </xf>
    <xf numFmtId="0" fontId="14" fillId="0" borderId="0" xfId="15" applyFont="1" applyFill="1" applyAlignment="1">
      <alignment horizontal="center"/>
    </xf>
    <xf numFmtId="44" fontId="14" fillId="0" borderId="0" xfId="15" applyNumberFormat="1" applyFont="1" applyFill="1" applyProtection="1">
      <protection locked="0"/>
    </xf>
    <xf numFmtId="0" fontId="14" fillId="0" borderId="0" xfId="15" applyFont="1" applyFill="1" applyAlignment="1">
      <alignment horizontal="left" indent="1"/>
    </xf>
    <xf numFmtId="0" fontId="14" fillId="0" borderId="0" xfId="15" applyFont="1" applyFill="1" applyAlignment="1" applyProtection="1">
      <alignment horizontal="center"/>
      <protection locked="0"/>
    </xf>
    <xf numFmtId="0" fontId="14" fillId="0" borderId="0" xfId="15" applyFont="1" applyFill="1" applyAlignment="1" applyProtection="1">
      <alignment horizontal="left" indent="1"/>
      <protection locked="0"/>
    </xf>
    <xf numFmtId="167" fontId="14" fillId="0" borderId="0" xfId="15" applyNumberFormat="1" applyFont="1" applyFill="1" applyAlignment="1" applyProtection="1">
      <alignment horizontal="center"/>
      <protection locked="0"/>
    </xf>
    <xf numFmtId="164" fontId="14" fillId="0" borderId="2" xfId="2" applyNumberFormat="1" applyFont="1" applyFill="1" applyBorder="1" applyProtection="1">
      <protection locked="0"/>
    </xf>
    <xf numFmtId="167" fontId="14" fillId="0" borderId="0" xfId="15" applyNumberFormat="1" applyFont="1" applyFill="1" applyAlignment="1" applyProtection="1">
      <alignment horizontal="right"/>
      <protection locked="0"/>
    </xf>
    <xf numFmtId="0" fontId="17" fillId="0" borderId="0" xfId="4" applyFont="1" applyAlignment="1">
      <alignment horizontal="center"/>
    </xf>
    <xf numFmtId="0" fontId="17" fillId="0" borderId="0" xfId="15" applyFont="1" applyFill="1" applyAlignment="1" applyProtection="1">
      <alignment horizontal="left"/>
      <protection locked="0"/>
    </xf>
    <xf numFmtId="10" fontId="14" fillId="0" borderId="0" xfId="14" applyNumberFormat="1" applyFont="1" applyProtection="1">
      <protection locked="0"/>
    </xf>
    <xf numFmtId="167" fontId="17" fillId="0" borderId="0" xfId="5" applyNumberFormat="1" applyFont="1"/>
    <xf numFmtId="0" fontId="14" fillId="0" borderId="0" xfId="11" applyNumberFormat="1" applyFont="1"/>
    <xf numFmtId="0" fontId="14" fillId="0" borderId="0" xfId="15" applyFont="1" applyFill="1" applyAlignment="1" applyProtection="1">
      <alignment horizontal="left" indent="2"/>
      <protection locked="0"/>
    </xf>
    <xf numFmtId="43" fontId="14" fillId="0" borderId="0" xfId="2" applyFont="1"/>
    <xf numFmtId="1" fontId="14" fillId="0" borderId="0" xfId="4" applyNumberFormat="1" applyFont="1"/>
    <xf numFmtId="0" fontId="17" fillId="0" borderId="0" xfId="15" applyFont="1" applyFill="1" applyProtection="1">
      <protection locked="0"/>
    </xf>
    <xf numFmtId="164" fontId="14" fillId="0" borderId="0" xfId="15" applyNumberFormat="1" applyFont="1" applyFill="1"/>
    <xf numFmtId="9" fontId="14" fillId="0" borderId="0" xfId="14" applyFont="1" applyProtection="1">
      <protection locked="0"/>
    </xf>
    <xf numFmtId="9" fontId="14" fillId="0" borderId="0" xfId="11" applyFont="1" applyProtection="1">
      <protection locked="0"/>
    </xf>
    <xf numFmtId="167" fontId="14" fillId="0" borderId="0" xfId="4" applyNumberFormat="1" applyFont="1"/>
    <xf numFmtId="167" fontId="14" fillId="0" borderId="0" xfId="15" applyNumberFormat="1" applyFont="1" applyFill="1"/>
    <xf numFmtId="0" fontId="16" fillId="5" borderId="8" xfId="4" applyFont="1" applyFill="1" applyBorder="1"/>
    <xf numFmtId="1" fontId="14" fillId="5" borderId="6" xfId="4" applyNumberFormat="1" applyFont="1" applyFill="1" applyBorder="1"/>
    <xf numFmtId="1" fontId="14" fillId="5" borderId="10" xfId="4" applyNumberFormat="1" applyFont="1" applyFill="1" applyBorder="1"/>
    <xf numFmtId="1" fontId="16" fillId="5" borderId="10" xfId="4" applyNumberFormat="1" applyFont="1" applyFill="1" applyBorder="1"/>
    <xf numFmtId="167" fontId="16" fillId="0" borderId="0" xfId="4" applyNumberFormat="1" applyFont="1"/>
    <xf numFmtId="164" fontId="14" fillId="0" borderId="6" xfId="2" applyNumberFormat="1" applyFont="1" applyBorder="1" applyProtection="1">
      <protection locked="0"/>
    </xf>
    <xf numFmtId="164" fontId="17" fillId="3" borderId="0" xfId="4" applyNumberFormat="1" applyFont="1" applyFill="1"/>
    <xf numFmtId="167" fontId="14" fillId="0" borderId="0" xfId="5" applyNumberFormat="1" applyFont="1" applyBorder="1"/>
    <xf numFmtId="167" fontId="17" fillId="0" borderId="0" xfId="4" applyNumberFormat="1" applyFont="1"/>
    <xf numFmtId="171" fontId="14" fillId="0" borderId="0" xfId="15" applyNumberFormat="1" applyFont="1" applyFill="1" applyProtection="1">
      <protection locked="0"/>
    </xf>
    <xf numFmtId="164" fontId="14" fillId="0" borderId="0" xfId="2" applyNumberFormat="1" applyFont="1" applyFill="1"/>
    <xf numFmtId="0" fontId="14" fillId="0" borderId="0" xfId="15" applyFont="1" applyFill="1" applyAlignment="1">
      <alignment horizontal="right"/>
    </xf>
    <xf numFmtId="164" fontId="14" fillId="0" borderId="0" xfId="15" applyNumberFormat="1" applyFont="1" applyFill="1" applyAlignment="1" applyProtection="1">
      <alignment horizontal="left" indent="1"/>
      <protection locked="0"/>
    </xf>
    <xf numFmtId="43" fontId="14" fillId="0" borderId="0" xfId="15" applyNumberFormat="1" applyFont="1" applyFill="1"/>
    <xf numFmtId="0" fontId="14" fillId="7" borderId="0" xfId="15" applyFont="1"/>
    <xf numFmtId="43" fontId="14" fillId="0" borderId="0" xfId="15" applyNumberFormat="1" applyFont="1" applyFill="1" applyAlignment="1">
      <alignment horizontal="right"/>
    </xf>
    <xf numFmtId="43" fontId="15" fillId="0" borderId="0" xfId="12" applyFont="1" applyProtection="1">
      <protection locked="0"/>
    </xf>
    <xf numFmtId="164" fontId="14" fillId="0" borderId="0" xfId="12" applyNumberFormat="1" applyFont="1" applyAlignment="1" applyProtection="1">
      <alignment horizontal="left"/>
      <protection locked="0"/>
    </xf>
    <xf numFmtId="164" fontId="14" fillId="0" borderId="0" xfId="12" applyNumberFormat="1" applyFont="1" applyAlignment="1">
      <alignment horizontal="left" indent="1"/>
    </xf>
    <xf numFmtId="43" fontId="15" fillId="0" borderId="17" xfId="12" applyFont="1" applyBorder="1" applyAlignment="1" applyProtection="1">
      <alignment horizontal="left"/>
      <protection locked="0"/>
    </xf>
    <xf numFmtId="164" fontId="14" fillId="0" borderId="17" xfId="12" applyNumberFormat="1" applyFont="1" applyBorder="1"/>
    <xf numFmtId="164" fontId="14" fillId="0" borderId="17" xfId="12" applyNumberFormat="1" applyFont="1" applyBorder="1" applyAlignment="1">
      <alignment horizontal="left" indent="1"/>
    </xf>
    <xf numFmtId="43" fontId="14" fillId="0" borderId="17" xfId="12" applyFont="1" applyBorder="1"/>
    <xf numFmtId="164" fontId="14" fillId="0" borderId="17" xfId="12" applyNumberFormat="1" applyFont="1" applyBorder="1" applyAlignment="1">
      <alignment horizontal="left"/>
    </xf>
    <xf numFmtId="43" fontId="17" fillId="0" borderId="0" xfId="12" applyFont="1" applyAlignment="1">
      <alignment vertical="center"/>
    </xf>
    <xf numFmtId="164" fontId="17" fillId="0" borderId="0" xfId="12" applyNumberFormat="1" applyFont="1" applyAlignment="1">
      <alignment vertical="center"/>
    </xf>
    <xf numFmtId="43" fontId="22" fillId="0" borderId="6" xfId="12" applyFont="1" applyBorder="1" applyAlignment="1" applyProtection="1">
      <alignment horizontal="centerContinuous" vertical="center"/>
      <protection locked="0"/>
    </xf>
    <xf numFmtId="164" fontId="17" fillId="0" borderId="6" xfId="12" applyNumberFormat="1" applyFont="1" applyBorder="1" applyAlignment="1">
      <alignment horizontal="centerContinuous" vertical="center"/>
    </xf>
    <xf numFmtId="164" fontId="22" fillId="0" borderId="6" xfId="12" applyNumberFormat="1" applyFont="1" applyBorder="1" applyAlignment="1" applyProtection="1">
      <alignment horizontal="centerContinuous" vertical="center"/>
      <protection locked="0"/>
    </xf>
    <xf numFmtId="43" fontId="14" fillId="0" borderId="0" xfId="12" applyFont="1" applyAlignment="1" applyProtection="1">
      <alignment horizontal="center"/>
      <protection locked="0"/>
    </xf>
    <xf numFmtId="164" fontId="14" fillId="0" borderId="0" xfId="12" applyNumberFormat="1" applyFont="1" applyAlignment="1" applyProtection="1">
      <alignment horizontal="center"/>
      <protection locked="0"/>
    </xf>
    <xf numFmtId="164" fontId="14" fillId="0" borderId="17" xfId="12" applyNumberFormat="1" applyFont="1" applyBorder="1" applyAlignment="1" applyProtection="1">
      <alignment horizontal="center"/>
      <protection locked="0"/>
    </xf>
    <xf numFmtId="43" fontId="14" fillId="0" borderId="0" xfId="12" applyFont="1" applyAlignment="1" applyProtection="1">
      <alignment horizontal="left"/>
      <protection locked="0"/>
    </xf>
    <xf numFmtId="164" fontId="14" fillId="0" borderId="0" xfId="12" applyNumberFormat="1" applyFont="1" applyAlignment="1">
      <alignment horizontal="left"/>
    </xf>
    <xf numFmtId="0" fontId="17" fillId="0" borderId="0" xfId="15" applyFont="1" applyFill="1"/>
    <xf numFmtId="0" fontId="23" fillId="0" borderId="0" xfId="15" applyFont="1" applyFill="1"/>
    <xf numFmtId="9" fontId="14" fillId="0" borderId="0" xfId="14" applyFont="1" applyBorder="1"/>
    <xf numFmtId="44" fontId="14" fillId="0" borderId="0" xfId="13" applyFont="1" applyBorder="1" applyAlignment="1">
      <alignment horizontal="center"/>
    </xf>
    <xf numFmtId="0" fontId="28" fillId="0" borderId="0" xfId="15" applyFont="1" applyFill="1" applyAlignment="1">
      <alignment horizontal="right"/>
    </xf>
    <xf numFmtId="164" fontId="14" fillId="0" borderId="0" xfId="14" applyNumberFormat="1" applyFont="1" applyBorder="1"/>
    <xf numFmtId="2" fontId="14" fillId="0" borderId="0" xfId="4" applyNumberFormat="1" applyFont="1"/>
    <xf numFmtId="9" fontId="14" fillId="0" borderId="0" xfId="4" applyNumberFormat="1" applyFont="1"/>
    <xf numFmtId="43" fontId="14" fillId="3" borderId="0" xfId="4" applyNumberFormat="1" applyFont="1" applyFill="1"/>
    <xf numFmtId="0" fontId="17" fillId="0" borderId="0" xfId="15" applyFont="1" applyFill="1" applyAlignment="1" applyProtection="1">
      <alignment horizontal="left" indent="2"/>
      <protection locked="0"/>
    </xf>
    <xf numFmtId="164" fontId="14" fillId="0" borderId="0" xfId="15" applyNumberFormat="1" applyFont="1" applyFill="1" applyProtection="1">
      <protection locked="0"/>
    </xf>
    <xf numFmtId="164" fontId="14" fillId="6" borderId="0" xfId="15" applyNumberFormat="1" applyFont="1" applyFill="1" applyProtection="1">
      <protection locked="0"/>
    </xf>
    <xf numFmtId="0" fontId="16" fillId="5" borderId="8" xfId="4" applyFont="1" applyFill="1" applyBorder="1" applyAlignment="1">
      <alignment horizontal="left"/>
    </xf>
    <xf numFmtId="43" fontId="14" fillId="0" borderId="2" xfId="12" applyFont="1" applyBorder="1"/>
    <xf numFmtId="164" fontId="14" fillId="0" borderId="2" xfId="12" applyNumberFormat="1" applyFont="1" applyBorder="1"/>
    <xf numFmtId="0" fontId="29" fillId="7" borderId="0" xfId="15" applyFont="1"/>
    <xf numFmtId="0" fontId="16" fillId="0" borderId="0" xfId="15" applyFont="1" applyFill="1" applyAlignment="1" applyProtection="1">
      <alignment horizontal="left"/>
      <protection locked="0"/>
    </xf>
    <xf numFmtId="0" fontId="28" fillId="0" borderId="0" xfId="15" applyFont="1" applyFill="1" applyAlignment="1">
      <alignment horizontal="center"/>
    </xf>
    <xf numFmtId="164" fontId="14" fillId="0" borderId="0" xfId="11" applyNumberFormat="1" applyFont="1" applyProtection="1">
      <protection locked="0"/>
    </xf>
    <xf numFmtId="167" fontId="14" fillId="0" borderId="0" xfId="5" applyNumberFormat="1" applyFont="1"/>
    <xf numFmtId="44" fontId="14" fillId="0" borderId="0" xfId="15" applyNumberFormat="1" applyFont="1" applyFill="1"/>
    <xf numFmtId="164" fontId="14" fillId="0" borderId="0" xfId="2" applyNumberFormat="1" applyFont="1" applyAlignment="1">
      <alignment horizontal="left"/>
    </xf>
    <xf numFmtId="0" fontId="14" fillId="6" borderId="0" xfId="15" applyFont="1" applyFill="1" applyAlignment="1" applyProtection="1">
      <alignment horizontal="center"/>
      <protection locked="0"/>
    </xf>
    <xf numFmtId="164" fontId="14" fillId="0" borderId="2" xfId="15" applyNumberFormat="1" applyFont="1" applyFill="1" applyBorder="1"/>
    <xf numFmtId="43" fontId="14" fillId="0" borderId="0" xfId="12" applyFont="1" applyFill="1" applyProtection="1">
      <protection locked="0"/>
    </xf>
    <xf numFmtId="164" fontId="14" fillId="0" borderId="0" xfId="2" applyNumberFormat="1" applyFont="1" applyFill="1" applyBorder="1"/>
    <xf numFmtId="164" fontId="14" fillId="0" borderId="0" xfId="2" applyNumberFormat="1" applyFont="1" applyFill="1" applyBorder="1" applyProtection="1">
      <protection locked="0"/>
    </xf>
    <xf numFmtId="164" fontId="14" fillId="0" borderId="0" xfId="2" applyNumberFormat="1" applyFont="1" applyBorder="1" applyProtection="1">
      <protection locked="0"/>
    </xf>
    <xf numFmtId="0" fontId="14" fillId="0" borderId="6" xfId="15" applyFont="1" applyFill="1" applyBorder="1" applyAlignment="1" applyProtection="1">
      <alignment horizontal="left" indent="2"/>
      <protection locked="0"/>
    </xf>
    <xf numFmtId="0" fontId="16" fillId="0" borderId="2" xfId="4" applyFont="1" applyBorder="1"/>
    <xf numFmtId="0" fontId="16" fillId="0" borderId="0" xfId="4" applyFont="1" applyAlignment="1">
      <alignment horizontal="left"/>
    </xf>
    <xf numFmtId="1" fontId="16" fillId="0" borderId="0" xfId="4" applyNumberFormat="1" applyFont="1"/>
    <xf numFmtId="0" fontId="14" fillId="0" borderId="6" xfId="15" applyFont="1" applyFill="1" applyBorder="1" applyProtection="1">
      <protection locked="0"/>
    </xf>
    <xf numFmtId="0" fontId="14" fillId="0" borderId="6" xfId="15" applyFont="1" applyFill="1" applyBorder="1" applyAlignment="1" applyProtection="1">
      <alignment horizontal="center"/>
      <protection locked="0"/>
    </xf>
    <xf numFmtId="43" fontId="14" fillId="0" borderId="6" xfId="12" applyFont="1" applyBorder="1" applyAlignment="1" applyProtection="1">
      <alignment horizontal="right"/>
      <protection locked="0"/>
    </xf>
    <xf numFmtId="0" fontId="14" fillId="0" borderId="6" xfId="15" applyFont="1" applyFill="1" applyBorder="1"/>
    <xf numFmtId="0" fontId="14" fillId="0" borderId="0" xfId="4" applyFont="1" applyAlignment="1">
      <alignment horizontal="right" indent="1"/>
    </xf>
    <xf numFmtId="0" fontId="14" fillId="6" borderId="0" xfId="4" applyFont="1" applyFill="1"/>
    <xf numFmtId="164" fontId="14" fillId="7" borderId="2" xfId="15" applyNumberFormat="1" applyFont="1" applyBorder="1"/>
    <xf numFmtId="43" fontId="14" fillId="0" borderId="0" xfId="15" applyNumberFormat="1" applyFont="1" applyFill="1" applyAlignment="1">
      <alignment horizontal="center"/>
    </xf>
    <xf numFmtId="43" fontId="14" fillId="0" borderId="0" xfId="12" applyFont="1" applyAlignment="1">
      <alignment horizontal="center"/>
    </xf>
    <xf numFmtId="10" fontId="14" fillId="0" borderId="0" xfId="11" applyNumberFormat="1" applyFont="1" applyFill="1"/>
    <xf numFmtId="164" fontId="14" fillId="3" borderId="0" xfId="15" applyNumberFormat="1" applyFont="1" applyFill="1"/>
    <xf numFmtId="164" fontId="14" fillId="0" borderId="0" xfId="12" applyNumberFormat="1" applyFont="1" applyFill="1" applyProtection="1">
      <protection locked="0"/>
    </xf>
    <xf numFmtId="164" fontId="14" fillId="0" borderId="15" xfId="12" applyNumberFormat="1" applyFont="1" applyBorder="1"/>
    <xf numFmtId="164" fontId="14" fillId="0" borderId="0" xfId="11" applyNumberFormat="1" applyFont="1" applyFill="1"/>
    <xf numFmtId="167" fontId="14" fillId="0" borderId="0" xfId="5" applyNumberFormat="1" applyFont="1" applyFill="1" applyBorder="1"/>
    <xf numFmtId="0" fontId="4" fillId="4" borderId="0" xfId="4" applyFont="1" applyFill="1"/>
    <xf numFmtId="0" fontId="31" fillId="2" borderId="14" xfId="4" applyFont="1" applyFill="1" applyBorder="1" applyAlignment="1">
      <alignment horizontal="centerContinuous"/>
    </xf>
    <xf numFmtId="0" fontId="12" fillId="2" borderId="11" xfId="4" applyFont="1" applyFill="1" applyBorder="1" applyAlignment="1">
      <alignment horizontal="centerContinuous"/>
    </xf>
    <xf numFmtId="164" fontId="12" fillId="2" borderId="11" xfId="2" applyNumberFormat="1" applyFont="1" applyFill="1" applyBorder="1" applyAlignment="1">
      <alignment horizontal="centerContinuous"/>
    </xf>
    <xf numFmtId="0" fontId="12" fillId="2" borderId="13" xfId="4" applyFont="1" applyFill="1" applyBorder="1" applyAlignment="1">
      <alignment horizontal="centerContinuous"/>
    </xf>
    <xf numFmtId="0" fontId="12" fillId="0" borderId="0" xfId="4" applyFont="1"/>
    <xf numFmtId="164" fontId="4" fillId="0" borderId="0" xfId="2" applyNumberFormat="1" applyFont="1"/>
    <xf numFmtId="0" fontId="4" fillId="0" borderId="0" xfId="4" applyFont="1" applyAlignment="1" applyProtection="1">
      <alignment horizontal="left"/>
      <protection locked="0"/>
    </xf>
    <xf numFmtId="0" fontId="9" fillId="0" borderId="0" xfId="4" applyFont="1" applyAlignment="1" applyProtection="1">
      <alignment horizontal="left"/>
      <protection locked="0"/>
    </xf>
    <xf numFmtId="0" fontId="4" fillId="0" borderId="0" xfId="4" applyFont="1" applyProtection="1">
      <protection locked="0"/>
    </xf>
    <xf numFmtId="0" fontId="4" fillId="0" borderId="0" xfId="4" applyFont="1" applyAlignment="1">
      <alignment horizontal="right"/>
    </xf>
    <xf numFmtId="0" fontId="4" fillId="0" borderId="17" xfId="4" applyFont="1" applyBorder="1" applyAlignment="1">
      <alignment horizontal="left"/>
    </xf>
    <xf numFmtId="0" fontId="4" fillId="0" borderId="17" xfId="4" applyFont="1" applyBorder="1"/>
    <xf numFmtId="0" fontId="9" fillId="0" borderId="0" xfId="4" applyFont="1" applyProtection="1">
      <protection locked="0"/>
    </xf>
    <xf numFmtId="165" fontId="4" fillId="4" borderId="0" xfId="12" applyNumberFormat="1" applyFont="1" applyFill="1" applyAlignment="1">
      <alignment horizontal="center"/>
    </xf>
    <xf numFmtId="165" fontId="4" fillId="0" borderId="0" xfId="12" applyNumberFormat="1" applyFont="1" applyAlignment="1">
      <alignment horizontal="center"/>
    </xf>
    <xf numFmtId="165" fontId="4" fillId="0" borderId="0" xfId="12" quotePrefix="1" applyNumberFormat="1" applyFont="1" applyAlignment="1" applyProtection="1">
      <alignment horizontal="center"/>
      <protection locked="0"/>
    </xf>
    <xf numFmtId="165" fontId="4" fillId="0" borderId="0" xfId="12" applyNumberFormat="1" applyFont="1" applyAlignment="1" applyProtection="1">
      <alignment horizontal="center"/>
      <protection locked="0"/>
    </xf>
    <xf numFmtId="165" fontId="4" fillId="0" borderId="0" xfId="12" quotePrefix="1" applyNumberFormat="1" applyFont="1" applyFill="1" applyAlignment="1" applyProtection="1">
      <alignment horizontal="center"/>
      <protection locked="0"/>
    </xf>
    <xf numFmtId="165" fontId="4" fillId="0" borderId="0" xfId="12" quotePrefix="1" applyNumberFormat="1" applyFont="1" applyBorder="1" applyAlignment="1" applyProtection="1">
      <alignment horizontal="center"/>
      <protection locked="0"/>
    </xf>
    <xf numFmtId="165" fontId="4" fillId="0" borderId="6" xfId="12" quotePrefix="1" applyNumberFormat="1" applyFont="1" applyBorder="1" applyAlignment="1" applyProtection="1">
      <alignment horizontal="centerContinuous"/>
      <protection locked="0"/>
    </xf>
    <xf numFmtId="165" fontId="4" fillId="0" borderId="0" xfId="12" quotePrefix="1" applyNumberFormat="1" applyFont="1" applyBorder="1" applyAlignment="1" applyProtection="1">
      <alignment horizontal="centerContinuous"/>
      <protection locked="0"/>
    </xf>
    <xf numFmtId="165" fontId="4" fillId="0" borderId="6" xfId="12" applyNumberFormat="1" applyFont="1" applyBorder="1" applyAlignment="1" applyProtection="1">
      <alignment horizontal="centerContinuous"/>
      <protection locked="0"/>
    </xf>
    <xf numFmtId="165" fontId="4" fillId="0" borderId="6" xfId="12" quotePrefix="1" applyNumberFormat="1" applyFont="1" applyFill="1" applyBorder="1" applyAlignment="1" applyProtection="1">
      <alignment horizontal="centerContinuous"/>
      <protection locked="0"/>
    </xf>
    <xf numFmtId="165" fontId="4" fillId="0" borderId="0" xfId="12" applyNumberFormat="1" applyFont="1" applyBorder="1" applyAlignment="1">
      <alignment horizontal="center"/>
    </xf>
    <xf numFmtId="0" fontId="4" fillId="4" borderId="0" xfId="4" applyFont="1" applyFill="1" applyAlignment="1">
      <alignment horizontal="center"/>
    </xf>
    <xf numFmtId="0" fontId="4" fillId="0" borderId="0" xfId="4" applyFont="1" applyAlignment="1">
      <alignment horizontal="center"/>
    </xf>
    <xf numFmtId="0" fontId="4" fillId="0" borderId="0" xfId="4" quotePrefix="1" applyFont="1" applyAlignment="1" applyProtection="1">
      <alignment horizontal="center"/>
      <protection locked="0"/>
    </xf>
    <xf numFmtId="0" fontId="4" fillId="0" borderId="0" xfId="4" applyFont="1" applyAlignment="1" applyProtection="1">
      <alignment horizontal="center"/>
      <protection locked="0"/>
    </xf>
    <xf numFmtId="0" fontId="4" fillId="0" borderId="0" xfId="4" quotePrefix="1" applyFont="1" applyAlignment="1" applyProtection="1">
      <alignment horizontal="centerContinuous"/>
      <protection locked="0"/>
    </xf>
    <xf numFmtId="6" fontId="4" fillId="0" borderId="0" xfId="4" quotePrefix="1" applyNumberFormat="1" applyFont="1" applyAlignment="1" applyProtection="1">
      <alignment horizontal="center"/>
      <protection locked="0"/>
    </xf>
    <xf numFmtId="0" fontId="4" fillId="0" borderId="17" xfId="4" applyFont="1" applyBorder="1" applyAlignment="1">
      <alignment horizontal="center"/>
    </xf>
    <xf numFmtId="0" fontId="4" fillId="0" borderId="17" xfId="4" quotePrefix="1" applyFont="1" applyBorder="1" applyAlignment="1" applyProtection="1">
      <alignment horizontal="center"/>
      <protection locked="0"/>
    </xf>
    <xf numFmtId="0" fontId="4" fillId="0" borderId="17" xfId="4" applyFont="1" applyBorder="1" applyAlignment="1" applyProtection="1">
      <alignment horizontal="center"/>
      <protection locked="0"/>
    </xf>
    <xf numFmtId="0" fontId="4" fillId="0" borderId="0" xfId="4" applyFont="1" applyAlignment="1">
      <alignment horizontal="left" indent="1"/>
    </xf>
    <xf numFmtId="43" fontId="4" fillId="0" borderId="0" xfId="4" quotePrefix="1" applyNumberFormat="1" applyFont="1" applyAlignment="1" applyProtection="1">
      <alignment horizontal="center"/>
      <protection locked="0"/>
    </xf>
    <xf numFmtId="164" fontId="4" fillId="0" borderId="0" xfId="12" quotePrefix="1" applyNumberFormat="1" applyFont="1" applyFill="1" applyAlignment="1" applyProtection="1">
      <alignment horizontal="center"/>
      <protection locked="0"/>
    </xf>
    <xf numFmtId="164" fontId="4" fillId="0" borderId="0" xfId="4" quotePrefix="1" applyNumberFormat="1" applyFont="1" applyAlignment="1" applyProtection="1">
      <alignment horizontal="center"/>
      <protection locked="0"/>
    </xf>
    <xf numFmtId="0" fontId="4" fillId="0" borderId="0" xfId="4" applyFont="1" applyAlignment="1" applyProtection="1">
      <alignment horizontal="left" indent="1"/>
      <protection locked="0"/>
    </xf>
    <xf numFmtId="41" fontId="4" fillId="0" borderId="0" xfId="4" applyNumberFormat="1" applyFont="1" applyProtection="1">
      <protection locked="0"/>
    </xf>
    <xf numFmtId="164" fontId="4" fillId="0" borderId="2" xfId="12" quotePrefix="1" applyNumberFormat="1" applyFont="1" applyBorder="1" applyAlignment="1" applyProtection="1">
      <alignment horizontal="center"/>
      <protection locked="0"/>
    </xf>
    <xf numFmtId="43" fontId="4" fillId="0" borderId="2" xfId="12" quotePrefix="1" applyFont="1" applyBorder="1" applyAlignment="1" applyProtection="1">
      <alignment horizontal="center"/>
      <protection locked="0"/>
    </xf>
    <xf numFmtId="164" fontId="4" fillId="0" borderId="2" xfId="4" applyNumberFormat="1" applyFont="1" applyBorder="1" applyProtection="1">
      <protection locked="0"/>
    </xf>
    <xf numFmtId="164" fontId="4" fillId="0" borderId="0" xfId="12" quotePrefix="1" applyNumberFormat="1" applyFont="1" applyBorder="1" applyAlignment="1" applyProtection="1">
      <alignment horizontal="center"/>
      <protection locked="0"/>
    </xf>
    <xf numFmtId="164" fontId="4" fillId="0" borderId="0" xfId="12" quotePrefix="1" applyNumberFormat="1" applyFont="1" applyFill="1" applyBorder="1" applyAlignment="1" applyProtection="1">
      <alignment horizontal="center"/>
      <protection locked="0"/>
    </xf>
    <xf numFmtId="164" fontId="4" fillId="0" borderId="15" xfId="4" quotePrefix="1" applyNumberFormat="1" applyFont="1" applyBorder="1" applyAlignment="1" applyProtection="1">
      <alignment horizontal="center"/>
      <protection locked="0"/>
    </xf>
    <xf numFmtId="0" fontId="4" fillId="0" borderId="2" xfId="4" applyFont="1" applyBorder="1"/>
    <xf numFmtId="0" fontId="4" fillId="0" borderId="2" xfId="4" applyFont="1" applyBorder="1" applyAlignment="1">
      <alignment horizontal="left"/>
    </xf>
    <xf numFmtId="0" fontId="9" fillId="0" borderId="2" xfId="4" applyFont="1" applyBorder="1" applyProtection="1">
      <protection locked="0"/>
    </xf>
    <xf numFmtId="164" fontId="4" fillId="0" borderId="0" xfId="12" applyNumberFormat="1" applyFont="1"/>
    <xf numFmtId="37" fontId="11" fillId="4" borderId="0" xfId="3" applyFont="1" applyFill="1" applyAlignment="1">
      <alignment vertical="center"/>
    </xf>
    <xf numFmtId="37" fontId="11" fillId="2" borderId="0" xfId="3" applyFont="1" applyFill="1" applyAlignment="1">
      <alignment horizontal="centerContinuous" vertical="center"/>
    </xf>
    <xf numFmtId="37" fontId="4" fillId="4" borderId="0" xfId="3" applyFont="1" applyFill="1" applyAlignment="1">
      <alignment vertical="center"/>
    </xf>
    <xf numFmtId="37" fontId="4" fillId="0" borderId="0" xfId="3" applyFont="1" applyAlignment="1">
      <alignment horizontal="left" vertical="center"/>
    </xf>
    <xf numFmtId="37" fontId="4" fillId="0" borderId="0" xfId="3" applyFont="1" applyAlignment="1" applyProtection="1">
      <alignment horizontal="left" vertical="center"/>
      <protection locked="0"/>
    </xf>
    <xf numFmtId="37" fontId="4" fillId="0" borderId="0" xfId="3" applyFont="1" applyAlignment="1">
      <alignment vertical="center"/>
    </xf>
    <xf numFmtId="37" fontId="4" fillId="0" borderId="0" xfId="3" applyFont="1" applyAlignment="1" applyProtection="1">
      <alignment vertical="center"/>
      <protection locked="0"/>
    </xf>
    <xf numFmtId="37" fontId="4" fillId="0" borderId="0" xfId="3" applyFont="1" applyAlignment="1">
      <alignment horizontal="right" vertical="center"/>
    </xf>
    <xf numFmtId="22" fontId="4" fillId="0" borderId="6" xfId="3" applyNumberFormat="1" applyFont="1" applyBorder="1" applyAlignment="1">
      <alignment horizontal="left" vertical="center"/>
    </xf>
    <xf numFmtId="37" fontId="4" fillId="0" borderId="6" xfId="3" applyFont="1" applyBorder="1" applyAlignment="1">
      <alignment horizontal="left" vertical="center"/>
    </xf>
    <xf numFmtId="37" fontId="4" fillId="0" borderId="6" xfId="3" applyFont="1" applyBorder="1" applyAlignment="1">
      <alignment vertical="center"/>
    </xf>
    <xf numFmtId="37" fontId="4" fillId="0" borderId="6" xfId="3" applyFont="1" applyBorder="1" applyAlignment="1" applyProtection="1">
      <alignment vertical="center"/>
      <protection locked="0"/>
    </xf>
    <xf numFmtId="165" fontId="4" fillId="0" borderId="0" xfId="3" applyNumberFormat="1" applyFont="1" applyAlignment="1" applyProtection="1">
      <alignment horizontal="center" vertical="center"/>
      <protection locked="0"/>
    </xf>
    <xf numFmtId="37" fontId="4" fillId="0" borderId="0" xfId="3" applyFont="1" applyAlignment="1" applyProtection="1">
      <alignment horizontal="center" vertical="center"/>
      <protection locked="0"/>
    </xf>
    <xf numFmtId="37" fontId="4" fillId="0" borderId="0" xfId="3" applyFont="1" applyAlignment="1" applyProtection="1">
      <alignment horizontal="centerContinuous" vertical="center"/>
      <protection locked="0"/>
    </xf>
    <xf numFmtId="37" fontId="6" fillId="0" borderId="6" xfId="3" applyFont="1" applyBorder="1" applyAlignment="1" applyProtection="1">
      <alignment horizontal="centerContinuous" vertical="center"/>
      <protection locked="0"/>
    </xf>
    <xf numFmtId="37" fontId="4" fillId="0" borderId="6" xfId="3" quotePrefix="1" applyFont="1" applyBorder="1" applyAlignment="1" applyProtection="1">
      <alignment horizontal="centerContinuous" vertical="center"/>
      <protection locked="0"/>
    </xf>
    <xf numFmtId="37" fontId="4" fillId="0" borderId="6" xfId="3" applyFont="1" applyBorder="1" applyAlignment="1" applyProtection="1">
      <alignment horizontal="centerContinuous" vertical="center"/>
      <protection locked="0"/>
    </xf>
    <xf numFmtId="37" fontId="4" fillId="0" borderId="0" xfId="3" quotePrefix="1" applyFont="1" applyAlignment="1" applyProtection="1">
      <alignment horizontal="center" vertical="center"/>
      <protection locked="0"/>
    </xf>
    <xf numFmtId="37" fontId="4" fillId="0" borderId="0" xfId="3" applyFont="1" applyAlignment="1">
      <alignment horizontal="center" vertical="center"/>
    </xf>
    <xf numFmtId="37" fontId="4" fillId="0" borderId="6" xfId="3" applyFont="1" applyBorder="1" applyAlignment="1">
      <alignment horizontal="center" vertical="center"/>
    </xf>
    <xf numFmtId="37" fontId="32" fillId="0" borderId="6" xfId="3" applyFont="1" applyBorder="1" applyAlignment="1">
      <alignment horizontal="center" vertical="center"/>
    </xf>
    <xf numFmtId="37" fontId="4" fillId="0" borderId="6" xfId="3" applyFont="1" applyBorder="1" applyAlignment="1" applyProtection="1">
      <alignment horizontal="center" vertical="center"/>
      <protection locked="0"/>
    </xf>
    <xf numFmtId="37" fontId="4" fillId="0" borderId="6" xfId="3" quotePrefix="1" applyFont="1" applyBorder="1" applyAlignment="1" applyProtection="1">
      <alignment horizontal="center" vertical="center"/>
      <protection locked="0"/>
    </xf>
    <xf numFmtId="37" fontId="32" fillId="0" borderId="0" xfId="3" applyFont="1" applyAlignment="1">
      <alignment horizontal="center" vertical="center"/>
    </xf>
    <xf numFmtId="37" fontId="32" fillId="0" borderId="0" xfId="3" applyFont="1" applyAlignment="1" applyProtection="1">
      <alignment horizontal="center" vertical="center"/>
      <protection locked="0"/>
    </xf>
    <xf numFmtId="173" fontId="4" fillId="4" borderId="0" xfId="11" applyNumberFormat="1" applyFont="1" applyFill="1" applyBorder="1" applyAlignment="1">
      <alignment vertical="center"/>
    </xf>
    <xf numFmtId="164" fontId="4" fillId="0" borderId="0" xfId="12" applyNumberFormat="1" applyFont="1" applyFill="1" applyAlignment="1" applyProtection="1">
      <alignment vertical="center"/>
      <protection locked="0"/>
    </xf>
    <xf numFmtId="164" fontId="4" fillId="0" borderId="0" xfId="12" applyNumberFormat="1" applyFont="1" applyAlignment="1" applyProtection="1">
      <alignment vertical="center"/>
      <protection locked="0"/>
    </xf>
    <xf numFmtId="10" fontId="4" fillId="0" borderId="0" xfId="11" applyNumberFormat="1" applyFont="1" applyAlignment="1" applyProtection="1">
      <alignment vertical="center"/>
      <protection locked="0"/>
    </xf>
    <xf numFmtId="10" fontId="4" fillId="0" borderId="0" xfId="3" applyNumberFormat="1" applyFont="1" applyAlignment="1">
      <alignment vertical="center"/>
    </xf>
    <xf numFmtId="167" fontId="4" fillId="0" borderId="0" xfId="3" applyNumberFormat="1" applyFont="1" applyAlignment="1">
      <alignment vertical="center"/>
    </xf>
    <xf numFmtId="164" fontId="4" fillId="0" borderId="0" xfId="2" applyNumberFormat="1" applyFont="1" applyFill="1" applyBorder="1" applyAlignment="1" applyProtection="1">
      <alignment vertical="center"/>
      <protection locked="0"/>
    </xf>
    <xf numFmtId="167" fontId="4" fillId="0" borderId="0" xfId="3" applyNumberFormat="1" applyFont="1" applyAlignment="1" applyProtection="1">
      <alignment vertical="center"/>
      <protection locked="0"/>
    </xf>
    <xf numFmtId="164" fontId="4" fillId="0" borderId="0" xfId="2" applyNumberFormat="1" applyFont="1" applyAlignment="1" applyProtection="1">
      <alignment vertical="center"/>
      <protection locked="0"/>
    </xf>
    <xf numFmtId="10" fontId="4" fillId="0" borderId="0" xfId="11" applyNumberFormat="1" applyFont="1" applyFill="1" applyBorder="1" applyAlignment="1">
      <alignment vertical="center"/>
    </xf>
    <xf numFmtId="164" fontId="4" fillId="0" borderId="0" xfId="3" applyNumberFormat="1" applyFont="1" applyAlignment="1">
      <alignment vertical="center"/>
    </xf>
    <xf numFmtId="164" fontId="4" fillId="0" borderId="0" xfId="2" applyNumberFormat="1" applyFont="1" applyBorder="1" applyAlignment="1" applyProtection="1">
      <alignment vertical="center"/>
      <protection locked="0"/>
    </xf>
    <xf numFmtId="10" fontId="4" fillId="0" borderId="0" xfId="11" applyNumberFormat="1" applyFont="1" applyBorder="1" applyAlignment="1" applyProtection="1">
      <alignment vertical="center"/>
      <protection locked="0"/>
    </xf>
    <xf numFmtId="164" fontId="12" fillId="0" borderId="6" xfId="2" applyNumberFormat="1" applyFont="1" applyFill="1" applyBorder="1" applyAlignment="1">
      <alignment vertical="center"/>
    </xf>
    <xf numFmtId="164" fontId="4" fillId="0" borderId="6" xfId="2" applyNumberFormat="1" applyFont="1" applyFill="1" applyBorder="1" applyAlignment="1" applyProtection="1">
      <alignment vertical="center"/>
      <protection locked="0"/>
    </xf>
    <xf numFmtId="164" fontId="12" fillId="0" borderId="6" xfId="12" applyNumberFormat="1" applyFont="1" applyFill="1" applyBorder="1" applyAlignment="1" applyProtection="1">
      <alignment vertical="center"/>
      <protection locked="0"/>
    </xf>
    <xf numFmtId="10" fontId="4" fillId="0" borderId="6" xfId="11" applyNumberFormat="1" applyFont="1" applyFill="1" applyBorder="1" applyAlignment="1" applyProtection="1">
      <alignment vertical="center"/>
      <protection locked="0"/>
    </xf>
    <xf numFmtId="167" fontId="4" fillId="0" borderId="18" xfId="3" applyNumberFormat="1" applyFont="1" applyBorder="1" applyAlignment="1" applyProtection="1">
      <alignment vertical="center"/>
      <protection locked="0"/>
    </xf>
    <xf numFmtId="10" fontId="4" fillId="0" borderId="18" xfId="11" applyNumberFormat="1" applyFont="1" applyBorder="1" applyAlignment="1" applyProtection="1">
      <alignment vertical="center"/>
      <protection locked="0"/>
    </xf>
    <xf numFmtId="164" fontId="4" fillId="0" borderId="0" xfId="3" applyNumberFormat="1" applyFont="1" applyAlignment="1" applyProtection="1">
      <alignment vertical="center"/>
      <protection locked="0"/>
    </xf>
    <xf numFmtId="43" fontId="4" fillId="0" borderId="0" xfId="2" applyFont="1" applyBorder="1" applyAlignment="1" applyProtection="1">
      <alignment vertical="center"/>
      <protection locked="0"/>
    </xf>
    <xf numFmtId="167" fontId="4" fillId="0" borderId="0" xfId="5" applyNumberFormat="1" applyFont="1" applyBorder="1" applyAlignment="1" applyProtection="1">
      <alignment vertical="center"/>
      <protection locked="0"/>
    </xf>
    <xf numFmtId="43" fontId="4" fillId="0" borderId="0" xfId="2" applyFont="1" applyFill="1" applyBorder="1" applyAlignment="1" applyProtection="1">
      <alignment vertical="center"/>
      <protection locked="0"/>
    </xf>
    <xf numFmtId="44" fontId="4" fillId="0" borderId="0" xfId="5" applyFont="1" applyBorder="1" applyAlignment="1" applyProtection="1">
      <alignment vertical="center"/>
      <protection locked="0"/>
    </xf>
    <xf numFmtId="37" fontId="4" fillId="0" borderId="2" xfId="3" applyFont="1" applyBorder="1" applyAlignment="1">
      <alignment horizontal="left" vertical="center"/>
    </xf>
    <xf numFmtId="43" fontId="4" fillId="0" borderId="2" xfId="2" applyFont="1" applyBorder="1" applyAlignment="1">
      <alignment vertical="center"/>
    </xf>
    <xf numFmtId="37" fontId="4" fillId="0" borderId="2" xfId="3" applyFont="1" applyBorder="1" applyAlignment="1">
      <alignment vertical="center"/>
    </xf>
    <xf numFmtId="43" fontId="4" fillId="0" borderId="2" xfId="2" applyFont="1" applyFill="1" applyBorder="1" applyAlignment="1">
      <alignment vertical="center"/>
    </xf>
    <xf numFmtId="44" fontId="4" fillId="0" borderId="2" xfId="5" applyFont="1" applyBorder="1" applyAlignment="1">
      <alignment vertical="center"/>
    </xf>
    <xf numFmtId="167" fontId="4" fillId="0" borderId="2" xfId="5" applyNumberFormat="1" applyFont="1" applyBorder="1" applyAlignment="1">
      <alignment vertical="center"/>
    </xf>
    <xf numFmtId="164" fontId="4" fillId="0" borderId="0" xfId="2" applyNumberFormat="1" applyFont="1" applyAlignment="1">
      <alignment vertical="center"/>
    </xf>
    <xf numFmtId="44" fontId="4" fillId="0" borderId="0" xfId="5" applyFont="1" applyAlignment="1" applyProtection="1">
      <alignment vertical="center"/>
      <protection locked="0"/>
    </xf>
    <xf numFmtId="43" fontId="4" fillId="0" borderId="0" xfId="2" applyFont="1" applyAlignment="1">
      <alignment vertical="center"/>
    </xf>
    <xf numFmtId="167" fontId="4" fillId="0" borderId="0" xfId="5" applyNumberFormat="1" applyFont="1" applyAlignment="1" applyProtection="1">
      <alignment vertical="center"/>
      <protection locked="0"/>
    </xf>
    <xf numFmtId="165" fontId="11" fillId="2" borderId="0" xfId="3" applyNumberFormat="1" applyFont="1" applyFill="1" applyAlignment="1">
      <alignment horizontal="centerContinuous" vertical="center"/>
    </xf>
    <xf numFmtId="0" fontId="4" fillId="0" borderId="0" xfId="17" applyFont="1" applyAlignment="1">
      <alignment horizontal="left" vertical="center"/>
    </xf>
    <xf numFmtId="0" fontId="4" fillId="0" borderId="0" xfId="17" applyFont="1" applyAlignment="1" applyProtection="1">
      <alignment horizontal="left" vertical="center"/>
      <protection locked="0"/>
    </xf>
    <xf numFmtId="0" fontId="4" fillId="0" borderId="0" xfId="17" applyFont="1" applyAlignment="1">
      <alignment vertical="center"/>
    </xf>
    <xf numFmtId="0" fontId="4" fillId="0" borderId="0" xfId="17" applyFont="1" applyAlignment="1" applyProtection="1">
      <alignment vertical="center"/>
      <protection locked="0"/>
    </xf>
    <xf numFmtId="164" fontId="4" fillId="0" borderId="0" xfId="2" applyNumberFormat="1" applyFont="1" applyFill="1" applyAlignment="1" applyProtection="1">
      <alignment horizontal="left" vertical="center"/>
      <protection locked="0"/>
    </xf>
    <xf numFmtId="0" fontId="4" fillId="0" borderId="0" xfId="17" applyFont="1" applyAlignment="1">
      <alignment horizontal="right" vertical="center"/>
    </xf>
    <xf numFmtId="0" fontId="4" fillId="0" borderId="6" xfId="17" applyFont="1" applyBorder="1" applyAlignment="1">
      <alignment horizontal="left" vertical="center"/>
    </xf>
    <xf numFmtId="0" fontId="4" fillId="0" borderId="6" xfId="17" applyFont="1" applyBorder="1" applyAlignment="1">
      <alignment vertical="center"/>
    </xf>
    <xf numFmtId="164" fontId="4" fillId="0" borderId="6" xfId="2" applyNumberFormat="1" applyFont="1" applyFill="1" applyBorder="1" applyAlignment="1">
      <alignment vertical="center"/>
    </xf>
    <xf numFmtId="0" fontId="4" fillId="0" borderId="0" xfId="2" applyNumberFormat="1" applyFont="1" applyFill="1" applyAlignment="1" applyProtection="1">
      <alignment vertical="center"/>
      <protection locked="0"/>
    </xf>
    <xf numFmtId="0" fontId="4" fillId="0" borderId="0" xfId="2" applyNumberFormat="1" applyFont="1" applyFill="1" applyAlignment="1" applyProtection="1">
      <alignment vertical="center"/>
    </xf>
    <xf numFmtId="0" fontId="4" fillId="0" borderId="0" xfId="2" applyNumberFormat="1" applyFont="1" applyFill="1" applyBorder="1" applyAlignment="1">
      <alignment vertical="center"/>
    </xf>
    <xf numFmtId="0" fontId="4" fillId="0" borderId="0" xfId="18" applyFont="1" applyFill="1"/>
    <xf numFmtId="0" fontId="4" fillId="0" borderId="6" xfId="18" applyFont="1" applyFill="1" applyBorder="1"/>
    <xf numFmtId="0" fontId="4" fillId="0" borderId="2" xfId="18" applyFont="1" applyFill="1" applyBorder="1"/>
    <xf numFmtId="0" fontId="31" fillId="2" borderId="0" xfId="4" applyFont="1" applyFill="1" applyAlignment="1">
      <alignment horizontal="centerContinuous"/>
    </xf>
    <xf numFmtId="0" fontId="12" fillId="2" borderId="0" xfId="4" applyFont="1" applyFill="1" applyAlignment="1">
      <alignment horizontal="centerContinuous"/>
    </xf>
    <xf numFmtId="164" fontId="12" fillId="2" borderId="0" xfId="2" applyNumberFormat="1" applyFont="1" applyFill="1" applyAlignment="1">
      <alignment horizontal="centerContinuous"/>
    </xf>
    <xf numFmtId="0" fontId="4" fillId="4" borderId="0" xfId="7" applyFont="1" applyFill="1"/>
    <xf numFmtId="0" fontId="4" fillId="0" borderId="0" xfId="7" applyFont="1"/>
    <xf numFmtId="0" fontId="4" fillId="0" borderId="0" xfId="19" applyFont="1"/>
    <xf numFmtId="0" fontId="4" fillId="0" borderId="0" xfId="19" applyFont="1" applyAlignment="1">
      <alignment horizontal="center"/>
    </xf>
    <xf numFmtId="0" fontId="6" fillId="0" borderId="0" xfId="19" applyFont="1" applyAlignment="1">
      <alignment horizontal="right" vertical="center"/>
    </xf>
    <xf numFmtId="0" fontId="4" fillId="6" borderId="0" xfId="7" applyFont="1" applyFill="1"/>
    <xf numFmtId="10" fontId="4" fillId="0" borderId="0" xfId="11" applyNumberFormat="1" applyFont="1"/>
    <xf numFmtId="0" fontId="6" fillId="0" borderId="0" xfId="19" applyFont="1" applyAlignment="1">
      <alignment horizontal="right"/>
    </xf>
    <xf numFmtId="0" fontId="6" fillId="0" borderId="0" xfId="19" applyFont="1" applyAlignment="1">
      <alignment horizontal="centerContinuous" vertical="center"/>
    </xf>
    <xf numFmtId="0" fontId="4" fillId="0" borderId="0" xfId="19" applyFont="1" applyAlignment="1">
      <alignment horizontal="centerContinuous" vertical="center"/>
    </xf>
    <xf numFmtId="0" fontId="6" fillId="0" borderId="0" xfId="7" applyFont="1" applyAlignment="1">
      <alignment horizontal="right"/>
    </xf>
    <xf numFmtId="0" fontId="6" fillId="0" borderId="6" xfId="19" applyFont="1" applyBorder="1" applyAlignment="1">
      <alignment horizontal="centerContinuous"/>
    </xf>
    <xf numFmtId="0" fontId="4" fillId="0" borderId="6" xfId="19" applyFont="1" applyBorder="1" applyAlignment="1">
      <alignment horizontal="centerContinuous"/>
    </xf>
    <xf numFmtId="0" fontId="4" fillId="0" borderId="6" xfId="7" applyFont="1" applyBorder="1" applyAlignment="1">
      <alignment horizontal="centerContinuous"/>
    </xf>
    <xf numFmtId="0" fontId="4" fillId="0" borderId="0" xfId="19" applyFont="1" applyAlignment="1">
      <alignment horizontal="centerContinuous"/>
    </xf>
    <xf numFmtId="0" fontId="4" fillId="0" borderId="0" xfId="7" applyFont="1" applyAlignment="1">
      <alignment horizontal="center"/>
    </xf>
    <xf numFmtId="170" fontId="4" fillId="0" borderId="0" xfId="7" applyNumberFormat="1" applyFont="1" applyAlignment="1">
      <alignment horizontal="center"/>
    </xf>
    <xf numFmtId="0" fontId="4" fillId="6" borderId="0" xfId="7" applyFont="1" applyFill="1" applyAlignment="1">
      <alignment horizontal="center"/>
    </xf>
    <xf numFmtId="0" fontId="4" fillId="3" borderId="0" xfId="7" applyFont="1" applyFill="1"/>
    <xf numFmtId="0" fontId="4" fillId="0" borderId="6" xfId="7" applyFont="1" applyBorder="1"/>
    <xf numFmtId="0" fontId="4" fillId="0" borderId="6" xfId="7" applyFont="1" applyBorder="1" applyAlignment="1">
      <alignment horizontal="center"/>
    </xf>
    <xf numFmtId="0" fontId="4" fillId="6" borderId="6" xfId="7" applyFont="1" applyFill="1" applyBorder="1" applyAlignment="1">
      <alignment horizontal="center"/>
    </xf>
    <xf numFmtId="0" fontId="6" fillId="0" borderId="0" xfId="7" applyFont="1"/>
    <xf numFmtId="43" fontId="4" fillId="0" borderId="0" xfId="12" applyFont="1"/>
    <xf numFmtId="43" fontId="4" fillId="0" borderId="0" xfId="2" applyFont="1" applyAlignment="1">
      <alignment horizontal="center"/>
    </xf>
    <xf numFmtId="43" fontId="4" fillId="0" borderId="0" xfId="2" applyFont="1"/>
    <xf numFmtId="43" fontId="4" fillId="6" borderId="0" xfId="2" applyFont="1" applyFill="1"/>
    <xf numFmtId="0" fontId="4" fillId="3" borderId="0" xfId="7" applyFont="1" applyFill="1" applyAlignment="1">
      <alignment horizontal="left"/>
    </xf>
    <xf numFmtId="14" fontId="33" fillId="3" borderId="0" xfId="7" applyNumberFormat="1" applyFont="1" applyFill="1" applyAlignment="1">
      <alignment horizontal="left"/>
    </xf>
    <xf numFmtId="14" fontId="6" fillId="0" borderId="0" xfId="7" applyNumberFormat="1" applyFont="1"/>
    <xf numFmtId="0" fontId="4" fillId="0" borderId="0" xfId="7" applyFont="1" applyAlignment="1">
      <alignment horizontal="left" indent="1"/>
    </xf>
    <xf numFmtId="7" fontId="4" fillId="0" borderId="0" xfId="2" applyNumberFormat="1" applyFont="1"/>
    <xf numFmtId="171" fontId="4" fillId="0" borderId="0" xfId="2" applyNumberFormat="1" applyFont="1"/>
    <xf numFmtId="43" fontId="4" fillId="6" borderId="0" xfId="2" applyFont="1" applyFill="1" applyAlignment="1">
      <alignment horizontal="center"/>
    </xf>
    <xf numFmtId="0" fontId="4" fillId="0" borderId="0" xfId="7" applyFont="1" applyAlignment="1">
      <alignment horizontal="left"/>
    </xf>
    <xf numFmtId="171" fontId="4" fillId="6" borderId="0" xfId="2" applyNumberFormat="1" applyFont="1" applyFill="1"/>
    <xf numFmtId="171" fontId="4" fillId="0" borderId="0" xfId="2" applyNumberFormat="1" applyFont="1" applyAlignment="1">
      <alignment horizontal="center"/>
    </xf>
    <xf numFmtId="174" fontId="4" fillId="0" borderId="0" xfId="2" applyNumberFormat="1" applyFont="1"/>
    <xf numFmtId="10" fontId="4" fillId="0" borderId="0" xfId="2" applyNumberFormat="1" applyFont="1"/>
    <xf numFmtId="43" fontId="4" fillId="0" borderId="0" xfId="2" applyFont="1" applyFill="1"/>
    <xf numFmtId="43" fontId="4" fillId="0" borderId="0" xfId="12" applyFont="1" applyAlignment="1">
      <alignment horizontal="right"/>
    </xf>
    <xf numFmtId="43" fontId="4" fillId="0" borderId="0" xfId="12" applyFont="1" applyFill="1"/>
    <xf numFmtId="43" fontId="4" fillId="0" borderId="0" xfId="2" applyFont="1" applyFill="1" applyAlignment="1">
      <alignment horizontal="center"/>
    </xf>
    <xf numFmtId="164" fontId="4" fillId="0" borderId="0" xfId="12" applyNumberFormat="1" applyFont="1" applyFill="1"/>
    <xf numFmtId="0" fontId="4" fillId="0" borderId="0" xfId="20" applyFont="1"/>
    <xf numFmtId="0" fontId="7" fillId="0" borderId="0" xfId="20" applyFont="1"/>
    <xf numFmtId="0" fontId="4" fillId="0" borderId="0" xfId="20" applyFont="1" applyAlignment="1">
      <alignment horizontal="left" indent="1"/>
    </xf>
    <xf numFmtId="171" fontId="4" fillId="0" borderId="0" xfId="12" applyNumberFormat="1" applyFont="1"/>
    <xf numFmtId="0" fontId="4" fillId="6" borderId="0" xfId="7" applyFont="1" applyFill="1" applyProtection="1">
      <protection locked="0"/>
    </xf>
    <xf numFmtId="43" fontId="4" fillId="6" borderId="0" xfId="12" applyFont="1" applyFill="1"/>
    <xf numFmtId="0" fontId="4" fillId="0" borderId="0" xfId="7" applyFont="1" applyProtection="1">
      <protection locked="0"/>
    </xf>
    <xf numFmtId="174" fontId="4" fillId="0" borderId="0" xfId="14" applyNumberFormat="1" applyFont="1" applyAlignment="1">
      <alignment horizontal="right"/>
    </xf>
    <xf numFmtId="0" fontId="4" fillId="4" borderId="0" xfId="21" applyFont="1" applyFill="1" applyAlignment="1">
      <alignment vertical="center"/>
    </xf>
    <xf numFmtId="0" fontId="4" fillId="0" borderId="0" xfId="21" applyFont="1" applyAlignment="1">
      <alignment vertical="center"/>
    </xf>
    <xf numFmtId="0" fontId="11" fillId="0" borderId="0" xfId="21" applyFont="1" applyAlignment="1">
      <alignment horizontal="centerContinuous" vertical="center"/>
    </xf>
    <xf numFmtId="0" fontId="34" fillId="0" borderId="0" xfId="21" applyFont="1" applyAlignment="1">
      <alignment horizontal="centerContinuous" vertical="center"/>
    </xf>
    <xf numFmtId="0" fontId="34" fillId="0" borderId="0" xfId="21" applyFont="1" applyAlignment="1">
      <alignment vertical="center"/>
    </xf>
    <xf numFmtId="0" fontId="34" fillId="4" borderId="0" xfId="21" applyFont="1" applyFill="1" applyAlignment="1">
      <alignment vertical="center"/>
    </xf>
    <xf numFmtId="0" fontId="6" fillId="0" borderId="2" xfId="21" applyFont="1" applyBorder="1" applyAlignment="1">
      <alignment vertical="center"/>
    </xf>
    <xf numFmtId="37" fontId="6" fillId="0" borderId="2" xfId="21" applyNumberFormat="1" applyFont="1" applyBorder="1" applyAlignment="1">
      <alignment horizontal="centerContinuous" vertical="center"/>
    </xf>
    <xf numFmtId="37" fontId="6" fillId="0" borderId="2" xfId="21" applyNumberFormat="1" applyFont="1" applyBorder="1" applyAlignment="1">
      <alignment vertical="center"/>
    </xf>
    <xf numFmtId="37" fontId="6" fillId="0" borderId="2" xfId="21" applyNumberFormat="1" applyFont="1" applyBorder="1" applyAlignment="1">
      <alignment horizontal="center" vertical="center"/>
    </xf>
    <xf numFmtId="0" fontId="4" fillId="0" borderId="6" xfId="21" applyFont="1" applyBorder="1" applyAlignment="1">
      <alignment vertical="center"/>
    </xf>
    <xf numFmtId="0" fontId="6" fillId="0" borderId="6" xfId="21" applyFont="1" applyBorder="1" applyAlignment="1">
      <alignment horizontal="centerContinuous" vertical="center"/>
    </xf>
    <xf numFmtId="0" fontId="4" fillId="0" borderId="6" xfId="21" applyFont="1" applyBorder="1" applyAlignment="1">
      <alignment horizontal="centerContinuous" vertical="center"/>
    </xf>
    <xf numFmtId="0" fontId="6" fillId="0" borderId="6" xfId="21" applyFont="1" applyBorder="1" applyAlignment="1">
      <alignment horizontal="center" vertical="center"/>
    </xf>
    <xf numFmtId="0" fontId="6" fillId="0" borderId="0" xfId="21" applyFont="1" applyAlignment="1">
      <alignment horizontal="centerContinuous" vertical="center"/>
    </xf>
    <xf numFmtId="0" fontId="4" fillId="0" borderId="0" xfId="21" applyFont="1" applyAlignment="1">
      <alignment horizontal="centerContinuous" vertical="center"/>
    </xf>
    <xf numFmtId="0" fontId="4" fillId="0" borderId="0" xfId="21" applyFont="1" applyAlignment="1">
      <alignment horizontal="center" vertical="center"/>
    </xf>
    <xf numFmtId="0" fontId="7" fillId="0" borderId="0" xfId="21" applyFont="1" applyAlignment="1">
      <alignment vertical="center"/>
    </xf>
    <xf numFmtId="0" fontId="32" fillId="0" borderId="0" xfId="21" applyFont="1" applyAlignment="1">
      <alignment vertical="center"/>
    </xf>
    <xf numFmtId="7" fontId="4" fillId="0" borderId="0" xfId="21" applyNumberFormat="1" applyFont="1" applyAlignment="1">
      <alignment vertical="center"/>
    </xf>
    <xf numFmtId="0" fontId="4" fillId="0" borderId="0" xfId="5" applyNumberFormat="1" applyFont="1" applyAlignment="1">
      <alignment vertical="center"/>
    </xf>
    <xf numFmtId="7" fontId="4" fillId="0" borderId="2" xfId="5" applyNumberFormat="1" applyFont="1" applyBorder="1" applyAlignment="1">
      <alignment vertical="center"/>
    </xf>
    <xf numFmtId="44" fontId="4" fillId="0" borderId="0" xfId="21" applyNumberFormat="1" applyFont="1" applyAlignment="1">
      <alignment vertical="center"/>
    </xf>
    <xf numFmtId="0" fontId="4" fillId="0" borderId="0" xfId="21" applyFont="1" applyAlignment="1">
      <alignment horizontal="left" vertical="center"/>
    </xf>
    <xf numFmtId="5" fontId="4" fillId="0" borderId="0" xfId="5" applyNumberFormat="1" applyFont="1" applyAlignment="1">
      <alignment vertical="center"/>
    </xf>
    <xf numFmtId="164" fontId="12" fillId="0" borderId="0" xfId="2" applyNumberFormat="1" applyFont="1" applyAlignment="1">
      <alignment vertical="center"/>
    </xf>
    <xf numFmtId="10" fontId="4" fillId="0" borderId="0" xfId="21" applyNumberFormat="1" applyFont="1" applyAlignment="1">
      <alignment vertical="center"/>
    </xf>
    <xf numFmtId="44" fontId="4" fillId="0" borderId="0" xfId="5" applyFont="1" applyAlignment="1">
      <alignment vertical="center"/>
    </xf>
    <xf numFmtId="0" fontId="6" fillId="0" borderId="0" xfId="21" applyFont="1" applyAlignment="1">
      <alignment vertical="center"/>
    </xf>
    <xf numFmtId="7" fontId="6" fillId="0" borderId="15" xfId="5" applyNumberFormat="1" applyFont="1" applyBorder="1" applyAlignment="1">
      <alignment vertical="center"/>
    </xf>
    <xf numFmtId="10" fontId="4" fillId="0" borderId="0" xfId="14" applyNumberFormat="1" applyFont="1" applyAlignment="1">
      <alignment vertical="center"/>
    </xf>
    <xf numFmtId="171" fontId="4" fillId="0" borderId="0" xfId="12" applyNumberFormat="1" applyFont="1" applyAlignment="1">
      <alignment vertical="center"/>
    </xf>
    <xf numFmtId="164" fontId="36" fillId="0" borderId="0" xfId="12" applyNumberFormat="1" applyFont="1" applyAlignment="1">
      <alignment horizontal="left"/>
    </xf>
    <xf numFmtId="164" fontId="36" fillId="0" borderId="0" xfId="12" applyNumberFormat="1" applyFont="1"/>
    <xf numFmtId="0" fontId="36" fillId="4" borderId="0" xfId="17" applyFont="1" applyFill="1"/>
    <xf numFmtId="0" fontId="37" fillId="6" borderId="0" xfId="17" applyFont="1" applyFill="1" applyAlignment="1">
      <alignment horizontal="centerContinuous"/>
    </xf>
    <xf numFmtId="22" fontId="14" fillId="0" borderId="0" xfId="4" applyNumberFormat="1" applyFont="1" applyAlignment="1">
      <alignment horizontal="left"/>
    </xf>
    <xf numFmtId="0" fontId="14" fillId="4" borderId="0" xfId="4" applyFont="1" applyFill="1" applyAlignment="1">
      <alignment horizontal="left"/>
    </xf>
    <xf numFmtId="0" fontId="36" fillId="4" borderId="0" xfId="17" applyFont="1" applyFill="1" applyAlignment="1">
      <alignment vertical="center"/>
    </xf>
    <xf numFmtId="0" fontId="11" fillId="0" borderId="0" xfId="21" applyFont="1" applyAlignment="1">
      <alignment horizontal="left" vertical="center"/>
    </xf>
    <xf numFmtId="0" fontId="11" fillId="0" borderId="0" xfId="21" applyFont="1" applyAlignment="1">
      <alignment horizontal="center" vertical="center"/>
    </xf>
    <xf numFmtId="0" fontId="34" fillId="0" borderId="0" xfId="21" applyFont="1" applyAlignment="1">
      <alignment horizontal="center" vertical="center"/>
    </xf>
    <xf numFmtId="164" fontId="11" fillId="0" borderId="0" xfId="2" applyNumberFormat="1" applyFont="1" applyAlignment="1">
      <alignment horizontal="left" vertical="center"/>
    </xf>
    <xf numFmtId="164" fontId="11" fillId="0" borderId="0" xfId="2" applyNumberFormat="1" applyFont="1" applyAlignment="1">
      <alignment horizontal="center" vertical="center"/>
    </xf>
    <xf numFmtId="0" fontId="6" fillId="0" borderId="0" xfId="21" applyFont="1" applyAlignment="1">
      <alignment horizontal="left" vertical="center"/>
    </xf>
    <xf numFmtId="0" fontId="4" fillId="0" borderId="2" xfId="21" applyFont="1" applyBorder="1" applyAlignment="1">
      <alignment horizontal="left" vertical="center"/>
    </xf>
    <xf numFmtId="0" fontId="4" fillId="0" borderId="2" xfId="21" applyFont="1" applyBorder="1" applyAlignment="1">
      <alignment horizontal="center" vertical="center"/>
    </xf>
    <xf numFmtId="165" fontId="6" fillId="0" borderId="2" xfId="21" applyNumberFormat="1" applyFont="1" applyBorder="1" applyAlignment="1">
      <alignment horizontal="center" vertical="center"/>
    </xf>
    <xf numFmtId="0" fontId="6" fillId="0" borderId="2" xfId="21" applyFont="1" applyBorder="1" applyAlignment="1">
      <alignment horizontal="center" vertical="center"/>
    </xf>
    <xf numFmtId="0" fontId="4" fillId="0" borderId="0" xfId="21" applyFont="1" applyAlignment="1">
      <alignment horizontal="left"/>
    </xf>
    <xf numFmtId="0" fontId="4" fillId="0" borderId="0" xfId="21" applyFont="1"/>
    <xf numFmtId="0" fontId="6" fillId="0" borderId="0" xfId="7" applyFont="1" applyAlignment="1">
      <alignment horizontal="center"/>
    </xf>
    <xf numFmtId="0" fontId="6" fillId="0" borderId="0" xfId="21" applyFont="1" applyAlignment="1">
      <alignment horizontal="center" vertical="center" wrapText="1"/>
    </xf>
    <xf numFmtId="0" fontId="6" fillId="0" borderId="0" xfId="21" applyFont="1" applyAlignment="1">
      <alignment horizontal="center"/>
    </xf>
    <xf numFmtId="0" fontId="6" fillId="0" borderId="0" xfId="21" applyFont="1" applyAlignment="1">
      <alignment horizontal="center" vertical="center"/>
    </xf>
    <xf numFmtId="0" fontId="6" fillId="0" borderId="6" xfId="21" applyFont="1" applyBorder="1" applyAlignment="1">
      <alignment horizontal="left"/>
    </xf>
    <xf numFmtId="0" fontId="6" fillId="0" borderId="6" xfId="21" applyFont="1" applyBorder="1" applyAlignment="1">
      <alignment horizontal="center"/>
    </xf>
    <xf numFmtId="0" fontId="4" fillId="0" borderId="6" xfId="21" applyFont="1" applyBorder="1"/>
    <xf numFmtId="0" fontId="6" fillId="0" borderId="6" xfId="7" applyFont="1" applyBorder="1" applyAlignment="1">
      <alignment horizontal="center" vertical="center" wrapText="1"/>
    </xf>
    <xf numFmtId="0" fontId="6" fillId="0" borderId="6" xfId="21" applyFont="1" applyBorder="1" applyAlignment="1">
      <alignment horizontal="center" vertical="center" wrapText="1"/>
    </xf>
    <xf numFmtId="0" fontId="36" fillId="0" borderId="0" xfId="17" applyFont="1"/>
    <xf numFmtId="0" fontId="40" fillId="2" borderId="0" xfId="4" applyFont="1" applyFill="1" applyAlignment="1">
      <alignment horizontal="centerContinuous"/>
    </xf>
    <xf numFmtId="164" fontId="40" fillId="2" borderId="0" xfId="2" applyNumberFormat="1" applyFont="1" applyFill="1" applyAlignment="1">
      <alignment horizontal="centerContinuous"/>
    </xf>
    <xf numFmtId="0" fontId="41" fillId="4" borderId="0" xfId="21" applyFont="1" applyFill="1" applyAlignment="1">
      <alignment vertical="center"/>
    </xf>
    <xf numFmtId="0" fontId="41" fillId="0" borderId="0" xfId="21" applyFont="1" applyAlignment="1">
      <alignment vertical="center"/>
    </xf>
    <xf numFmtId="164" fontId="11" fillId="0" borderId="0" xfId="2" applyNumberFormat="1" applyFont="1" applyAlignment="1">
      <alignment horizontal="centerContinuous" vertical="center"/>
    </xf>
    <xf numFmtId="165" fontId="6" fillId="0" borderId="2" xfId="21" applyNumberFormat="1" applyFont="1" applyBorder="1" applyAlignment="1">
      <alignment horizontal="centerContinuous" vertical="center"/>
    </xf>
    <xf numFmtId="0" fontId="6" fillId="0" borderId="2" xfId="21" applyFont="1" applyBorder="1" applyAlignment="1">
      <alignment horizontal="centerContinuous" vertical="center"/>
    </xf>
    <xf numFmtId="0" fontId="4" fillId="0" borderId="2" xfId="21" applyFont="1" applyBorder="1" applyAlignment="1">
      <alignment vertical="center"/>
    </xf>
    <xf numFmtId="0" fontId="6" fillId="0" borderId="6" xfId="7" applyFont="1" applyBorder="1" applyAlignment="1">
      <alignment horizontal="center"/>
    </xf>
    <xf numFmtId="164" fontId="4" fillId="0" borderId="15" xfId="2" applyNumberFormat="1" applyFont="1" applyBorder="1" applyAlignment="1">
      <alignment vertical="center"/>
    </xf>
    <xf numFmtId="0" fontId="7" fillId="0" borderId="0" xfId="7" applyFont="1" applyAlignment="1">
      <alignment vertical="center"/>
    </xf>
    <xf numFmtId="7" fontId="4" fillId="0" borderId="0" xfId="5" applyNumberFormat="1" applyFont="1" applyAlignment="1">
      <alignment vertical="center"/>
    </xf>
    <xf numFmtId="7" fontId="4" fillId="0" borderId="15" xfId="21" applyNumberFormat="1" applyFont="1" applyBorder="1" applyAlignment="1">
      <alignment vertical="center"/>
    </xf>
    <xf numFmtId="0" fontId="6" fillId="0" borderId="0" xfId="7" applyFont="1" applyAlignment="1">
      <alignment horizontal="center" vertical="center"/>
    </xf>
    <xf numFmtId="177" fontId="4" fillId="0" borderId="0" xfId="2" applyNumberFormat="1" applyFont="1" applyAlignment="1">
      <alignment vertical="center"/>
    </xf>
    <xf numFmtId="44" fontId="4" fillId="0" borderId="0" xfId="21" applyNumberFormat="1" applyFont="1" applyAlignment="1">
      <alignment horizontal="right" vertical="center"/>
    </xf>
    <xf numFmtId="7" fontId="4" fillId="0" borderId="2" xfId="21" applyNumberFormat="1" applyFont="1" applyBorder="1" applyAlignment="1">
      <alignment vertical="center"/>
    </xf>
    <xf numFmtId="7" fontId="4" fillId="0" borderId="0" xfId="21" applyNumberFormat="1" applyFont="1" applyAlignment="1">
      <alignment horizontal="right" vertical="center"/>
    </xf>
    <xf numFmtId="0" fontId="4" fillId="0" borderId="0" xfId="21" applyFont="1" applyAlignment="1">
      <alignment horizontal="right" vertical="center"/>
    </xf>
    <xf numFmtId="44" fontId="4" fillId="0" borderId="0" xfId="21" applyNumberFormat="1" applyFont="1" applyAlignment="1">
      <alignment horizontal="center" vertical="center"/>
    </xf>
    <xf numFmtId="44" fontId="12" fillId="0" borderId="0" xfId="21" applyNumberFormat="1" applyFont="1" applyAlignment="1">
      <alignment vertical="center"/>
    </xf>
    <xf numFmtId="0" fontId="42" fillId="0" borderId="0" xfId="21" applyFont="1" applyAlignment="1">
      <alignment vertical="center"/>
    </xf>
    <xf numFmtId="0" fontId="4" fillId="0" borderId="6" xfId="21" applyFont="1" applyBorder="1" applyAlignment="1">
      <alignment horizontal="center" vertical="center"/>
    </xf>
    <xf numFmtId="0" fontId="9" fillId="0" borderId="0" xfId="21" applyFont="1" applyAlignment="1">
      <alignment vertical="center"/>
    </xf>
    <xf numFmtId="164" fontId="9" fillId="0" borderId="0" xfId="2" applyNumberFormat="1" applyFont="1" applyAlignment="1">
      <alignment vertical="center"/>
    </xf>
    <xf numFmtId="167" fontId="9" fillId="0" borderId="0" xfId="5" applyNumberFormat="1" applyFont="1" applyAlignment="1">
      <alignment vertical="center"/>
    </xf>
    <xf numFmtId="167" fontId="4" fillId="0" borderId="0" xfId="5" applyNumberFormat="1" applyFont="1" applyAlignment="1">
      <alignment vertical="center"/>
    </xf>
    <xf numFmtId="44" fontId="4" fillId="0" borderId="21" xfId="5" applyFont="1" applyBorder="1" applyAlignment="1">
      <alignment vertical="center"/>
    </xf>
    <xf numFmtId="174" fontId="4" fillId="0" borderId="0" xfId="11" applyNumberFormat="1" applyFont="1" applyAlignment="1">
      <alignment vertical="center"/>
    </xf>
    <xf numFmtId="9" fontId="12" fillId="0" borderId="0" xfId="11" applyFont="1" applyAlignment="1">
      <alignment vertical="center"/>
    </xf>
    <xf numFmtId="9" fontId="4" fillId="0" borderId="0" xfId="11" applyFont="1" applyAlignment="1">
      <alignment vertical="center"/>
    </xf>
    <xf numFmtId="178" fontId="4" fillId="0" borderId="21" xfId="21" applyNumberFormat="1" applyFont="1" applyBorder="1" applyAlignment="1">
      <alignment vertical="center"/>
    </xf>
    <xf numFmtId="178" fontId="4" fillId="0" borderId="0" xfId="21" applyNumberFormat="1" applyFont="1" applyAlignment="1">
      <alignment vertical="center"/>
    </xf>
    <xf numFmtId="0" fontId="41" fillId="4" borderId="0" xfId="21" applyFont="1" applyFill="1"/>
    <xf numFmtId="0" fontId="41" fillId="0" borderId="0" xfId="21" applyFont="1"/>
    <xf numFmtId="0" fontId="4" fillId="4" borderId="0" xfId="21" applyFont="1" applyFill="1"/>
    <xf numFmtId="0" fontId="5" fillId="7" borderId="0" xfId="18"/>
    <xf numFmtId="0" fontId="6" fillId="10" borderId="0" xfId="19" applyFont="1" applyFill="1" applyAlignment="1">
      <alignment horizontal="right" vertical="center"/>
    </xf>
    <xf numFmtId="0" fontId="6" fillId="10" borderId="0" xfId="19" applyFont="1" applyFill="1" applyAlignment="1">
      <alignment horizontal="right"/>
    </xf>
    <xf numFmtId="0" fontId="6" fillId="10" borderId="0" xfId="7" applyFont="1" applyFill="1" applyAlignment="1">
      <alignment horizontal="right"/>
    </xf>
    <xf numFmtId="0" fontId="37" fillId="10" borderId="6" xfId="21" applyFont="1" applyFill="1" applyBorder="1" applyAlignment="1">
      <alignment vertical="center"/>
    </xf>
    <xf numFmtId="0" fontId="34" fillId="10" borderId="0" xfId="21" applyFont="1" applyFill="1" applyAlignment="1">
      <alignment horizontal="centerContinuous" vertical="center"/>
    </xf>
    <xf numFmtId="0" fontId="34" fillId="10" borderId="0" xfId="18" applyFont="1" applyFill="1"/>
    <xf numFmtId="167" fontId="5" fillId="10" borderId="0" xfId="18" applyNumberFormat="1" applyFill="1"/>
    <xf numFmtId="167" fontId="43" fillId="10" borderId="0" xfId="18" applyNumberFormat="1" applyFont="1" applyFill="1"/>
    <xf numFmtId="0" fontId="34" fillId="7" borderId="0" xfId="18" applyFont="1"/>
    <xf numFmtId="0" fontId="34" fillId="4" borderId="0" xfId="21" applyFont="1" applyFill="1"/>
    <xf numFmtId="0" fontId="36" fillId="10" borderId="12" xfId="7" applyFont="1" applyFill="1" applyBorder="1" applyAlignment="1">
      <alignment horizontal="center"/>
    </xf>
    <xf numFmtId="0" fontId="4" fillId="10" borderId="12" xfId="7" applyFont="1" applyFill="1" applyBorder="1"/>
    <xf numFmtId="0" fontId="4" fillId="10" borderId="0" xfId="7" applyFont="1" applyFill="1"/>
    <xf numFmtId="164" fontId="40" fillId="2" borderId="0" xfId="2" applyNumberFormat="1" applyFont="1" applyFill="1" applyBorder="1" applyAlignment="1">
      <alignment horizontal="centerContinuous"/>
    </xf>
    <xf numFmtId="164" fontId="41" fillId="4" borderId="0" xfId="2" applyNumberFormat="1" applyFont="1" applyFill="1" applyAlignment="1">
      <alignment vertical="center"/>
    </xf>
    <xf numFmtId="164" fontId="41" fillId="0" borderId="0" xfId="2" applyNumberFormat="1" applyFont="1" applyAlignment="1">
      <alignment vertical="center"/>
    </xf>
    <xf numFmtId="164" fontId="34" fillId="0" borderId="0" xfId="2" applyNumberFormat="1" applyFont="1" applyAlignment="1">
      <alignment horizontal="centerContinuous" vertical="center"/>
    </xf>
    <xf numFmtId="164" fontId="34" fillId="0" borderId="0" xfId="2" applyNumberFormat="1" applyFont="1" applyAlignment="1">
      <alignment vertical="center"/>
    </xf>
    <xf numFmtId="164" fontId="34" fillId="4" borderId="0" xfId="2" applyNumberFormat="1" applyFont="1" applyFill="1" applyAlignment="1">
      <alignment vertical="center"/>
    </xf>
    <xf numFmtId="164" fontId="11" fillId="0" borderId="0" xfId="2" applyNumberFormat="1" applyFont="1" applyBorder="1" applyAlignment="1">
      <alignment horizontal="centerContinuous" vertical="center"/>
    </xf>
    <xf numFmtId="164" fontId="34" fillId="0" borderId="0" xfId="2" applyNumberFormat="1" applyFont="1" applyBorder="1" applyAlignment="1">
      <alignment horizontal="centerContinuous" vertical="center"/>
    </xf>
    <xf numFmtId="164" fontId="11" fillId="0" borderId="0" xfId="2" applyNumberFormat="1" applyFont="1" applyFill="1" applyBorder="1" applyAlignment="1">
      <alignment horizontal="centerContinuous" vertical="center"/>
    </xf>
    <xf numFmtId="164" fontId="34" fillId="0" borderId="0" xfId="2" applyNumberFormat="1" applyFont="1" applyFill="1" applyBorder="1" applyAlignment="1">
      <alignment horizontal="centerContinuous" vertical="center"/>
    </xf>
    <xf numFmtId="164" fontId="4" fillId="0" borderId="6" xfId="2" applyNumberFormat="1" applyFont="1" applyBorder="1" applyAlignment="1">
      <alignment horizontal="center" vertical="center"/>
    </xf>
    <xf numFmtId="164" fontId="6" fillId="0" borderId="0" xfId="2" applyNumberFormat="1" applyFont="1" applyAlignment="1">
      <alignment vertical="center"/>
    </xf>
    <xf numFmtId="165" fontId="6" fillId="0" borderId="0" xfId="2" applyNumberFormat="1" applyFont="1" applyAlignment="1">
      <alignment horizontal="centerContinuous" vertical="center"/>
    </xf>
    <xf numFmtId="165" fontId="6" fillId="0" borderId="0" xfId="2" applyNumberFormat="1" applyFont="1" applyAlignment="1">
      <alignment horizontal="center" vertical="center"/>
    </xf>
    <xf numFmtId="165" fontId="6" fillId="0" borderId="0" xfId="2" applyNumberFormat="1" applyFont="1" applyAlignment="1">
      <alignment vertical="center"/>
    </xf>
    <xf numFmtId="164" fontId="11" fillId="0" borderId="0" xfId="2" applyNumberFormat="1" applyFont="1" applyBorder="1" applyAlignment="1">
      <alignment vertical="center"/>
    </xf>
    <xf numFmtId="164" fontId="6" fillId="0" borderId="0" xfId="2" applyNumberFormat="1" applyFont="1" applyBorder="1" applyAlignment="1">
      <alignment vertical="center"/>
    </xf>
    <xf numFmtId="164" fontId="6" fillId="0" borderId="0" xfId="2" applyNumberFormat="1" applyFont="1" applyAlignment="1">
      <alignment horizontal="center" vertical="center"/>
    </xf>
    <xf numFmtId="164" fontId="6" fillId="0" borderId="0" xfId="2" applyNumberFormat="1" applyFont="1" applyBorder="1" applyAlignment="1">
      <alignment horizontal="centerContinuous" vertical="center"/>
    </xf>
    <xf numFmtId="164" fontId="6" fillId="0" borderId="0" xfId="2" applyNumberFormat="1" applyFont="1" applyAlignment="1">
      <alignment horizontal="centerContinuous" vertical="center"/>
    </xf>
    <xf numFmtId="164" fontId="6" fillId="0" borderId="6" xfId="2" applyNumberFormat="1" applyFont="1" applyBorder="1" applyAlignment="1">
      <alignment vertical="center"/>
    </xf>
    <xf numFmtId="0" fontId="4" fillId="0" borderId="0" xfId="26" applyFont="1" applyAlignment="1">
      <alignment horizontal="center" vertical="center"/>
    </xf>
    <xf numFmtId="164" fontId="4" fillId="0" borderId="0" xfId="2" applyNumberFormat="1" applyFont="1" applyAlignment="1">
      <alignment horizontal="center" vertical="center"/>
    </xf>
    <xf numFmtId="0" fontId="4" fillId="0" borderId="0" xfId="2" applyNumberFormat="1" applyFont="1" applyAlignment="1">
      <alignment horizontal="left" vertical="center"/>
    </xf>
    <xf numFmtId="179" fontId="4" fillId="0" borderId="0" xfId="2" applyNumberFormat="1" applyFont="1" applyAlignment="1">
      <alignment vertical="center"/>
    </xf>
    <xf numFmtId="164" fontId="4" fillId="0" borderId="2" xfId="2" applyNumberFormat="1" applyFont="1" applyBorder="1" applyAlignment="1">
      <alignment vertical="center"/>
    </xf>
    <xf numFmtId="165" fontId="6" fillId="0" borderId="2" xfId="2" applyNumberFormat="1" applyFont="1" applyBorder="1" applyAlignment="1">
      <alignment horizontal="centerContinuous" vertical="center"/>
    </xf>
    <xf numFmtId="164" fontId="6" fillId="0" borderId="2" xfId="2" applyNumberFormat="1" applyFont="1" applyBorder="1" applyAlignment="1">
      <alignment vertical="center"/>
    </xf>
    <xf numFmtId="165" fontId="6" fillId="0" borderId="2" xfId="2" applyNumberFormat="1" applyFont="1" applyBorder="1" applyAlignment="1">
      <alignment horizontal="center" vertical="center"/>
    </xf>
    <xf numFmtId="165" fontId="6" fillId="0" borderId="2" xfId="2" applyNumberFormat="1" applyFont="1" applyBorder="1" applyAlignment="1">
      <alignment vertical="center"/>
    </xf>
    <xf numFmtId="164" fontId="4" fillId="0" borderId="0" xfId="2" quotePrefix="1" applyNumberFormat="1" applyFont="1" applyBorder="1" applyAlignment="1">
      <alignment horizontal="center" vertical="center"/>
    </xf>
    <xf numFmtId="164" fontId="4" fillId="0" borderId="0" xfId="2" applyNumberFormat="1" applyFont="1" applyBorder="1" applyAlignment="1">
      <alignment horizontal="center" vertical="center"/>
    </xf>
    <xf numFmtId="164" fontId="4" fillId="0" borderId="6" xfId="2" applyNumberFormat="1" applyFont="1" applyBorder="1" applyAlignment="1">
      <alignment horizontal="centerContinuous" vertical="center"/>
    </xf>
    <xf numFmtId="167" fontId="4" fillId="0" borderId="15" xfId="5" applyNumberFormat="1" applyFont="1" applyBorder="1" applyAlignment="1">
      <alignment vertical="center"/>
    </xf>
    <xf numFmtId="44" fontId="4" fillId="0" borderId="15" xfId="5" applyFont="1" applyBorder="1" applyAlignment="1">
      <alignment vertical="center"/>
    </xf>
    <xf numFmtId="0" fontId="41" fillId="4" borderId="0" xfId="26" applyFont="1" applyFill="1" applyAlignment="1">
      <alignment vertical="center"/>
    </xf>
    <xf numFmtId="0" fontId="41" fillId="0" borderId="0" xfId="26" applyFont="1" applyAlignment="1">
      <alignment vertical="center"/>
    </xf>
    <xf numFmtId="0" fontId="4" fillId="0" borderId="0" xfId="26" applyFont="1" applyAlignment="1">
      <alignment vertical="center"/>
    </xf>
    <xf numFmtId="0" fontId="4" fillId="4" borderId="0" xfId="26" applyFont="1" applyFill="1" applyAlignment="1">
      <alignment vertical="center"/>
    </xf>
    <xf numFmtId="0" fontId="34" fillId="0" borderId="0" xfId="26" applyFont="1" applyAlignment="1">
      <alignment vertical="center"/>
    </xf>
    <xf numFmtId="0" fontId="34" fillId="4" borderId="0" xfId="26" applyFont="1" applyFill="1" applyAlignment="1">
      <alignment vertical="center"/>
    </xf>
    <xf numFmtId="0" fontId="6" fillId="0" borderId="2" xfId="26" applyFont="1" applyBorder="1" applyAlignment="1">
      <alignment vertical="center"/>
    </xf>
    <xf numFmtId="165" fontId="6" fillId="0" borderId="2" xfId="26" applyNumberFormat="1" applyFont="1" applyBorder="1" applyAlignment="1">
      <alignment horizontal="centerContinuous" vertical="center"/>
    </xf>
    <xf numFmtId="165" fontId="6" fillId="0" borderId="2" xfId="26" applyNumberFormat="1" applyFont="1" applyBorder="1" applyAlignment="1">
      <alignment vertical="center"/>
    </xf>
    <xf numFmtId="165" fontId="6" fillId="0" borderId="2" xfId="26" applyNumberFormat="1" applyFont="1" applyBorder="1" applyAlignment="1">
      <alignment horizontal="center" vertical="center"/>
    </xf>
    <xf numFmtId="0" fontId="6" fillId="0" borderId="6" xfId="26" applyFont="1" applyBorder="1" applyAlignment="1">
      <alignment horizontal="center" vertical="center"/>
    </xf>
    <xf numFmtId="0" fontId="6" fillId="0" borderId="6" xfId="26" applyFont="1" applyBorder="1" applyAlignment="1">
      <alignment vertical="center"/>
    </xf>
    <xf numFmtId="0" fontId="6" fillId="0" borderId="6" xfId="26" applyFont="1" applyBorder="1" applyAlignment="1">
      <alignment horizontal="centerContinuous" vertical="center"/>
    </xf>
    <xf numFmtId="0" fontId="4" fillId="0" borderId="0" xfId="26" applyFont="1" applyAlignment="1">
      <alignment horizontal="centerContinuous" vertical="center"/>
    </xf>
    <xf numFmtId="0" fontId="7" fillId="0" borderId="0" xfId="26" applyFont="1" applyAlignment="1">
      <alignment vertical="center"/>
    </xf>
    <xf numFmtId="0" fontId="4" fillId="0" borderId="0" xfId="26" quotePrefix="1" applyFont="1" applyAlignment="1">
      <alignment vertical="center"/>
    </xf>
    <xf numFmtId="7" fontId="4" fillId="0" borderId="0" xfId="5" applyNumberFormat="1" applyFont="1" applyFill="1" applyAlignment="1">
      <alignment vertical="center"/>
    </xf>
    <xf numFmtId="7" fontId="4" fillId="0" borderId="0" xfId="26" applyNumberFormat="1" applyFont="1" applyAlignment="1">
      <alignment vertical="center"/>
    </xf>
    <xf numFmtId="175" fontId="4" fillId="0" borderId="0" xfId="26" applyNumberFormat="1" applyFont="1" applyAlignment="1">
      <alignment vertical="center"/>
    </xf>
    <xf numFmtId="175" fontId="9" fillId="0" borderId="0" xfId="26" applyNumberFormat="1" applyFont="1" applyAlignment="1">
      <alignment vertical="center"/>
    </xf>
    <xf numFmtId="175" fontId="4" fillId="0" borderId="0" xfId="5" applyNumberFormat="1" applyFont="1" applyFill="1" applyAlignment="1">
      <alignment vertical="center"/>
    </xf>
    <xf numFmtId="43" fontId="4" fillId="0" borderId="0" xfId="12" applyFont="1" applyFill="1" applyProtection="1">
      <protection locked="0"/>
    </xf>
    <xf numFmtId="180" fontId="4" fillId="0" borderId="0" xfId="26" applyNumberFormat="1" applyFont="1" applyAlignment="1">
      <alignment vertical="center"/>
    </xf>
    <xf numFmtId="0" fontId="4" fillId="0" borderId="0" xfId="0" applyFont="1"/>
    <xf numFmtId="171" fontId="4" fillId="0" borderId="0" xfId="2" applyNumberFormat="1" applyFont="1" applyFill="1"/>
    <xf numFmtId="0" fontId="36" fillId="0" borderId="0" xfId="27" applyFont="1" applyFill="1"/>
    <xf numFmtId="0" fontId="4" fillId="0" borderId="0" xfId="21" quotePrefix="1" applyFont="1" applyAlignment="1">
      <alignment vertical="center"/>
    </xf>
    <xf numFmtId="0" fontId="4" fillId="0" borderId="12" xfId="21" applyFont="1" applyBorder="1" applyAlignment="1">
      <alignment horizontal="center" vertical="center"/>
    </xf>
    <xf numFmtId="10" fontId="4" fillId="0" borderId="9" xfId="14" applyNumberFormat="1" applyFont="1" applyBorder="1" applyAlignment="1">
      <alignment vertical="center"/>
    </xf>
    <xf numFmtId="10" fontId="4" fillId="0" borderId="9" xfId="21" applyNumberFormat="1" applyFont="1" applyBorder="1" applyAlignment="1">
      <alignment vertical="center"/>
    </xf>
    <xf numFmtId="10" fontId="4" fillId="0" borderId="16" xfId="21" applyNumberFormat="1" applyFont="1" applyBorder="1" applyAlignment="1">
      <alignment vertical="center"/>
    </xf>
    <xf numFmtId="171" fontId="6" fillId="0" borderId="0" xfId="21" applyNumberFormat="1" applyFont="1" applyAlignment="1">
      <alignment vertical="center"/>
    </xf>
    <xf numFmtId="171" fontId="4" fillId="0" borderId="0" xfId="21" applyNumberFormat="1" applyFont="1" applyAlignment="1">
      <alignment vertical="center"/>
    </xf>
    <xf numFmtId="171" fontId="6" fillId="0" borderId="15" xfId="12" applyNumberFormat="1" applyFont="1" applyBorder="1" applyAlignment="1">
      <alignment vertical="center"/>
    </xf>
    <xf numFmtId="0" fontId="41" fillId="4" borderId="0" xfId="28" applyFont="1" applyFill="1"/>
    <xf numFmtId="0" fontId="4" fillId="4" borderId="0" xfId="28" applyFont="1" applyFill="1"/>
    <xf numFmtId="0" fontId="12" fillId="0" borderId="0" xfId="28" applyFont="1"/>
    <xf numFmtId="0" fontId="4" fillId="0" borderId="0" xfId="28" applyFont="1"/>
    <xf numFmtId="0" fontId="45" fillId="0" borderId="0" xfId="28" applyFont="1"/>
    <xf numFmtId="0" fontId="6" fillId="0" borderId="0" xfId="28" applyFont="1"/>
    <xf numFmtId="164" fontId="4" fillId="0" borderId="0" xfId="2" applyNumberFormat="1" applyFont="1" applyFill="1" applyAlignment="1">
      <alignment horizontal="center"/>
    </xf>
    <xf numFmtId="0" fontId="4" fillId="0" borderId="0" xfId="28" applyFont="1" applyAlignment="1">
      <alignment horizontal="center"/>
    </xf>
    <xf numFmtId="164" fontId="4" fillId="0" borderId="0" xfId="2" applyNumberFormat="1" applyFont="1" applyAlignment="1">
      <alignment horizontal="center"/>
    </xf>
    <xf numFmtId="0" fontId="7" fillId="0" borderId="0" xfId="28" applyFont="1"/>
    <xf numFmtId="164" fontId="4" fillId="0" borderId="6" xfId="2" applyNumberFormat="1" applyFont="1" applyBorder="1" applyAlignment="1">
      <alignment horizontal="center"/>
    </xf>
    <xf numFmtId="0" fontId="4" fillId="0" borderId="6" xfId="28" applyFont="1" applyBorder="1" applyAlignment="1">
      <alignment horizontal="center"/>
    </xf>
    <xf numFmtId="164" fontId="4" fillId="0" borderId="0" xfId="2" applyNumberFormat="1" applyFont="1" applyFill="1"/>
    <xf numFmtId="164" fontId="4" fillId="0" borderId="0" xfId="28" applyNumberFormat="1" applyFont="1"/>
    <xf numFmtId="171" fontId="4" fillId="0" borderId="0" xfId="28" applyNumberFormat="1" applyFont="1"/>
    <xf numFmtId="164" fontId="4" fillId="0" borderId="11" xfId="2" applyNumberFormat="1" applyFont="1" applyFill="1" applyBorder="1"/>
    <xf numFmtId="164" fontId="4" fillId="0" borderId="11" xfId="2" applyNumberFormat="1" applyFont="1" applyBorder="1"/>
    <xf numFmtId="164" fontId="4" fillId="0" borderId="6" xfId="2" applyNumberFormat="1" applyFont="1" applyFill="1" applyBorder="1" applyAlignment="1">
      <alignment horizontal="center"/>
    </xf>
    <xf numFmtId="43" fontId="4" fillId="0" borderId="0" xfId="28" applyNumberFormat="1" applyFont="1"/>
    <xf numFmtId="164" fontId="9" fillId="0" borderId="0" xfId="2" applyNumberFormat="1" applyFont="1" applyFill="1"/>
    <xf numFmtId="164" fontId="4" fillId="0" borderId="0" xfId="2" applyNumberFormat="1" applyFont="1" applyFill="1" applyBorder="1" applyAlignment="1">
      <alignment horizontal="center"/>
    </xf>
    <xf numFmtId="0" fontId="44" fillId="0" borderId="0" xfId="0" applyFont="1"/>
    <xf numFmtId="164" fontId="46" fillId="0" borderId="0" xfId="2" applyNumberFormat="1" applyFont="1" applyFill="1" applyAlignment="1">
      <alignment vertical="center"/>
    </xf>
    <xf numFmtId="170" fontId="17" fillId="0" borderId="17" xfId="4" applyNumberFormat="1" applyFont="1" applyBorder="1" applyAlignment="1" applyProtection="1">
      <alignment horizontal="center"/>
      <protection locked="0"/>
    </xf>
    <xf numFmtId="0" fontId="4" fillId="0" borderId="0" xfId="7" applyFont="1" applyAlignment="1" applyProtection="1">
      <alignment horizontal="left"/>
      <protection locked="0"/>
    </xf>
    <xf numFmtId="0" fontId="4" fillId="0" borderId="0" xfId="7" applyFont="1" applyAlignment="1">
      <alignment horizontal="right"/>
    </xf>
    <xf numFmtId="0" fontId="4" fillId="0" borderId="2" xfId="7" applyFont="1" applyBorder="1" applyAlignment="1">
      <alignment horizontal="left"/>
    </xf>
    <xf numFmtId="0" fontId="4" fillId="0" borderId="2" xfId="7" applyFont="1" applyBorder="1"/>
    <xf numFmtId="0" fontId="4" fillId="0" borderId="2" xfId="7" applyFont="1" applyBorder="1" applyProtection="1">
      <protection locked="0"/>
    </xf>
    <xf numFmtId="0" fontId="4" fillId="0" borderId="2" xfId="32" applyFont="1" applyBorder="1" applyAlignment="1">
      <alignment horizontal="left" vertical="center"/>
    </xf>
    <xf numFmtId="0" fontId="4" fillId="0" borderId="0" xfId="32" applyFont="1" applyAlignment="1">
      <alignment horizontal="left" vertical="center"/>
    </xf>
    <xf numFmtId="0" fontId="4" fillId="0" borderId="0" xfId="32" applyFont="1" applyAlignment="1">
      <alignment vertical="center"/>
    </xf>
    <xf numFmtId="0" fontId="4" fillId="0" borderId="6" xfId="32" applyFont="1" applyBorder="1" applyAlignment="1">
      <alignment horizontal="left" vertical="center"/>
    </xf>
    <xf numFmtId="171" fontId="4" fillId="0" borderId="0" xfId="12" applyNumberFormat="1" applyFont="1" applyFill="1"/>
    <xf numFmtId="170" fontId="4" fillId="0" borderId="0" xfId="26" applyNumberFormat="1" applyFont="1" applyAlignment="1">
      <alignment vertical="center"/>
    </xf>
    <xf numFmtId="1" fontId="4" fillId="0" borderId="0" xfId="4" applyNumberFormat="1" applyFont="1"/>
    <xf numFmtId="164" fontId="4" fillId="0" borderId="0" xfId="4" applyNumberFormat="1" applyFont="1" applyProtection="1">
      <protection locked="0"/>
    </xf>
    <xf numFmtId="9" fontId="14" fillId="0" borderId="0" xfId="29" applyFont="1" applyFill="1"/>
    <xf numFmtId="9" fontId="14" fillId="0" borderId="0" xfId="29" applyFont="1"/>
    <xf numFmtId="164" fontId="4" fillId="0" borderId="0" xfId="1" applyNumberFormat="1" applyFont="1" applyFill="1" applyAlignment="1" applyProtection="1">
      <alignment vertical="center"/>
      <protection locked="0"/>
    </xf>
    <xf numFmtId="0" fontId="4" fillId="0" borderId="0" xfId="7" applyFont="1" applyAlignment="1" applyProtection="1">
      <alignment vertical="center" wrapText="1"/>
      <protection locked="0"/>
    </xf>
    <xf numFmtId="0" fontId="4" fillId="3" borderId="0" xfId="0" applyFont="1" applyFill="1"/>
    <xf numFmtId="0" fontId="52" fillId="0" borderId="0" xfId="7" applyFont="1" applyAlignment="1">
      <alignment vertical="top"/>
    </xf>
    <xf numFmtId="0" fontId="3" fillId="0" borderId="0" xfId="7" applyFont="1" applyAlignment="1">
      <alignment vertical="top"/>
    </xf>
    <xf numFmtId="0" fontId="52" fillId="0" borderId="0" xfId="7" applyFont="1" applyAlignment="1">
      <alignment horizontal="center" vertical="top"/>
    </xf>
    <xf numFmtId="0" fontId="53" fillId="0" borderId="0" xfId="7" applyFont="1" applyAlignment="1">
      <alignment vertical="top"/>
    </xf>
    <xf numFmtId="0" fontId="54" fillId="0" borderId="0" xfId="7" applyFont="1" applyAlignment="1">
      <alignment vertical="top"/>
    </xf>
    <xf numFmtId="164" fontId="52" fillId="0" borderId="0" xfId="2" applyNumberFormat="1" applyFont="1" applyFill="1" applyAlignment="1">
      <alignment vertical="top"/>
    </xf>
    <xf numFmtId="0" fontId="3" fillId="6" borderId="0" xfId="7" applyFont="1" applyFill="1" applyAlignment="1">
      <alignment vertical="top"/>
    </xf>
    <xf numFmtId="0" fontId="53" fillId="0" borderId="0" xfId="7" applyFont="1" applyAlignment="1">
      <alignment horizontal="center" vertical="top"/>
    </xf>
    <xf numFmtId="164" fontId="53" fillId="0" borderId="0" xfId="2" applyNumberFormat="1" applyFont="1" applyAlignment="1">
      <alignment horizontal="center" vertical="top"/>
    </xf>
    <xf numFmtId="164" fontId="53" fillId="0" borderId="0" xfId="2" applyNumberFormat="1" applyFont="1" applyFill="1" applyAlignment="1">
      <alignment horizontal="center" vertical="top"/>
    </xf>
    <xf numFmtId="0" fontId="55" fillId="0" borderId="0" xfId="7" applyFont="1" applyAlignment="1">
      <alignment horizontal="center" vertical="top" wrapText="1"/>
    </xf>
    <xf numFmtId="0" fontId="55" fillId="6" borderId="0" xfId="7" applyFont="1" applyFill="1" applyAlignment="1">
      <alignment horizontal="center" vertical="top" wrapText="1"/>
    </xf>
    <xf numFmtId="164" fontId="53" fillId="0" borderId="6" xfId="2" applyNumberFormat="1" applyFont="1" applyFill="1" applyBorder="1" applyAlignment="1">
      <alignment horizontal="center" vertical="top"/>
    </xf>
    <xf numFmtId="0" fontId="53" fillId="0" borderId="6" xfId="7" applyFont="1" applyBorder="1" applyAlignment="1">
      <alignment horizontal="center" vertical="top"/>
    </xf>
    <xf numFmtId="0" fontId="39" fillId="0" borderId="6" xfId="7" applyFont="1" applyBorder="1" applyAlignment="1">
      <alignment horizontal="center" vertical="top"/>
    </xf>
    <xf numFmtId="0" fontId="39" fillId="6" borderId="6" xfId="7" applyFont="1" applyFill="1" applyBorder="1" applyAlignment="1">
      <alignment horizontal="center" vertical="top"/>
    </xf>
    <xf numFmtId="164" fontId="53" fillId="0" borderId="6" xfId="2" applyNumberFormat="1" applyFont="1" applyBorder="1" applyAlignment="1">
      <alignment horizontal="center" vertical="top"/>
    </xf>
    <xf numFmtId="44" fontId="3" fillId="0" borderId="0" xfId="7" applyNumberFormat="1" applyFont="1" applyAlignment="1">
      <alignment vertical="top"/>
    </xf>
    <xf numFmtId="164" fontId="52" fillId="0" borderId="0" xfId="2" applyNumberFormat="1" applyFont="1" applyAlignment="1">
      <alignment vertical="top"/>
    </xf>
    <xf numFmtId="0" fontId="3" fillId="0" borderId="0" xfId="7" applyFont="1" applyAlignment="1">
      <alignment horizontal="left" vertical="top" indent="1"/>
    </xf>
    <xf numFmtId="164" fontId="3" fillId="0" borderId="0" xfId="2" applyNumberFormat="1" applyFont="1" applyFill="1" applyAlignment="1">
      <alignment vertical="top"/>
    </xf>
    <xf numFmtId="171" fontId="3" fillId="0" borderId="0" xfId="2" applyNumberFormat="1" applyFont="1" applyAlignment="1">
      <alignment vertical="top"/>
    </xf>
    <xf numFmtId="171" fontId="3" fillId="6" borderId="0" xfId="2" applyNumberFormat="1" applyFont="1" applyFill="1" applyAlignment="1">
      <alignment vertical="top"/>
    </xf>
    <xf numFmtId="164" fontId="3" fillId="0" borderId="0" xfId="2" applyNumberFormat="1" applyFont="1" applyAlignment="1">
      <alignment vertical="top"/>
    </xf>
    <xf numFmtId="164" fontId="53" fillId="0" borderId="0" xfId="7" applyNumberFormat="1" applyFont="1" applyAlignment="1">
      <alignment vertical="top"/>
    </xf>
    <xf numFmtId="10" fontId="3" fillId="0" borderId="0" xfId="11" applyNumberFormat="1" applyAlignment="1">
      <alignment vertical="top"/>
    </xf>
    <xf numFmtId="164" fontId="3" fillId="0" borderId="0" xfId="7" applyNumberFormat="1" applyFont="1" applyAlignment="1">
      <alignment vertical="top"/>
    </xf>
    <xf numFmtId="171" fontId="3" fillId="0" borderId="0" xfId="2" applyNumberFormat="1" applyFont="1" applyFill="1" applyAlignment="1">
      <alignment vertical="top"/>
    </xf>
    <xf numFmtId="37" fontId="3" fillId="0" borderId="0" xfId="7" applyNumberFormat="1" applyFont="1" applyAlignment="1">
      <alignment vertical="top"/>
    </xf>
    <xf numFmtId="0" fontId="55" fillId="0" borderId="0" xfId="7" applyFont="1" applyAlignment="1">
      <alignment vertical="top" wrapText="1"/>
    </xf>
    <xf numFmtId="37" fontId="52" fillId="0" borderId="0" xfId="7" applyNumberFormat="1" applyFont="1" applyAlignment="1">
      <alignment vertical="top"/>
    </xf>
    <xf numFmtId="0" fontId="55" fillId="0" borderId="0" xfId="7" applyFont="1" applyAlignment="1">
      <alignment vertical="top"/>
    </xf>
    <xf numFmtId="164" fontId="53" fillId="0" borderId="15" xfId="2" applyNumberFormat="1" applyFont="1" applyBorder="1" applyAlignment="1">
      <alignment vertical="top"/>
    </xf>
    <xf numFmtId="164" fontId="53" fillId="0" borderId="0" xfId="2" applyNumberFormat="1" applyFont="1" applyBorder="1" applyAlignment="1">
      <alignment vertical="top"/>
    </xf>
    <xf numFmtId="10" fontId="53" fillId="0" borderId="15" xfId="11" applyNumberFormat="1" applyFont="1" applyBorder="1" applyAlignment="1">
      <alignment vertical="top"/>
    </xf>
    <xf numFmtId="0" fontId="54" fillId="0" borderId="6" xfId="7" applyFont="1" applyBorder="1" applyAlignment="1">
      <alignment vertical="top"/>
    </xf>
    <xf numFmtId="164" fontId="52" fillId="0" borderId="0" xfId="2" applyNumberFormat="1" applyFont="1" applyFill="1" applyBorder="1" applyAlignment="1">
      <alignment vertical="top"/>
    </xf>
    <xf numFmtId="171" fontId="3" fillId="0" borderId="0" xfId="2" applyNumberFormat="1" applyFont="1" applyBorder="1" applyAlignment="1">
      <alignment vertical="top"/>
    </xf>
    <xf numFmtId="164" fontId="53" fillId="0" borderId="15" xfId="7" applyNumberFormat="1" applyFont="1" applyBorder="1" applyAlignment="1">
      <alignment vertical="top"/>
    </xf>
    <xf numFmtId="0" fontId="3" fillId="0" borderId="0" xfId="7" applyFont="1" applyAlignment="1">
      <alignment horizontal="center" vertical="top"/>
    </xf>
    <xf numFmtId="0" fontId="57" fillId="0" borderId="0" xfId="7" applyFont="1"/>
    <xf numFmtId="0" fontId="29" fillId="0" borderId="0" xfId="7" applyFont="1"/>
    <xf numFmtId="0" fontId="55" fillId="0" borderId="0" xfId="7" applyFont="1" applyAlignment="1">
      <alignment horizontal="centerContinuous" vertical="top" wrapText="1"/>
    </xf>
    <xf numFmtId="0" fontId="55" fillId="0" borderId="7" xfId="7" applyFont="1" applyBorder="1" applyAlignment="1">
      <alignment vertical="top" wrapText="1"/>
    </xf>
    <xf numFmtId="0" fontId="55" fillId="0" borderId="12" xfId="7" applyFont="1" applyBorder="1" applyAlignment="1">
      <alignment horizontal="center" wrapText="1"/>
    </xf>
    <xf numFmtId="0" fontId="55" fillId="0" borderId="16" xfId="7" applyFont="1" applyBorder="1" applyAlignment="1">
      <alignment horizontal="center" vertical="center" wrapText="1"/>
    </xf>
    <xf numFmtId="0" fontId="55" fillId="0" borderId="14" xfId="7" applyFont="1" applyBorder="1" applyAlignment="1">
      <alignment horizontal="center" wrapText="1"/>
    </xf>
    <xf numFmtId="0" fontId="55" fillId="0" borderId="6" xfId="7" applyFont="1" applyBorder="1" applyAlignment="1">
      <alignment horizontal="center" wrapText="1"/>
    </xf>
    <xf numFmtId="0" fontId="55" fillId="0" borderId="8" xfId="7" applyFont="1" applyBorder="1" applyAlignment="1">
      <alignment horizontal="center" wrapText="1"/>
    </xf>
    <xf numFmtId="0" fontId="55" fillId="0" borderId="10" xfId="7" applyFont="1" applyBorder="1" applyAlignment="1">
      <alignment horizontal="center" wrapText="1"/>
    </xf>
    <xf numFmtId="0" fontId="55" fillId="0" borderId="16" xfId="7" applyFont="1" applyBorder="1" applyAlignment="1">
      <alignment horizontal="center" wrapText="1"/>
    </xf>
    <xf numFmtId="0" fontId="29" fillId="0" borderId="9" xfId="7" applyFont="1" applyBorder="1" applyAlignment="1">
      <alignment vertical="top" wrapText="1"/>
    </xf>
    <xf numFmtId="183" fontId="29" fillId="0" borderId="4" xfId="7" applyNumberFormat="1" applyFont="1" applyBorder="1" applyAlignment="1">
      <alignment horizontal="center" vertical="top" wrapText="1"/>
    </xf>
    <xf numFmtId="183" fontId="57" fillId="0" borderId="0" xfId="7" applyNumberFormat="1" applyFont="1" applyAlignment="1">
      <alignment horizontal="center" vertical="center" wrapText="1"/>
    </xf>
    <xf numFmtId="183" fontId="59" fillId="0" borderId="4" xfId="7" applyNumberFormat="1" applyFont="1" applyBorder="1" applyAlignment="1">
      <alignment horizontal="center" vertical="center" wrapText="1"/>
    </xf>
    <xf numFmtId="183" fontId="59" fillId="0" borderId="5" xfId="7" applyNumberFormat="1" applyFont="1" applyBorder="1" applyAlignment="1">
      <alignment horizontal="center" vertical="center" wrapText="1"/>
    </xf>
    <xf numFmtId="183" fontId="59" fillId="0" borderId="9" xfId="7" applyNumberFormat="1" applyFont="1" applyBorder="1" applyAlignment="1">
      <alignment horizontal="center" vertical="center" wrapText="1"/>
    </xf>
    <xf numFmtId="0" fontId="29" fillId="0" borderId="9" xfId="7" applyFont="1" applyBorder="1" applyAlignment="1">
      <alignment horizontal="left" vertical="top" wrapText="1" indent="1"/>
    </xf>
    <xf numFmtId="183" fontId="59" fillId="0" borderId="4" xfId="7" applyNumberFormat="1" applyFont="1" applyBorder="1" applyAlignment="1">
      <alignment horizontal="center" vertical="top" wrapText="1"/>
    </xf>
    <xf numFmtId="183" fontId="29" fillId="0" borderId="0" xfId="7" applyNumberFormat="1" applyFont="1" applyAlignment="1">
      <alignment vertical="top" wrapText="1"/>
    </xf>
    <xf numFmtId="183" fontId="29" fillId="0" borderId="0" xfId="7" applyNumberFormat="1" applyFont="1" applyAlignment="1">
      <alignment horizontal="center" vertical="top" wrapText="1"/>
    </xf>
    <xf numFmtId="183" fontId="29" fillId="0" borderId="4" xfId="7" applyNumberFormat="1" applyFont="1" applyBorder="1" applyAlignment="1">
      <alignment horizontal="center" vertical="center" wrapText="1"/>
    </xf>
    <xf numFmtId="183" fontId="29" fillId="0" borderId="5" xfId="7" applyNumberFormat="1" applyFont="1" applyBorder="1" applyAlignment="1">
      <alignment horizontal="center" vertical="center" wrapText="1"/>
    </xf>
    <xf numFmtId="183" fontId="29" fillId="0" borderId="9" xfId="7" applyNumberFormat="1" applyFont="1" applyBorder="1" applyAlignment="1">
      <alignment horizontal="center" vertical="center" wrapText="1"/>
    </xf>
    <xf numFmtId="183" fontId="29" fillId="0" borderId="4" xfId="7" applyNumberFormat="1" applyFont="1" applyBorder="1"/>
    <xf numFmtId="183" fontId="29" fillId="0" borderId="4" xfId="7" applyNumberFormat="1" applyFont="1" applyBorder="1" applyAlignment="1">
      <alignment vertical="top" wrapText="1"/>
    </xf>
    <xf numFmtId="183" fontId="29" fillId="0" borderId="5" xfId="7" applyNumberFormat="1" applyFont="1" applyBorder="1" applyAlignment="1">
      <alignment vertical="top" wrapText="1"/>
    </xf>
    <xf numFmtId="183" fontId="29" fillId="0" borderId="9" xfId="7" applyNumberFormat="1" applyFont="1" applyBorder="1" applyAlignment="1">
      <alignment vertical="top" wrapText="1"/>
    </xf>
    <xf numFmtId="183" fontId="29" fillId="0" borderId="5" xfId="7" applyNumberFormat="1" applyFont="1" applyBorder="1" applyAlignment="1">
      <alignment horizontal="center" vertical="top" wrapText="1"/>
    </xf>
    <xf numFmtId="183" fontId="29" fillId="0" borderId="9" xfId="7" applyNumberFormat="1" applyFont="1" applyBorder="1" applyAlignment="1">
      <alignment horizontal="center" vertical="top" wrapText="1"/>
    </xf>
    <xf numFmtId="183" fontId="59" fillId="0" borderId="5" xfId="7" applyNumberFormat="1" applyFont="1" applyBorder="1" applyAlignment="1">
      <alignment horizontal="center" vertical="top" wrapText="1"/>
    </xf>
    <xf numFmtId="183" fontId="57" fillId="0" borderId="9" xfId="7" applyNumberFormat="1" applyFont="1" applyBorder="1" applyAlignment="1">
      <alignment horizontal="center" vertical="top" wrapText="1"/>
    </xf>
    <xf numFmtId="183" fontId="57" fillId="0" borderId="4" xfId="7" applyNumberFormat="1" applyFont="1" applyBorder="1" applyAlignment="1">
      <alignment horizontal="center" vertical="top" wrapText="1"/>
    </xf>
    <xf numFmtId="183" fontId="59" fillId="0" borderId="0" xfId="7" applyNumberFormat="1" applyFont="1" applyAlignment="1">
      <alignment horizontal="center" vertical="top" wrapText="1"/>
    </xf>
    <xf numFmtId="183" fontId="29" fillId="0" borderId="0" xfId="7" applyNumberFormat="1" applyFont="1"/>
    <xf numFmtId="183" fontId="29" fillId="0" borderId="5" xfId="7" applyNumberFormat="1" applyFont="1" applyBorder="1"/>
    <xf numFmtId="183" fontId="29" fillId="0" borderId="9" xfId="7" applyNumberFormat="1" applyFont="1" applyBorder="1"/>
    <xf numFmtId="183" fontId="59" fillId="0" borderId="9" xfId="7" applyNumberFormat="1" applyFont="1" applyBorder="1" applyAlignment="1">
      <alignment horizontal="center" vertical="top" wrapText="1"/>
    </xf>
    <xf numFmtId="2" fontId="57" fillId="0" borderId="5" xfId="7" applyNumberFormat="1" applyFont="1" applyBorder="1" applyAlignment="1">
      <alignment horizontal="center" vertical="center" wrapText="1"/>
    </xf>
    <xf numFmtId="2" fontId="57" fillId="0" borderId="5" xfId="7" applyNumberFormat="1" applyFont="1" applyBorder="1" applyAlignment="1">
      <alignment horizontal="center" vertical="top" wrapText="1"/>
    </xf>
    <xf numFmtId="2" fontId="57" fillId="0" borderId="5" xfId="7" applyNumberFormat="1" applyFont="1" applyBorder="1"/>
    <xf numFmtId="183" fontId="57" fillId="0" borderId="9" xfId="7" applyNumberFormat="1" applyFont="1" applyBorder="1"/>
    <xf numFmtId="0" fontId="29" fillId="0" borderId="9" xfId="7" applyFont="1" applyBorder="1" applyAlignment="1">
      <alignment horizontal="justify" vertical="top" wrapText="1"/>
    </xf>
    <xf numFmtId="2" fontId="29" fillId="0" borderId="5" xfId="7" applyNumberFormat="1" applyFont="1" applyBorder="1"/>
    <xf numFmtId="183" fontId="29" fillId="0" borderId="0" xfId="7" quotePrefix="1" applyNumberFormat="1" applyFont="1" applyAlignment="1">
      <alignment horizontal="center" vertical="top" wrapText="1"/>
    </xf>
    <xf numFmtId="2" fontId="59" fillId="0" borderId="5" xfId="7" applyNumberFormat="1" applyFont="1" applyBorder="1" applyAlignment="1">
      <alignment horizontal="center" vertical="center" wrapText="1"/>
    </xf>
    <xf numFmtId="0" fontId="29" fillId="0" borderId="4" xfId="7" applyFont="1" applyBorder="1" applyAlignment="1">
      <alignment vertical="top" wrapText="1"/>
    </xf>
    <xf numFmtId="0" fontId="29" fillId="0" borderId="0" xfId="7" applyFont="1" applyAlignment="1">
      <alignment vertical="top" wrapText="1"/>
    </xf>
    <xf numFmtId="2" fontId="29" fillId="0" borderId="5" xfId="7" applyNumberFormat="1" applyFont="1" applyBorder="1" applyAlignment="1">
      <alignment vertical="top" wrapText="1"/>
    </xf>
    <xf numFmtId="0" fontId="29" fillId="0" borderId="5" xfId="7" applyFont="1" applyBorder="1" applyAlignment="1">
      <alignment vertical="top" wrapText="1"/>
    </xf>
    <xf numFmtId="0" fontId="29" fillId="0" borderId="9" xfId="27" applyFont="1" applyFill="1" applyBorder="1" applyAlignment="1">
      <alignment vertical="center" wrapText="1"/>
    </xf>
    <xf numFmtId="0" fontId="29" fillId="0" borderId="4" xfId="27" applyFont="1" applyFill="1" applyBorder="1" applyAlignment="1">
      <alignment vertical="center" wrapText="1"/>
    </xf>
    <xf numFmtId="0" fontId="29" fillId="0" borderId="0" xfId="27" applyFont="1" applyFill="1" applyAlignment="1">
      <alignment vertical="center" wrapText="1"/>
    </xf>
    <xf numFmtId="2" fontId="59" fillId="0" borderId="5" xfId="27" applyNumberFormat="1" applyFont="1" applyFill="1" applyBorder="1" applyAlignment="1">
      <alignment horizontal="center" vertical="center" wrapText="1"/>
    </xf>
    <xf numFmtId="0" fontId="29" fillId="0" borderId="5" xfId="27" applyFont="1" applyFill="1" applyBorder="1" applyAlignment="1">
      <alignment vertical="center" wrapText="1"/>
    </xf>
    <xf numFmtId="183" fontId="29" fillId="0" borderId="4" xfId="27" applyNumberFormat="1" applyFont="1" applyFill="1" applyBorder="1" applyAlignment="1">
      <alignment horizontal="center" vertical="center" wrapText="1"/>
    </xf>
    <xf numFmtId="183" fontId="29" fillId="0" borderId="0" xfId="27" applyNumberFormat="1" applyFont="1" applyFill="1" applyAlignment="1">
      <alignment horizontal="center" vertical="center" wrapText="1"/>
    </xf>
    <xf numFmtId="183" fontId="59" fillId="0" borderId="5" xfId="27" applyNumberFormat="1" applyFont="1" applyFill="1" applyBorder="1" applyAlignment="1">
      <alignment horizontal="center" vertical="center" wrapText="1"/>
    </xf>
    <xf numFmtId="183" fontId="57" fillId="0" borderId="5" xfId="27" applyNumberFormat="1" applyFont="1" applyFill="1" applyBorder="1" applyAlignment="1">
      <alignment horizontal="center" vertical="center" wrapText="1"/>
    </xf>
    <xf numFmtId="183" fontId="29" fillId="0" borderId="9" xfId="27" applyNumberFormat="1" applyFont="1" applyFill="1" applyBorder="1" applyAlignment="1">
      <alignment horizontal="center" vertical="center" wrapText="1"/>
    </xf>
    <xf numFmtId="183" fontId="57" fillId="0" borderId="5" xfId="27" applyNumberFormat="1" applyFont="1" applyFill="1" applyBorder="1" applyAlignment="1">
      <alignment horizontal="right" vertical="center" wrapText="1"/>
    </xf>
    <xf numFmtId="0" fontId="57" fillId="0" borderId="5" xfId="27" applyFont="1" applyFill="1" applyBorder="1" applyAlignment="1">
      <alignment vertical="center" wrapText="1"/>
    </xf>
    <xf numFmtId="0" fontId="29" fillId="0" borderId="16" xfId="7" applyFont="1" applyBorder="1" applyAlignment="1">
      <alignment vertical="top" wrapText="1"/>
    </xf>
    <xf numFmtId="0" fontId="29" fillId="0" borderId="14" xfId="7" applyFont="1" applyBorder="1" applyAlignment="1">
      <alignment horizontal="centerContinuous" vertical="top" wrapText="1"/>
    </xf>
    <xf numFmtId="0" fontId="29" fillId="0" borderId="11" xfId="7" applyFont="1" applyBorder="1" applyAlignment="1">
      <alignment horizontal="centerContinuous" vertical="top" wrapText="1"/>
    </xf>
    <xf numFmtId="0" fontId="29" fillId="0" borderId="13" xfId="7" applyFont="1" applyBorder="1" applyAlignment="1">
      <alignment horizontal="centerContinuous" vertical="top" wrapText="1"/>
    </xf>
    <xf numFmtId="0" fontId="29" fillId="0" borderId="12" xfId="7" applyFont="1" applyBorder="1" applyAlignment="1">
      <alignment horizontal="centerContinuous" vertical="top" wrapText="1"/>
    </xf>
    <xf numFmtId="0" fontId="29" fillId="0" borderId="0" xfId="7" applyFont="1" applyAlignment="1">
      <alignment horizontal="centerContinuous" vertical="top" wrapText="1"/>
    </xf>
    <xf numFmtId="0" fontId="29" fillId="0" borderId="0" xfId="27" applyFont="1" applyFill="1" applyAlignment="1">
      <alignment horizontal="centerContinuous" vertical="center" wrapText="1"/>
    </xf>
    <xf numFmtId="43" fontId="3" fillId="0" borderId="0" xfId="2" applyFont="1" applyAlignment="1">
      <alignment vertical="top"/>
    </xf>
    <xf numFmtId="43" fontId="3" fillId="0" borderId="0" xfId="2" applyFont="1" applyFill="1" applyAlignment="1">
      <alignment vertical="top"/>
    </xf>
    <xf numFmtId="0" fontId="14" fillId="0" borderId="0" xfId="0" applyFont="1" applyAlignment="1" applyProtection="1">
      <alignment horizontal="left" indent="2"/>
      <protection locked="0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horizontal="right"/>
      <protection locked="0"/>
    </xf>
    <xf numFmtId="0" fontId="14" fillId="0" borderId="0" xfId="0" applyFont="1" applyAlignment="1" applyProtection="1">
      <alignment horizontal="center"/>
      <protection locked="0"/>
    </xf>
    <xf numFmtId="0" fontId="14" fillId="6" borderId="0" xfId="0" applyFont="1" applyFill="1" applyAlignment="1" applyProtection="1">
      <alignment horizontal="center"/>
      <protection locked="0"/>
    </xf>
    <xf numFmtId="0" fontId="14" fillId="0" borderId="0" xfId="0" applyFont="1"/>
    <xf numFmtId="164" fontId="14" fillId="0" borderId="0" xfId="12" applyNumberFormat="1" applyFont="1" applyFill="1" applyBorder="1"/>
    <xf numFmtId="164" fontId="14" fillId="0" borderId="0" xfId="0" applyNumberFormat="1" applyFont="1"/>
    <xf numFmtId="0" fontId="16" fillId="5" borderId="0" xfId="4" applyFont="1" applyFill="1" applyAlignment="1">
      <alignment horizontal="left"/>
    </xf>
    <xf numFmtId="0" fontId="16" fillId="5" borderId="0" xfId="4" applyFont="1" applyFill="1"/>
    <xf numFmtId="43" fontId="14" fillId="11" borderId="0" xfId="12" applyFont="1" applyFill="1" applyProtection="1">
      <protection locked="0"/>
    </xf>
    <xf numFmtId="0" fontId="14" fillId="3" borderId="6" xfId="15" applyFont="1" applyFill="1" applyBorder="1" applyAlignment="1">
      <alignment horizontal="center"/>
    </xf>
    <xf numFmtId="174" fontId="14" fillId="3" borderId="0" xfId="29" applyNumberFormat="1" applyFont="1" applyFill="1"/>
    <xf numFmtId="10" fontId="14" fillId="0" borderId="0" xfId="11" applyNumberFormat="1" applyFont="1" applyFill="1" applyBorder="1"/>
    <xf numFmtId="0" fontId="60" fillId="0" borderId="0" xfId="32" applyFont="1" applyAlignment="1">
      <alignment vertical="center"/>
    </xf>
    <xf numFmtId="0" fontId="61" fillId="0" borderId="0" xfId="32" applyFont="1" applyAlignment="1">
      <alignment vertical="center"/>
    </xf>
    <xf numFmtId="164" fontId="4" fillId="0" borderId="0" xfId="2" applyNumberFormat="1" applyFont="1" applyAlignment="1">
      <alignment horizontal="left" vertical="center"/>
    </xf>
    <xf numFmtId="0" fontId="12" fillId="0" borderId="0" xfId="32" applyFont="1" applyAlignment="1">
      <alignment vertical="center"/>
    </xf>
    <xf numFmtId="0" fontId="4" fillId="0" borderId="0" xfId="32" applyFont="1" applyAlignment="1" applyProtection="1">
      <alignment vertical="center"/>
      <protection locked="0"/>
    </xf>
    <xf numFmtId="0" fontId="9" fillId="0" borderId="0" xfId="32" applyFont="1" applyAlignment="1" applyProtection="1">
      <alignment vertical="center"/>
      <protection locked="0"/>
    </xf>
    <xf numFmtId="0" fontId="4" fillId="0" borderId="0" xfId="32" applyFont="1" applyAlignment="1">
      <alignment horizontal="right" vertical="center"/>
    </xf>
    <xf numFmtId="0" fontId="4" fillId="6" borderId="0" xfId="32" applyFont="1" applyFill="1" applyAlignment="1">
      <alignment vertical="center"/>
    </xf>
    <xf numFmtId="0" fontId="4" fillId="6" borderId="0" xfId="32" applyFont="1" applyFill="1" applyAlignment="1" applyProtection="1">
      <alignment horizontal="center" vertical="center"/>
      <protection locked="0"/>
    </xf>
    <xf numFmtId="0" fontId="6" fillId="6" borderId="0" xfId="32" applyFont="1" applyFill="1" applyAlignment="1">
      <alignment horizontal="centerContinuous" vertical="center"/>
    </xf>
    <xf numFmtId="164" fontId="6" fillId="6" borderId="0" xfId="2" applyNumberFormat="1" applyFont="1" applyFill="1" applyAlignment="1">
      <alignment horizontal="centerContinuous" vertical="center"/>
    </xf>
    <xf numFmtId="0" fontId="4" fillId="6" borderId="0" xfId="32" applyFont="1" applyFill="1" applyAlignment="1">
      <alignment horizontal="centerContinuous" vertical="center"/>
    </xf>
    <xf numFmtId="164" fontId="4" fillId="0" borderId="6" xfId="2" applyNumberFormat="1" applyFont="1" applyBorder="1" applyAlignment="1">
      <alignment horizontal="left" vertical="center"/>
    </xf>
    <xf numFmtId="0" fontId="4" fillId="0" borderId="6" xfId="32" applyFont="1" applyBorder="1" applyAlignment="1">
      <alignment vertical="center"/>
    </xf>
    <xf numFmtId="0" fontId="32" fillId="0" borderId="0" xfId="32" applyFont="1" applyAlignment="1" applyProtection="1">
      <alignment horizontal="right" vertical="center"/>
      <protection locked="0"/>
    </xf>
    <xf numFmtId="0" fontId="4" fillId="0" borderId="0" xfId="32" applyFont="1" applyAlignment="1" applyProtection="1">
      <alignment horizontal="left" vertical="center"/>
      <protection locked="0"/>
    </xf>
    <xf numFmtId="0" fontId="4" fillId="0" borderId="0" xfId="32" applyFont="1" applyAlignment="1" applyProtection="1">
      <alignment horizontal="right" vertical="center"/>
      <protection locked="0"/>
    </xf>
    <xf numFmtId="164" fontId="4" fillId="0" borderId="0" xfId="1" quotePrefix="1" applyNumberFormat="1" applyFont="1" applyAlignment="1">
      <alignment vertical="center"/>
    </xf>
    <xf numFmtId="0" fontId="4" fillId="0" borderId="6" xfId="32" applyFont="1" applyBorder="1" applyAlignment="1" applyProtection="1">
      <alignment horizontal="center" vertical="center"/>
      <protection locked="0"/>
    </xf>
    <xf numFmtId="0" fontId="4" fillId="0" borderId="6" xfId="32" applyFont="1" applyBorder="1" applyAlignment="1">
      <alignment horizontal="centerContinuous" vertical="center"/>
    </xf>
    <xf numFmtId="165" fontId="4" fillId="0" borderId="0" xfId="2" applyNumberFormat="1" applyFont="1" applyBorder="1" applyAlignment="1">
      <alignment horizontal="center" vertical="center"/>
    </xf>
    <xf numFmtId="165" fontId="51" fillId="0" borderId="0" xfId="2" applyNumberFormat="1" applyFont="1" applyBorder="1" applyAlignment="1">
      <alignment horizontal="center" vertical="center"/>
    </xf>
    <xf numFmtId="0" fontId="4" fillId="0" borderId="0" xfId="32" applyFont="1" applyAlignment="1">
      <alignment horizontal="center" vertical="center"/>
    </xf>
    <xf numFmtId="164" fontId="51" fillId="0" borderId="0" xfId="2" applyNumberFormat="1" applyFont="1" applyBorder="1" applyAlignment="1">
      <alignment horizontal="center" vertical="center"/>
    </xf>
    <xf numFmtId="0" fontId="4" fillId="0" borderId="0" xfId="17" applyFont="1" applyAlignment="1">
      <alignment horizontal="center" vertical="center"/>
    </xf>
    <xf numFmtId="0" fontId="51" fillId="0" borderId="0" xfId="17" applyFont="1" applyAlignment="1">
      <alignment horizontal="center" vertical="center"/>
    </xf>
    <xf numFmtId="0" fontId="4" fillId="6" borderId="0" xfId="32" applyFont="1" applyFill="1" applyAlignment="1">
      <alignment horizontal="center" vertical="center"/>
    </xf>
    <xf numFmtId="0" fontId="4" fillId="0" borderId="6" xfId="32" applyFont="1" applyBorder="1" applyAlignment="1">
      <alignment horizontal="center" vertical="center"/>
    </xf>
    <xf numFmtId="164" fontId="51" fillId="0" borderId="6" xfId="2" applyNumberFormat="1" applyFont="1" applyBorder="1" applyAlignment="1">
      <alignment horizontal="center" vertical="center"/>
    </xf>
    <xf numFmtId="164" fontId="62" fillId="0" borderId="6" xfId="2" applyNumberFormat="1" applyFont="1" applyBorder="1" applyAlignment="1">
      <alignment horizontal="left" vertical="center"/>
    </xf>
    <xf numFmtId="0" fontId="4" fillId="0" borderId="6" xfId="17" applyFont="1" applyBorder="1" applyAlignment="1">
      <alignment horizontal="center" vertical="center"/>
    </xf>
    <xf numFmtId="0" fontId="51" fillId="0" borderId="6" xfId="17" applyFont="1" applyBorder="1" applyAlignment="1">
      <alignment horizontal="center" vertical="center"/>
    </xf>
    <xf numFmtId="0" fontId="7" fillId="0" borderId="0" xfId="32" applyFont="1" applyAlignment="1">
      <alignment vertical="center"/>
    </xf>
    <xf numFmtId="164" fontId="62" fillId="0" borderId="0" xfId="2" applyNumberFormat="1" applyFont="1" applyBorder="1" applyAlignment="1">
      <alignment horizontal="left" vertical="center"/>
    </xf>
    <xf numFmtId="168" fontId="14" fillId="0" borderId="0" xfId="2" applyNumberFormat="1" applyFont="1" applyAlignment="1">
      <alignment vertical="center"/>
    </xf>
    <xf numFmtId="0" fontId="51" fillId="0" borderId="0" xfId="17" applyFont="1" applyAlignment="1">
      <alignment vertical="center"/>
    </xf>
    <xf numFmtId="164" fontId="4" fillId="0" borderId="0" xfId="2" applyNumberFormat="1" applyFont="1" applyBorder="1" applyAlignment="1" applyProtection="1">
      <alignment horizontal="left" vertical="center"/>
      <protection locked="0"/>
    </xf>
    <xf numFmtId="164" fontId="4" fillId="0" borderId="0" xfId="2" applyNumberFormat="1" applyFont="1" applyFill="1" applyBorder="1" applyAlignment="1" applyProtection="1">
      <alignment horizontal="center" vertical="center"/>
    </xf>
    <xf numFmtId="164" fontId="4" fillId="0" borderId="0" xfId="2" applyNumberFormat="1" applyFont="1" applyFill="1" applyBorder="1" applyAlignment="1" applyProtection="1">
      <alignment horizontal="left" vertical="center"/>
      <protection locked="0"/>
    </xf>
    <xf numFmtId="164" fontId="4" fillId="0" borderId="0" xfId="32" applyNumberFormat="1" applyFont="1" applyAlignment="1">
      <alignment vertical="center"/>
    </xf>
    <xf numFmtId="164" fontId="4" fillId="0" borderId="0" xfId="2" applyNumberFormat="1" applyFont="1" applyFill="1" applyBorder="1" applyAlignment="1">
      <alignment horizontal="left" vertical="center"/>
    </xf>
    <xf numFmtId="164" fontId="4" fillId="0" borderId="2" xfId="2" applyNumberFormat="1" applyFont="1" applyBorder="1" applyAlignment="1" applyProtection="1">
      <alignment horizontal="left" vertical="center"/>
      <protection locked="0"/>
    </xf>
    <xf numFmtId="164" fontId="4" fillId="0" borderId="2" xfId="2" applyNumberFormat="1" applyFont="1" applyFill="1" applyBorder="1" applyAlignment="1" applyProtection="1">
      <alignment horizontal="left" vertical="center"/>
      <protection locked="0"/>
    </xf>
    <xf numFmtId="164" fontId="4" fillId="6" borderId="0" xfId="2" applyNumberFormat="1" applyFont="1" applyFill="1" applyBorder="1" applyAlignment="1" applyProtection="1">
      <alignment horizontal="left" vertical="center"/>
      <protection locked="0"/>
    </xf>
    <xf numFmtId="0" fontId="4" fillId="3" borderId="0" xfId="32" applyFont="1" applyFill="1" applyAlignment="1">
      <alignment horizontal="center" vertical="center"/>
    </xf>
    <xf numFmtId="0" fontId="4" fillId="3" borderId="0" xfId="32" applyFont="1" applyFill="1" applyAlignment="1">
      <alignment horizontal="left" vertical="center"/>
    </xf>
    <xf numFmtId="0" fontId="4" fillId="3" borderId="0" xfId="17" applyFont="1" applyFill="1" applyAlignment="1">
      <alignment horizontal="left" vertical="center"/>
    </xf>
    <xf numFmtId="0" fontId="4" fillId="3" borderId="0" xfId="32" applyFont="1" applyFill="1" applyAlignment="1">
      <alignment vertical="center"/>
    </xf>
    <xf numFmtId="164" fontId="4" fillId="3" borderId="0" xfId="32" applyNumberFormat="1" applyFont="1" applyFill="1" applyAlignment="1">
      <alignment vertical="center"/>
    </xf>
    <xf numFmtId="164" fontId="4" fillId="3" borderId="0" xfId="2" applyNumberFormat="1" applyFont="1" applyFill="1" applyAlignment="1">
      <alignment vertical="center"/>
    </xf>
    <xf numFmtId="0" fontId="4" fillId="0" borderId="0" xfId="17" applyFont="1" applyAlignment="1">
      <alignment horizontal="left" vertical="center" indent="1"/>
    </xf>
    <xf numFmtId="0" fontId="4" fillId="0" borderId="0" xfId="32" applyFont="1" applyAlignment="1">
      <alignment horizontal="left" vertical="center" indent="1"/>
    </xf>
    <xf numFmtId="184" fontId="8" fillId="0" borderId="0" xfId="40" applyNumberFormat="1" applyFont="1" applyAlignment="1">
      <alignment horizontal="left"/>
    </xf>
    <xf numFmtId="164" fontId="4" fillId="6" borderId="0" xfId="32" applyNumberFormat="1" applyFont="1" applyFill="1" applyAlignment="1">
      <alignment vertical="center"/>
    </xf>
    <xf numFmtId="164" fontId="4" fillId="0" borderId="2" xfId="2" applyNumberFormat="1" applyFont="1" applyFill="1" applyBorder="1" applyAlignment="1">
      <alignment horizontal="left" vertical="center"/>
    </xf>
    <xf numFmtId="164" fontId="4" fillId="0" borderId="2" xfId="2" applyNumberFormat="1" applyFont="1" applyBorder="1" applyAlignment="1">
      <alignment horizontal="left" vertical="center"/>
    </xf>
    <xf numFmtId="164" fontId="4" fillId="0" borderId="2" xfId="2" applyNumberFormat="1" applyFont="1" applyFill="1" applyBorder="1" applyAlignment="1">
      <alignment vertical="center"/>
    </xf>
    <xf numFmtId="164" fontId="9" fillId="0" borderId="0" xfId="2" applyNumberFormat="1" applyFont="1" applyFill="1" applyAlignment="1">
      <alignment horizontal="left" vertical="center"/>
    </xf>
    <xf numFmtId="0" fontId="6" fillId="0" borderId="0" xfId="17" applyFont="1" applyAlignment="1">
      <alignment vertical="center"/>
    </xf>
    <xf numFmtId="0" fontId="6" fillId="3" borderId="0" xfId="17" applyFont="1" applyFill="1" applyAlignment="1">
      <alignment vertical="center"/>
    </xf>
    <xf numFmtId="164" fontId="4" fillId="3" borderId="0" xfId="2" applyNumberFormat="1" applyFont="1" applyFill="1" applyBorder="1" applyAlignment="1">
      <alignment horizontal="left" vertical="center"/>
    </xf>
    <xf numFmtId="0" fontId="6" fillId="0" borderId="0" xfId="32" applyFont="1" applyAlignment="1">
      <alignment vertical="center"/>
    </xf>
    <xf numFmtId="164" fontId="4" fillId="6" borderId="0" xfId="2" applyNumberFormat="1" applyFont="1" applyFill="1" applyAlignment="1">
      <alignment vertical="center"/>
    </xf>
    <xf numFmtId="164" fontId="4" fillId="0" borderId="0" xfId="2" applyNumberFormat="1" applyFont="1" applyAlignment="1">
      <alignment vertical="center" wrapText="1"/>
    </xf>
    <xf numFmtId="168" fontId="4" fillId="0" borderId="0" xfId="2" applyNumberFormat="1" applyFont="1" applyAlignment="1">
      <alignment vertical="center"/>
    </xf>
    <xf numFmtId="164" fontId="14" fillId="0" borderId="0" xfId="15" applyNumberFormat="1" applyFont="1" applyFill="1" applyAlignment="1">
      <alignment horizontal="center"/>
    </xf>
    <xf numFmtId="174" fontId="14" fillId="0" borderId="0" xfId="29" applyNumberFormat="1" applyFont="1" applyFill="1"/>
    <xf numFmtId="10" fontId="14" fillId="0" borderId="0" xfId="29" applyNumberFormat="1" applyFont="1" applyFill="1"/>
    <xf numFmtId="164" fontId="46" fillId="0" borderId="0" xfId="12" applyNumberFormat="1" applyFont="1"/>
    <xf numFmtId="10" fontId="4" fillId="0" borderId="0" xfId="14" applyNumberFormat="1" applyFont="1" applyFill="1" applyAlignment="1">
      <alignment vertical="center"/>
    </xf>
    <xf numFmtId="0" fontId="0" fillId="0" borderId="0" xfId="0" applyAlignment="1">
      <alignment horizontal="center"/>
    </xf>
    <xf numFmtId="9" fontId="0" fillId="0" borderId="0" xfId="29" applyFont="1" applyAlignment="1">
      <alignment horizontal="center"/>
    </xf>
    <xf numFmtId="10" fontId="14" fillId="0" borderId="0" xfId="11" applyNumberFormat="1" applyFont="1" applyAlignment="1">
      <alignment horizontal="right"/>
    </xf>
    <xf numFmtId="177" fontId="14" fillId="0" borderId="0" xfId="4" applyNumberFormat="1" applyFont="1" applyAlignment="1">
      <alignment horizontal="center"/>
    </xf>
    <xf numFmtId="174" fontId="14" fillId="0" borderId="0" xfId="29" applyNumberFormat="1" applyFont="1"/>
    <xf numFmtId="171" fontId="14" fillId="11" borderId="0" xfId="12" applyNumberFormat="1" applyFont="1" applyFill="1" applyProtection="1">
      <protection locked="0"/>
    </xf>
    <xf numFmtId="10" fontId="4" fillId="0" borderId="0" xfId="11" applyNumberFormat="1" applyFont="1" applyFill="1" applyBorder="1" applyAlignment="1" applyProtection="1">
      <alignment horizontal="right" vertical="center"/>
      <protection locked="0"/>
    </xf>
    <xf numFmtId="10" fontId="4" fillId="0" borderId="15" xfId="11" applyNumberFormat="1" applyFont="1" applyFill="1" applyBorder="1" applyAlignment="1" applyProtection="1">
      <alignment vertical="center"/>
      <protection locked="0"/>
    </xf>
    <xf numFmtId="10" fontId="14" fillId="0" borderId="0" xfId="29" applyNumberFormat="1" applyFont="1" applyAlignment="1">
      <alignment horizontal="center"/>
    </xf>
    <xf numFmtId="164" fontId="18" fillId="0" borderId="0" xfId="14" applyNumberFormat="1" applyFont="1" applyProtection="1">
      <protection locked="0"/>
    </xf>
    <xf numFmtId="0" fontId="18" fillId="0" borderId="0" xfId="15" applyFont="1" applyFill="1"/>
    <xf numFmtId="164" fontId="18" fillId="0" borderId="0" xfId="12" applyNumberFormat="1" applyFont="1" applyProtection="1">
      <protection locked="0"/>
    </xf>
    <xf numFmtId="164" fontId="18" fillId="0" borderId="0" xfId="2" applyNumberFormat="1" applyFont="1" applyProtection="1">
      <protection locked="0"/>
    </xf>
    <xf numFmtId="185" fontId="18" fillId="0" borderId="0" xfId="2" applyNumberFormat="1" applyFont="1" applyProtection="1">
      <protection locked="0"/>
    </xf>
    <xf numFmtId="164" fontId="3" fillId="0" borderId="0" xfId="2" applyNumberFormat="1" applyFont="1" applyFill="1" applyBorder="1" applyAlignment="1">
      <alignment vertical="center"/>
    </xf>
    <xf numFmtId="0" fontId="3" fillId="0" borderId="0" xfId="4" applyAlignment="1">
      <alignment vertical="center"/>
    </xf>
    <xf numFmtId="0" fontId="63" fillId="12" borderId="0" xfId="17" applyFont="1" applyFill="1" applyAlignment="1">
      <alignment horizontal="centerContinuous"/>
    </xf>
    <xf numFmtId="0" fontId="48" fillId="0" borderId="0" xfId="17" applyFont="1" applyAlignment="1">
      <alignment horizontal="left"/>
    </xf>
    <xf numFmtId="0" fontId="48" fillId="0" borderId="0" xfId="17" applyFont="1" applyAlignment="1" applyProtection="1">
      <alignment horizontal="left"/>
      <protection locked="0"/>
    </xf>
    <xf numFmtId="0" fontId="48" fillId="0" borderId="0" xfId="17" applyFont="1"/>
    <xf numFmtId="0" fontId="48" fillId="0" borderId="0" xfId="17" applyFont="1" applyProtection="1">
      <protection locked="0"/>
    </xf>
    <xf numFmtId="0" fontId="48" fillId="0" borderId="0" xfId="17" applyFont="1" applyAlignment="1">
      <alignment horizontal="right"/>
    </xf>
    <xf numFmtId="0" fontId="48" fillId="0" borderId="6" xfId="17" applyFont="1" applyBorder="1" applyAlignment="1">
      <alignment horizontal="left"/>
    </xf>
    <xf numFmtId="0" fontId="48" fillId="0" borderId="6" xfId="17" applyFont="1" applyBorder="1"/>
    <xf numFmtId="0" fontId="48" fillId="0" borderId="0" xfId="32" applyFont="1" applyAlignment="1">
      <alignment horizontal="left" vertical="center"/>
    </xf>
    <xf numFmtId="0" fontId="48" fillId="0" borderId="0" xfId="4" applyFont="1" applyAlignment="1">
      <alignment horizontal="left"/>
    </xf>
    <xf numFmtId="0" fontId="64" fillId="0" borderId="0" xfId="17" applyFont="1" applyAlignment="1">
      <alignment horizontal="left"/>
    </xf>
    <xf numFmtId="0" fontId="65" fillId="12" borderId="11" xfId="17" quotePrefix="1" applyFont="1" applyFill="1" applyBorder="1" applyAlignment="1">
      <alignment horizontal="centerContinuous"/>
    </xf>
    <xf numFmtId="0" fontId="65" fillId="12" borderId="11" xfId="17" applyFont="1" applyFill="1" applyBorder="1" applyAlignment="1">
      <alignment horizontal="centerContinuous"/>
    </xf>
    <xf numFmtId="0" fontId="65" fillId="12" borderId="11" xfId="17" applyFont="1" applyFill="1" applyBorder="1" applyAlignment="1" applyProtection="1">
      <alignment horizontal="centerContinuous"/>
      <protection locked="0"/>
    </xf>
    <xf numFmtId="164" fontId="65" fillId="0" borderId="0" xfId="2" applyNumberFormat="1" applyFont="1" applyFill="1" applyBorder="1" applyAlignment="1">
      <alignment vertical="center"/>
    </xf>
    <xf numFmtId="0" fontId="65" fillId="0" borderId="0" xfId="17" applyFont="1"/>
    <xf numFmtId="165" fontId="65" fillId="0" borderId="0" xfId="2" quotePrefix="1" applyNumberFormat="1" applyFont="1" applyFill="1" applyBorder="1" applyAlignment="1">
      <alignment horizontal="center" vertical="center"/>
    </xf>
    <xf numFmtId="0" fontId="65" fillId="0" borderId="0" xfId="17" applyFont="1" applyProtection="1">
      <protection locked="0"/>
    </xf>
    <xf numFmtId="164" fontId="48" fillId="0" borderId="0" xfId="2" applyNumberFormat="1" applyFont="1" applyFill="1" applyBorder="1" applyAlignment="1">
      <alignment vertical="center"/>
    </xf>
    <xf numFmtId="164" fontId="65" fillId="0" borderId="0" xfId="2" applyNumberFormat="1" applyFont="1" applyFill="1" applyBorder="1" applyAlignment="1">
      <alignment horizontal="center" vertical="center"/>
    </xf>
    <xf numFmtId="0" fontId="48" fillId="0" borderId="0" xfId="4" applyFont="1" applyAlignment="1">
      <alignment horizontal="center" vertical="center"/>
    </xf>
    <xf numFmtId="164" fontId="48" fillId="0" borderId="0" xfId="2" applyNumberFormat="1" applyFont="1" applyFill="1" applyBorder="1" applyAlignment="1">
      <alignment horizontal="right" vertical="center"/>
    </xf>
    <xf numFmtId="164" fontId="65" fillId="0" borderId="0" xfId="2" quotePrefix="1" applyNumberFormat="1" applyFont="1" applyFill="1" applyBorder="1" applyAlignment="1">
      <alignment horizontal="center" vertical="center"/>
    </xf>
    <xf numFmtId="164" fontId="65" fillId="0" borderId="6" xfId="2" applyNumberFormat="1" applyFont="1" applyFill="1" applyBorder="1" applyAlignment="1">
      <alignment horizontal="centerContinuous" vertical="center"/>
    </xf>
    <xf numFmtId="164" fontId="65" fillId="0" borderId="6" xfId="2" quotePrefix="1" applyNumberFormat="1" applyFont="1" applyFill="1" applyBorder="1" applyAlignment="1">
      <alignment horizontal="centerContinuous" vertical="center"/>
    </xf>
    <xf numFmtId="164" fontId="48" fillId="0" borderId="6" xfId="2" applyNumberFormat="1" applyFont="1" applyFill="1" applyBorder="1" applyAlignment="1">
      <alignment horizontal="right" vertical="center"/>
    </xf>
    <xf numFmtId="164" fontId="48" fillId="0" borderId="6" xfId="2" applyNumberFormat="1" applyFont="1" applyFill="1" applyBorder="1" applyAlignment="1">
      <alignment vertical="center"/>
    </xf>
    <xf numFmtId="164" fontId="65" fillId="0" borderId="6" xfId="2" applyNumberFormat="1" applyFont="1" applyFill="1" applyBorder="1" applyAlignment="1">
      <alignment horizontal="center" vertical="center"/>
    </xf>
    <xf numFmtId="164" fontId="65" fillId="0" borderId="6" xfId="2" quotePrefix="1" applyNumberFormat="1" applyFont="1" applyFill="1" applyBorder="1" applyAlignment="1">
      <alignment horizontal="center" vertical="center"/>
    </xf>
    <xf numFmtId="1" fontId="48" fillId="0" borderId="0" xfId="2" applyNumberFormat="1" applyFont="1" applyFill="1" applyBorder="1" applyAlignment="1" applyProtection="1">
      <alignment horizontal="right" vertical="center"/>
      <protection locked="0"/>
    </xf>
    <xf numFmtId="0" fontId="66" fillId="0" borderId="0" xfId="2" applyNumberFormat="1" applyFont="1" applyFill="1" applyBorder="1" applyAlignment="1">
      <alignment vertical="center"/>
    </xf>
    <xf numFmtId="166" fontId="48" fillId="0" borderId="0" xfId="2" applyNumberFormat="1" applyFont="1" applyFill="1" applyBorder="1" applyAlignment="1">
      <alignment vertical="center"/>
    </xf>
    <xf numFmtId="167" fontId="48" fillId="0" borderId="0" xfId="5" applyNumberFormat="1" applyFont="1" applyFill="1" applyBorder="1" applyAlignment="1">
      <alignment vertical="center"/>
    </xf>
    <xf numFmtId="1" fontId="48" fillId="0" borderId="0" xfId="4" applyNumberFormat="1" applyFont="1" applyAlignment="1" applyProtection="1">
      <alignment horizontal="right" vertical="center"/>
      <protection locked="0"/>
    </xf>
    <xf numFmtId="164" fontId="48" fillId="0" borderId="0" xfId="2" applyNumberFormat="1" applyFont="1" applyFill="1" applyBorder="1" applyAlignment="1">
      <alignment horizontal="center" vertical="center"/>
    </xf>
    <xf numFmtId="164" fontId="48" fillId="0" borderId="0" xfId="2" applyNumberFormat="1" applyFont="1" applyFill="1" applyBorder="1" applyAlignment="1">
      <alignment horizontal="left" vertical="center" indent="2"/>
    </xf>
    <xf numFmtId="5" fontId="48" fillId="0" borderId="0" xfId="2" applyNumberFormat="1" applyFont="1" applyFill="1" applyBorder="1" applyAlignment="1">
      <alignment vertical="center"/>
    </xf>
    <xf numFmtId="164" fontId="48" fillId="0" borderId="0" xfId="2" applyNumberFormat="1" applyFont="1" applyFill="1" applyBorder="1" applyAlignment="1">
      <alignment horizontal="left" vertical="center" indent="1"/>
    </xf>
    <xf numFmtId="164" fontId="48" fillId="0" borderId="11" xfId="2" applyNumberFormat="1" applyFont="1" applyFill="1" applyBorder="1" applyAlignment="1">
      <alignment vertical="center"/>
    </xf>
    <xf numFmtId="164" fontId="67" fillId="0" borderId="11" xfId="2" applyNumberFormat="1" applyFont="1" applyFill="1" applyBorder="1" applyAlignment="1">
      <alignment vertical="center"/>
    </xf>
    <xf numFmtId="164" fontId="68" fillId="0" borderId="0" xfId="2" applyNumberFormat="1" applyFont="1" applyFill="1" applyBorder="1" applyAlignment="1">
      <alignment vertical="center"/>
    </xf>
    <xf numFmtId="164" fontId="48" fillId="0" borderId="18" xfId="2" applyNumberFormat="1" applyFont="1" applyFill="1" applyBorder="1" applyAlignment="1">
      <alignment horizontal="left" vertical="center" indent="1"/>
    </xf>
    <xf numFmtId="0" fontId="48" fillId="0" borderId="18" xfId="17" applyFont="1" applyBorder="1"/>
    <xf numFmtId="5" fontId="48" fillId="0" borderId="15" xfId="5" applyNumberFormat="1" applyFont="1" applyFill="1" applyBorder="1" applyAlignment="1">
      <alignment vertical="center"/>
    </xf>
    <xf numFmtId="0" fontId="66" fillId="0" borderId="0" xfId="2" applyNumberFormat="1" applyFont="1" applyFill="1" applyBorder="1" applyAlignment="1"/>
    <xf numFmtId="173" fontId="48" fillId="0" borderId="0" xfId="11" applyNumberFormat="1" applyFont="1" applyFill="1" applyBorder="1" applyAlignment="1">
      <alignment vertical="center"/>
    </xf>
    <xf numFmtId="185" fontId="48" fillId="0" borderId="0" xfId="2" applyNumberFormat="1" applyFont="1" applyFill="1" applyBorder="1" applyAlignment="1">
      <alignment vertical="center"/>
    </xf>
    <xf numFmtId="10" fontId="48" fillId="0" borderId="0" xfId="11" applyNumberFormat="1" applyFont="1" applyFill="1" applyBorder="1" applyAlignment="1">
      <alignment vertical="center"/>
    </xf>
    <xf numFmtId="164" fontId="48" fillId="0" borderId="0" xfId="2" applyNumberFormat="1" applyFont="1" applyFill="1" applyBorder="1" applyAlignment="1">
      <alignment horizontal="left" vertical="center"/>
    </xf>
    <xf numFmtId="164" fontId="65" fillId="0" borderId="0" xfId="2" applyNumberFormat="1" applyFont="1" applyFill="1" applyBorder="1" applyAlignment="1">
      <alignment horizontal="left" vertical="center" indent="1"/>
    </xf>
    <xf numFmtId="164" fontId="48" fillId="0" borderId="0" xfId="2" quotePrefix="1" applyNumberFormat="1" applyFont="1" applyFill="1" applyBorder="1" applyAlignment="1">
      <alignment horizontal="left" vertical="center" indent="3"/>
    </xf>
    <xf numFmtId="164" fontId="48" fillId="0" borderId="0" xfId="2" applyNumberFormat="1" applyFont="1" applyFill="1" applyBorder="1" applyAlignment="1">
      <alignment horizontal="left" vertical="center" indent="3"/>
    </xf>
    <xf numFmtId="164" fontId="48" fillId="0" borderId="0" xfId="2" quotePrefix="1" applyNumberFormat="1" applyFont="1" applyFill="1" applyBorder="1" applyAlignment="1">
      <alignment horizontal="left" vertical="center" indent="2"/>
    </xf>
    <xf numFmtId="43" fontId="48" fillId="0" borderId="0" xfId="2" applyFont="1" applyFill="1" applyBorder="1"/>
    <xf numFmtId="164" fontId="65" fillId="0" borderId="0" xfId="2" quotePrefix="1" applyNumberFormat="1" applyFont="1" applyFill="1" applyBorder="1" applyAlignment="1">
      <alignment horizontal="left" vertical="center" indent="1"/>
    </xf>
    <xf numFmtId="181" fontId="48" fillId="0" borderId="0" xfId="11" applyNumberFormat="1" applyFont="1" applyFill="1" applyBorder="1" applyAlignment="1">
      <alignment vertical="center"/>
    </xf>
    <xf numFmtId="164" fontId="65" fillId="0" borderId="18" xfId="2" quotePrefix="1" applyNumberFormat="1" applyFont="1" applyFill="1" applyBorder="1" applyAlignment="1">
      <alignment horizontal="left" vertical="center" indent="1"/>
    </xf>
    <xf numFmtId="10" fontId="48" fillId="0" borderId="18" xfId="11" applyNumberFormat="1" applyFont="1" applyFill="1" applyBorder="1" applyAlignment="1">
      <alignment vertical="center"/>
    </xf>
    <xf numFmtId="181" fontId="48" fillId="0" borderId="18" xfId="11" applyNumberFormat="1" applyFont="1" applyFill="1" applyBorder="1" applyAlignment="1">
      <alignment vertical="center"/>
    </xf>
    <xf numFmtId="43" fontId="48" fillId="0" borderId="0" xfId="2" applyFont="1" applyFill="1" applyBorder="1" applyAlignment="1">
      <alignment vertical="center"/>
    </xf>
    <xf numFmtId="7" fontId="48" fillId="0" borderId="0" xfId="5" applyNumberFormat="1" applyFont="1" applyFill="1" applyBorder="1" applyAlignment="1">
      <alignment vertical="center"/>
    </xf>
    <xf numFmtId="164" fontId="48" fillId="0" borderId="0" xfId="2" quotePrefix="1" applyNumberFormat="1" applyFont="1" applyFill="1" applyBorder="1" applyAlignment="1">
      <alignment vertical="center"/>
    </xf>
    <xf numFmtId="7" fontId="48" fillId="0" borderId="0" xfId="2" applyNumberFormat="1" applyFont="1" applyFill="1" applyBorder="1" applyAlignment="1">
      <alignment horizontal="center" vertical="center"/>
    </xf>
    <xf numFmtId="7" fontId="48" fillId="0" borderId="2" xfId="5" applyNumberFormat="1" applyFont="1" applyFill="1" applyBorder="1" applyAlignment="1">
      <alignment vertical="center"/>
    </xf>
    <xf numFmtId="7" fontId="48" fillId="0" borderId="0" xfId="2" applyNumberFormat="1" applyFont="1" applyFill="1" applyBorder="1" applyAlignment="1">
      <alignment vertical="center"/>
    </xf>
    <xf numFmtId="0" fontId="48" fillId="0" borderId="2" xfId="4" applyFont="1" applyBorder="1" applyAlignment="1">
      <alignment horizontal="left"/>
    </xf>
    <xf numFmtId="0" fontId="48" fillId="0" borderId="2" xfId="17" applyFont="1" applyBorder="1"/>
    <xf numFmtId="0" fontId="48" fillId="0" borderId="2" xfId="4" applyFont="1" applyBorder="1"/>
    <xf numFmtId="0" fontId="68" fillId="0" borderId="2" xfId="4" applyFont="1" applyBorder="1" applyProtection="1">
      <protection locked="0"/>
    </xf>
    <xf numFmtId="43" fontId="48" fillId="0" borderId="0" xfId="2" applyFont="1" applyFill="1" applyBorder="1" applyAlignment="1">
      <alignment horizontal="center" vertical="center"/>
    </xf>
    <xf numFmtId="181" fontId="48" fillId="0" borderId="0" xfId="17" applyNumberFormat="1" applyFont="1"/>
    <xf numFmtId="0" fontId="48" fillId="0" borderId="0" xfId="32" applyFont="1" applyAlignment="1">
      <alignment vertical="center"/>
    </xf>
    <xf numFmtId="0" fontId="65" fillId="0" borderId="0" xfId="17" applyFont="1" applyAlignment="1">
      <alignment horizontal="center"/>
    </xf>
    <xf numFmtId="0" fontId="65" fillId="0" borderId="6" xfId="17" quotePrefix="1" applyFont="1" applyBorder="1" applyAlignment="1">
      <alignment horizontal="center"/>
    </xf>
    <xf numFmtId="7" fontId="48" fillId="0" borderId="0" xfId="5" applyNumberFormat="1" applyFont="1" applyFill="1" applyBorder="1" applyAlignment="1">
      <alignment horizontal="right" vertical="center" indent="1"/>
    </xf>
    <xf numFmtId="10" fontId="18" fillId="0" borderId="0" xfId="29" applyNumberFormat="1" applyFont="1" applyAlignment="1">
      <alignment horizontal="center"/>
    </xf>
    <xf numFmtId="0" fontId="36" fillId="2" borderId="0" xfId="27" applyFont="1" applyFill="1" applyAlignment="1">
      <alignment horizontal="centerContinuous"/>
    </xf>
    <xf numFmtId="0" fontId="36" fillId="0" borderId="0" xfId="12" applyNumberFormat="1" applyFont="1" applyFill="1" applyBorder="1"/>
    <xf numFmtId="0" fontId="36" fillId="0" borderId="0" xfId="27" applyFont="1" applyFill="1" applyAlignment="1">
      <alignment horizontal="centerContinuous"/>
    </xf>
    <xf numFmtId="0" fontId="36" fillId="0" borderId="0" xfId="12" applyNumberFormat="1" applyFont="1" applyFill="1"/>
    <xf numFmtId="0" fontId="37" fillId="0" borderId="0" xfId="12" applyNumberFormat="1" applyFont="1" applyFill="1" applyAlignment="1">
      <alignment horizontal="left"/>
    </xf>
    <xf numFmtId="165" fontId="36" fillId="0" borderId="0" xfId="12" applyNumberFormat="1" applyFont="1" applyFill="1" applyBorder="1" applyAlignment="1">
      <alignment horizontal="centerContinuous"/>
    </xf>
    <xf numFmtId="165" fontId="36" fillId="0" borderId="0" xfId="27" applyNumberFormat="1" applyFont="1" applyFill="1" applyAlignment="1">
      <alignment horizontal="centerContinuous"/>
    </xf>
    <xf numFmtId="165" fontId="36" fillId="0" borderId="0" xfId="12" applyNumberFormat="1" applyFont="1" applyFill="1" applyBorder="1" applyAlignment="1">
      <alignment horizontal="left" indent="1"/>
    </xf>
    <xf numFmtId="165" fontId="36" fillId="0" borderId="0" xfId="27" applyNumberFormat="1" applyFont="1" applyFill="1" applyAlignment="1">
      <alignment horizontal="center"/>
    </xf>
    <xf numFmtId="0" fontId="36" fillId="0" borderId="1" xfId="27" applyFont="1" applyFill="1" applyBorder="1"/>
    <xf numFmtId="0" fontId="36" fillId="0" borderId="3" xfId="27" applyFont="1" applyFill="1" applyBorder="1"/>
    <xf numFmtId="0" fontId="36" fillId="0" borderId="1" xfId="27" applyFont="1" applyFill="1" applyBorder="1" applyAlignment="1">
      <alignment horizontal="center"/>
    </xf>
    <xf numFmtId="0" fontId="36" fillId="0" borderId="7" xfId="12" applyNumberFormat="1" applyFont="1" applyFill="1" applyBorder="1" applyAlignment="1">
      <alignment horizontal="left" indent="1"/>
    </xf>
    <xf numFmtId="0" fontId="36" fillId="0" borderId="7" xfId="27" applyFont="1" applyFill="1" applyBorder="1"/>
    <xf numFmtId="0" fontId="36" fillId="0" borderId="4" xfId="27" applyFont="1" applyFill="1" applyBorder="1" applyAlignment="1">
      <alignment horizontal="center"/>
    </xf>
    <xf numFmtId="0" fontId="36" fillId="0" borderId="5" xfId="27" applyFont="1" applyFill="1" applyBorder="1" applyAlignment="1">
      <alignment horizontal="center"/>
    </xf>
    <xf numFmtId="0" fontId="36" fillId="0" borderId="9" xfId="12" applyNumberFormat="1" applyFont="1" applyFill="1" applyBorder="1" applyAlignment="1">
      <alignment horizontal="center"/>
    </xf>
    <xf numFmtId="0" fontId="36" fillId="0" borderId="9" xfId="27" applyFont="1" applyFill="1" applyBorder="1" applyAlignment="1">
      <alignment horizontal="center"/>
    </xf>
    <xf numFmtId="0" fontId="36" fillId="0" borderId="8" xfId="27" applyFont="1" applyFill="1" applyBorder="1" applyAlignment="1">
      <alignment horizontal="center"/>
    </xf>
    <xf numFmtId="0" fontId="36" fillId="0" borderId="10" xfId="27" applyFont="1" applyFill="1" applyBorder="1" applyAlignment="1">
      <alignment horizontal="left"/>
    </xf>
    <xf numFmtId="0" fontId="36" fillId="0" borderId="16" xfId="12" applyNumberFormat="1" applyFont="1" applyFill="1" applyBorder="1" applyAlignment="1">
      <alignment horizontal="center"/>
    </xf>
    <xf numFmtId="0" fontId="36" fillId="0" borderId="16" xfId="27" applyFont="1" applyFill="1" applyBorder="1" applyAlignment="1">
      <alignment horizontal="center"/>
    </xf>
    <xf numFmtId="0" fontId="36" fillId="0" borderId="4" xfId="27" applyFont="1" applyFill="1" applyBorder="1"/>
    <xf numFmtId="0" fontId="36" fillId="0" borderId="5" xfId="27" applyFont="1" applyFill="1" applyBorder="1"/>
    <xf numFmtId="0" fontId="36" fillId="0" borderId="9" xfId="12" applyNumberFormat="1" applyFont="1" applyFill="1" applyBorder="1" applyAlignment="1">
      <alignment horizontal="left" indent="1"/>
    </xf>
    <xf numFmtId="0" fontId="36" fillId="0" borderId="9" xfId="27" applyFont="1" applyFill="1" applyBorder="1"/>
    <xf numFmtId="5" fontId="36" fillId="0" borderId="4" xfId="12" applyNumberFormat="1" applyFont="1" applyFill="1" applyBorder="1"/>
    <xf numFmtId="5" fontId="36" fillId="0" borderId="5" xfId="12" applyNumberFormat="1" applyFont="1" applyFill="1" applyBorder="1"/>
    <xf numFmtId="164" fontId="36" fillId="0" borderId="4" xfId="12" applyNumberFormat="1" applyFont="1" applyFill="1" applyBorder="1"/>
    <xf numFmtId="7" fontId="36" fillId="0" borderId="9" xfId="12" applyNumberFormat="1" applyFont="1" applyFill="1" applyBorder="1" applyAlignment="1"/>
    <xf numFmtId="7" fontId="36" fillId="3" borderId="9" xfId="27" applyNumberFormat="1" applyFont="1" applyFill="1" applyBorder="1"/>
    <xf numFmtId="5" fontId="36" fillId="0" borderId="8" xfId="12" applyNumberFormat="1" applyFont="1" applyFill="1" applyBorder="1"/>
    <xf numFmtId="5" fontId="36" fillId="0" borderId="10" xfId="12" applyNumberFormat="1" applyFont="1" applyFill="1" applyBorder="1"/>
    <xf numFmtId="164" fontId="36" fillId="0" borderId="8" xfId="12" applyNumberFormat="1" applyFont="1" applyFill="1" applyBorder="1"/>
    <xf numFmtId="7" fontId="36" fillId="0" borderId="16" xfId="12" applyNumberFormat="1" applyFont="1" applyFill="1" applyBorder="1" applyAlignment="1"/>
    <xf numFmtId="7" fontId="36" fillId="3" borderId="16" xfId="27" applyNumberFormat="1" applyFont="1" applyFill="1" applyBorder="1"/>
    <xf numFmtId="0" fontId="36" fillId="0" borderId="0" xfId="12" applyNumberFormat="1" applyFont="1" applyFill="1" applyAlignment="1">
      <alignment horizontal="left" indent="1"/>
    </xf>
    <xf numFmtId="5" fontId="36" fillId="0" borderId="0" xfId="27" applyNumberFormat="1" applyFont="1" applyFill="1"/>
    <xf numFmtId="0" fontId="36" fillId="0" borderId="0" xfId="27" applyFont="1" applyFill="1" applyAlignment="1">
      <alignment horizontal="right"/>
    </xf>
    <xf numFmtId="10" fontId="36" fillId="3" borderId="0" xfId="12" applyNumberFormat="1" applyFont="1" applyFill="1" applyAlignment="1">
      <alignment horizontal="left" indent="1"/>
    </xf>
    <xf numFmtId="10" fontId="36" fillId="0" borderId="0" xfId="11" applyNumberFormat="1" applyFont="1" applyFill="1"/>
    <xf numFmtId="5" fontId="4" fillId="0" borderId="0" xfId="2" applyNumberFormat="1" applyFont="1" applyFill="1" applyAlignment="1">
      <alignment vertical="center"/>
    </xf>
    <xf numFmtId="177" fontId="4" fillId="0" borderId="0" xfId="2" applyNumberFormat="1" applyFont="1" applyFill="1" applyAlignment="1">
      <alignment vertical="center"/>
    </xf>
    <xf numFmtId="43" fontId="14" fillId="0" borderId="0" xfId="2" applyFont="1" applyFill="1" applyProtection="1">
      <protection locked="0"/>
    </xf>
    <xf numFmtId="164" fontId="4" fillId="0" borderId="0" xfId="2" applyNumberFormat="1" applyFont="1" applyAlignment="1" applyProtection="1">
      <alignment horizontal="right"/>
      <protection locked="0"/>
    </xf>
    <xf numFmtId="10" fontId="14" fillId="0" borderId="0" xfId="11" applyNumberFormat="1" applyFont="1" applyFill="1" applyAlignment="1">
      <alignment horizontal="right"/>
    </xf>
    <xf numFmtId="164" fontId="4" fillId="0" borderId="0" xfId="12" applyNumberFormat="1" applyFont="1" applyFill="1" applyAlignment="1">
      <alignment vertical="center"/>
    </xf>
    <xf numFmtId="0" fontId="46" fillId="2" borderId="0" xfId="4" applyFont="1" applyFill="1" applyAlignment="1">
      <alignment horizontal="centerContinuous"/>
    </xf>
    <xf numFmtId="10" fontId="46" fillId="2" borderId="0" xfId="14" applyNumberFormat="1" applyFont="1" applyFill="1" applyAlignment="1">
      <alignment horizontal="centerContinuous"/>
    </xf>
    <xf numFmtId="0" fontId="46" fillId="0" borderId="0" xfId="7" applyFont="1"/>
    <xf numFmtId="10" fontId="46" fillId="0" borderId="0" xfId="14" applyNumberFormat="1" applyFont="1"/>
    <xf numFmtId="0" fontId="46" fillId="0" borderId="0" xfId="0" applyFont="1"/>
    <xf numFmtId="0" fontId="46" fillId="0" borderId="0" xfId="7" applyFont="1" applyAlignment="1">
      <alignment horizontal="centerContinuous"/>
    </xf>
    <xf numFmtId="10" fontId="46" fillId="0" borderId="0" xfId="14" applyNumberFormat="1" applyFont="1" applyAlignment="1">
      <alignment horizontal="centerContinuous"/>
    </xf>
    <xf numFmtId="0" fontId="46" fillId="0" borderId="0" xfId="7" applyFont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0" quotePrefix="1" applyFont="1" applyAlignment="1">
      <alignment horizontal="center"/>
    </xf>
    <xf numFmtId="0" fontId="46" fillId="0" borderId="6" xfId="7" applyFont="1" applyBorder="1" applyAlignment="1">
      <alignment horizontal="center"/>
    </xf>
    <xf numFmtId="10" fontId="46" fillId="0" borderId="6" xfId="14" applyNumberFormat="1" applyFont="1" applyBorder="1" applyAlignment="1">
      <alignment horizontal="center"/>
    </xf>
    <xf numFmtId="43" fontId="46" fillId="0" borderId="0" xfId="7" applyNumberFormat="1" applyFont="1"/>
    <xf numFmtId="164" fontId="46" fillId="0" borderId="0" xfId="12" applyNumberFormat="1" applyFont="1" applyAlignment="1">
      <alignment vertical="center"/>
    </xf>
    <xf numFmtId="164" fontId="46" fillId="0" borderId="0" xfId="7" applyNumberFormat="1" applyFont="1"/>
    <xf numFmtId="0" fontId="46" fillId="6" borderId="0" xfId="7" applyFont="1" applyFill="1"/>
    <xf numFmtId="10" fontId="46" fillId="6" borderId="0" xfId="14" applyNumberFormat="1" applyFont="1" applyFill="1"/>
    <xf numFmtId="164" fontId="46" fillId="6" borderId="0" xfId="12" applyNumberFormat="1" applyFont="1" applyFill="1"/>
    <xf numFmtId="164" fontId="46" fillId="6" borderId="15" xfId="12" applyNumberFormat="1" applyFont="1" applyFill="1" applyBorder="1"/>
    <xf numFmtId="0" fontId="46" fillId="3" borderId="0" xfId="7" applyFont="1" applyFill="1" applyAlignment="1">
      <alignment horizontal="right"/>
    </xf>
    <xf numFmtId="164" fontId="46" fillId="3" borderId="0" xfId="12" applyNumberFormat="1" applyFont="1" applyFill="1"/>
    <xf numFmtId="174" fontId="46" fillId="0" borderId="0" xfId="7" applyNumberFormat="1" applyFont="1"/>
    <xf numFmtId="10" fontId="46" fillId="0" borderId="0" xfId="7" applyNumberFormat="1" applyFont="1"/>
    <xf numFmtId="7" fontId="46" fillId="0" borderId="0" xfId="7" applyNumberFormat="1" applyFont="1"/>
    <xf numFmtId="164" fontId="46" fillId="0" borderId="0" xfId="12" applyNumberFormat="1" applyFont="1" applyAlignment="1">
      <alignment horizontal="right" vertical="center"/>
    </xf>
    <xf numFmtId="10" fontId="46" fillId="0" borderId="0" xfId="14" applyNumberFormat="1" applyFont="1" applyFill="1"/>
    <xf numFmtId="164" fontId="46" fillId="0" borderId="0" xfId="12" applyNumberFormat="1" applyFont="1" applyFill="1"/>
    <xf numFmtId="164" fontId="46" fillId="0" borderId="0" xfId="12" applyNumberFormat="1" applyFont="1" applyFill="1" applyAlignment="1">
      <alignment horizontal="right" vertical="center"/>
    </xf>
    <xf numFmtId="164" fontId="46" fillId="0" borderId="0" xfId="12" applyNumberFormat="1" applyFont="1" applyAlignment="1">
      <alignment horizontal="right"/>
    </xf>
    <xf numFmtId="43" fontId="46" fillId="0" borderId="0" xfId="2" applyFont="1" applyAlignment="1">
      <alignment horizontal="right"/>
    </xf>
    <xf numFmtId="175" fontId="46" fillId="0" borderId="0" xfId="7" applyNumberFormat="1" applyFont="1"/>
    <xf numFmtId="43" fontId="14" fillId="0" borderId="0" xfId="1" applyFont="1" applyFill="1" applyAlignment="1">
      <alignment horizontal="center"/>
    </xf>
    <xf numFmtId="43" fontId="14" fillId="0" borderId="0" xfId="1" applyFont="1" applyFill="1"/>
    <xf numFmtId="164" fontId="4" fillId="0" borderId="6" xfId="2" applyNumberFormat="1" applyFont="1" applyBorder="1" applyAlignment="1" applyProtection="1">
      <alignment vertical="center"/>
      <protection locked="0"/>
    </xf>
    <xf numFmtId="164" fontId="4" fillId="0" borderId="6" xfId="12" applyNumberFormat="1" applyFont="1" applyFill="1" applyBorder="1" applyAlignment="1" applyProtection="1">
      <alignment vertical="center"/>
      <protection locked="0"/>
    </xf>
    <xf numFmtId="10" fontId="4" fillId="0" borderId="6" xfId="11" applyNumberFormat="1" applyFont="1" applyBorder="1" applyAlignment="1" applyProtection="1">
      <alignment vertical="center"/>
      <protection locked="0"/>
    </xf>
    <xf numFmtId="173" fontId="4" fillId="4" borderId="0" xfId="11" applyNumberFormat="1" applyFont="1" applyFill="1" applyAlignment="1">
      <alignment vertical="center"/>
    </xf>
    <xf numFmtId="165" fontId="4" fillId="0" borderId="0" xfId="2" quotePrefix="1" applyNumberFormat="1" applyFont="1" applyAlignment="1">
      <alignment horizontal="center" vertical="center"/>
    </xf>
    <xf numFmtId="165" fontId="4" fillId="0" borderId="0" xfId="2" applyNumberFormat="1" applyFont="1" applyAlignment="1">
      <alignment horizontal="center" vertical="center"/>
    </xf>
    <xf numFmtId="43" fontId="4" fillId="0" borderId="15" xfId="2" applyFont="1" applyBorder="1" applyAlignment="1" applyProtection="1">
      <alignment vertical="center"/>
      <protection locked="0"/>
    </xf>
    <xf numFmtId="167" fontId="4" fillId="0" borderId="15" xfId="5" applyNumberFormat="1" applyFont="1" applyBorder="1" applyAlignment="1" applyProtection="1">
      <alignment vertical="center"/>
      <protection locked="0"/>
    </xf>
    <xf numFmtId="0" fontId="4" fillId="0" borderId="0" xfId="7" quotePrefix="1" applyFont="1" applyAlignment="1">
      <alignment vertical="center"/>
    </xf>
    <xf numFmtId="10" fontId="4" fillId="0" borderId="15" xfId="11" applyNumberFormat="1" applyFont="1" applyBorder="1" applyAlignment="1" applyProtection="1">
      <alignment vertical="center"/>
      <protection locked="0"/>
    </xf>
    <xf numFmtId="0" fontId="69" fillId="2" borderId="0" xfId="17" applyFont="1" applyFill="1" applyAlignment="1">
      <alignment horizontal="centerContinuous"/>
    </xf>
    <xf numFmtId="0" fontId="4" fillId="0" borderId="0" xfId="17" applyFont="1" applyAlignment="1">
      <alignment horizontal="left"/>
    </xf>
    <xf numFmtId="0" fontId="4" fillId="0" borderId="6" xfId="7" applyFont="1" applyBorder="1" applyAlignment="1">
      <alignment horizontal="right"/>
    </xf>
    <xf numFmtId="164" fontId="6" fillId="0" borderId="2" xfId="2" quotePrefix="1" applyNumberFormat="1" applyFont="1" applyBorder="1" applyAlignment="1">
      <alignment horizontal="centerContinuous" vertical="center"/>
    </xf>
    <xf numFmtId="0" fontId="4" fillId="0" borderId="2" xfId="7" applyFont="1" applyBorder="1" applyAlignment="1">
      <alignment horizontal="centerContinuous"/>
    </xf>
    <xf numFmtId="164" fontId="6" fillId="0" borderId="2" xfId="2" quotePrefix="1" applyNumberFormat="1" applyFont="1" applyBorder="1" applyAlignment="1">
      <alignment horizontal="center" vertical="center"/>
    </xf>
    <xf numFmtId="0" fontId="6" fillId="0" borderId="2" xfId="7" quotePrefix="1" applyFont="1" applyBorder="1" applyAlignment="1">
      <alignment horizontal="center"/>
    </xf>
    <xf numFmtId="0" fontId="6" fillId="0" borderId="0" xfId="17" applyFont="1" applyAlignment="1" applyProtection="1">
      <alignment horizontal="left"/>
      <protection locked="0"/>
    </xf>
    <xf numFmtId="164" fontId="6" fillId="0" borderId="0" xfId="2" applyNumberFormat="1" applyFont="1" applyFill="1" applyBorder="1" applyAlignment="1">
      <alignment horizontal="center" vertical="center"/>
    </xf>
    <xf numFmtId="0" fontId="4" fillId="0" borderId="0" xfId="4" applyFont="1" applyAlignment="1">
      <alignment horizontal="center" vertical="center"/>
    </xf>
    <xf numFmtId="164" fontId="4" fillId="0" borderId="0" xfId="2" quotePrefix="1" applyNumberFormat="1" applyFont="1" applyBorder="1" applyAlignment="1">
      <alignment vertical="center"/>
    </xf>
    <xf numFmtId="5" fontId="4" fillId="0" borderId="0" xfId="5" applyNumberFormat="1" applyFont="1" applyFill="1" applyBorder="1" applyAlignment="1">
      <alignment vertical="center"/>
    </xf>
    <xf numFmtId="182" fontId="4" fillId="0" borderId="0" xfId="5" applyNumberFormat="1" applyFont="1" applyFill="1" applyBorder="1" applyAlignment="1">
      <alignment vertical="center"/>
    </xf>
    <xf numFmtId="164" fontId="4" fillId="0" borderId="0" xfId="2" applyNumberFormat="1" applyFont="1" applyFill="1" applyBorder="1" applyAlignment="1">
      <alignment horizontal="left" vertical="center" indent="1"/>
    </xf>
    <xf numFmtId="164" fontId="4" fillId="0" borderId="0" xfId="2" applyNumberFormat="1" applyFont="1" applyBorder="1" applyAlignment="1">
      <alignment horizontal="left" vertical="center" indent="1"/>
    </xf>
    <xf numFmtId="37" fontId="4" fillId="0" borderId="0" xfId="5" applyNumberFormat="1" applyFont="1" applyFill="1" applyBorder="1" applyAlignment="1">
      <alignment vertical="center"/>
    </xf>
    <xf numFmtId="43" fontId="4" fillId="0" borderId="0" xfId="2" applyFont="1" applyBorder="1" applyAlignment="1">
      <alignment vertical="center"/>
    </xf>
    <xf numFmtId="10" fontId="4" fillId="0" borderId="0" xfId="11" applyNumberFormat="1" applyFont="1" applyFill="1" applyBorder="1" applyAlignment="1">
      <alignment horizontal="left" vertical="center"/>
    </xf>
    <xf numFmtId="166" fontId="4" fillId="0" borderId="0" xfId="2" applyNumberFormat="1" applyFont="1" applyFill="1" applyAlignment="1">
      <alignment vertical="center"/>
    </xf>
    <xf numFmtId="10" fontId="4" fillId="0" borderId="0" xfId="11" applyNumberFormat="1" applyFont="1" applyFill="1" applyAlignment="1" applyProtection="1">
      <alignment vertical="center"/>
      <protection locked="0"/>
    </xf>
    <xf numFmtId="5" fontId="4" fillId="0" borderId="0" xfId="5" applyNumberFormat="1" applyFont="1" applyFill="1" applyAlignment="1">
      <alignment vertical="center"/>
    </xf>
    <xf numFmtId="10" fontId="4" fillId="0" borderId="2" xfId="11" applyNumberFormat="1" applyFont="1" applyFill="1" applyBorder="1" applyAlignment="1">
      <alignment vertical="center"/>
    </xf>
    <xf numFmtId="0" fontId="71" fillId="0" borderId="0" xfId="0" applyFont="1"/>
    <xf numFmtId="187" fontId="14" fillId="0" borderId="0" xfId="41" applyNumberFormat="1" applyFont="1"/>
    <xf numFmtId="9" fontId="0" fillId="0" borderId="0" xfId="0" applyNumberFormat="1" applyAlignment="1">
      <alignment horizontal="center"/>
    </xf>
    <xf numFmtId="9" fontId="0" fillId="3" borderId="0" xfId="29" applyFont="1" applyFill="1" applyAlignment="1">
      <alignment horizontal="center"/>
    </xf>
    <xf numFmtId="9" fontId="0" fillId="3" borderId="6" xfId="29" applyFont="1" applyFill="1" applyBorder="1" applyAlignment="1">
      <alignment horizontal="center"/>
    </xf>
    <xf numFmtId="9" fontId="2" fillId="0" borderId="0" xfId="29" applyFont="1" applyFill="1" applyAlignment="1">
      <alignment horizontal="center"/>
    </xf>
    <xf numFmtId="9" fontId="0" fillId="0" borderId="0" xfId="29" applyFont="1"/>
    <xf numFmtId="168" fontId="14" fillId="0" borderId="0" xfId="1" applyNumberFormat="1" applyFont="1"/>
    <xf numFmtId="0" fontId="0" fillId="0" borderId="6" xfId="0" applyBorder="1"/>
    <xf numFmtId="0" fontId="0" fillId="0" borderId="6" xfId="0" applyBorder="1" applyAlignment="1">
      <alignment horizontal="center"/>
    </xf>
    <xf numFmtId="44" fontId="72" fillId="0" borderId="0" xfId="41" applyFont="1" applyFill="1" applyProtection="1">
      <protection locked="0"/>
    </xf>
    <xf numFmtId="174" fontId="72" fillId="0" borderId="0" xfId="29" applyNumberFormat="1" applyFont="1" applyFill="1"/>
    <xf numFmtId="167" fontId="72" fillId="0" borderId="0" xfId="4" applyNumberFormat="1" applyFont="1" applyProtection="1">
      <protection locked="0"/>
    </xf>
    <xf numFmtId="44" fontId="72" fillId="0" borderId="0" xfId="4" applyNumberFormat="1" applyFont="1" applyProtection="1">
      <protection locked="0"/>
    </xf>
    <xf numFmtId="164" fontId="72" fillId="0" borderId="0" xfId="12" applyNumberFormat="1" applyFont="1" applyFill="1" applyProtection="1">
      <protection locked="0"/>
    </xf>
    <xf numFmtId="9" fontId="14" fillId="0" borderId="0" xfId="29" applyFont="1" applyProtection="1">
      <protection locked="0"/>
    </xf>
    <xf numFmtId="174" fontId="14" fillId="0" borderId="0" xfId="29" applyNumberFormat="1" applyFont="1" applyProtection="1">
      <protection locked="0"/>
    </xf>
    <xf numFmtId="10" fontId="14" fillId="0" borderId="0" xfId="29" applyNumberFormat="1" applyFont="1"/>
    <xf numFmtId="10" fontId="14" fillId="0" borderId="0" xfId="29" applyNumberFormat="1" applyFont="1" applyProtection="1">
      <protection locked="0"/>
    </xf>
    <xf numFmtId="0" fontId="23" fillId="6" borderId="0" xfId="0" applyFont="1" applyFill="1" applyAlignment="1" applyProtection="1">
      <alignment horizontal="center"/>
      <protection locked="0"/>
    </xf>
    <xf numFmtId="164" fontId="14" fillId="0" borderId="0" xfId="12" applyNumberFormat="1" applyFont="1" applyFill="1"/>
    <xf numFmtId="0" fontId="32" fillId="0" borderId="0" xfId="7" applyFont="1" applyAlignment="1" applyProtection="1">
      <alignment horizontal="right" indent="1"/>
      <protection locked="0"/>
    </xf>
    <xf numFmtId="14" fontId="4" fillId="0" borderId="0" xfId="7" applyNumberFormat="1" applyFont="1" applyAlignment="1">
      <alignment horizontal="left"/>
    </xf>
    <xf numFmtId="164" fontId="6" fillId="0" borderId="6" xfId="2" applyNumberFormat="1" applyFont="1" applyFill="1" applyBorder="1" applyAlignment="1">
      <alignment horizontal="center" vertical="center"/>
    </xf>
    <xf numFmtId="164" fontId="4" fillId="0" borderId="0" xfId="2" applyNumberFormat="1" applyFont="1" applyFill="1" applyBorder="1" applyAlignment="1" applyProtection="1">
      <alignment horizontal="center" vertical="center"/>
      <protection locked="0"/>
    </xf>
    <xf numFmtId="0" fontId="51" fillId="0" borderId="0" xfId="4" applyFont="1" applyProtection="1">
      <protection locked="0"/>
    </xf>
    <xf numFmtId="0" fontId="51" fillId="0" borderId="0" xfId="4" applyFont="1"/>
    <xf numFmtId="0" fontId="8" fillId="0" borderId="0" xfId="0" applyFont="1"/>
    <xf numFmtId="0" fontId="73" fillId="2" borderId="0" xfId="4" applyFont="1" applyFill="1" applyAlignment="1">
      <alignment horizontal="left"/>
    </xf>
    <xf numFmtId="164" fontId="12" fillId="2" borderId="0" xfId="2" applyNumberFormat="1" applyFont="1" applyFill="1" applyBorder="1" applyAlignment="1">
      <alignment horizontal="centerContinuous"/>
    </xf>
    <xf numFmtId="165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89" fontId="6" fillId="0" borderId="6" xfId="12" applyNumberFormat="1" applyFont="1" applyBorder="1" applyAlignment="1">
      <alignment horizontal="center"/>
    </xf>
    <xf numFmtId="14" fontId="4" fillId="0" borderId="0" xfId="16" applyNumberFormat="1" applyFont="1" applyAlignment="1">
      <alignment horizontal="center"/>
    </xf>
    <xf numFmtId="189" fontId="6" fillId="0" borderId="0" xfId="12" applyNumberFormat="1" applyFont="1" applyAlignment="1">
      <alignment horizontal="center"/>
    </xf>
    <xf numFmtId="164" fontId="6" fillId="0" borderId="0" xfId="12" applyNumberFormat="1" applyFont="1"/>
    <xf numFmtId="164" fontId="4" fillId="0" borderId="0" xfId="12" applyNumberFormat="1" applyFont="1" applyAlignment="1">
      <alignment horizontal="center"/>
    </xf>
    <xf numFmtId="164" fontId="4" fillId="0" borderId="0" xfId="12" applyNumberFormat="1" applyFont="1" applyAlignment="1">
      <alignment horizontal="left" indent="1"/>
    </xf>
    <xf numFmtId="0" fontId="25" fillId="0" borderId="0" xfId="0" applyFont="1"/>
    <xf numFmtId="164" fontId="4" fillId="0" borderId="0" xfId="12" applyNumberFormat="1" applyFont="1" applyAlignment="1">
      <alignment horizontal="right"/>
    </xf>
    <xf numFmtId="164" fontId="4" fillId="0" borderId="15" xfId="12" applyNumberFormat="1" applyFont="1" applyBorder="1"/>
    <xf numFmtId="164" fontId="8" fillId="0" borderId="0" xfId="0" applyNumberFormat="1" applyFont="1"/>
    <xf numFmtId="0" fontId="8" fillId="0" borderId="0" xfId="0" applyFont="1" applyAlignment="1">
      <alignment horizontal="right"/>
    </xf>
    <xf numFmtId="0" fontId="49" fillId="0" borderId="0" xfId="0" applyFont="1"/>
    <xf numFmtId="43" fontId="8" fillId="0" borderId="0" xfId="0" applyNumberFormat="1" applyFont="1"/>
    <xf numFmtId="165" fontId="49" fillId="0" borderId="6" xfId="0" applyNumberFormat="1" applyFont="1" applyBorder="1" applyAlignment="1">
      <alignment horizontal="center" vertical="top"/>
    </xf>
    <xf numFmtId="0" fontId="49" fillId="0" borderId="6" xfId="0" applyFont="1" applyBorder="1" applyAlignment="1">
      <alignment horizontal="center" wrapText="1"/>
    </xf>
    <xf numFmtId="0" fontId="8" fillId="16" borderId="0" xfId="0" applyFont="1" applyFill="1" applyAlignment="1">
      <alignment horizontal="center"/>
    </xf>
    <xf numFmtId="0" fontId="8" fillId="16" borderId="0" xfId="0" applyFont="1" applyFill="1"/>
    <xf numFmtId="43" fontId="8" fillId="17" borderId="0" xfId="0" applyNumberFormat="1" applyFont="1" applyFill="1"/>
    <xf numFmtId="0" fontId="49" fillId="0" borderId="6" xfId="0" applyFont="1" applyBorder="1"/>
    <xf numFmtId="0" fontId="1" fillId="0" borderId="0" xfId="22"/>
    <xf numFmtId="0" fontId="1" fillId="0" borderId="0" xfId="0" applyFont="1"/>
    <xf numFmtId="0" fontId="1" fillId="0" borderId="0" xfId="22" applyAlignment="1">
      <alignment horizontal="left"/>
    </xf>
    <xf numFmtId="0" fontId="74" fillId="13" borderId="19" xfId="0" applyFont="1" applyFill="1" applyBorder="1"/>
    <xf numFmtId="0" fontId="75" fillId="0" borderId="0" xfId="0" applyFont="1"/>
    <xf numFmtId="164" fontId="14" fillId="14" borderId="20" xfId="1" applyNumberFormat="1" applyFont="1" applyFill="1" applyBorder="1" applyAlignment="1">
      <alignment vertical="top"/>
    </xf>
    <xf numFmtId="164" fontId="76" fillId="15" borderId="20" xfId="24" applyNumberFormat="1" applyFont="1" applyFill="1" applyAlignment="1">
      <alignment vertical="top"/>
    </xf>
    <xf numFmtId="0" fontId="77" fillId="0" borderId="0" xfId="0" applyFont="1"/>
    <xf numFmtId="164" fontId="14" fillId="14" borderId="20" xfId="1" applyNumberFormat="1" applyFont="1" applyFill="1" applyBorder="1" applyAlignment="1">
      <alignment horizontal="right" vertical="top"/>
    </xf>
    <xf numFmtId="0" fontId="78" fillId="0" borderId="0" xfId="0" applyFont="1"/>
    <xf numFmtId="176" fontId="14" fillId="14" borderId="20" xfId="29" applyNumberFormat="1" applyFont="1" applyFill="1" applyBorder="1" applyAlignment="1">
      <alignment vertical="top"/>
    </xf>
    <xf numFmtId="164" fontId="77" fillId="0" borderId="0" xfId="0" applyNumberFormat="1" applyFont="1"/>
    <xf numFmtId="177" fontId="14" fillId="14" borderId="20" xfId="1" applyNumberFormat="1" applyFont="1" applyFill="1" applyBorder="1" applyAlignment="1">
      <alignment vertical="top"/>
    </xf>
    <xf numFmtId="0" fontId="79" fillId="0" borderId="0" xfId="0" applyFont="1"/>
    <xf numFmtId="174" fontId="1" fillId="0" borderId="0" xfId="29" applyNumberFormat="1" applyFont="1"/>
    <xf numFmtId="177" fontId="76" fillId="15" borderId="20" xfId="24" applyNumberFormat="1" applyFont="1" applyFill="1" applyAlignment="1">
      <alignment vertical="top"/>
    </xf>
    <xf numFmtId="186" fontId="14" fillId="14" borderId="20" xfId="29" applyNumberFormat="1" applyFont="1" applyFill="1" applyBorder="1" applyAlignment="1">
      <alignment vertical="top"/>
    </xf>
    <xf numFmtId="168" fontId="76" fillId="15" borderId="20" xfId="24" applyNumberFormat="1" applyFont="1" applyFill="1" applyAlignment="1">
      <alignment vertical="top"/>
    </xf>
    <xf numFmtId="43" fontId="76" fillId="15" borderId="20" xfId="24" applyNumberFormat="1" applyFont="1" applyFill="1" applyAlignment="1">
      <alignment vertical="top"/>
    </xf>
    <xf numFmtId="188" fontId="1" fillId="0" borderId="0" xfId="0" applyNumberFormat="1" applyFont="1"/>
    <xf numFmtId="164" fontId="14" fillId="0" borderId="2" xfId="0" applyNumberFormat="1" applyFont="1" applyBorder="1"/>
    <xf numFmtId="164" fontId="14" fillId="3" borderId="0" xfId="0" applyNumberFormat="1" applyFont="1" applyFill="1"/>
    <xf numFmtId="10" fontId="44" fillId="0" borderId="0" xfId="29" applyNumberFormat="1" applyFont="1" applyFill="1" applyAlignment="1">
      <alignment horizontal="left"/>
    </xf>
    <xf numFmtId="43" fontId="4" fillId="0" borderId="0" xfId="21" applyNumberFormat="1" applyFont="1" applyAlignment="1">
      <alignment vertical="center"/>
    </xf>
    <xf numFmtId="164" fontId="29" fillId="18" borderId="20" xfId="1" applyNumberFormat="1" applyFont="1" applyFill="1" applyBorder="1" applyAlignment="1">
      <alignment vertical="top"/>
    </xf>
    <xf numFmtId="164" fontId="39" fillId="9" borderId="20" xfId="24" applyNumberFormat="1" applyFont="1" applyAlignment="1">
      <alignment vertical="top"/>
    </xf>
    <xf numFmtId="171" fontId="0" fillId="0" borderId="0" xfId="0" applyNumberFormat="1"/>
    <xf numFmtId="44" fontId="0" fillId="0" borderId="0" xfId="41" applyFont="1"/>
    <xf numFmtId="44" fontId="0" fillId="0" borderId="6" xfId="41" applyFont="1" applyBorder="1"/>
    <xf numFmtId="0" fontId="81" fillId="0" borderId="0" xfId="0" applyFont="1"/>
    <xf numFmtId="164" fontId="4" fillId="0" borderId="15" xfId="6" applyNumberFormat="1" applyFont="1" applyBorder="1"/>
    <xf numFmtId="164" fontId="82" fillId="0" borderId="0" xfId="6" applyNumberFormat="1" applyFont="1"/>
    <xf numFmtId="0" fontId="0" fillId="3" borderId="0" xfId="0" applyFill="1"/>
    <xf numFmtId="0" fontId="18" fillId="0" borderId="0" xfId="4" applyFont="1"/>
    <xf numFmtId="164" fontId="4" fillId="0" borderId="0" xfId="12" applyNumberFormat="1" applyFont="1" applyFill="1" applyAlignment="1" applyProtection="1">
      <alignment horizontal="center"/>
      <protection locked="0"/>
    </xf>
    <xf numFmtId="0" fontId="4" fillId="0" borderId="0" xfId="4" quotePrefix="1" applyFont="1" applyAlignment="1" applyProtection="1">
      <alignment horizontal="left"/>
      <protection locked="0"/>
    </xf>
    <xf numFmtId="10" fontId="4" fillId="0" borderId="0" xfId="2" applyNumberFormat="1" applyFont="1" applyFill="1"/>
    <xf numFmtId="10" fontId="4" fillId="0" borderId="0" xfId="11" applyNumberFormat="1" applyFont="1" applyFill="1"/>
    <xf numFmtId="43" fontId="4" fillId="0" borderId="12" xfId="12" applyFont="1" applyFill="1" applyBorder="1" applyAlignment="1">
      <alignment horizontal="center"/>
    </xf>
    <xf numFmtId="164" fontId="14" fillId="0" borderId="0" xfId="12" applyNumberFormat="1" applyFont="1" applyBorder="1" applyProtection="1">
      <protection locked="0"/>
    </xf>
    <xf numFmtId="164" fontId="18" fillId="0" borderId="0" xfId="4" applyNumberFormat="1" applyFont="1"/>
    <xf numFmtId="164" fontId="0" fillId="3" borderId="0" xfId="1" applyNumberFormat="1" applyFont="1" applyFill="1"/>
    <xf numFmtId="164" fontId="0" fillId="0" borderId="6" xfId="1" applyNumberFormat="1" applyFont="1" applyBorder="1"/>
    <xf numFmtId="164" fontId="4" fillId="0" borderId="12" xfId="8" applyNumberFormat="1" applyFont="1" applyBorder="1" applyAlignment="1">
      <alignment horizontal="center" wrapText="1"/>
    </xf>
    <xf numFmtId="0" fontId="4" fillId="0" borderId="0" xfId="7" quotePrefix="1" applyFont="1" applyAlignment="1" applyProtection="1">
      <alignment horizontal="left" vertical="center"/>
      <protection locked="0"/>
    </xf>
    <xf numFmtId="164" fontId="83" fillId="0" borderId="0" xfId="4" applyNumberFormat="1" applyFont="1"/>
    <xf numFmtId="164" fontId="83" fillId="0" borderId="0" xfId="14" applyNumberFormat="1" applyFont="1" applyProtection="1">
      <protection locked="0"/>
    </xf>
    <xf numFmtId="0" fontId="84" fillId="0" borderId="0" xfId="12" applyNumberFormat="1" applyFont="1" applyFill="1"/>
    <xf numFmtId="164" fontId="83" fillId="0" borderId="0" xfId="12" applyNumberFormat="1" applyFont="1" applyProtection="1">
      <protection locked="0"/>
    </xf>
    <xf numFmtId="164" fontId="83" fillId="0" borderId="0" xfId="15" applyNumberFormat="1" applyFont="1" applyFill="1"/>
    <xf numFmtId="0" fontId="4" fillId="0" borderId="0" xfId="7" quotePrefix="1" applyFont="1" applyAlignment="1" applyProtection="1">
      <alignment horizontal="right" vertical="center"/>
      <protection locked="0"/>
    </xf>
    <xf numFmtId="10" fontId="4" fillId="0" borderId="0" xfId="11" applyNumberFormat="1" applyFont="1" applyFill="1" applyBorder="1" applyAlignment="1" applyProtection="1">
      <alignment horizontal="center" vertical="center"/>
      <protection locked="0"/>
    </xf>
    <xf numFmtId="43" fontId="14" fillId="0" borderId="0" xfId="1" applyFont="1"/>
    <xf numFmtId="43" fontId="4" fillId="0" borderId="0" xfId="2" applyFont="1" applyFill="1" applyBorder="1" applyAlignment="1">
      <alignment vertical="center"/>
    </xf>
    <xf numFmtId="164" fontId="6" fillId="0" borderId="0" xfId="2" applyNumberFormat="1" applyFont="1" applyFill="1" applyBorder="1" applyAlignment="1">
      <alignment vertical="center"/>
    </xf>
    <xf numFmtId="43" fontId="83" fillId="0" borderId="0" xfId="15" applyNumberFormat="1" applyFont="1" applyFill="1"/>
    <xf numFmtId="10" fontId="53" fillId="0" borderId="0" xfId="11" applyNumberFormat="1" applyFont="1" applyAlignment="1">
      <alignment vertical="top"/>
    </xf>
    <xf numFmtId="183" fontId="86" fillId="0" borderId="4" xfId="7" applyNumberFormat="1" applyFont="1" applyBorder="1" applyAlignment="1">
      <alignment horizontal="center" vertical="top" wrapText="1"/>
    </xf>
    <xf numFmtId="183" fontId="86" fillId="0" borderId="0" xfId="7" applyNumberFormat="1" applyFont="1" applyAlignment="1">
      <alignment horizontal="center" vertical="center" wrapText="1"/>
    </xf>
    <xf numFmtId="183" fontId="86" fillId="0" borderId="0" xfId="7" applyNumberFormat="1" applyFont="1" applyAlignment="1">
      <alignment vertical="top" wrapText="1"/>
    </xf>
    <xf numFmtId="183" fontId="86" fillId="0" borderId="0" xfId="7" applyNumberFormat="1" applyFont="1" applyAlignment="1">
      <alignment horizontal="center" vertical="top" wrapText="1"/>
    </xf>
    <xf numFmtId="183" fontId="86" fillId="0" borderId="4" xfId="7" applyNumberFormat="1" applyFont="1" applyBorder="1"/>
    <xf numFmtId="183" fontId="86" fillId="0" borderId="4" xfId="7" applyNumberFormat="1" applyFont="1" applyBorder="1" applyAlignment="1">
      <alignment horizontal="center" vertical="center" wrapText="1"/>
    </xf>
    <xf numFmtId="183" fontId="86" fillId="0" borderId="5" xfId="7" applyNumberFormat="1" applyFont="1" applyBorder="1" applyAlignment="1">
      <alignment horizontal="center" vertical="center" wrapText="1"/>
    </xf>
    <xf numFmtId="183" fontId="86" fillId="0" borderId="4" xfId="7" applyNumberFormat="1" applyFont="1" applyBorder="1" applyAlignment="1">
      <alignment vertical="top" wrapText="1"/>
    </xf>
    <xf numFmtId="183" fontId="86" fillId="0" borderId="5" xfId="7" applyNumberFormat="1" applyFont="1" applyBorder="1" applyAlignment="1">
      <alignment vertical="top" wrapText="1"/>
    </xf>
    <xf numFmtId="183" fontId="86" fillId="0" borderId="5" xfId="7" applyNumberFormat="1" applyFont="1" applyBorder="1" applyAlignment="1">
      <alignment horizontal="center" vertical="top" wrapText="1"/>
    </xf>
    <xf numFmtId="183" fontId="86" fillId="0" borderId="5" xfId="7" applyNumberFormat="1" applyFont="1" applyBorder="1"/>
    <xf numFmtId="2" fontId="86" fillId="0" borderId="5" xfId="7" applyNumberFormat="1" applyFont="1" applyBorder="1" applyAlignment="1">
      <alignment horizontal="center" vertical="top" wrapText="1"/>
    </xf>
    <xf numFmtId="2" fontId="86" fillId="0" borderId="5" xfId="7" applyNumberFormat="1" applyFont="1" applyBorder="1"/>
    <xf numFmtId="0" fontId="86" fillId="0" borderId="4" xfId="7" applyFont="1" applyBorder="1" applyAlignment="1">
      <alignment vertical="top" wrapText="1"/>
    </xf>
    <xf numFmtId="0" fontId="86" fillId="0" borderId="5" xfId="7" applyFont="1" applyBorder="1" applyAlignment="1">
      <alignment vertical="top" wrapText="1"/>
    </xf>
    <xf numFmtId="0" fontId="86" fillId="0" borderId="4" xfId="27" applyFont="1" applyFill="1" applyBorder="1" applyAlignment="1">
      <alignment vertical="center" wrapText="1"/>
    </xf>
    <xf numFmtId="0" fontId="86" fillId="0" borderId="5" xfId="27" applyFont="1" applyFill="1" applyBorder="1" applyAlignment="1">
      <alignment vertical="center" wrapText="1"/>
    </xf>
    <xf numFmtId="183" fontId="86" fillId="0" borderId="4" xfId="27" applyNumberFormat="1" applyFont="1" applyFill="1" applyBorder="1" applyAlignment="1">
      <alignment horizontal="center" vertical="center" wrapText="1"/>
    </xf>
    <xf numFmtId="183" fontId="86" fillId="0" borderId="5" xfId="27" applyNumberFormat="1" applyFont="1" applyFill="1" applyBorder="1" applyAlignment="1">
      <alignment horizontal="center" vertical="center" wrapText="1"/>
    </xf>
    <xf numFmtId="183" fontId="86" fillId="0" borderId="9" xfId="7" applyNumberFormat="1" applyFont="1" applyBorder="1" applyAlignment="1">
      <alignment horizontal="center" vertical="center" wrapText="1"/>
    </xf>
    <xf numFmtId="183" fontId="86" fillId="0" borderId="9" xfId="7" applyNumberFormat="1" applyFont="1" applyBorder="1" applyAlignment="1">
      <alignment vertical="top" wrapText="1"/>
    </xf>
    <xf numFmtId="183" fontId="86" fillId="0" borderId="9" xfId="7" applyNumberFormat="1" applyFont="1" applyBorder="1" applyAlignment="1">
      <alignment horizontal="center" vertical="top" wrapText="1"/>
    </xf>
    <xf numFmtId="183" fontId="86" fillId="0" borderId="9" xfId="7" applyNumberFormat="1" applyFont="1" applyBorder="1"/>
    <xf numFmtId="0" fontId="86" fillId="0" borderId="9" xfId="7" applyFont="1" applyBorder="1" applyAlignment="1">
      <alignment vertical="top" wrapText="1"/>
    </xf>
    <xf numFmtId="0" fontId="86" fillId="0" borderId="9" xfId="27" applyFont="1" applyFill="1" applyBorder="1" applyAlignment="1">
      <alignment vertical="center" wrapText="1"/>
    </xf>
    <xf numFmtId="183" fontId="86" fillId="0" borderId="9" xfId="27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6" fillId="0" borderId="0" xfId="12" applyNumberFormat="1" applyFont="1" applyAlignment="1">
      <alignment horizontal="left" indent="1"/>
    </xf>
    <xf numFmtId="164" fontId="6" fillId="0" borderId="0" xfId="12" applyNumberFormat="1" applyFont="1" applyAlignment="1">
      <alignment horizontal="center"/>
    </xf>
    <xf numFmtId="164" fontId="4" fillId="0" borderId="0" xfId="12" applyNumberFormat="1" applyFont="1" applyFill="1" applyAlignment="1">
      <alignment horizontal="left" indent="2"/>
    </xf>
    <xf numFmtId="174" fontId="8" fillId="0" borderId="0" xfId="29" applyNumberFormat="1" applyFont="1" applyAlignment="1">
      <alignment horizontal="center"/>
    </xf>
    <xf numFmtId="164" fontId="8" fillId="3" borderId="0" xfId="0" applyNumberFormat="1" applyFont="1" applyFill="1"/>
    <xf numFmtId="164" fontId="4" fillId="3" borderId="0" xfId="12" applyNumberFormat="1" applyFont="1" applyFill="1"/>
    <xf numFmtId="164" fontId="18" fillId="0" borderId="0" xfId="4" applyNumberFormat="1" applyFont="1" applyProtection="1">
      <protection locked="0"/>
    </xf>
    <xf numFmtId="171" fontId="14" fillId="0" borderId="0" xfId="12" applyNumberFormat="1" applyFont="1" applyFill="1" applyProtection="1">
      <protection locked="0"/>
    </xf>
    <xf numFmtId="0" fontId="4" fillId="0" borderId="0" xfId="7" applyFont="1" applyAlignment="1">
      <alignment horizontal="right" vertical="center" wrapText="1"/>
    </xf>
    <xf numFmtId="0" fontId="4" fillId="0" borderId="0" xfId="7" applyFont="1" applyAlignment="1">
      <alignment horizontal="left" vertical="center" wrapText="1"/>
    </xf>
    <xf numFmtId="164" fontId="88" fillId="0" borderId="0" xfId="2" applyNumberFormat="1" applyFont="1"/>
    <xf numFmtId="0" fontId="4" fillId="0" borderId="2" xfId="4" applyFont="1" applyBorder="1" applyProtection="1">
      <protection locked="0"/>
    </xf>
    <xf numFmtId="174" fontId="72" fillId="0" borderId="0" xfId="29" applyNumberFormat="1" applyFont="1" applyFill="1" applyAlignment="1" applyProtection="1">
      <alignment horizontal="right"/>
      <protection locked="0"/>
    </xf>
    <xf numFmtId="0" fontId="18" fillId="0" borderId="0" xfId="4" applyFont="1" applyProtection="1">
      <protection locked="0"/>
    </xf>
    <xf numFmtId="167" fontId="18" fillId="0" borderId="0" xfId="4" applyNumberFormat="1" applyFont="1"/>
    <xf numFmtId="164" fontId="18" fillId="0" borderId="0" xfId="2" applyNumberFormat="1" applyFont="1" applyBorder="1" applyProtection="1">
      <protection locked="0"/>
    </xf>
    <xf numFmtId="164" fontId="18" fillId="0" borderId="0" xfId="15" applyNumberFormat="1" applyFont="1" applyFill="1"/>
    <xf numFmtId="164" fontId="18" fillId="0" borderId="0" xfId="2" applyNumberFormat="1" applyFont="1" applyFill="1"/>
    <xf numFmtId="10" fontId="18" fillId="0" borderId="0" xfId="11" applyNumberFormat="1" applyFont="1"/>
    <xf numFmtId="164" fontId="83" fillId="0" borderId="0" xfId="2" applyNumberFormat="1" applyFont="1" applyBorder="1" applyProtection="1">
      <protection locked="0"/>
    </xf>
    <xf numFmtId="171" fontId="1" fillId="0" borderId="0" xfId="1" applyNumberFormat="1" applyFont="1" applyBorder="1" applyAlignment="1"/>
    <xf numFmtId="183" fontId="1" fillId="0" borderId="0" xfId="0" applyNumberFormat="1" applyFont="1"/>
    <xf numFmtId="43" fontId="14" fillId="0" borderId="0" xfId="4" applyNumberFormat="1" applyFont="1" applyAlignment="1">
      <alignment horizontal="center"/>
    </xf>
    <xf numFmtId="43" fontId="14" fillId="0" borderId="0" xfId="12" applyFont="1" applyFill="1"/>
    <xf numFmtId="164" fontId="48" fillId="0" borderId="0" xfId="17" applyNumberFormat="1" applyFont="1" applyProtection="1">
      <protection locked="0"/>
    </xf>
    <xf numFmtId="164" fontId="4" fillId="0" borderId="0" xfId="17" applyNumberFormat="1" applyFont="1" applyAlignment="1">
      <alignment horizontal="center" vertical="center"/>
    </xf>
    <xf numFmtId="183" fontId="0" fillId="0" borderId="0" xfId="0" applyNumberFormat="1"/>
    <xf numFmtId="164" fontId="18" fillId="0" borderId="0" xfId="12" applyNumberFormat="1" applyFont="1" applyFill="1" applyBorder="1"/>
    <xf numFmtId="0" fontId="4" fillId="0" borderId="0" xfId="32" applyFont="1" applyAlignment="1" applyProtection="1">
      <alignment horizontal="right" vertical="center" indent="1"/>
      <protection locked="0"/>
    </xf>
    <xf numFmtId="10" fontId="18" fillId="0" borderId="0" xfId="29" applyNumberFormat="1" applyFont="1"/>
    <xf numFmtId="10" fontId="18" fillId="0" borderId="0" xfId="29" applyNumberFormat="1" applyFont="1" applyProtection="1">
      <protection locked="0"/>
    </xf>
    <xf numFmtId="174" fontId="18" fillId="0" borderId="0" xfId="29" applyNumberFormat="1" applyFont="1"/>
    <xf numFmtId="174" fontId="18" fillId="0" borderId="0" xfId="29" applyNumberFormat="1" applyFont="1" applyProtection="1">
      <protection locked="0"/>
    </xf>
    <xf numFmtId="164" fontId="18" fillId="0" borderId="0" xfId="11" applyNumberFormat="1" applyFont="1" applyFill="1"/>
    <xf numFmtId="167" fontId="83" fillId="0" borderId="0" xfId="5" applyNumberFormat="1" applyFont="1"/>
    <xf numFmtId="171" fontId="4" fillId="10" borderId="12" xfId="12" applyNumberFormat="1" applyFont="1" applyFill="1" applyBorder="1" applyAlignment="1">
      <alignment horizontal="center"/>
    </xf>
    <xf numFmtId="43" fontId="4" fillId="10" borderId="12" xfId="12" applyFont="1" applyFill="1" applyBorder="1" applyAlignment="1">
      <alignment horizontal="center"/>
    </xf>
    <xf numFmtId="164" fontId="92" fillId="9" borderId="22" xfId="24" applyNumberFormat="1" applyFont="1" applyBorder="1" applyAlignment="1">
      <alignment vertical="top"/>
    </xf>
    <xf numFmtId="164" fontId="90" fillId="18" borderId="22" xfId="1" applyNumberFormat="1" applyFont="1" applyFill="1" applyBorder="1" applyAlignment="1">
      <alignment vertical="top"/>
    </xf>
    <xf numFmtId="177" fontId="92" fillId="9" borderId="20" xfId="24" applyNumberFormat="1" applyFont="1" applyAlignment="1">
      <alignment vertical="top"/>
    </xf>
    <xf numFmtId="168" fontId="92" fillId="9" borderId="20" xfId="24" applyNumberFormat="1" applyFont="1" applyAlignment="1">
      <alignment vertical="top"/>
    </xf>
    <xf numFmtId="0" fontId="93" fillId="0" borderId="0" xfId="0" applyFont="1"/>
    <xf numFmtId="177" fontId="90" fillId="18" borderId="20" xfId="1" applyNumberFormat="1" applyFont="1" applyFill="1" applyBorder="1" applyAlignment="1">
      <alignment vertical="top"/>
    </xf>
    <xf numFmtId="164" fontId="94" fillId="0" borderId="0" xfId="0" applyNumberFormat="1" applyFont="1"/>
    <xf numFmtId="176" fontId="90" fillId="18" borderId="20" xfId="29" applyNumberFormat="1" applyFont="1" applyFill="1" applyBorder="1" applyAlignment="1">
      <alignment vertical="top"/>
    </xf>
    <xf numFmtId="0" fontId="95" fillId="0" borderId="0" xfId="0" applyFont="1"/>
    <xf numFmtId="164" fontId="90" fillId="18" borderId="20" xfId="1" applyNumberFormat="1" applyFont="1" applyFill="1" applyBorder="1" applyAlignment="1">
      <alignment horizontal="right" vertical="top"/>
    </xf>
    <xf numFmtId="0" fontId="94" fillId="0" borderId="0" xfId="0" applyFont="1"/>
    <xf numFmtId="164" fontId="92" fillId="9" borderId="20" xfId="24" applyNumberFormat="1" applyFont="1" applyAlignment="1">
      <alignment vertical="top"/>
    </xf>
    <xf numFmtId="164" fontId="90" fillId="18" borderId="20" xfId="1" applyNumberFormat="1" applyFont="1" applyFill="1" applyBorder="1" applyAlignment="1">
      <alignment vertical="top"/>
    </xf>
    <xf numFmtId="0" fontId="91" fillId="0" borderId="0" xfId="0" applyFont="1"/>
    <xf numFmtId="0" fontId="96" fillId="8" borderId="19" xfId="23" applyFont="1"/>
    <xf numFmtId="164" fontId="4" fillId="0" borderId="0" xfId="11" applyNumberFormat="1" applyFont="1" applyAlignment="1" applyProtection="1">
      <alignment vertical="center"/>
      <protection locked="0"/>
    </xf>
    <xf numFmtId="164" fontId="6" fillId="0" borderId="0" xfId="2" applyNumberFormat="1" applyFont="1" applyFill="1" applyAlignment="1">
      <alignment horizontal="center" vertical="center"/>
    </xf>
    <xf numFmtId="164" fontId="6" fillId="0" borderId="6" xfId="2" applyNumberFormat="1" applyFont="1" applyFill="1" applyBorder="1" applyAlignment="1">
      <alignment vertical="center"/>
    </xf>
    <xf numFmtId="164" fontId="7" fillId="0" borderId="0" xfId="2" applyNumberFormat="1" applyFont="1" applyFill="1" applyBorder="1" applyAlignment="1">
      <alignment vertical="center"/>
    </xf>
    <xf numFmtId="164" fontId="70" fillId="0" borderId="0" xfId="2" applyNumberFormat="1" applyFont="1" applyFill="1" applyBorder="1" applyAlignment="1">
      <alignment horizontal="right" vertical="center"/>
    </xf>
    <xf numFmtId="164" fontId="70" fillId="0" borderId="0" xfId="2" applyNumberFormat="1" applyFont="1" applyFill="1" applyBorder="1" applyAlignment="1">
      <alignment horizontal="center" vertical="center"/>
    </xf>
    <xf numFmtId="164" fontId="70" fillId="0" borderId="6" xfId="2" applyNumberFormat="1" applyFont="1" applyFill="1" applyBorder="1" applyAlignment="1">
      <alignment vertical="center"/>
    </xf>
    <xf numFmtId="164" fontId="70" fillId="0" borderId="0" xfId="2" applyNumberFormat="1" applyFont="1" applyFill="1" applyBorder="1" applyAlignment="1">
      <alignment vertical="center"/>
    </xf>
    <xf numFmtId="182" fontId="4" fillId="0" borderId="0" xfId="2" applyNumberFormat="1" applyFont="1" applyFill="1" applyBorder="1" applyAlignment="1">
      <alignment vertical="center"/>
    </xf>
    <xf numFmtId="37" fontId="4" fillId="0" borderId="0" xfId="5" applyNumberFormat="1" applyFont="1" applyFill="1" applyAlignment="1">
      <alignment vertical="center"/>
    </xf>
    <xf numFmtId="10" fontId="4" fillId="0" borderId="0" xfId="11" applyNumberFormat="1" applyFont="1" applyFill="1" applyAlignment="1">
      <alignment horizontal="left" vertical="center"/>
    </xf>
    <xf numFmtId="6" fontId="4" fillId="0" borderId="0" xfId="0" applyNumberFormat="1" applyFont="1" applyFill="1"/>
    <xf numFmtId="190" fontId="82" fillId="0" borderId="0" xfId="2" applyNumberFormat="1" applyFont="1" applyFill="1" applyAlignment="1">
      <alignment vertical="center"/>
    </xf>
    <xf numFmtId="164" fontId="4" fillId="0" borderId="0" xfId="32" applyNumberFormat="1" applyFont="1" applyFill="1" applyAlignment="1">
      <alignment vertical="center"/>
    </xf>
    <xf numFmtId="0" fontId="4" fillId="0" borderId="0" xfId="32" applyFont="1" applyFill="1" applyAlignment="1">
      <alignment vertical="center"/>
    </xf>
    <xf numFmtId="164" fontId="9" fillId="0" borderId="0" xfId="2" applyNumberFormat="1" applyFont="1" applyFill="1" applyBorder="1" applyAlignment="1" applyProtection="1">
      <alignment horizontal="left" vertical="center"/>
      <protection locked="0"/>
    </xf>
    <xf numFmtId="164" fontId="9" fillId="0" borderId="0" xfId="2" applyNumberFormat="1" applyFont="1" applyFill="1" applyBorder="1" applyAlignment="1">
      <alignment horizontal="left" vertical="center"/>
    </xf>
    <xf numFmtId="164" fontId="4" fillId="0" borderId="0" xfId="2" applyNumberFormat="1" applyFont="1" applyFill="1" applyAlignment="1">
      <alignment horizontal="left" vertical="center"/>
    </xf>
    <xf numFmtId="164" fontId="4" fillId="0" borderId="2" xfId="2" applyNumberFormat="1" applyFont="1" applyFill="1" applyBorder="1" applyAlignment="1" applyProtection="1">
      <alignment vertical="center"/>
      <protection locked="0"/>
    </xf>
    <xf numFmtId="164" fontId="9" fillId="0" borderId="0" xfId="2" applyNumberFormat="1" applyFont="1" applyFill="1" applyAlignment="1" applyProtection="1">
      <alignment vertical="center"/>
      <protection locked="0"/>
    </xf>
    <xf numFmtId="164" fontId="4" fillId="0" borderId="15" xfId="2" applyNumberFormat="1" applyFont="1" applyFill="1" applyBorder="1" applyAlignment="1">
      <alignment horizontal="left" vertical="center"/>
    </xf>
    <xf numFmtId="0" fontId="9" fillId="0" borderId="2" xfId="4" applyFont="1" applyFill="1" applyBorder="1" applyProtection="1">
      <protection locked="0"/>
    </xf>
    <xf numFmtId="0" fontId="4" fillId="0" borderId="2" xfId="4" applyFont="1" applyFill="1" applyBorder="1"/>
    <xf numFmtId="0" fontId="4" fillId="0" borderId="2" xfId="32" applyFont="1" applyFill="1" applyBorder="1" applyAlignment="1">
      <alignment vertical="center"/>
    </xf>
    <xf numFmtId="0" fontId="4" fillId="0" borderId="2" xfId="4" applyFont="1" applyFill="1" applyBorder="1" applyAlignment="1">
      <alignment horizontal="right"/>
    </xf>
    <xf numFmtId="10" fontId="4" fillId="0" borderId="0" xfId="9" applyNumberFormat="1" applyFont="1" applyFill="1" applyBorder="1" applyProtection="1">
      <protection locked="0"/>
    </xf>
    <xf numFmtId="0" fontId="14" fillId="0" borderId="0" xfId="4" applyFont="1" applyFill="1" applyProtection="1">
      <protection locked="0"/>
    </xf>
    <xf numFmtId="0" fontId="14" fillId="0" borderId="0" xfId="4" applyFont="1" applyFill="1" applyAlignment="1" applyProtection="1">
      <alignment horizontal="center"/>
      <protection locked="0"/>
    </xf>
    <xf numFmtId="43" fontId="14" fillId="0" borderId="0" xfId="4" applyNumberFormat="1" applyFont="1" applyFill="1" applyAlignment="1">
      <alignment horizontal="center"/>
    </xf>
    <xf numFmtId="0" fontId="72" fillId="0" borderId="0" xfId="4" applyFont="1" applyFill="1" applyAlignment="1" applyProtection="1">
      <alignment horizontal="left"/>
      <protection locked="0"/>
    </xf>
    <xf numFmtId="44" fontId="72" fillId="0" borderId="0" xfId="4" applyNumberFormat="1" applyFont="1" applyFill="1" applyProtection="1">
      <protection locked="0"/>
    </xf>
    <xf numFmtId="10" fontId="72" fillId="0" borderId="0" xfId="29" applyNumberFormat="1" applyFont="1" applyFill="1" applyAlignment="1" applyProtection="1">
      <alignment horizontal="left"/>
      <protection locked="0"/>
    </xf>
    <xf numFmtId="0" fontId="72" fillId="0" borderId="0" xfId="4" applyFont="1" applyFill="1" applyAlignment="1">
      <alignment horizontal="left"/>
    </xf>
    <xf numFmtId="0" fontId="14" fillId="0" borderId="0" xfId="4" applyFont="1" applyFill="1"/>
    <xf numFmtId="164" fontId="72" fillId="0" borderId="0" xfId="12" applyNumberFormat="1" applyFont="1" applyFill="1"/>
    <xf numFmtId="43" fontId="72" fillId="0" borderId="0" xfId="12" applyFont="1" applyFill="1"/>
    <xf numFmtId="44" fontId="72" fillId="0" borderId="0" xfId="41" applyFont="1" applyFill="1"/>
    <xf numFmtId="0" fontId="72" fillId="0" borderId="0" xfId="4" applyFont="1" applyFill="1"/>
    <xf numFmtId="10" fontId="72" fillId="0" borderId="0" xfId="29" applyNumberFormat="1" applyFont="1" applyFill="1"/>
    <xf numFmtId="0" fontId="14" fillId="0" borderId="0" xfId="4" applyFont="1" applyFill="1" applyAlignment="1">
      <alignment horizontal="right"/>
    </xf>
    <xf numFmtId="43" fontId="14" fillId="0" borderId="0" xfId="4" applyNumberFormat="1" applyFont="1" applyFill="1"/>
    <xf numFmtId="177" fontId="14" fillId="0" borderId="0" xfId="4" applyNumberFormat="1" applyFont="1" applyFill="1" applyAlignment="1">
      <alignment horizontal="center"/>
    </xf>
    <xf numFmtId="164" fontId="17" fillId="0" borderId="0" xfId="12" applyNumberFormat="1" applyFont="1" applyFill="1"/>
    <xf numFmtId="0" fontId="17" fillId="0" borderId="0" xfId="4" applyFont="1" applyFill="1"/>
    <xf numFmtId="44" fontId="17" fillId="0" borderId="0" xfId="41" applyFont="1" applyFill="1"/>
    <xf numFmtId="10" fontId="17" fillId="0" borderId="0" xfId="29" applyNumberFormat="1" applyFont="1" applyFill="1"/>
    <xf numFmtId="43" fontId="97" fillId="0" borderId="0" xfId="12" applyFont="1" applyFill="1" applyProtection="1">
      <protection locked="0"/>
    </xf>
    <xf numFmtId="0" fontId="17" fillId="0" borderId="0" xfId="4" quotePrefix="1" applyFont="1" applyAlignment="1">
      <alignment vertical="center"/>
    </xf>
    <xf numFmtId="0" fontId="14" fillId="0" borderId="17" xfId="4" applyFont="1" applyBorder="1" applyAlignment="1" applyProtection="1">
      <alignment horizontal="left"/>
      <protection locked="0"/>
    </xf>
    <xf numFmtId="174" fontId="17" fillId="0" borderId="0" xfId="29" applyNumberFormat="1" applyFont="1" applyFill="1"/>
    <xf numFmtId="0" fontId="17" fillId="0" borderId="0" xfId="4" applyFont="1" applyAlignment="1" applyProtection="1">
      <alignment horizontal="centerContinuous" vertical="center"/>
      <protection locked="0"/>
    </xf>
    <xf numFmtId="0" fontId="87" fillId="0" borderId="0" xfId="6" applyFont="1" applyAlignment="1"/>
    <xf numFmtId="0" fontId="6" fillId="0" borderId="0" xfId="7" applyFont="1" applyAlignment="1">
      <alignment horizontal="right" vertical="center"/>
    </xf>
    <xf numFmtId="0" fontId="4" fillId="0" borderId="0" xfId="7" applyFont="1" applyAlignment="1">
      <alignment vertical="center" wrapText="1"/>
    </xf>
    <xf numFmtId="164" fontId="6" fillId="0" borderId="0" xfId="2" applyNumberFormat="1" applyFont="1" applyFill="1" applyBorder="1" applyAlignment="1">
      <alignment horizontal="center" vertical="center"/>
    </xf>
    <xf numFmtId="164" fontId="6" fillId="0" borderId="0" xfId="2" quotePrefix="1" applyNumberFormat="1" applyFont="1" applyFill="1" applyBorder="1" applyAlignment="1">
      <alignment horizontal="center" vertical="center"/>
    </xf>
    <xf numFmtId="0" fontId="4" fillId="0" borderId="14" xfId="7" applyFont="1" applyBorder="1" applyAlignment="1">
      <alignment horizontal="center" vertical="center" wrapText="1"/>
    </xf>
    <xf numFmtId="0" fontId="4" fillId="0" borderId="11" xfId="7" applyFont="1" applyBorder="1" applyAlignment="1">
      <alignment horizontal="center" vertical="center" wrapText="1"/>
    </xf>
    <xf numFmtId="0" fontId="4" fillId="0" borderId="13" xfId="7" applyFont="1" applyBorder="1" applyAlignment="1">
      <alignment horizontal="center" vertical="center" wrapText="1"/>
    </xf>
    <xf numFmtId="164" fontId="52" fillId="0" borderId="0" xfId="2" quotePrefix="1" applyNumberFormat="1" applyFont="1" applyAlignment="1">
      <alignment horizontal="center" vertical="top"/>
    </xf>
    <xf numFmtId="164" fontId="52" fillId="0" borderId="0" xfId="2" applyNumberFormat="1" applyFont="1" applyAlignment="1">
      <alignment horizontal="center" vertical="top"/>
    </xf>
    <xf numFmtId="0" fontId="53" fillId="0" borderId="0" xfId="7" applyFont="1" applyAlignment="1">
      <alignment horizontal="center" vertical="top"/>
    </xf>
    <xf numFmtId="0" fontId="87" fillId="0" borderId="0" xfId="6" applyFont="1" applyAlignment="1">
      <alignment horizontal="center"/>
    </xf>
    <xf numFmtId="0" fontId="4" fillId="0" borderId="0" xfId="7" applyFont="1" applyAlignment="1">
      <alignment vertical="center" wrapText="1"/>
    </xf>
    <xf numFmtId="0" fontId="4" fillId="0" borderId="0" xfId="7" applyFont="1" applyAlignment="1">
      <alignment horizontal="left" vertical="center" wrapText="1"/>
    </xf>
    <xf numFmtId="0" fontId="20" fillId="0" borderId="2" xfId="4" quotePrefix="1" applyFont="1" applyBorder="1" applyAlignment="1">
      <alignment horizontal="center" vertical="center"/>
    </xf>
    <xf numFmtId="0" fontId="20" fillId="0" borderId="2" xfId="4" applyFont="1" applyBorder="1" applyAlignment="1">
      <alignment horizontal="center" vertical="center"/>
    </xf>
    <xf numFmtId="0" fontId="37" fillId="6" borderId="0" xfId="17" applyFont="1" applyFill="1" applyAlignment="1">
      <alignment horizontal="center"/>
    </xf>
    <xf numFmtId="165" fontId="6" fillId="0" borderId="2" xfId="21" applyNumberFormat="1" applyFont="1" applyBorder="1" applyAlignment="1">
      <alignment horizontal="center" vertical="center"/>
    </xf>
    <xf numFmtId="0" fontId="31" fillId="2" borderId="0" xfId="4" applyFont="1" applyFill="1" applyAlignment="1">
      <alignment horizontal="center"/>
    </xf>
    <xf numFmtId="0" fontId="37" fillId="10" borderId="6" xfId="21" applyFont="1" applyFill="1" applyBorder="1" applyAlignment="1">
      <alignment horizontal="center" vertical="center"/>
    </xf>
    <xf numFmtId="0" fontId="4" fillId="10" borderId="0" xfId="7" applyFont="1" applyFill="1" applyAlignment="1">
      <alignment wrapText="1"/>
    </xf>
    <xf numFmtId="9" fontId="55" fillId="0" borderId="14" xfId="11" applyFont="1" applyFill="1" applyBorder="1" applyAlignment="1">
      <alignment horizontal="center" wrapText="1"/>
    </xf>
    <xf numFmtId="9" fontId="55" fillId="0" borderId="13" xfId="11" applyFont="1" applyFill="1" applyBorder="1" applyAlignment="1">
      <alignment horizontal="center" wrapText="1"/>
    </xf>
    <xf numFmtId="0" fontId="55" fillId="0" borderId="14" xfId="7" applyFont="1" applyBorder="1" applyAlignment="1">
      <alignment horizontal="center" wrapText="1"/>
    </xf>
    <xf numFmtId="0" fontId="55" fillId="0" borderId="11" xfId="7" applyFont="1" applyBorder="1" applyAlignment="1">
      <alignment horizontal="center" wrapText="1"/>
    </xf>
    <xf numFmtId="0" fontId="55" fillId="0" borderId="13" xfId="7" applyFont="1" applyBorder="1" applyAlignment="1">
      <alignment horizontal="center" wrapText="1"/>
    </xf>
    <xf numFmtId="0" fontId="2" fillId="0" borderId="17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6" xfId="0" applyFont="1" applyBorder="1" applyAlignment="1">
      <alignment horizontal="center"/>
    </xf>
  </cellXfs>
  <cellStyles count="43">
    <cellStyle name="Comma" xfId="1" builtinId="3"/>
    <cellStyle name="Comma 10" xfId="12" xr:uid="{58CB3B28-E205-4B35-92BD-34F627F14B35}"/>
    <cellStyle name="Comma 2" xfId="2" xr:uid="{34C07ADF-62DF-4B03-A03A-8C2D67B53E39}"/>
    <cellStyle name="Comma 20" xfId="36" xr:uid="{9D8E677F-D74E-4942-AD49-5C646A257E1F}"/>
    <cellStyle name="Comma 21" xfId="8" xr:uid="{6F243F3A-A61E-412F-AD00-64BFEB45857A}"/>
    <cellStyle name="Comma 4" xfId="39" xr:uid="{F484EB94-E9C7-4FE5-9239-40A2EE5BB486}"/>
    <cellStyle name="Comma 57" xfId="25" xr:uid="{27C3450D-687E-4848-8FE4-64B12AE6AF0C}"/>
    <cellStyle name="Currency" xfId="41" builtinId="4"/>
    <cellStyle name="Currency 2" xfId="5" xr:uid="{4E452ECA-778A-41B1-B22C-5E790A448F0F}"/>
    <cellStyle name="Currency 4" xfId="34" xr:uid="{B6F5C371-4E28-4F9A-B0DF-D10E18C4F770}"/>
    <cellStyle name="Currency 6" xfId="10" xr:uid="{A3E33029-A214-477F-948B-A9A9F719FBA2}"/>
    <cellStyle name="Currency 7" xfId="13" xr:uid="{3401A22B-1E12-4629-908C-9D176291EB9F}"/>
    <cellStyle name="Heading 3 2 2" xfId="23" xr:uid="{3A9A43D2-BB31-4451-8BA8-965207ABD8BC}"/>
    <cellStyle name="N_Calc3" xfId="24" xr:uid="{06D6AF9C-59AA-4604-AD6B-B71372B06D4C}"/>
    <cellStyle name="N_Table1_Header" xfId="42" xr:uid="{58C6ACA6-2A3E-43F7-9846-32D4626D63A6}"/>
    <cellStyle name="Normal" xfId="0" builtinId="0"/>
    <cellStyle name="Normal 11" xfId="31" xr:uid="{66EAD556-6E7A-40AB-8726-9200E8079F41}"/>
    <cellStyle name="Normal 14" xfId="30" xr:uid="{06B96129-2CF7-43C1-8BF7-B401DE3B88A0}"/>
    <cellStyle name="Normal 14 2 2 2" xfId="37" xr:uid="{D5435E26-4F3B-442B-A7E8-9AD87121B4CD}"/>
    <cellStyle name="Normal 15" xfId="38" xr:uid="{F89D2C8C-6725-4541-B341-92DF491B7866}"/>
    <cellStyle name="Normal 2" xfId="4" xr:uid="{9797A597-87B8-4767-B226-C022DD5E9C78}"/>
    <cellStyle name="Normal 2 10" xfId="33" xr:uid="{1B862D1B-5A77-45EA-ACDD-865733AF9E35}"/>
    <cellStyle name="Normal 3" xfId="15" xr:uid="{D536DA7D-BA0F-48FE-A293-37E029091B02}"/>
    <cellStyle name="Normal 3 2" xfId="27" xr:uid="{D4A795F4-D38A-448F-B6B5-2AAF569703C0}"/>
    <cellStyle name="Normal 3 3" xfId="40" xr:uid="{F73F925A-BFA6-488A-AC4D-5261866EB90D}"/>
    <cellStyle name="Normal 33" xfId="22" xr:uid="{4A628702-3184-4D12-9A48-73696EC5F728}"/>
    <cellStyle name="Normal 4" xfId="18" xr:uid="{DEC3B487-A1D4-45B4-BE18-D4739444F795}"/>
    <cellStyle name="Normal 6" xfId="16" xr:uid="{E61B28E9-CDEC-4680-AFE6-FB6878A9961E}"/>
    <cellStyle name="Normal 8" xfId="7" xr:uid="{8254C8BE-972C-4F07-8818-80EBE6F8D500}"/>
    <cellStyle name="Normal 9" xfId="3" xr:uid="{651C135C-1382-49CE-B266-0BE330BC699B}"/>
    <cellStyle name="Normal 9 2" xfId="17" xr:uid="{50A5D872-8165-4AB6-9F93-E541633A0B33}"/>
    <cellStyle name="Normal_e17_supplement" xfId="20" xr:uid="{9BDE0C9D-9814-4B97-9C69-340B19851834}"/>
    <cellStyle name="Normal_e17_supplement 2" xfId="26" xr:uid="{45536D16-4F9A-49BC-9E3B-615ADD8CF9EB}"/>
    <cellStyle name="Normal_e17_supplement 3" xfId="28" xr:uid="{EB40D265-6FBD-41CC-94C1-A808EC9922A6}"/>
    <cellStyle name="Normal_e17_supplement_b" xfId="19" xr:uid="{2B63E930-49B9-4766-9DF6-AFF51086613F}"/>
    <cellStyle name="Normal_e17_supplement_b 2 2" xfId="21" xr:uid="{31C7D190-2E97-465B-8DD7-4EBE1D0DB885}"/>
    <cellStyle name="Normal_schl11" xfId="6" xr:uid="{4A9B13D5-A3F3-4771-9604-BE9E9D72302C}"/>
    <cellStyle name="Normal_schl15" xfId="32" xr:uid="{CA61F01E-9D15-41FE-8787-A53967E51B89}"/>
    <cellStyle name="Percent" xfId="29" builtinId="5"/>
    <cellStyle name="Percent 10" xfId="14" xr:uid="{B07D016E-521F-44F5-8E37-24A62B705D7C}"/>
    <cellStyle name="Percent 2" xfId="11" xr:uid="{B876A2E7-62F3-4F41-8CA6-95DCCE4A0D1A}"/>
    <cellStyle name="Percent 6" xfId="35" xr:uid="{75C58398-AD3D-41A8-9607-A7526BBEB123}"/>
    <cellStyle name="Percent 7 2" xfId="9" xr:uid="{CF91624D-E23B-4C39-856D-CD649391DEF8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DFE6592E-A967-483F-AD83-1F363E27702E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F162A0EE-F66F-4DF4-9ADA-B83BF0B6E839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4" name="Line 5">
          <a:extLst>
            <a:ext uri="{FF2B5EF4-FFF2-40B4-BE49-F238E27FC236}">
              <a16:creationId xmlns:a16="http://schemas.microsoft.com/office/drawing/2014/main" id="{8205EF1F-166C-4D1D-B5AD-AA3FD6AE297F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5" name="Line 3">
          <a:extLst>
            <a:ext uri="{FF2B5EF4-FFF2-40B4-BE49-F238E27FC236}">
              <a16:creationId xmlns:a16="http://schemas.microsoft.com/office/drawing/2014/main" id="{4B669110-F92B-4B2C-AFB4-4855917513A6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DB5CA26A-BF1A-445E-994E-0D19C128791F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7" name="Line 2">
          <a:extLst>
            <a:ext uri="{FF2B5EF4-FFF2-40B4-BE49-F238E27FC236}">
              <a16:creationId xmlns:a16="http://schemas.microsoft.com/office/drawing/2014/main" id="{EC677BFF-9A72-4D9A-831C-1F58EDCC943F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8" name="Line 3">
          <a:extLst>
            <a:ext uri="{FF2B5EF4-FFF2-40B4-BE49-F238E27FC236}">
              <a16:creationId xmlns:a16="http://schemas.microsoft.com/office/drawing/2014/main" id="{77985E58-6C1A-442B-B9CE-5B5501FF89DA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9" name="Line 4">
          <a:extLst>
            <a:ext uri="{FF2B5EF4-FFF2-40B4-BE49-F238E27FC236}">
              <a16:creationId xmlns:a16="http://schemas.microsoft.com/office/drawing/2014/main" id="{83EB751A-3DC3-4B1B-867D-F68D38C762D6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82</xdr:row>
      <xdr:rowOff>0</xdr:rowOff>
    </xdr:from>
    <xdr:to>
      <xdr:col>8</xdr:col>
      <xdr:colOff>180975</xdr:colOff>
      <xdr:row>82</xdr:row>
      <xdr:rowOff>0</xdr:rowOff>
    </xdr:to>
    <xdr:sp macro="" textlink="">
      <xdr:nvSpPr>
        <xdr:cNvPr id="10" name="Line 5">
          <a:extLst>
            <a:ext uri="{FF2B5EF4-FFF2-40B4-BE49-F238E27FC236}">
              <a16:creationId xmlns:a16="http://schemas.microsoft.com/office/drawing/2014/main" id="{BD34395C-BBA8-4A9A-A3E9-CECCF360C6B5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102</xdr:row>
      <xdr:rowOff>0</xdr:rowOff>
    </xdr:from>
    <xdr:to>
      <xdr:col>8</xdr:col>
      <xdr:colOff>180975</xdr:colOff>
      <xdr:row>102</xdr:row>
      <xdr:rowOff>0</xdr:rowOff>
    </xdr:to>
    <xdr:sp macro="" textlink="">
      <xdr:nvSpPr>
        <xdr:cNvPr id="11" name="Line 7">
          <a:extLst>
            <a:ext uri="{FF2B5EF4-FFF2-40B4-BE49-F238E27FC236}">
              <a16:creationId xmlns:a16="http://schemas.microsoft.com/office/drawing/2014/main" id="{F41CBD2A-C8E3-412C-A29E-14C5D2025B64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12" name="Line 3">
          <a:extLst>
            <a:ext uri="{FF2B5EF4-FFF2-40B4-BE49-F238E27FC236}">
              <a16:creationId xmlns:a16="http://schemas.microsoft.com/office/drawing/2014/main" id="{2AAD3962-39D0-4034-8DD9-0075CA084604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13" name="Line 5">
          <a:extLst>
            <a:ext uri="{FF2B5EF4-FFF2-40B4-BE49-F238E27FC236}">
              <a16:creationId xmlns:a16="http://schemas.microsoft.com/office/drawing/2014/main" id="{DAE54628-D187-4A37-B36B-DA5BBCDFF92D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DE61743F-1EB5-41A9-8EAF-E6260055D221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5" name="Line 3">
          <a:extLst>
            <a:ext uri="{FF2B5EF4-FFF2-40B4-BE49-F238E27FC236}">
              <a16:creationId xmlns:a16="http://schemas.microsoft.com/office/drawing/2014/main" id="{7E58797D-01D4-450D-8CE7-9D3AC7FF1CE7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6" name="Line 4">
          <a:extLst>
            <a:ext uri="{FF2B5EF4-FFF2-40B4-BE49-F238E27FC236}">
              <a16:creationId xmlns:a16="http://schemas.microsoft.com/office/drawing/2014/main" id="{8189A948-5D4E-46B7-B0E3-33F74D4F55CB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7" name="Line 5">
          <a:extLst>
            <a:ext uri="{FF2B5EF4-FFF2-40B4-BE49-F238E27FC236}">
              <a16:creationId xmlns:a16="http://schemas.microsoft.com/office/drawing/2014/main" id="{FDFE744D-FE7F-4175-9296-023D64BD27B0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6DFD45F-0AF9-4DAD-B7E7-2EFEF291AE72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CE71E64-CAB2-4D99-9691-FE171529346F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20" name="Line 4">
          <a:extLst>
            <a:ext uri="{FF2B5EF4-FFF2-40B4-BE49-F238E27FC236}">
              <a16:creationId xmlns:a16="http://schemas.microsoft.com/office/drawing/2014/main" id="{176018F9-CD36-4619-B83B-30CDF0D4ACE7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21" name="Line 5">
          <a:extLst>
            <a:ext uri="{FF2B5EF4-FFF2-40B4-BE49-F238E27FC236}">
              <a16:creationId xmlns:a16="http://schemas.microsoft.com/office/drawing/2014/main" id="{80348B39-8892-40CD-B2A7-F16E50537868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22" name="Line 2">
          <a:extLst>
            <a:ext uri="{FF2B5EF4-FFF2-40B4-BE49-F238E27FC236}">
              <a16:creationId xmlns:a16="http://schemas.microsoft.com/office/drawing/2014/main" id="{3340AF66-34FA-4D65-93EA-6C7609DA7330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23" name="Line 3">
          <a:extLst>
            <a:ext uri="{FF2B5EF4-FFF2-40B4-BE49-F238E27FC236}">
              <a16:creationId xmlns:a16="http://schemas.microsoft.com/office/drawing/2014/main" id="{0AF6EB0C-05AB-4026-98E0-0AF550EF28D0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24" name="Line 5">
          <a:extLst>
            <a:ext uri="{FF2B5EF4-FFF2-40B4-BE49-F238E27FC236}">
              <a16:creationId xmlns:a16="http://schemas.microsoft.com/office/drawing/2014/main" id="{3C7ADE49-0A86-4FF8-9C3F-116B4DA2DA4E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6BDD882C-E877-4F0A-B80E-C55F2F1088E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6" name="Line 3">
          <a:extLst>
            <a:ext uri="{FF2B5EF4-FFF2-40B4-BE49-F238E27FC236}">
              <a16:creationId xmlns:a16="http://schemas.microsoft.com/office/drawing/2014/main" id="{8718F491-46CB-4396-86B2-747935003E7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7" name="Line 4">
          <a:extLst>
            <a:ext uri="{FF2B5EF4-FFF2-40B4-BE49-F238E27FC236}">
              <a16:creationId xmlns:a16="http://schemas.microsoft.com/office/drawing/2014/main" id="{DE46D9A0-00F7-4F9F-B2C2-8989B446062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28" name="Line 5">
          <a:extLst>
            <a:ext uri="{FF2B5EF4-FFF2-40B4-BE49-F238E27FC236}">
              <a16:creationId xmlns:a16="http://schemas.microsoft.com/office/drawing/2014/main" id="{C279F70E-0B43-4C64-8859-BD8E4D81819B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29" name="Line 7">
          <a:extLst>
            <a:ext uri="{FF2B5EF4-FFF2-40B4-BE49-F238E27FC236}">
              <a16:creationId xmlns:a16="http://schemas.microsoft.com/office/drawing/2014/main" id="{555E2F44-6A06-40E3-B4E8-07468C8BF799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9D579B3-1BB4-4E86-8FAC-429034072356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0138CA97-4A5A-4808-9AC0-ED7B5EE770C1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2" name="Line 4">
          <a:extLst>
            <a:ext uri="{FF2B5EF4-FFF2-40B4-BE49-F238E27FC236}">
              <a16:creationId xmlns:a16="http://schemas.microsoft.com/office/drawing/2014/main" id="{3D4BF1AD-DCA5-4AAD-B682-3709F70ACAA8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33" name="Line 5">
          <a:extLst>
            <a:ext uri="{FF2B5EF4-FFF2-40B4-BE49-F238E27FC236}">
              <a16:creationId xmlns:a16="http://schemas.microsoft.com/office/drawing/2014/main" id="{4DF4D53C-82D7-4795-8873-0734EC739F71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A3597566-7925-42C3-B7ED-B3378A7125AC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35" name="Line 3">
          <a:extLst>
            <a:ext uri="{FF2B5EF4-FFF2-40B4-BE49-F238E27FC236}">
              <a16:creationId xmlns:a16="http://schemas.microsoft.com/office/drawing/2014/main" id="{9CC726E1-3A87-48B1-898C-FD913739BEA0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36" name="Line 4">
          <a:extLst>
            <a:ext uri="{FF2B5EF4-FFF2-40B4-BE49-F238E27FC236}">
              <a16:creationId xmlns:a16="http://schemas.microsoft.com/office/drawing/2014/main" id="{1FAA5B5A-BDDA-4364-9FDB-37C1F2D1A225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37" name="Line 5">
          <a:extLst>
            <a:ext uri="{FF2B5EF4-FFF2-40B4-BE49-F238E27FC236}">
              <a16:creationId xmlns:a16="http://schemas.microsoft.com/office/drawing/2014/main" id="{BBEF32A4-866E-418D-984D-78DABF6264CB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38" name="Line 7">
          <a:extLst>
            <a:ext uri="{FF2B5EF4-FFF2-40B4-BE49-F238E27FC236}">
              <a16:creationId xmlns:a16="http://schemas.microsoft.com/office/drawing/2014/main" id="{F5C41280-E74C-4B30-84F5-83C459FD5D58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39" name="Line 8">
          <a:extLst>
            <a:ext uri="{FF2B5EF4-FFF2-40B4-BE49-F238E27FC236}">
              <a16:creationId xmlns:a16="http://schemas.microsoft.com/office/drawing/2014/main" id="{AA7CDEFA-A87E-47EF-AFCC-58855EC0C7FD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40" name="Rectangle 7">
          <a:extLst>
            <a:ext uri="{FF2B5EF4-FFF2-40B4-BE49-F238E27FC236}">
              <a16:creationId xmlns:a16="http://schemas.microsoft.com/office/drawing/2014/main" id="{B3608AC5-FE6C-498B-836F-F212FF8F7568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41" name="Rectangle 8">
          <a:extLst>
            <a:ext uri="{FF2B5EF4-FFF2-40B4-BE49-F238E27FC236}">
              <a16:creationId xmlns:a16="http://schemas.microsoft.com/office/drawing/2014/main" id="{BAB81150-9BF6-4984-B2EB-13849E0ECC7C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93EB068-6F67-435C-9365-9DD3D48C3FF6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E86C107B-E7CC-46C1-AA97-7E87E5768E80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44" name="Line 5">
          <a:extLst>
            <a:ext uri="{FF2B5EF4-FFF2-40B4-BE49-F238E27FC236}">
              <a16:creationId xmlns:a16="http://schemas.microsoft.com/office/drawing/2014/main" id="{B5510CDD-DD55-43FF-BD88-9408210B1BF3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5DC83DE-5F47-44AD-9D93-1E1434E7C7E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C915553-C6A2-4329-8AEC-88300A8CAE9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47" name="Line 4">
          <a:extLst>
            <a:ext uri="{FF2B5EF4-FFF2-40B4-BE49-F238E27FC236}">
              <a16:creationId xmlns:a16="http://schemas.microsoft.com/office/drawing/2014/main" id="{50D9A8B3-9A12-4C51-8C53-29A49BE1C2C9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48" name="Line 5">
          <a:extLst>
            <a:ext uri="{FF2B5EF4-FFF2-40B4-BE49-F238E27FC236}">
              <a16:creationId xmlns:a16="http://schemas.microsoft.com/office/drawing/2014/main" id="{2A948F9A-5CB7-4354-8F32-0DB63F1D6E2C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49" name="Line 7">
          <a:extLst>
            <a:ext uri="{FF2B5EF4-FFF2-40B4-BE49-F238E27FC236}">
              <a16:creationId xmlns:a16="http://schemas.microsoft.com/office/drawing/2014/main" id="{37B28095-DA78-478B-9B3F-53E3FB10EC5F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0" name="Line 2">
          <a:extLst>
            <a:ext uri="{FF2B5EF4-FFF2-40B4-BE49-F238E27FC236}">
              <a16:creationId xmlns:a16="http://schemas.microsoft.com/office/drawing/2014/main" id="{2BB59DED-BE18-4C63-9406-493B9F7F7C7F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1" name="Line 3">
          <a:extLst>
            <a:ext uri="{FF2B5EF4-FFF2-40B4-BE49-F238E27FC236}">
              <a16:creationId xmlns:a16="http://schemas.microsoft.com/office/drawing/2014/main" id="{5204AFFB-9985-4FE0-A46D-2042FA345FE1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2" name="Line 4">
          <a:extLst>
            <a:ext uri="{FF2B5EF4-FFF2-40B4-BE49-F238E27FC236}">
              <a16:creationId xmlns:a16="http://schemas.microsoft.com/office/drawing/2014/main" id="{728C086C-D2FE-45DA-9AD8-02A4D82AB8E9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53" name="Line 5">
          <a:extLst>
            <a:ext uri="{FF2B5EF4-FFF2-40B4-BE49-F238E27FC236}">
              <a16:creationId xmlns:a16="http://schemas.microsoft.com/office/drawing/2014/main" id="{53A5357E-60B1-4786-A8BC-41D8A08216BE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9B8B8B7-5A63-4445-A967-DAE1D3D6BA58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DDD3EADA-1F3F-47C3-BCD4-8D441A75FA10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6" name="Line 4">
          <a:extLst>
            <a:ext uri="{FF2B5EF4-FFF2-40B4-BE49-F238E27FC236}">
              <a16:creationId xmlns:a16="http://schemas.microsoft.com/office/drawing/2014/main" id="{E08B2312-A905-4C10-9A91-4AF9CC61E7A2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57" name="Line 5">
          <a:extLst>
            <a:ext uri="{FF2B5EF4-FFF2-40B4-BE49-F238E27FC236}">
              <a16:creationId xmlns:a16="http://schemas.microsoft.com/office/drawing/2014/main" id="{6D4381B8-762E-4826-B092-2C2AD98A522D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58" name="Line 7">
          <a:extLst>
            <a:ext uri="{FF2B5EF4-FFF2-40B4-BE49-F238E27FC236}">
              <a16:creationId xmlns:a16="http://schemas.microsoft.com/office/drawing/2014/main" id="{71AA9A3C-E957-4922-8C67-B27AC3508019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59" name="Line 8">
          <a:extLst>
            <a:ext uri="{FF2B5EF4-FFF2-40B4-BE49-F238E27FC236}">
              <a16:creationId xmlns:a16="http://schemas.microsoft.com/office/drawing/2014/main" id="{2A5ABF80-A5FC-499D-BA76-11911C77AA3C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60" name="Rectangle 7">
          <a:extLst>
            <a:ext uri="{FF2B5EF4-FFF2-40B4-BE49-F238E27FC236}">
              <a16:creationId xmlns:a16="http://schemas.microsoft.com/office/drawing/2014/main" id="{5AC47DA0-99C9-4460-BBA7-E4D8FF3F2467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61" name="Rectangle 8">
          <a:extLst>
            <a:ext uri="{FF2B5EF4-FFF2-40B4-BE49-F238E27FC236}">
              <a16:creationId xmlns:a16="http://schemas.microsoft.com/office/drawing/2014/main" id="{ADD34374-056A-4953-AF2E-72125D506A09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62" name="Line 3">
          <a:extLst>
            <a:ext uri="{FF2B5EF4-FFF2-40B4-BE49-F238E27FC236}">
              <a16:creationId xmlns:a16="http://schemas.microsoft.com/office/drawing/2014/main" id="{39E99C5D-0F3A-4C77-8379-65F7A56F8638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63" name="Line 5">
          <a:extLst>
            <a:ext uri="{FF2B5EF4-FFF2-40B4-BE49-F238E27FC236}">
              <a16:creationId xmlns:a16="http://schemas.microsoft.com/office/drawing/2014/main" id="{5B289BDF-383A-4C04-814A-825D127FA5CA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64" name="Line 2">
          <a:extLst>
            <a:ext uri="{FF2B5EF4-FFF2-40B4-BE49-F238E27FC236}">
              <a16:creationId xmlns:a16="http://schemas.microsoft.com/office/drawing/2014/main" id="{A545471B-5AED-4160-89FC-49535268C4AF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65" name="Line 3">
          <a:extLst>
            <a:ext uri="{FF2B5EF4-FFF2-40B4-BE49-F238E27FC236}">
              <a16:creationId xmlns:a16="http://schemas.microsoft.com/office/drawing/2014/main" id="{F9169735-27ED-4599-AA6C-BD01E57EA4BC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66" name="Line 4">
          <a:extLst>
            <a:ext uri="{FF2B5EF4-FFF2-40B4-BE49-F238E27FC236}">
              <a16:creationId xmlns:a16="http://schemas.microsoft.com/office/drawing/2014/main" id="{D360BE60-D1D1-4EC5-96BA-63D2549D0690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67" name="Line 5">
          <a:extLst>
            <a:ext uri="{FF2B5EF4-FFF2-40B4-BE49-F238E27FC236}">
              <a16:creationId xmlns:a16="http://schemas.microsoft.com/office/drawing/2014/main" id="{F49977DA-DC24-4EBA-A416-7136C7DF25FA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68" name="Line 7">
          <a:extLst>
            <a:ext uri="{FF2B5EF4-FFF2-40B4-BE49-F238E27FC236}">
              <a16:creationId xmlns:a16="http://schemas.microsoft.com/office/drawing/2014/main" id="{40DB56E1-4C36-4BDC-BCFA-C2DA223A1977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27275A7-DD4F-4416-A664-EAB24231FE3A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347B947-AC0D-4CE8-B35D-46DD66182BD8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1" name="Line 4">
          <a:extLst>
            <a:ext uri="{FF2B5EF4-FFF2-40B4-BE49-F238E27FC236}">
              <a16:creationId xmlns:a16="http://schemas.microsoft.com/office/drawing/2014/main" id="{73ABC4F7-BE5B-4F3C-A620-85C8DA685E70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72" name="Line 5">
          <a:extLst>
            <a:ext uri="{FF2B5EF4-FFF2-40B4-BE49-F238E27FC236}">
              <a16:creationId xmlns:a16="http://schemas.microsoft.com/office/drawing/2014/main" id="{12C472F5-30A9-4F51-B131-AC9CEB798964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3" name="Line 2">
          <a:extLst>
            <a:ext uri="{FF2B5EF4-FFF2-40B4-BE49-F238E27FC236}">
              <a16:creationId xmlns:a16="http://schemas.microsoft.com/office/drawing/2014/main" id="{D6CACE34-4054-46AD-8492-B9D6BD92B3D6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4" name="Line 3">
          <a:extLst>
            <a:ext uri="{FF2B5EF4-FFF2-40B4-BE49-F238E27FC236}">
              <a16:creationId xmlns:a16="http://schemas.microsoft.com/office/drawing/2014/main" id="{E0A5C202-3774-42E1-B193-9428CA676E4E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5" name="Line 4">
          <a:extLst>
            <a:ext uri="{FF2B5EF4-FFF2-40B4-BE49-F238E27FC236}">
              <a16:creationId xmlns:a16="http://schemas.microsoft.com/office/drawing/2014/main" id="{4A4746EB-8B28-4603-809F-82F34838A4D0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382</xdr:row>
      <xdr:rowOff>0</xdr:rowOff>
    </xdr:from>
    <xdr:to>
      <xdr:col>8</xdr:col>
      <xdr:colOff>180975</xdr:colOff>
      <xdr:row>382</xdr:row>
      <xdr:rowOff>0</xdr:rowOff>
    </xdr:to>
    <xdr:sp macro="" textlink="">
      <xdr:nvSpPr>
        <xdr:cNvPr id="76" name="Line 5">
          <a:extLst>
            <a:ext uri="{FF2B5EF4-FFF2-40B4-BE49-F238E27FC236}">
              <a16:creationId xmlns:a16="http://schemas.microsoft.com/office/drawing/2014/main" id="{606BCDC0-A654-4A4B-A02C-9828A48A2674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77" name="Line 7">
          <a:extLst>
            <a:ext uri="{FF2B5EF4-FFF2-40B4-BE49-F238E27FC236}">
              <a16:creationId xmlns:a16="http://schemas.microsoft.com/office/drawing/2014/main" id="{94CEE6AE-0101-4BC1-9A13-2C116CCFD6AA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78" name="Line 3">
          <a:extLst>
            <a:ext uri="{FF2B5EF4-FFF2-40B4-BE49-F238E27FC236}">
              <a16:creationId xmlns:a16="http://schemas.microsoft.com/office/drawing/2014/main" id="{FA66E285-332D-4CEF-8540-08AE425F72E0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79" name="Line 5">
          <a:extLst>
            <a:ext uri="{FF2B5EF4-FFF2-40B4-BE49-F238E27FC236}">
              <a16:creationId xmlns:a16="http://schemas.microsoft.com/office/drawing/2014/main" id="{BA882D38-7EAD-42B9-80FE-F005445DDD31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80" name="Line 2">
          <a:extLst>
            <a:ext uri="{FF2B5EF4-FFF2-40B4-BE49-F238E27FC236}">
              <a16:creationId xmlns:a16="http://schemas.microsoft.com/office/drawing/2014/main" id="{4CD7F38E-ED5D-4EA8-A6CC-03DC750F5D18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81" name="Line 3">
          <a:extLst>
            <a:ext uri="{FF2B5EF4-FFF2-40B4-BE49-F238E27FC236}">
              <a16:creationId xmlns:a16="http://schemas.microsoft.com/office/drawing/2014/main" id="{C7BD7B48-1288-46EF-9A26-A23038D80D05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82" name="Line 4">
          <a:extLst>
            <a:ext uri="{FF2B5EF4-FFF2-40B4-BE49-F238E27FC236}">
              <a16:creationId xmlns:a16="http://schemas.microsoft.com/office/drawing/2014/main" id="{C4DAFE71-9AB6-4646-97A9-627A10EF56FD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83" name="Line 5">
          <a:extLst>
            <a:ext uri="{FF2B5EF4-FFF2-40B4-BE49-F238E27FC236}">
              <a16:creationId xmlns:a16="http://schemas.microsoft.com/office/drawing/2014/main" id="{AC930EB6-0284-4EAA-AAA5-F6608B5984B4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458</xdr:row>
      <xdr:rowOff>0</xdr:rowOff>
    </xdr:from>
    <xdr:to>
      <xdr:col>8</xdr:col>
      <xdr:colOff>180975</xdr:colOff>
      <xdr:row>458</xdr:row>
      <xdr:rowOff>0</xdr:rowOff>
    </xdr:to>
    <xdr:sp macro="" textlink="">
      <xdr:nvSpPr>
        <xdr:cNvPr id="84" name="Line 7">
          <a:extLst>
            <a:ext uri="{FF2B5EF4-FFF2-40B4-BE49-F238E27FC236}">
              <a16:creationId xmlns:a16="http://schemas.microsoft.com/office/drawing/2014/main" id="{081A44C4-A7AA-4CC7-8E0B-C93D65252BEB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85" name="Line 2">
          <a:extLst>
            <a:ext uri="{FF2B5EF4-FFF2-40B4-BE49-F238E27FC236}">
              <a16:creationId xmlns:a16="http://schemas.microsoft.com/office/drawing/2014/main" id="{5809A82A-023B-4D77-AA72-F3CDE8DAE72F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86" name="Line 3">
          <a:extLst>
            <a:ext uri="{FF2B5EF4-FFF2-40B4-BE49-F238E27FC236}">
              <a16:creationId xmlns:a16="http://schemas.microsoft.com/office/drawing/2014/main" id="{699B9F5A-8150-4C82-AF95-ED1CA1EFDD7B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87" name="Line 4">
          <a:extLst>
            <a:ext uri="{FF2B5EF4-FFF2-40B4-BE49-F238E27FC236}">
              <a16:creationId xmlns:a16="http://schemas.microsoft.com/office/drawing/2014/main" id="{BA249DF0-256A-4A83-952B-925C978F6002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88" name="Line 5">
          <a:extLst>
            <a:ext uri="{FF2B5EF4-FFF2-40B4-BE49-F238E27FC236}">
              <a16:creationId xmlns:a16="http://schemas.microsoft.com/office/drawing/2014/main" id="{AC4DAE1D-354C-4A47-BF38-D235559CB567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89" name="Line 2">
          <a:extLst>
            <a:ext uri="{FF2B5EF4-FFF2-40B4-BE49-F238E27FC236}">
              <a16:creationId xmlns:a16="http://schemas.microsoft.com/office/drawing/2014/main" id="{0EEA7B69-8ACF-467C-A9D8-DFF7A2033FB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90" name="Line 3">
          <a:extLst>
            <a:ext uri="{FF2B5EF4-FFF2-40B4-BE49-F238E27FC236}">
              <a16:creationId xmlns:a16="http://schemas.microsoft.com/office/drawing/2014/main" id="{7DA24B73-A441-43C5-AEA1-8060AEC4F554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1" name="Line 4">
          <a:extLst>
            <a:ext uri="{FF2B5EF4-FFF2-40B4-BE49-F238E27FC236}">
              <a16:creationId xmlns:a16="http://schemas.microsoft.com/office/drawing/2014/main" id="{76FE1EF3-6268-4DBE-8127-0EA80E467DFB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92" name="Line 5">
          <a:extLst>
            <a:ext uri="{FF2B5EF4-FFF2-40B4-BE49-F238E27FC236}">
              <a16:creationId xmlns:a16="http://schemas.microsoft.com/office/drawing/2014/main" id="{BFC9D480-8E61-4290-8D5D-345790BBF938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93" name="Line 7">
          <a:extLst>
            <a:ext uri="{FF2B5EF4-FFF2-40B4-BE49-F238E27FC236}">
              <a16:creationId xmlns:a16="http://schemas.microsoft.com/office/drawing/2014/main" id="{E4402C47-AAB5-4CF2-AE5B-D2E17E1DB9B5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94" name="Line 2">
          <a:extLst>
            <a:ext uri="{FF2B5EF4-FFF2-40B4-BE49-F238E27FC236}">
              <a16:creationId xmlns:a16="http://schemas.microsoft.com/office/drawing/2014/main" id="{CFC7F7FC-A0E4-45DA-A8FF-48FCF74544EB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95" name="Line 3">
          <a:extLst>
            <a:ext uri="{FF2B5EF4-FFF2-40B4-BE49-F238E27FC236}">
              <a16:creationId xmlns:a16="http://schemas.microsoft.com/office/drawing/2014/main" id="{132BB8CA-32B7-4163-9782-A02A1AD5EBAF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96" name="Line 4">
          <a:extLst>
            <a:ext uri="{FF2B5EF4-FFF2-40B4-BE49-F238E27FC236}">
              <a16:creationId xmlns:a16="http://schemas.microsoft.com/office/drawing/2014/main" id="{2F34205D-3B58-4A79-A0CA-1C6DE4EED4B0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6E00030-A68B-4BA8-85FA-88E58AD5050D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98" name="Line 5">
          <a:extLst>
            <a:ext uri="{FF2B5EF4-FFF2-40B4-BE49-F238E27FC236}">
              <a16:creationId xmlns:a16="http://schemas.microsoft.com/office/drawing/2014/main" id="{AAAA0153-DCE5-4AB8-8FEF-FB1AF95CAFAD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14755D44-1458-4799-A396-3B19AB2E1C01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049F24-211D-44E9-AB80-384C88B6DA60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01" name="Line 4">
          <a:extLst>
            <a:ext uri="{FF2B5EF4-FFF2-40B4-BE49-F238E27FC236}">
              <a16:creationId xmlns:a16="http://schemas.microsoft.com/office/drawing/2014/main" id="{31470D9D-02CC-40C2-9C0F-3FC6407AF043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102" name="Line 5">
          <a:extLst>
            <a:ext uri="{FF2B5EF4-FFF2-40B4-BE49-F238E27FC236}">
              <a16:creationId xmlns:a16="http://schemas.microsoft.com/office/drawing/2014/main" id="{D0EDD82E-DC80-418A-81DC-1FE0E1D6ACE0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103" name="Line 7">
          <a:extLst>
            <a:ext uri="{FF2B5EF4-FFF2-40B4-BE49-F238E27FC236}">
              <a16:creationId xmlns:a16="http://schemas.microsoft.com/office/drawing/2014/main" id="{A472FE7A-41F0-4CA1-AFEE-36E28E4FBEF2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104" name="Line 2">
          <a:extLst>
            <a:ext uri="{FF2B5EF4-FFF2-40B4-BE49-F238E27FC236}">
              <a16:creationId xmlns:a16="http://schemas.microsoft.com/office/drawing/2014/main" id="{9543768D-5C2D-4CC7-890E-AEADD9C2EFF9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105" name="Line 3">
          <a:extLst>
            <a:ext uri="{FF2B5EF4-FFF2-40B4-BE49-F238E27FC236}">
              <a16:creationId xmlns:a16="http://schemas.microsoft.com/office/drawing/2014/main" id="{07D996D3-CC97-48F4-B6CB-9737FCBA5765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106" name="Line 4">
          <a:extLst>
            <a:ext uri="{FF2B5EF4-FFF2-40B4-BE49-F238E27FC236}">
              <a16:creationId xmlns:a16="http://schemas.microsoft.com/office/drawing/2014/main" id="{E145E975-E684-41CC-ABD8-8BB49F7ADEFD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107" name="Line 5">
          <a:extLst>
            <a:ext uri="{FF2B5EF4-FFF2-40B4-BE49-F238E27FC236}">
              <a16:creationId xmlns:a16="http://schemas.microsoft.com/office/drawing/2014/main" id="{691F7DCD-C173-41FE-A538-484A216DDB3D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B4694EF-D7F9-4150-A1F2-068352940D1C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2C0801F-C231-42BC-88E2-99304F802CBA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10" name="Line 4">
          <a:extLst>
            <a:ext uri="{FF2B5EF4-FFF2-40B4-BE49-F238E27FC236}">
              <a16:creationId xmlns:a16="http://schemas.microsoft.com/office/drawing/2014/main" id="{B7E21FC4-B821-489C-8A53-A4895057D3AE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411373CE-A3A2-429E-BFA5-ECC8577996E7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9FD1FCE-AC8B-44E8-860D-3A3CE2841DA7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113" name="Line 4">
          <a:extLst>
            <a:ext uri="{FF2B5EF4-FFF2-40B4-BE49-F238E27FC236}">
              <a16:creationId xmlns:a16="http://schemas.microsoft.com/office/drawing/2014/main" id="{C86CAC5A-84D5-40A9-AA98-27369A8CAB40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A59D900-9803-40BA-BD2D-6B4F1859B3E9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4216913-C1C8-441D-A496-285770277D4D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574</xdr:row>
      <xdr:rowOff>0</xdr:rowOff>
    </xdr:from>
    <xdr:to>
      <xdr:col>8</xdr:col>
      <xdr:colOff>180975</xdr:colOff>
      <xdr:row>574</xdr:row>
      <xdr:rowOff>0</xdr:rowOff>
    </xdr:to>
    <xdr:sp macro="" textlink="">
      <xdr:nvSpPr>
        <xdr:cNvPr id="116" name="Line 4">
          <a:extLst>
            <a:ext uri="{FF2B5EF4-FFF2-40B4-BE49-F238E27FC236}">
              <a16:creationId xmlns:a16="http://schemas.microsoft.com/office/drawing/2014/main" id="{C3C1A2CC-32BB-4956-BABB-5A8387634B7A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117" name="Line 3">
          <a:extLst>
            <a:ext uri="{FF2B5EF4-FFF2-40B4-BE49-F238E27FC236}">
              <a16:creationId xmlns:a16="http://schemas.microsoft.com/office/drawing/2014/main" id="{AB515E49-8767-41AC-BADE-EAC0FDA456EB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118" name="Line 5">
          <a:extLst>
            <a:ext uri="{FF2B5EF4-FFF2-40B4-BE49-F238E27FC236}">
              <a16:creationId xmlns:a16="http://schemas.microsoft.com/office/drawing/2014/main" id="{9725EDF1-34D0-4DF9-8A2B-E762BEC96034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19" name="Line 2">
          <a:extLst>
            <a:ext uri="{FF2B5EF4-FFF2-40B4-BE49-F238E27FC236}">
              <a16:creationId xmlns:a16="http://schemas.microsoft.com/office/drawing/2014/main" id="{53666B8A-8149-43A2-9115-F7438682D07C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20" name="Line 3">
          <a:extLst>
            <a:ext uri="{FF2B5EF4-FFF2-40B4-BE49-F238E27FC236}">
              <a16:creationId xmlns:a16="http://schemas.microsoft.com/office/drawing/2014/main" id="{46E1AB42-BEFD-434A-A53D-19F64D4642F5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21" name="Line 4">
          <a:extLst>
            <a:ext uri="{FF2B5EF4-FFF2-40B4-BE49-F238E27FC236}">
              <a16:creationId xmlns:a16="http://schemas.microsoft.com/office/drawing/2014/main" id="{7542EAC0-1A7D-4EF2-AC73-D55F38E93B4C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122" name="Line 5">
          <a:extLst>
            <a:ext uri="{FF2B5EF4-FFF2-40B4-BE49-F238E27FC236}">
              <a16:creationId xmlns:a16="http://schemas.microsoft.com/office/drawing/2014/main" id="{C72E4F5C-56B0-4CB9-81D6-98D8110D57A9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23" name="Line 7">
          <a:extLst>
            <a:ext uri="{FF2B5EF4-FFF2-40B4-BE49-F238E27FC236}">
              <a16:creationId xmlns:a16="http://schemas.microsoft.com/office/drawing/2014/main" id="{C27EA4C2-D4CE-48A7-BEAE-504DFD0EE499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24" name="Line 2">
          <a:extLst>
            <a:ext uri="{FF2B5EF4-FFF2-40B4-BE49-F238E27FC236}">
              <a16:creationId xmlns:a16="http://schemas.microsoft.com/office/drawing/2014/main" id="{E4760C15-1131-4451-8526-A9BD0FFAA681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25" name="Line 3">
          <a:extLst>
            <a:ext uri="{FF2B5EF4-FFF2-40B4-BE49-F238E27FC236}">
              <a16:creationId xmlns:a16="http://schemas.microsoft.com/office/drawing/2014/main" id="{4DBAC973-5932-4740-93A2-5F346C75E76E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26" name="Line 4">
          <a:extLst>
            <a:ext uri="{FF2B5EF4-FFF2-40B4-BE49-F238E27FC236}">
              <a16:creationId xmlns:a16="http://schemas.microsoft.com/office/drawing/2014/main" id="{B0A9C81C-6CC4-41B6-BECB-9F3FE46246D9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127" name="Line 5">
          <a:extLst>
            <a:ext uri="{FF2B5EF4-FFF2-40B4-BE49-F238E27FC236}">
              <a16:creationId xmlns:a16="http://schemas.microsoft.com/office/drawing/2014/main" id="{54D65896-7ACB-482D-9393-FA4813FB5876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28" name="Line 2">
          <a:extLst>
            <a:ext uri="{FF2B5EF4-FFF2-40B4-BE49-F238E27FC236}">
              <a16:creationId xmlns:a16="http://schemas.microsoft.com/office/drawing/2014/main" id="{716A21C9-D934-4546-BCB7-44CAA024E522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29" name="Line 3">
          <a:extLst>
            <a:ext uri="{FF2B5EF4-FFF2-40B4-BE49-F238E27FC236}">
              <a16:creationId xmlns:a16="http://schemas.microsoft.com/office/drawing/2014/main" id="{BECD44A4-DCC0-4620-B50B-F6AB62287AAF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30" name="Line 4">
          <a:extLst>
            <a:ext uri="{FF2B5EF4-FFF2-40B4-BE49-F238E27FC236}">
              <a16:creationId xmlns:a16="http://schemas.microsoft.com/office/drawing/2014/main" id="{6C9DBF50-2458-4FE2-8454-D14642A4C4D8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31" name="Line 2">
          <a:extLst>
            <a:ext uri="{FF2B5EF4-FFF2-40B4-BE49-F238E27FC236}">
              <a16:creationId xmlns:a16="http://schemas.microsoft.com/office/drawing/2014/main" id="{204CAFB9-F3F8-41C2-96D4-19EFD136E488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32" name="Line 3">
          <a:extLst>
            <a:ext uri="{FF2B5EF4-FFF2-40B4-BE49-F238E27FC236}">
              <a16:creationId xmlns:a16="http://schemas.microsoft.com/office/drawing/2014/main" id="{A79084BC-DFCD-4E85-ABCF-796290B45C7F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33" name="Line 4">
          <a:extLst>
            <a:ext uri="{FF2B5EF4-FFF2-40B4-BE49-F238E27FC236}">
              <a16:creationId xmlns:a16="http://schemas.microsoft.com/office/drawing/2014/main" id="{EA5DC924-F362-4A1C-9670-C75FE2B92F71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34" name="Line 2">
          <a:extLst>
            <a:ext uri="{FF2B5EF4-FFF2-40B4-BE49-F238E27FC236}">
              <a16:creationId xmlns:a16="http://schemas.microsoft.com/office/drawing/2014/main" id="{ACE51BA0-CAE3-4C5A-8636-7E8B3CE8DF47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35" name="Line 3">
          <a:extLst>
            <a:ext uri="{FF2B5EF4-FFF2-40B4-BE49-F238E27FC236}">
              <a16:creationId xmlns:a16="http://schemas.microsoft.com/office/drawing/2014/main" id="{B04FBB1C-964D-4148-AF7F-2E091A6A5F47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635</xdr:row>
      <xdr:rowOff>0</xdr:rowOff>
    </xdr:from>
    <xdr:to>
      <xdr:col>8</xdr:col>
      <xdr:colOff>180975</xdr:colOff>
      <xdr:row>635</xdr:row>
      <xdr:rowOff>0</xdr:rowOff>
    </xdr:to>
    <xdr:sp macro="" textlink="">
      <xdr:nvSpPr>
        <xdr:cNvPr id="136" name="Line 4">
          <a:extLst>
            <a:ext uri="{FF2B5EF4-FFF2-40B4-BE49-F238E27FC236}">
              <a16:creationId xmlns:a16="http://schemas.microsoft.com/office/drawing/2014/main" id="{3DA32BD8-E438-4CBC-A91C-73A4B2AF7F3A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137" name="Line 3">
          <a:extLst>
            <a:ext uri="{FF2B5EF4-FFF2-40B4-BE49-F238E27FC236}">
              <a16:creationId xmlns:a16="http://schemas.microsoft.com/office/drawing/2014/main" id="{606018B9-DA88-442D-89A2-831DD5CB1D42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138" name="Line 5">
          <a:extLst>
            <a:ext uri="{FF2B5EF4-FFF2-40B4-BE49-F238E27FC236}">
              <a16:creationId xmlns:a16="http://schemas.microsoft.com/office/drawing/2014/main" id="{6BC15E68-AE29-401C-B223-D403165EC8EF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39" name="Line 2">
          <a:extLst>
            <a:ext uri="{FF2B5EF4-FFF2-40B4-BE49-F238E27FC236}">
              <a16:creationId xmlns:a16="http://schemas.microsoft.com/office/drawing/2014/main" id="{D536C789-60ED-4D11-9AF3-7FC832A8CF08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40" name="Line 3">
          <a:extLst>
            <a:ext uri="{FF2B5EF4-FFF2-40B4-BE49-F238E27FC236}">
              <a16:creationId xmlns:a16="http://schemas.microsoft.com/office/drawing/2014/main" id="{2E09489A-E82E-40AA-BE6C-7DA5138E6C05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41" name="Line 4">
          <a:extLst>
            <a:ext uri="{FF2B5EF4-FFF2-40B4-BE49-F238E27FC236}">
              <a16:creationId xmlns:a16="http://schemas.microsoft.com/office/drawing/2014/main" id="{D223FC3F-E36E-4339-979D-012C6A64022C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142" name="Line 5">
          <a:extLst>
            <a:ext uri="{FF2B5EF4-FFF2-40B4-BE49-F238E27FC236}">
              <a16:creationId xmlns:a16="http://schemas.microsoft.com/office/drawing/2014/main" id="{80DE75D1-797C-4024-AF9C-EB8B01E5401F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43" name="Line 7">
          <a:extLst>
            <a:ext uri="{FF2B5EF4-FFF2-40B4-BE49-F238E27FC236}">
              <a16:creationId xmlns:a16="http://schemas.microsoft.com/office/drawing/2014/main" id="{A9B26EF2-1C6E-47B6-B291-1B5A74AF70FB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7D8D652-0659-4246-9FDD-5364F908B7C6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725446B-1FB2-43D0-83B3-D85B15EECD4A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46" name="Line 4">
          <a:extLst>
            <a:ext uri="{FF2B5EF4-FFF2-40B4-BE49-F238E27FC236}">
              <a16:creationId xmlns:a16="http://schemas.microsoft.com/office/drawing/2014/main" id="{812F0ADF-C35F-4646-A54C-BE7BBE9BB9EC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147" name="Line 5">
          <a:extLst>
            <a:ext uri="{FF2B5EF4-FFF2-40B4-BE49-F238E27FC236}">
              <a16:creationId xmlns:a16="http://schemas.microsoft.com/office/drawing/2014/main" id="{6E28D598-0607-4412-8EC5-81EA66D8E798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48" name="Line 2">
          <a:extLst>
            <a:ext uri="{FF2B5EF4-FFF2-40B4-BE49-F238E27FC236}">
              <a16:creationId xmlns:a16="http://schemas.microsoft.com/office/drawing/2014/main" id="{DEA12E2C-5BE2-4AEB-B155-B22BE980C9AE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49" name="Line 3">
          <a:extLst>
            <a:ext uri="{FF2B5EF4-FFF2-40B4-BE49-F238E27FC236}">
              <a16:creationId xmlns:a16="http://schemas.microsoft.com/office/drawing/2014/main" id="{C7DEAD8E-CBF3-465E-9F3D-E3866075647C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50" name="Line 4">
          <a:extLst>
            <a:ext uri="{FF2B5EF4-FFF2-40B4-BE49-F238E27FC236}">
              <a16:creationId xmlns:a16="http://schemas.microsoft.com/office/drawing/2014/main" id="{C612BCF2-5795-441B-95F6-99C69172C1ED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51" name="Line 2">
          <a:extLst>
            <a:ext uri="{FF2B5EF4-FFF2-40B4-BE49-F238E27FC236}">
              <a16:creationId xmlns:a16="http://schemas.microsoft.com/office/drawing/2014/main" id="{0D97F222-0077-4367-A8BB-DF36507F0D29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52" name="Line 3">
          <a:extLst>
            <a:ext uri="{FF2B5EF4-FFF2-40B4-BE49-F238E27FC236}">
              <a16:creationId xmlns:a16="http://schemas.microsoft.com/office/drawing/2014/main" id="{501F41F5-84DC-4EBE-A101-899E61F89438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53" name="Line 4">
          <a:extLst>
            <a:ext uri="{FF2B5EF4-FFF2-40B4-BE49-F238E27FC236}">
              <a16:creationId xmlns:a16="http://schemas.microsoft.com/office/drawing/2014/main" id="{3534A60C-2764-4E5C-92CA-8CFE2B0C8154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54" name="Line 2">
          <a:extLst>
            <a:ext uri="{FF2B5EF4-FFF2-40B4-BE49-F238E27FC236}">
              <a16:creationId xmlns:a16="http://schemas.microsoft.com/office/drawing/2014/main" id="{C750DF53-0E9B-4C1C-B436-81B9A6AB6B41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55" name="Line 3">
          <a:extLst>
            <a:ext uri="{FF2B5EF4-FFF2-40B4-BE49-F238E27FC236}">
              <a16:creationId xmlns:a16="http://schemas.microsoft.com/office/drawing/2014/main" id="{3B7DA84E-DD57-43A0-A0E9-7965C4EAF3DA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692</xdr:row>
      <xdr:rowOff>0</xdr:rowOff>
    </xdr:from>
    <xdr:to>
      <xdr:col>8</xdr:col>
      <xdr:colOff>180975</xdr:colOff>
      <xdr:row>692</xdr:row>
      <xdr:rowOff>0</xdr:rowOff>
    </xdr:to>
    <xdr:sp macro="" textlink="">
      <xdr:nvSpPr>
        <xdr:cNvPr id="156" name="Line 4">
          <a:extLst>
            <a:ext uri="{FF2B5EF4-FFF2-40B4-BE49-F238E27FC236}">
              <a16:creationId xmlns:a16="http://schemas.microsoft.com/office/drawing/2014/main" id="{7E0C1EDE-B635-4D99-AFD8-6ABA339FE3F8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C3BE645F-B112-4387-B22D-2EAEC9963DD3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158" name="Line 5">
          <a:extLst>
            <a:ext uri="{FF2B5EF4-FFF2-40B4-BE49-F238E27FC236}">
              <a16:creationId xmlns:a16="http://schemas.microsoft.com/office/drawing/2014/main" id="{61D8B48A-9E74-41FD-BFFC-4AE267A078D7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84547F5-5690-4AC8-9488-9759CBA64479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61C312AF-F6EC-4E42-8494-4C1DF1573714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61" name="Line 4">
          <a:extLst>
            <a:ext uri="{FF2B5EF4-FFF2-40B4-BE49-F238E27FC236}">
              <a16:creationId xmlns:a16="http://schemas.microsoft.com/office/drawing/2014/main" id="{EF02765A-9BA1-4CCC-A0FE-1FE67F146C9A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162" name="Line 5">
          <a:extLst>
            <a:ext uri="{FF2B5EF4-FFF2-40B4-BE49-F238E27FC236}">
              <a16:creationId xmlns:a16="http://schemas.microsoft.com/office/drawing/2014/main" id="{2DBD3C63-D75A-428A-A42A-CED746BCB2E8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774</xdr:row>
      <xdr:rowOff>0</xdr:rowOff>
    </xdr:from>
    <xdr:to>
      <xdr:col>8</xdr:col>
      <xdr:colOff>180975</xdr:colOff>
      <xdr:row>774</xdr:row>
      <xdr:rowOff>0</xdr:rowOff>
    </xdr:to>
    <xdr:sp macro="" textlink="">
      <xdr:nvSpPr>
        <xdr:cNvPr id="163" name="Line 7">
          <a:extLst>
            <a:ext uri="{FF2B5EF4-FFF2-40B4-BE49-F238E27FC236}">
              <a16:creationId xmlns:a16="http://schemas.microsoft.com/office/drawing/2014/main" id="{F43DB3CA-B4BD-4DC3-AD2D-EAD34BE36A3F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64" name="Line 2">
          <a:extLst>
            <a:ext uri="{FF2B5EF4-FFF2-40B4-BE49-F238E27FC236}">
              <a16:creationId xmlns:a16="http://schemas.microsoft.com/office/drawing/2014/main" id="{2B5732DF-C2F4-4C75-8F5C-DD9111F48BA0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65" name="Line 3">
          <a:extLst>
            <a:ext uri="{FF2B5EF4-FFF2-40B4-BE49-F238E27FC236}">
              <a16:creationId xmlns:a16="http://schemas.microsoft.com/office/drawing/2014/main" id="{724260B2-85DA-4574-9E03-A9ECB026EA94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66" name="Line 4">
          <a:extLst>
            <a:ext uri="{FF2B5EF4-FFF2-40B4-BE49-F238E27FC236}">
              <a16:creationId xmlns:a16="http://schemas.microsoft.com/office/drawing/2014/main" id="{2510A600-52D4-4C50-BADD-E410FBF1B98B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167" name="Line 5">
          <a:extLst>
            <a:ext uri="{FF2B5EF4-FFF2-40B4-BE49-F238E27FC236}">
              <a16:creationId xmlns:a16="http://schemas.microsoft.com/office/drawing/2014/main" id="{20258950-1BD9-4761-A2B0-9A930C6CB03C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757A8D2-C237-4027-AEF8-0713B49587A4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5DDC1B6-DCD7-4CB5-83EC-A322C93FEF69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70" name="Line 4">
          <a:extLst>
            <a:ext uri="{FF2B5EF4-FFF2-40B4-BE49-F238E27FC236}">
              <a16:creationId xmlns:a16="http://schemas.microsoft.com/office/drawing/2014/main" id="{F40B11C0-ABE6-4E2E-8A10-ED861A852CA9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92974A44-B0B6-4C90-8075-03D05FB46714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85B75A6-20CE-4956-915F-4F9AE77DCD3B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73" name="Line 4">
          <a:extLst>
            <a:ext uri="{FF2B5EF4-FFF2-40B4-BE49-F238E27FC236}">
              <a16:creationId xmlns:a16="http://schemas.microsoft.com/office/drawing/2014/main" id="{CEE8DC2F-2206-41C6-BD72-95D7131102D6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31A03BE-F985-4C95-9867-C7EAEB854AE7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315E2CF1-ED13-423E-8C5A-6D4A8A3ACA4B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752</xdr:row>
      <xdr:rowOff>0</xdr:rowOff>
    </xdr:from>
    <xdr:to>
      <xdr:col>8</xdr:col>
      <xdr:colOff>180975</xdr:colOff>
      <xdr:row>752</xdr:row>
      <xdr:rowOff>0</xdr:rowOff>
    </xdr:to>
    <xdr:sp macro="" textlink="">
      <xdr:nvSpPr>
        <xdr:cNvPr id="176" name="Line 4">
          <a:extLst>
            <a:ext uri="{FF2B5EF4-FFF2-40B4-BE49-F238E27FC236}">
              <a16:creationId xmlns:a16="http://schemas.microsoft.com/office/drawing/2014/main" id="{2B574176-320D-441C-9B21-B1D1E46E16C9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F257F016-7B96-4700-8243-1078A224722D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794F217C-4E45-4DE6-8294-C9D6D9686BF0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179" name="Line 5">
          <a:extLst>
            <a:ext uri="{FF2B5EF4-FFF2-40B4-BE49-F238E27FC236}">
              <a16:creationId xmlns:a16="http://schemas.microsoft.com/office/drawing/2014/main" id="{5AD4078C-6711-48D8-B1C9-8F44D1A72AE8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80" name="Line 3">
          <a:extLst>
            <a:ext uri="{FF2B5EF4-FFF2-40B4-BE49-F238E27FC236}">
              <a16:creationId xmlns:a16="http://schemas.microsoft.com/office/drawing/2014/main" id="{E7F8D414-1B52-4C5E-B5E8-06D1C7B7CE18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81" name="Line 5">
          <a:extLst>
            <a:ext uri="{FF2B5EF4-FFF2-40B4-BE49-F238E27FC236}">
              <a16:creationId xmlns:a16="http://schemas.microsoft.com/office/drawing/2014/main" id="{620B0136-85B6-4002-997E-8A9204E84A5E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82" name="Line 2">
          <a:extLst>
            <a:ext uri="{FF2B5EF4-FFF2-40B4-BE49-F238E27FC236}">
              <a16:creationId xmlns:a16="http://schemas.microsoft.com/office/drawing/2014/main" id="{781E071B-7029-490B-88F8-E96A715C16CC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1300CC9C-07A9-4576-BD12-9FF50E06CB9B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84" name="Line 4">
          <a:extLst>
            <a:ext uri="{FF2B5EF4-FFF2-40B4-BE49-F238E27FC236}">
              <a16:creationId xmlns:a16="http://schemas.microsoft.com/office/drawing/2014/main" id="{269312DA-E003-4099-81F5-D6847D52492A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82</xdr:row>
      <xdr:rowOff>0</xdr:rowOff>
    </xdr:from>
    <xdr:to>
      <xdr:col>8</xdr:col>
      <xdr:colOff>180975</xdr:colOff>
      <xdr:row>82</xdr:row>
      <xdr:rowOff>0</xdr:rowOff>
    </xdr:to>
    <xdr:sp macro="" textlink="">
      <xdr:nvSpPr>
        <xdr:cNvPr id="185" name="Line 5">
          <a:extLst>
            <a:ext uri="{FF2B5EF4-FFF2-40B4-BE49-F238E27FC236}">
              <a16:creationId xmlns:a16="http://schemas.microsoft.com/office/drawing/2014/main" id="{EA6673F1-8E03-4807-B7EE-081E2BAD7185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102</xdr:row>
      <xdr:rowOff>0</xdr:rowOff>
    </xdr:from>
    <xdr:to>
      <xdr:col>8</xdr:col>
      <xdr:colOff>180975</xdr:colOff>
      <xdr:row>102</xdr:row>
      <xdr:rowOff>0</xdr:rowOff>
    </xdr:to>
    <xdr:sp macro="" textlink="">
      <xdr:nvSpPr>
        <xdr:cNvPr id="186" name="Line 7">
          <a:extLst>
            <a:ext uri="{FF2B5EF4-FFF2-40B4-BE49-F238E27FC236}">
              <a16:creationId xmlns:a16="http://schemas.microsoft.com/office/drawing/2014/main" id="{71B788E7-0B1E-490B-ACB9-B46A79E89E76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1B108F3-338B-484D-8ADD-398742B460B5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188" name="Line 5">
          <a:extLst>
            <a:ext uri="{FF2B5EF4-FFF2-40B4-BE49-F238E27FC236}">
              <a16:creationId xmlns:a16="http://schemas.microsoft.com/office/drawing/2014/main" id="{9875FD06-2352-4740-B3B4-7FAD380C1656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EF9A2441-D1AD-47AB-824D-BDE492E22AE2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18F6439-BC92-47EE-A30A-1B0CDC9D4FC1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1" name="Line 4">
          <a:extLst>
            <a:ext uri="{FF2B5EF4-FFF2-40B4-BE49-F238E27FC236}">
              <a16:creationId xmlns:a16="http://schemas.microsoft.com/office/drawing/2014/main" id="{57D9ADC3-B79C-4731-9FA4-F6ABB6F2017D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92" name="Line 5">
          <a:extLst>
            <a:ext uri="{FF2B5EF4-FFF2-40B4-BE49-F238E27FC236}">
              <a16:creationId xmlns:a16="http://schemas.microsoft.com/office/drawing/2014/main" id="{DFA9DAC4-9CCC-49C2-BA4B-169FEA59FD2D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193" name="Line 2">
          <a:extLst>
            <a:ext uri="{FF2B5EF4-FFF2-40B4-BE49-F238E27FC236}">
              <a16:creationId xmlns:a16="http://schemas.microsoft.com/office/drawing/2014/main" id="{24652947-C26E-4A19-8A58-1AB86F9B41CD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194" name="Line 3">
          <a:extLst>
            <a:ext uri="{FF2B5EF4-FFF2-40B4-BE49-F238E27FC236}">
              <a16:creationId xmlns:a16="http://schemas.microsoft.com/office/drawing/2014/main" id="{1EA9826B-C596-4C0E-A857-81EAD2A930BB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195" name="Line 4">
          <a:extLst>
            <a:ext uri="{FF2B5EF4-FFF2-40B4-BE49-F238E27FC236}">
              <a16:creationId xmlns:a16="http://schemas.microsoft.com/office/drawing/2014/main" id="{02B56361-D94C-4694-8DA5-AFF758B4AF5E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96" name="Line 5">
          <a:extLst>
            <a:ext uri="{FF2B5EF4-FFF2-40B4-BE49-F238E27FC236}">
              <a16:creationId xmlns:a16="http://schemas.microsoft.com/office/drawing/2014/main" id="{246A239E-5177-4FF5-B2B5-3B9FDBF2D3B7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197" name="Line 2">
          <a:extLst>
            <a:ext uri="{FF2B5EF4-FFF2-40B4-BE49-F238E27FC236}">
              <a16:creationId xmlns:a16="http://schemas.microsoft.com/office/drawing/2014/main" id="{845B81B5-D0AA-4E26-A954-BC974931F60F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198" name="Line 3">
          <a:extLst>
            <a:ext uri="{FF2B5EF4-FFF2-40B4-BE49-F238E27FC236}">
              <a16:creationId xmlns:a16="http://schemas.microsoft.com/office/drawing/2014/main" id="{A0348B06-C760-4B8F-9419-38E8B8842BD9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199" name="Line 5">
          <a:extLst>
            <a:ext uri="{FF2B5EF4-FFF2-40B4-BE49-F238E27FC236}">
              <a16:creationId xmlns:a16="http://schemas.microsoft.com/office/drawing/2014/main" id="{147924E9-23E2-4BF7-9FF5-A53A3241A4AD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00" name="Line 2">
          <a:extLst>
            <a:ext uri="{FF2B5EF4-FFF2-40B4-BE49-F238E27FC236}">
              <a16:creationId xmlns:a16="http://schemas.microsoft.com/office/drawing/2014/main" id="{166D1859-129C-4207-838E-E53E9C345DD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1457EA65-4488-438E-BA89-A22B1FCDEB4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02" name="Line 4">
          <a:extLst>
            <a:ext uri="{FF2B5EF4-FFF2-40B4-BE49-F238E27FC236}">
              <a16:creationId xmlns:a16="http://schemas.microsoft.com/office/drawing/2014/main" id="{D204F2D8-4E60-4D0E-9B8C-060105E5D77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203" name="Line 5">
          <a:extLst>
            <a:ext uri="{FF2B5EF4-FFF2-40B4-BE49-F238E27FC236}">
              <a16:creationId xmlns:a16="http://schemas.microsoft.com/office/drawing/2014/main" id="{20B8822E-15BC-4319-9CDF-D0F4753E5D4F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204" name="Line 7">
          <a:extLst>
            <a:ext uri="{FF2B5EF4-FFF2-40B4-BE49-F238E27FC236}">
              <a16:creationId xmlns:a16="http://schemas.microsoft.com/office/drawing/2014/main" id="{03E60A53-5637-4B83-90A2-04CEEE7AF307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05" name="Line 2">
          <a:extLst>
            <a:ext uri="{FF2B5EF4-FFF2-40B4-BE49-F238E27FC236}">
              <a16:creationId xmlns:a16="http://schemas.microsoft.com/office/drawing/2014/main" id="{E4278FAD-6992-4829-8AC0-42C07D2E6218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06" name="Line 3">
          <a:extLst>
            <a:ext uri="{FF2B5EF4-FFF2-40B4-BE49-F238E27FC236}">
              <a16:creationId xmlns:a16="http://schemas.microsoft.com/office/drawing/2014/main" id="{3A561C3C-5C12-47E4-9D69-82B44A88068B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07" name="Line 4">
          <a:extLst>
            <a:ext uri="{FF2B5EF4-FFF2-40B4-BE49-F238E27FC236}">
              <a16:creationId xmlns:a16="http://schemas.microsoft.com/office/drawing/2014/main" id="{0D9552AB-2C74-4724-AA48-7634B603D23D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208" name="Line 5">
          <a:extLst>
            <a:ext uri="{FF2B5EF4-FFF2-40B4-BE49-F238E27FC236}">
              <a16:creationId xmlns:a16="http://schemas.microsoft.com/office/drawing/2014/main" id="{FC19A7FC-D631-4A60-B59C-99C3A4475C32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209" name="Line 2">
          <a:extLst>
            <a:ext uri="{FF2B5EF4-FFF2-40B4-BE49-F238E27FC236}">
              <a16:creationId xmlns:a16="http://schemas.microsoft.com/office/drawing/2014/main" id="{77763326-3725-4671-8282-83877219B495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210" name="Line 3">
          <a:extLst>
            <a:ext uri="{FF2B5EF4-FFF2-40B4-BE49-F238E27FC236}">
              <a16:creationId xmlns:a16="http://schemas.microsoft.com/office/drawing/2014/main" id="{375BFA71-A503-43AE-B6CF-EB792AD21A40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211" name="Line 4">
          <a:extLst>
            <a:ext uri="{FF2B5EF4-FFF2-40B4-BE49-F238E27FC236}">
              <a16:creationId xmlns:a16="http://schemas.microsoft.com/office/drawing/2014/main" id="{437FC398-5549-483C-A2B9-D665078CCD84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212" name="Line 5">
          <a:extLst>
            <a:ext uri="{FF2B5EF4-FFF2-40B4-BE49-F238E27FC236}">
              <a16:creationId xmlns:a16="http://schemas.microsoft.com/office/drawing/2014/main" id="{3DFEF043-4536-4961-B5F2-0596D62C48A2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213" name="Line 7">
          <a:extLst>
            <a:ext uri="{FF2B5EF4-FFF2-40B4-BE49-F238E27FC236}">
              <a16:creationId xmlns:a16="http://schemas.microsoft.com/office/drawing/2014/main" id="{DDCB5956-9132-4295-B8EB-660185CD13E5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214" name="Line 8">
          <a:extLst>
            <a:ext uri="{FF2B5EF4-FFF2-40B4-BE49-F238E27FC236}">
              <a16:creationId xmlns:a16="http://schemas.microsoft.com/office/drawing/2014/main" id="{AA169B34-8846-40B6-BBCE-CF3D81075404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215" name="Rectangle 7">
          <a:extLst>
            <a:ext uri="{FF2B5EF4-FFF2-40B4-BE49-F238E27FC236}">
              <a16:creationId xmlns:a16="http://schemas.microsoft.com/office/drawing/2014/main" id="{C8869466-C0D1-4E1B-A702-E0C7D15EBF91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216" name="Rectangle 8">
          <a:extLst>
            <a:ext uri="{FF2B5EF4-FFF2-40B4-BE49-F238E27FC236}">
              <a16:creationId xmlns:a16="http://schemas.microsoft.com/office/drawing/2014/main" id="{DA776728-A3CE-432F-A137-8D55FA50185B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217" name="Line 2">
          <a:extLst>
            <a:ext uri="{FF2B5EF4-FFF2-40B4-BE49-F238E27FC236}">
              <a16:creationId xmlns:a16="http://schemas.microsoft.com/office/drawing/2014/main" id="{90FB0586-3533-4D5D-889E-EC8C32BD4FAA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218" name="Line 3">
          <a:extLst>
            <a:ext uri="{FF2B5EF4-FFF2-40B4-BE49-F238E27FC236}">
              <a16:creationId xmlns:a16="http://schemas.microsoft.com/office/drawing/2014/main" id="{03050A85-5250-406A-ABA1-D5C60FFB6A72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219" name="Line 5">
          <a:extLst>
            <a:ext uri="{FF2B5EF4-FFF2-40B4-BE49-F238E27FC236}">
              <a16:creationId xmlns:a16="http://schemas.microsoft.com/office/drawing/2014/main" id="{5CB4ADAB-B42F-4D03-B45F-11DFBEB73DFE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20" name="Line 2">
          <a:extLst>
            <a:ext uri="{FF2B5EF4-FFF2-40B4-BE49-F238E27FC236}">
              <a16:creationId xmlns:a16="http://schemas.microsoft.com/office/drawing/2014/main" id="{8F0D8D1F-0AB5-407F-930C-2ACD2E84B9CA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85D0CC1C-217E-4E29-A355-DB7E251CBB3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22" name="Line 4">
          <a:extLst>
            <a:ext uri="{FF2B5EF4-FFF2-40B4-BE49-F238E27FC236}">
              <a16:creationId xmlns:a16="http://schemas.microsoft.com/office/drawing/2014/main" id="{E122D5FC-05ED-4904-AF65-2E1DC301906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223" name="Line 5">
          <a:extLst>
            <a:ext uri="{FF2B5EF4-FFF2-40B4-BE49-F238E27FC236}">
              <a16:creationId xmlns:a16="http://schemas.microsoft.com/office/drawing/2014/main" id="{7349F35E-0ADA-46B2-92DF-62EB3462E665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224" name="Line 7">
          <a:extLst>
            <a:ext uri="{FF2B5EF4-FFF2-40B4-BE49-F238E27FC236}">
              <a16:creationId xmlns:a16="http://schemas.microsoft.com/office/drawing/2014/main" id="{9735F53B-C61E-4296-BBEF-328DDA26F356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26A3B14-6E32-408A-97D0-7EB1713131D7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ACF72ADC-6ADD-4EAD-87C1-B62CF4F27B70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27" name="Line 4">
          <a:extLst>
            <a:ext uri="{FF2B5EF4-FFF2-40B4-BE49-F238E27FC236}">
              <a16:creationId xmlns:a16="http://schemas.microsoft.com/office/drawing/2014/main" id="{6DCA8D6B-EC58-4F30-81D1-58FBA1762649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228" name="Line 5">
          <a:extLst>
            <a:ext uri="{FF2B5EF4-FFF2-40B4-BE49-F238E27FC236}">
              <a16:creationId xmlns:a16="http://schemas.microsoft.com/office/drawing/2014/main" id="{21E93EFC-4791-417C-988F-88B5B3694175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229" name="Line 2">
          <a:extLst>
            <a:ext uri="{FF2B5EF4-FFF2-40B4-BE49-F238E27FC236}">
              <a16:creationId xmlns:a16="http://schemas.microsoft.com/office/drawing/2014/main" id="{28BC4866-1388-477F-B408-39C8FD6D53ED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230" name="Line 3">
          <a:extLst>
            <a:ext uri="{FF2B5EF4-FFF2-40B4-BE49-F238E27FC236}">
              <a16:creationId xmlns:a16="http://schemas.microsoft.com/office/drawing/2014/main" id="{334CB54C-D5EA-4372-AD4E-41F359E5E578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231" name="Line 4">
          <a:extLst>
            <a:ext uri="{FF2B5EF4-FFF2-40B4-BE49-F238E27FC236}">
              <a16:creationId xmlns:a16="http://schemas.microsoft.com/office/drawing/2014/main" id="{683ECDB2-418C-483D-AF7B-7181B82A5C8E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232" name="Line 5">
          <a:extLst>
            <a:ext uri="{FF2B5EF4-FFF2-40B4-BE49-F238E27FC236}">
              <a16:creationId xmlns:a16="http://schemas.microsoft.com/office/drawing/2014/main" id="{88B7F55B-157B-4C7B-96C3-30A6C4C0044C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233" name="Line 7">
          <a:extLst>
            <a:ext uri="{FF2B5EF4-FFF2-40B4-BE49-F238E27FC236}">
              <a16:creationId xmlns:a16="http://schemas.microsoft.com/office/drawing/2014/main" id="{FA2B191A-B1EF-455A-ACA6-DDA55CEA0B9F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234" name="Line 8">
          <a:extLst>
            <a:ext uri="{FF2B5EF4-FFF2-40B4-BE49-F238E27FC236}">
              <a16:creationId xmlns:a16="http://schemas.microsoft.com/office/drawing/2014/main" id="{A1856529-00F8-4F07-860F-C960CE8A7FFC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235" name="Rectangle 7">
          <a:extLst>
            <a:ext uri="{FF2B5EF4-FFF2-40B4-BE49-F238E27FC236}">
              <a16:creationId xmlns:a16="http://schemas.microsoft.com/office/drawing/2014/main" id="{BF5AAFA7-24B5-46ED-8F9A-6404DC43BAF1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236" name="Rectangle 8">
          <a:extLst>
            <a:ext uri="{FF2B5EF4-FFF2-40B4-BE49-F238E27FC236}">
              <a16:creationId xmlns:a16="http://schemas.microsoft.com/office/drawing/2014/main" id="{268B3CC9-334D-46AC-9957-8577A5D833A0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8E06687D-F5C4-4D78-A8E2-C1894915ACC2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238" name="Line 5">
          <a:extLst>
            <a:ext uri="{FF2B5EF4-FFF2-40B4-BE49-F238E27FC236}">
              <a16:creationId xmlns:a16="http://schemas.microsoft.com/office/drawing/2014/main" id="{2ED8D983-3C5B-4AE7-806A-30698D7A84CD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39" name="Line 2">
          <a:extLst>
            <a:ext uri="{FF2B5EF4-FFF2-40B4-BE49-F238E27FC236}">
              <a16:creationId xmlns:a16="http://schemas.microsoft.com/office/drawing/2014/main" id="{C0EDF9A2-4949-43EE-B466-F47532F277F1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40" name="Line 3">
          <a:extLst>
            <a:ext uri="{FF2B5EF4-FFF2-40B4-BE49-F238E27FC236}">
              <a16:creationId xmlns:a16="http://schemas.microsoft.com/office/drawing/2014/main" id="{374F5937-6069-4EF6-BAF3-2BA9C89D2BD4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41" name="Line 4">
          <a:extLst>
            <a:ext uri="{FF2B5EF4-FFF2-40B4-BE49-F238E27FC236}">
              <a16:creationId xmlns:a16="http://schemas.microsoft.com/office/drawing/2014/main" id="{F36F870E-7D25-476E-9D3B-304478B3F4A5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242" name="Line 5">
          <a:extLst>
            <a:ext uri="{FF2B5EF4-FFF2-40B4-BE49-F238E27FC236}">
              <a16:creationId xmlns:a16="http://schemas.microsoft.com/office/drawing/2014/main" id="{182CA1D4-14FB-4597-820D-CC30056957BE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243" name="Line 7">
          <a:extLst>
            <a:ext uri="{FF2B5EF4-FFF2-40B4-BE49-F238E27FC236}">
              <a16:creationId xmlns:a16="http://schemas.microsoft.com/office/drawing/2014/main" id="{6F1C4577-46A0-4AAD-94B9-6E5D28ECFA9F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244" name="Line 2">
          <a:extLst>
            <a:ext uri="{FF2B5EF4-FFF2-40B4-BE49-F238E27FC236}">
              <a16:creationId xmlns:a16="http://schemas.microsoft.com/office/drawing/2014/main" id="{14AEF512-6128-4A3D-95C7-953BCFC3A1A6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5EF11810-3A75-4354-BAC9-B997D9506C3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246" name="Line 4">
          <a:extLst>
            <a:ext uri="{FF2B5EF4-FFF2-40B4-BE49-F238E27FC236}">
              <a16:creationId xmlns:a16="http://schemas.microsoft.com/office/drawing/2014/main" id="{0B9ACCB8-6E4F-4768-9D55-18C181E2D7F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247" name="Line 5">
          <a:extLst>
            <a:ext uri="{FF2B5EF4-FFF2-40B4-BE49-F238E27FC236}">
              <a16:creationId xmlns:a16="http://schemas.microsoft.com/office/drawing/2014/main" id="{79AE981F-52FC-4751-8027-B983C0E6754F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248" name="Line 2">
          <a:extLst>
            <a:ext uri="{FF2B5EF4-FFF2-40B4-BE49-F238E27FC236}">
              <a16:creationId xmlns:a16="http://schemas.microsoft.com/office/drawing/2014/main" id="{F5BAC0BD-A917-411C-82E3-3B00919CD80B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DA551235-4729-498E-A651-9FE6D6AAC4BD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50" name="Line 4">
          <a:extLst>
            <a:ext uri="{FF2B5EF4-FFF2-40B4-BE49-F238E27FC236}">
              <a16:creationId xmlns:a16="http://schemas.microsoft.com/office/drawing/2014/main" id="{DC2B5F08-9D1C-4D8B-9D24-28C197B3231F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382</xdr:row>
      <xdr:rowOff>0</xdr:rowOff>
    </xdr:from>
    <xdr:to>
      <xdr:col>8</xdr:col>
      <xdr:colOff>180975</xdr:colOff>
      <xdr:row>382</xdr:row>
      <xdr:rowOff>0</xdr:rowOff>
    </xdr:to>
    <xdr:sp macro="" textlink="">
      <xdr:nvSpPr>
        <xdr:cNvPr id="251" name="Line 5">
          <a:extLst>
            <a:ext uri="{FF2B5EF4-FFF2-40B4-BE49-F238E27FC236}">
              <a16:creationId xmlns:a16="http://schemas.microsoft.com/office/drawing/2014/main" id="{274999EC-3BA1-4CE2-8FD7-5032EDC02B17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252" name="Line 7">
          <a:extLst>
            <a:ext uri="{FF2B5EF4-FFF2-40B4-BE49-F238E27FC236}">
              <a16:creationId xmlns:a16="http://schemas.microsoft.com/office/drawing/2014/main" id="{649FCF99-6212-49BE-BA4D-6380D6F267B9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A249E6B1-6DD5-40A9-8E9B-F0FAD0D65055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254" name="Line 5">
          <a:extLst>
            <a:ext uri="{FF2B5EF4-FFF2-40B4-BE49-F238E27FC236}">
              <a16:creationId xmlns:a16="http://schemas.microsoft.com/office/drawing/2014/main" id="{EA50911E-067E-4249-919C-B98FC6008346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00B1022E-2935-4336-B7BA-090ECA9A0A11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C3FE125-EA8E-4777-A24F-68370ED48B8E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57" name="Line 4">
          <a:extLst>
            <a:ext uri="{FF2B5EF4-FFF2-40B4-BE49-F238E27FC236}">
              <a16:creationId xmlns:a16="http://schemas.microsoft.com/office/drawing/2014/main" id="{F4BE6015-CFAE-43D9-BA6D-7E36ED077477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258" name="Line 5">
          <a:extLst>
            <a:ext uri="{FF2B5EF4-FFF2-40B4-BE49-F238E27FC236}">
              <a16:creationId xmlns:a16="http://schemas.microsoft.com/office/drawing/2014/main" id="{285937CF-DA28-4A0F-A3A8-6AF4F9B22A5A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458</xdr:row>
      <xdr:rowOff>0</xdr:rowOff>
    </xdr:from>
    <xdr:to>
      <xdr:col>8</xdr:col>
      <xdr:colOff>180975</xdr:colOff>
      <xdr:row>458</xdr:row>
      <xdr:rowOff>0</xdr:rowOff>
    </xdr:to>
    <xdr:sp macro="" textlink="">
      <xdr:nvSpPr>
        <xdr:cNvPr id="259" name="Line 7">
          <a:extLst>
            <a:ext uri="{FF2B5EF4-FFF2-40B4-BE49-F238E27FC236}">
              <a16:creationId xmlns:a16="http://schemas.microsoft.com/office/drawing/2014/main" id="{B246CFA8-9E9A-47B5-9504-39621410A617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60" name="Line 2">
          <a:extLst>
            <a:ext uri="{FF2B5EF4-FFF2-40B4-BE49-F238E27FC236}">
              <a16:creationId xmlns:a16="http://schemas.microsoft.com/office/drawing/2014/main" id="{4B33AF50-53D9-4823-862E-E9A2F71534D1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61" name="Line 3">
          <a:extLst>
            <a:ext uri="{FF2B5EF4-FFF2-40B4-BE49-F238E27FC236}">
              <a16:creationId xmlns:a16="http://schemas.microsoft.com/office/drawing/2014/main" id="{9782977B-6E76-4F20-97E1-305E0DB7329B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62" name="Line 4">
          <a:extLst>
            <a:ext uri="{FF2B5EF4-FFF2-40B4-BE49-F238E27FC236}">
              <a16:creationId xmlns:a16="http://schemas.microsoft.com/office/drawing/2014/main" id="{B94E3EAD-1F04-4062-885C-1205C454B9D3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263" name="Line 5">
          <a:extLst>
            <a:ext uri="{FF2B5EF4-FFF2-40B4-BE49-F238E27FC236}">
              <a16:creationId xmlns:a16="http://schemas.microsoft.com/office/drawing/2014/main" id="{EE317C39-C3A3-4158-A4C0-DDF6F92614A8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498350EA-CC66-49C5-9002-C49F7DE1D4AC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4C6AFA3B-72DC-4057-9596-9206B4FAEA03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66" name="Line 4">
          <a:extLst>
            <a:ext uri="{FF2B5EF4-FFF2-40B4-BE49-F238E27FC236}">
              <a16:creationId xmlns:a16="http://schemas.microsoft.com/office/drawing/2014/main" id="{63478B0E-8EBE-41BE-8449-DF8FFC1CEFC7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67" name="Line 5">
          <a:extLst>
            <a:ext uri="{FF2B5EF4-FFF2-40B4-BE49-F238E27FC236}">
              <a16:creationId xmlns:a16="http://schemas.microsoft.com/office/drawing/2014/main" id="{FECF6344-1D5D-46CB-86D2-F9B6A3323CE7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268" name="Line 7">
          <a:extLst>
            <a:ext uri="{FF2B5EF4-FFF2-40B4-BE49-F238E27FC236}">
              <a16:creationId xmlns:a16="http://schemas.microsoft.com/office/drawing/2014/main" id="{F9C509A3-8490-477F-9AEB-4C1BF9168A73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269" name="Line 2">
          <a:extLst>
            <a:ext uri="{FF2B5EF4-FFF2-40B4-BE49-F238E27FC236}">
              <a16:creationId xmlns:a16="http://schemas.microsoft.com/office/drawing/2014/main" id="{D0C0A87F-4E47-4503-BD76-E9730670FA1F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270" name="Line 3">
          <a:extLst>
            <a:ext uri="{FF2B5EF4-FFF2-40B4-BE49-F238E27FC236}">
              <a16:creationId xmlns:a16="http://schemas.microsoft.com/office/drawing/2014/main" id="{F534FF7A-2160-47C3-9D5C-AFE172F546BE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271" name="Line 4">
          <a:extLst>
            <a:ext uri="{FF2B5EF4-FFF2-40B4-BE49-F238E27FC236}">
              <a16:creationId xmlns:a16="http://schemas.microsoft.com/office/drawing/2014/main" id="{1CC06EE4-D7F3-4692-9A7C-B2376CB0D0C7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272" name="Line 3">
          <a:extLst>
            <a:ext uri="{FF2B5EF4-FFF2-40B4-BE49-F238E27FC236}">
              <a16:creationId xmlns:a16="http://schemas.microsoft.com/office/drawing/2014/main" id="{7E6183A2-0C08-47E5-BB1E-E91397C80A2C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273" name="Line 5">
          <a:extLst>
            <a:ext uri="{FF2B5EF4-FFF2-40B4-BE49-F238E27FC236}">
              <a16:creationId xmlns:a16="http://schemas.microsoft.com/office/drawing/2014/main" id="{F4750B5D-7935-41A9-8D51-4B5173FA0AF3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74" name="Line 2">
          <a:extLst>
            <a:ext uri="{FF2B5EF4-FFF2-40B4-BE49-F238E27FC236}">
              <a16:creationId xmlns:a16="http://schemas.microsoft.com/office/drawing/2014/main" id="{FAC47154-3917-4227-AF81-DE2D44353339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75" name="Line 3">
          <a:extLst>
            <a:ext uri="{FF2B5EF4-FFF2-40B4-BE49-F238E27FC236}">
              <a16:creationId xmlns:a16="http://schemas.microsoft.com/office/drawing/2014/main" id="{944190C7-E000-4F78-9EE3-9D91C511ADDC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76" name="Line 4">
          <a:extLst>
            <a:ext uri="{FF2B5EF4-FFF2-40B4-BE49-F238E27FC236}">
              <a16:creationId xmlns:a16="http://schemas.microsoft.com/office/drawing/2014/main" id="{93F195B8-2990-4E94-9192-9A954DDD7A1D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277" name="Line 5">
          <a:extLst>
            <a:ext uri="{FF2B5EF4-FFF2-40B4-BE49-F238E27FC236}">
              <a16:creationId xmlns:a16="http://schemas.microsoft.com/office/drawing/2014/main" id="{29F25F36-87E4-4909-AE45-788025479A64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278" name="Line 7">
          <a:extLst>
            <a:ext uri="{FF2B5EF4-FFF2-40B4-BE49-F238E27FC236}">
              <a16:creationId xmlns:a16="http://schemas.microsoft.com/office/drawing/2014/main" id="{68E781DB-2CC1-48F1-AF99-36CB52926507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6E24422-635F-4A81-A6EC-CCB84CEB39E3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02A28EF0-D0E4-45DE-A117-E7AA6F7ABD8C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281" name="Line 4">
          <a:extLst>
            <a:ext uri="{FF2B5EF4-FFF2-40B4-BE49-F238E27FC236}">
              <a16:creationId xmlns:a16="http://schemas.microsoft.com/office/drawing/2014/main" id="{E0D27AF8-22BD-4AF1-A1EC-ED0615951AB8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282" name="Line 5">
          <a:extLst>
            <a:ext uri="{FF2B5EF4-FFF2-40B4-BE49-F238E27FC236}">
              <a16:creationId xmlns:a16="http://schemas.microsoft.com/office/drawing/2014/main" id="{BC7BA37A-2933-467D-9729-D62CE7ABE293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283" name="Line 2">
          <a:extLst>
            <a:ext uri="{FF2B5EF4-FFF2-40B4-BE49-F238E27FC236}">
              <a16:creationId xmlns:a16="http://schemas.microsoft.com/office/drawing/2014/main" id="{A9CD1ED3-D790-48B9-8CF2-1E23EA5C59D7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284" name="Line 3">
          <a:extLst>
            <a:ext uri="{FF2B5EF4-FFF2-40B4-BE49-F238E27FC236}">
              <a16:creationId xmlns:a16="http://schemas.microsoft.com/office/drawing/2014/main" id="{8F522E6E-63DC-4CD1-B58A-AEAA19EB7145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85" name="Line 4">
          <a:extLst>
            <a:ext uri="{FF2B5EF4-FFF2-40B4-BE49-F238E27FC236}">
              <a16:creationId xmlns:a16="http://schemas.microsoft.com/office/drawing/2014/main" id="{7B66D981-80B3-44CB-A06D-62C07DC7F5B1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286" name="Line 2">
          <a:extLst>
            <a:ext uri="{FF2B5EF4-FFF2-40B4-BE49-F238E27FC236}">
              <a16:creationId xmlns:a16="http://schemas.microsoft.com/office/drawing/2014/main" id="{113E89B3-D3F7-481E-ADC4-7123882609EE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287" name="Line 3">
          <a:extLst>
            <a:ext uri="{FF2B5EF4-FFF2-40B4-BE49-F238E27FC236}">
              <a16:creationId xmlns:a16="http://schemas.microsoft.com/office/drawing/2014/main" id="{0C20BBFF-6D9D-4475-BBD6-719E9FFF4AE4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288" name="Line 4">
          <a:extLst>
            <a:ext uri="{FF2B5EF4-FFF2-40B4-BE49-F238E27FC236}">
              <a16:creationId xmlns:a16="http://schemas.microsoft.com/office/drawing/2014/main" id="{3147D10E-DAC2-4864-B8B2-5917B3F703D3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289" name="Line 2">
          <a:extLst>
            <a:ext uri="{FF2B5EF4-FFF2-40B4-BE49-F238E27FC236}">
              <a16:creationId xmlns:a16="http://schemas.microsoft.com/office/drawing/2014/main" id="{3F57008F-BC35-4751-855D-21982AA3F157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290" name="Line 3">
          <a:extLst>
            <a:ext uri="{FF2B5EF4-FFF2-40B4-BE49-F238E27FC236}">
              <a16:creationId xmlns:a16="http://schemas.microsoft.com/office/drawing/2014/main" id="{AF32A3DA-FFE7-40BF-BF87-2CB3F979904A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574</xdr:row>
      <xdr:rowOff>0</xdr:rowOff>
    </xdr:from>
    <xdr:to>
      <xdr:col>8</xdr:col>
      <xdr:colOff>180975</xdr:colOff>
      <xdr:row>574</xdr:row>
      <xdr:rowOff>0</xdr:rowOff>
    </xdr:to>
    <xdr:sp macro="" textlink="">
      <xdr:nvSpPr>
        <xdr:cNvPr id="291" name="Line 4">
          <a:extLst>
            <a:ext uri="{FF2B5EF4-FFF2-40B4-BE49-F238E27FC236}">
              <a16:creationId xmlns:a16="http://schemas.microsoft.com/office/drawing/2014/main" id="{6E688C94-89EC-4F69-B532-104BFDC60B53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792DAE9-FD14-431F-9968-475AFA1F1665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293" name="Line 5">
          <a:extLst>
            <a:ext uri="{FF2B5EF4-FFF2-40B4-BE49-F238E27FC236}">
              <a16:creationId xmlns:a16="http://schemas.microsoft.com/office/drawing/2014/main" id="{BC997856-73D0-4DBF-8586-7884CFC2FD9C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29A414E-B1D4-4E12-97DE-2DB588D3D679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13155623-DFE7-4FE8-AD6C-76A3237AE33A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296" name="Line 4">
          <a:extLst>
            <a:ext uri="{FF2B5EF4-FFF2-40B4-BE49-F238E27FC236}">
              <a16:creationId xmlns:a16="http://schemas.microsoft.com/office/drawing/2014/main" id="{95D71746-7573-4E17-A685-F5E5A01F0347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297" name="Line 5">
          <a:extLst>
            <a:ext uri="{FF2B5EF4-FFF2-40B4-BE49-F238E27FC236}">
              <a16:creationId xmlns:a16="http://schemas.microsoft.com/office/drawing/2014/main" id="{FD7E4C74-FD9B-4E98-9E11-C7EB29DBFEAF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298" name="Line 7">
          <a:extLst>
            <a:ext uri="{FF2B5EF4-FFF2-40B4-BE49-F238E27FC236}">
              <a16:creationId xmlns:a16="http://schemas.microsoft.com/office/drawing/2014/main" id="{FDE097A8-B5C1-4348-B229-E6457F048121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299" name="Line 2">
          <a:extLst>
            <a:ext uri="{FF2B5EF4-FFF2-40B4-BE49-F238E27FC236}">
              <a16:creationId xmlns:a16="http://schemas.microsoft.com/office/drawing/2014/main" id="{B0A094E0-41AB-40CA-A7EF-C430A6D92671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300" name="Line 3">
          <a:extLst>
            <a:ext uri="{FF2B5EF4-FFF2-40B4-BE49-F238E27FC236}">
              <a16:creationId xmlns:a16="http://schemas.microsoft.com/office/drawing/2014/main" id="{C55FEA44-EC90-40DD-BEB7-130CCBE349B9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301" name="Line 4">
          <a:extLst>
            <a:ext uri="{FF2B5EF4-FFF2-40B4-BE49-F238E27FC236}">
              <a16:creationId xmlns:a16="http://schemas.microsoft.com/office/drawing/2014/main" id="{6EA896E0-FC5B-4B81-A392-DBBEC92F9235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302" name="Line 5">
          <a:extLst>
            <a:ext uri="{FF2B5EF4-FFF2-40B4-BE49-F238E27FC236}">
              <a16:creationId xmlns:a16="http://schemas.microsoft.com/office/drawing/2014/main" id="{E5783D8E-4B9A-4DE7-8BAD-AB5F889A1C0C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303" name="Line 2">
          <a:extLst>
            <a:ext uri="{FF2B5EF4-FFF2-40B4-BE49-F238E27FC236}">
              <a16:creationId xmlns:a16="http://schemas.microsoft.com/office/drawing/2014/main" id="{52246D27-D69E-4DB6-8661-1189D7DEC633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304" name="Line 3">
          <a:extLst>
            <a:ext uri="{FF2B5EF4-FFF2-40B4-BE49-F238E27FC236}">
              <a16:creationId xmlns:a16="http://schemas.microsoft.com/office/drawing/2014/main" id="{846BD780-6062-48CA-BCAD-23964D3878D0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305" name="Line 4">
          <a:extLst>
            <a:ext uri="{FF2B5EF4-FFF2-40B4-BE49-F238E27FC236}">
              <a16:creationId xmlns:a16="http://schemas.microsoft.com/office/drawing/2014/main" id="{9A6FE5F4-08A3-4452-A5BF-3873EEA657F3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306" name="Line 2">
          <a:extLst>
            <a:ext uri="{FF2B5EF4-FFF2-40B4-BE49-F238E27FC236}">
              <a16:creationId xmlns:a16="http://schemas.microsoft.com/office/drawing/2014/main" id="{4131CF36-9D8D-421B-BA57-C55F95D160A8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307" name="Line 3">
          <a:extLst>
            <a:ext uri="{FF2B5EF4-FFF2-40B4-BE49-F238E27FC236}">
              <a16:creationId xmlns:a16="http://schemas.microsoft.com/office/drawing/2014/main" id="{199654B5-0600-41D6-BB04-28EFE4E97C19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308" name="Line 4">
          <a:extLst>
            <a:ext uri="{FF2B5EF4-FFF2-40B4-BE49-F238E27FC236}">
              <a16:creationId xmlns:a16="http://schemas.microsoft.com/office/drawing/2014/main" id="{958D60F8-150C-464C-BD57-0DBBDF3412B3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309" name="Line 2">
          <a:extLst>
            <a:ext uri="{FF2B5EF4-FFF2-40B4-BE49-F238E27FC236}">
              <a16:creationId xmlns:a16="http://schemas.microsoft.com/office/drawing/2014/main" id="{8814F267-A7D2-4E91-BCFC-C1A9CA1C3D36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310" name="Line 3">
          <a:extLst>
            <a:ext uri="{FF2B5EF4-FFF2-40B4-BE49-F238E27FC236}">
              <a16:creationId xmlns:a16="http://schemas.microsoft.com/office/drawing/2014/main" id="{949BA871-68C4-458C-8235-428D604CAC4E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635</xdr:row>
      <xdr:rowOff>0</xdr:rowOff>
    </xdr:from>
    <xdr:to>
      <xdr:col>8</xdr:col>
      <xdr:colOff>180975</xdr:colOff>
      <xdr:row>635</xdr:row>
      <xdr:rowOff>0</xdr:rowOff>
    </xdr:to>
    <xdr:sp macro="" textlink="">
      <xdr:nvSpPr>
        <xdr:cNvPr id="311" name="Line 4">
          <a:extLst>
            <a:ext uri="{FF2B5EF4-FFF2-40B4-BE49-F238E27FC236}">
              <a16:creationId xmlns:a16="http://schemas.microsoft.com/office/drawing/2014/main" id="{CDEC9F1B-4A9F-42D0-ADAD-EF6A48E61869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312" name="Line 3">
          <a:extLst>
            <a:ext uri="{FF2B5EF4-FFF2-40B4-BE49-F238E27FC236}">
              <a16:creationId xmlns:a16="http://schemas.microsoft.com/office/drawing/2014/main" id="{DA9C9137-652D-46E9-BAD5-546183EB1684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313" name="Line 5">
          <a:extLst>
            <a:ext uri="{FF2B5EF4-FFF2-40B4-BE49-F238E27FC236}">
              <a16:creationId xmlns:a16="http://schemas.microsoft.com/office/drawing/2014/main" id="{B1DA2650-85AC-4B1C-A1E1-0579FF621C77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14" name="Line 2">
          <a:extLst>
            <a:ext uri="{FF2B5EF4-FFF2-40B4-BE49-F238E27FC236}">
              <a16:creationId xmlns:a16="http://schemas.microsoft.com/office/drawing/2014/main" id="{87CF7CED-6649-4789-BB42-5395242ABFDA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15" name="Line 3">
          <a:extLst>
            <a:ext uri="{FF2B5EF4-FFF2-40B4-BE49-F238E27FC236}">
              <a16:creationId xmlns:a16="http://schemas.microsoft.com/office/drawing/2014/main" id="{CC31BA29-F6F1-4D70-8035-6D8FA9BC35C1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16" name="Line 4">
          <a:extLst>
            <a:ext uri="{FF2B5EF4-FFF2-40B4-BE49-F238E27FC236}">
              <a16:creationId xmlns:a16="http://schemas.microsoft.com/office/drawing/2014/main" id="{B8DECA8E-9099-4B41-ACB3-2221B0A6A2C7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317" name="Line 5">
          <a:extLst>
            <a:ext uri="{FF2B5EF4-FFF2-40B4-BE49-F238E27FC236}">
              <a16:creationId xmlns:a16="http://schemas.microsoft.com/office/drawing/2014/main" id="{3260E851-6ABD-4458-8F2A-11F2481F8AE7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318" name="Line 7">
          <a:extLst>
            <a:ext uri="{FF2B5EF4-FFF2-40B4-BE49-F238E27FC236}">
              <a16:creationId xmlns:a16="http://schemas.microsoft.com/office/drawing/2014/main" id="{6F0D9D70-3F8B-4BBB-8880-77201C253A04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319" name="Line 2">
          <a:extLst>
            <a:ext uri="{FF2B5EF4-FFF2-40B4-BE49-F238E27FC236}">
              <a16:creationId xmlns:a16="http://schemas.microsoft.com/office/drawing/2014/main" id="{5818E5AB-A2F9-4936-8F5B-4DCB85BEF4AF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320" name="Line 3">
          <a:extLst>
            <a:ext uri="{FF2B5EF4-FFF2-40B4-BE49-F238E27FC236}">
              <a16:creationId xmlns:a16="http://schemas.microsoft.com/office/drawing/2014/main" id="{5E3BC185-92B3-4343-83D9-112B1333F839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321" name="Line 4">
          <a:extLst>
            <a:ext uri="{FF2B5EF4-FFF2-40B4-BE49-F238E27FC236}">
              <a16:creationId xmlns:a16="http://schemas.microsoft.com/office/drawing/2014/main" id="{36BDFDFE-E390-4A68-A587-A68FC81461AF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322" name="Line 5">
          <a:extLst>
            <a:ext uri="{FF2B5EF4-FFF2-40B4-BE49-F238E27FC236}">
              <a16:creationId xmlns:a16="http://schemas.microsoft.com/office/drawing/2014/main" id="{0CABBF33-F56D-43E2-86CF-CAF35C8B40A4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323" name="Line 2">
          <a:extLst>
            <a:ext uri="{FF2B5EF4-FFF2-40B4-BE49-F238E27FC236}">
              <a16:creationId xmlns:a16="http://schemas.microsoft.com/office/drawing/2014/main" id="{35CC83A1-4F44-4856-BADA-C0D9B4D66D2D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324" name="Line 3">
          <a:extLst>
            <a:ext uri="{FF2B5EF4-FFF2-40B4-BE49-F238E27FC236}">
              <a16:creationId xmlns:a16="http://schemas.microsoft.com/office/drawing/2014/main" id="{C50F2A21-F5CF-4BC5-ACDD-06ECD0A7B3E9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25" name="Line 4">
          <a:extLst>
            <a:ext uri="{FF2B5EF4-FFF2-40B4-BE49-F238E27FC236}">
              <a16:creationId xmlns:a16="http://schemas.microsoft.com/office/drawing/2014/main" id="{7E7AE0B4-6B3C-4DBB-ADAB-802A4673FD53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326" name="Line 2">
          <a:extLst>
            <a:ext uri="{FF2B5EF4-FFF2-40B4-BE49-F238E27FC236}">
              <a16:creationId xmlns:a16="http://schemas.microsoft.com/office/drawing/2014/main" id="{16FF9611-1AD2-40D8-B351-286162D290F7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327" name="Line 3">
          <a:extLst>
            <a:ext uri="{FF2B5EF4-FFF2-40B4-BE49-F238E27FC236}">
              <a16:creationId xmlns:a16="http://schemas.microsoft.com/office/drawing/2014/main" id="{8A79412F-CDED-4539-9F38-15E0242F03D7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328" name="Line 4">
          <a:extLst>
            <a:ext uri="{FF2B5EF4-FFF2-40B4-BE49-F238E27FC236}">
              <a16:creationId xmlns:a16="http://schemas.microsoft.com/office/drawing/2014/main" id="{0F3B8FA2-8D3A-4513-89A9-FE0188F4F494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329" name="Line 2">
          <a:extLst>
            <a:ext uri="{FF2B5EF4-FFF2-40B4-BE49-F238E27FC236}">
              <a16:creationId xmlns:a16="http://schemas.microsoft.com/office/drawing/2014/main" id="{C14702C6-7348-4C99-873D-6E5DBE7D5545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330" name="Line 3">
          <a:extLst>
            <a:ext uri="{FF2B5EF4-FFF2-40B4-BE49-F238E27FC236}">
              <a16:creationId xmlns:a16="http://schemas.microsoft.com/office/drawing/2014/main" id="{75ACCB3C-5113-44FD-A6B2-E4E559D9C0FA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692</xdr:row>
      <xdr:rowOff>0</xdr:rowOff>
    </xdr:from>
    <xdr:to>
      <xdr:col>8</xdr:col>
      <xdr:colOff>180975</xdr:colOff>
      <xdr:row>692</xdr:row>
      <xdr:rowOff>0</xdr:rowOff>
    </xdr:to>
    <xdr:sp macro="" textlink="">
      <xdr:nvSpPr>
        <xdr:cNvPr id="331" name="Line 4">
          <a:extLst>
            <a:ext uri="{FF2B5EF4-FFF2-40B4-BE49-F238E27FC236}">
              <a16:creationId xmlns:a16="http://schemas.microsoft.com/office/drawing/2014/main" id="{0B4165DE-C55F-4D53-AD8D-02FBCB29DADB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332" name="Line 3">
          <a:extLst>
            <a:ext uri="{FF2B5EF4-FFF2-40B4-BE49-F238E27FC236}">
              <a16:creationId xmlns:a16="http://schemas.microsoft.com/office/drawing/2014/main" id="{3ED0ED75-9BB3-4A14-A9FE-75FDCDC9BC24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333" name="Line 5">
          <a:extLst>
            <a:ext uri="{FF2B5EF4-FFF2-40B4-BE49-F238E27FC236}">
              <a16:creationId xmlns:a16="http://schemas.microsoft.com/office/drawing/2014/main" id="{EF85FE45-0C04-4D22-A8EB-F669A94F881F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34" name="Line 2">
          <a:extLst>
            <a:ext uri="{FF2B5EF4-FFF2-40B4-BE49-F238E27FC236}">
              <a16:creationId xmlns:a16="http://schemas.microsoft.com/office/drawing/2014/main" id="{6E544118-1568-4DE4-933C-C74445C3E7DA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35" name="Line 3">
          <a:extLst>
            <a:ext uri="{FF2B5EF4-FFF2-40B4-BE49-F238E27FC236}">
              <a16:creationId xmlns:a16="http://schemas.microsoft.com/office/drawing/2014/main" id="{64744E5B-250E-4933-8A75-1C3002DC8C04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36" name="Line 4">
          <a:extLst>
            <a:ext uri="{FF2B5EF4-FFF2-40B4-BE49-F238E27FC236}">
              <a16:creationId xmlns:a16="http://schemas.microsoft.com/office/drawing/2014/main" id="{816E616B-A1A0-4F54-8BD6-3513C2F27096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337" name="Line 5">
          <a:extLst>
            <a:ext uri="{FF2B5EF4-FFF2-40B4-BE49-F238E27FC236}">
              <a16:creationId xmlns:a16="http://schemas.microsoft.com/office/drawing/2014/main" id="{C45BF3B1-8408-4A53-8042-6F25B7CFBC3D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774</xdr:row>
      <xdr:rowOff>0</xdr:rowOff>
    </xdr:from>
    <xdr:to>
      <xdr:col>8</xdr:col>
      <xdr:colOff>180975</xdr:colOff>
      <xdr:row>774</xdr:row>
      <xdr:rowOff>0</xdr:rowOff>
    </xdr:to>
    <xdr:sp macro="" textlink="">
      <xdr:nvSpPr>
        <xdr:cNvPr id="338" name="Line 7">
          <a:extLst>
            <a:ext uri="{FF2B5EF4-FFF2-40B4-BE49-F238E27FC236}">
              <a16:creationId xmlns:a16="http://schemas.microsoft.com/office/drawing/2014/main" id="{DD3EDDDE-9C64-4617-90B8-1439365ED998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339" name="Line 2">
          <a:extLst>
            <a:ext uri="{FF2B5EF4-FFF2-40B4-BE49-F238E27FC236}">
              <a16:creationId xmlns:a16="http://schemas.microsoft.com/office/drawing/2014/main" id="{A4DF9FEA-860A-45A8-8B45-EB3EDA834A24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340" name="Line 3">
          <a:extLst>
            <a:ext uri="{FF2B5EF4-FFF2-40B4-BE49-F238E27FC236}">
              <a16:creationId xmlns:a16="http://schemas.microsoft.com/office/drawing/2014/main" id="{34A7BC98-109A-4866-8FB6-40E8092EC9B4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341" name="Line 4">
          <a:extLst>
            <a:ext uri="{FF2B5EF4-FFF2-40B4-BE49-F238E27FC236}">
              <a16:creationId xmlns:a16="http://schemas.microsoft.com/office/drawing/2014/main" id="{BF04654C-8611-4659-95DB-CA545B4B9752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342" name="Line 5">
          <a:extLst>
            <a:ext uri="{FF2B5EF4-FFF2-40B4-BE49-F238E27FC236}">
              <a16:creationId xmlns:a16="http://schemas.microsoft.com/office/drawing/2014/main" id="{519D568B-CA1A-41D8-B20A-F0330C735382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343" name="Line 2">
          <a:extLst>
            <a:ext uri="{FF2B5EF4-FFF2-40B4-BE49-F238E27FC236}">
              <a16:creationId xmlns:a16="http://schemas.microsoft.com/office/drawing/2014/main" id="{C2DE052F-7C40-4ADF-986C-BCB1C48279BD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344" name="Line 3">
          <a:extLst>
            <a:ext uri="{FF2B5EF4-FFF2-40B4-BE49-F238E27FC236}">
              <a16:creationId xmlns:a16="http://schemas.microsoft.com/office/drawing/2014/main" id="{BA55F403-96DA-4EC2-A8DA-DDD07F28759D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45" name="Line 4">
          <a:extLst>
            <a:ext uri="{FF2B5EF4-FFF2-40B4-BE49-F238E27FC236}">
              <a16:creationId xmlns:a16="http://schemas.microsoft.com/office/drawing/2014/main" id="{496DDA9B-94D2-49F4-8888-757EFEE5DE6B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346" name="Line 2">
          <a:extLst>
            <a:ext uri="{FF2B5EF4-FFF2-40B4-BE49-F238E27FC236}">
              <a16:creationId xmlns:a16="http://schemas.microsoft.com/office/drawing/2014/main" id="{7BFF680F-2496-4E82-9049-7707CA4E0730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347" name="Line 3">
          <a:extLst>
            <a:ext uri="{FF2B5EF4-FFF2-40B4-BE49-F238E27FC236}">
              <a16:creationId xmlns:a16="http://schemas.microsoft.com/office/drawing/2014/main" id="{944E69B3-8C35-460D-8CED-E0FC5245BC20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348" name="Line 4">
          <a:extLst>
            <a:ext uri="{FF2B5EF4-FFF2-40B4-BE49-F238E27FC236}">
              <a16:creationId xmlns:a16="http://schemas.microsoft.com/office/drawing/2014/main" id="{3215FB84-6B0E-4B13-B88F-5E96EF598A5D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349" name="Line 2">
          <a:extLst>
            <a:ext uri="{FF2B5EF4-FFF2-40B4-BE49-F238E27FC236}">
              <a16:creationId xmlns:a16="http://schemas.microsoft.com/office/drawing/2014/main" id="{36917654-B1E9-4775-AFFC-3D1467565C86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350" name="Line 3">
          <a:extLst>
            <a:ext uri="{FF2B5EF4-FFF2-40B4-BE49-F238E27FC236}">
              <a16:creationId xmlns:a16="http://schemas.microsoft.com/office/drawing/2014/main" id="{C8F169B7-6245-4A0E-A1CB-498E33B227C2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752</xdr:row>
      <xdr:rowOff>0</xdr:rowOff>
    </xdr:from>
    <xdr:to>
      <xdr:col>8</xdr:col>
      <xdr:colOff>180975</xdr:colOff>
      <xdr:row>752</xdr:row>
      <xdr:rowOff>0</xdr:rowOff>
    </xdr:to>
    <xdr:sp macro="" textlink="">
      <xdr:nvSpPr>
        <xdr:cNvPr id="351" name="Line 4">
          <a:extLst>
            <a:ext uri="{FF2B5EF4-FFF2-40B4-BE49-F238E27FC236}">
              <a16:creationId xmlns:a16="http://schemas.microsoft.com/office/drawing/2014/main" id="{0632FFF3-87CD-4AF7-9BEC-71B878AB6ADF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352" name="Line 2">
          <a:extLst>
            <a:ext uri="{FF2B5EF4-FFF2-40B4-BE49-F238E27FC236}">
              <a16:creationId xmlns:a16="http://schemas.microsoft.com/office/drawing/2014/main" id="{AFCC3628-ECC9-4FAF-8070-CCF64F71678E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353" name="Line 3">
          <a:extLst>
            <a:ext uri="{FF2B5EF4-FFF2-40B4-BE49-F238E27FC236}">
              <a16:creationId xmlns:a16="http://schemas.microsoft.com/office/drawing/2014/main" id="{6D57EEC1-C0C9-4E2E-AF2D-C16A25AEDF2D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354" name="Line 5">
          <a:extLst>
            <a:ext uri="{FF2B5EF4-FFF2-40B4-BE49-F238E27FC236}">
              <a16:creationId xmlns:a16="http://schemas.microsoft.com/office/drawing/2014/main" id="{F049F87B-A091-42D6-ADB7-A2C4730EBB0C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355" name="Line 3">
          <a:extLst>
            <a:ext uri="{FF2B5EF4-FFF2-40B4-BE49-F238E27FC236}">
              <a16:creationId xmlns:a16="http://schemas.microsoft.com/office/drawing/2014/main" id="{A947F997-1304-4831-908F-A7F14CA2634C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356" name="Line 5">
          <a:extLst>
            <a:ext uri="{FF2B5EF4-FFF2-40B4-BE49-F238E27FC236}">
              <a16:creationId xmlns:a16="http://schemas.microsoft.com/office/drawing/2014/main" id="{61EA797A-EFA0-406E-8056-27ACFFA7259E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357" name="Line 2">
          <a:extLst>
            <a:ext uri="{FF2B5EF4-FFF2-40B4-BE49-F238E27FC236}">
              <a16:creationId xmlns:a16="http://schemas.microsoft.com/office/drawing/2014/main" id="{83F8A414-3520-416B-8E30-596754B1A115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358" name="Line 3">
          <a:extLst>
            <a:ext uri="{FF2B5EF4-FFF2-40B4-BE49-F238E27FC236}">
              <a16:creationId xmlns:a16="http://schemas.microsoft.com/office/drawing/2014/main" id="{2C52EDAD-E0B9-439A-99D3-EF5CD8E8B6A7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359" name="Line 4">
          <a:extLst>
            <a:ext uri="{FF2B5EF4-FFF2-40B4-BE49-F238E27FC236}">
              <a16:creationId xmlns:a16="http://schemas.microsoft.com/office/drawing/2014/main" id="{8D8E20AE-83CE-4D79-B994-66BD22FBAD47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82</xdr:row>
      <xdr:rowOff>0</xdr:rowOff>
    </xdr:from>
    <xdr:to>
      <xdr:col>8</xdr:col>
      <xdr:colOff>180975</xdr:colOff>
      <xdr:row>82</xdr:row>
      <xdr:rowOff>0</xdr:rowOff>
    </xdr:to>
    <xdr:sp macro="" textlink="">
      <xdr:nvSpPr>
        <xdr:cNvPr id="360" name="Line 5">
          <a:extLst>
            <a:ext uri="{FF2B5EF4-FFF2-40B4-BE49-F238E27FC236}">
              <a16:creationId xmlns:a16="http://schemas.microsoft.com/office/drawing/2014/main" id="{D5C7D49E-8466-4687-852E-45AA795CDD14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102</xdr:row>
      <xdr:rowOff>0</xdr:rowOff>
    </xdr:from>
    <xdr:to>
      <xdr:col>8</xdr:col>
      <xdr:colOff>180975</xdr:colOff>
      <xdr:row>102</xdr:row>
      <xdr:rowOff>0</xdr:rowOff>
    </xdr:to>
    <xdr:sp macro="" textlink="">
      <xdr:nvSpPr>
        <xdr:cNvPr id="361" name="Line 7">
          <a:extLst>
            <a:ext uri="{FF2B5EF4-FFF2-40B4-BE49-F238E27FC236}">
              <a16:creationId xmlns:a16="http://schemas.microsoft.com/office/drawing/2014/main" id="{0A396728-C119-4AA9-A96C-97BC39D64116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362" name="Line 3">
          <a:extLst>
            <a:ext uri="{FF2B5EF4-FFF2-40B4-BE49-F238E27FC236}">
              <a16:creationId xmlns:a16="http://schemas.microsoft.com/office/drawing/2014/main" id="{4BE2DD56-32E6-4F03-9929-145DA4FF194C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363" name="Line 5">
          <a:extLst>
            <a:ext uri="{FF2B5EF4-FFF2-40B4-BE49-F238E27FC236}">
              <a16:creationId xmlns:a16="http://schemas.microsoft.com/office/drawing/2014/main" id="{FAB7C944-6A7B-4D75-8D34-82C90712B54C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364" name="Line 2">
          <a:extLst>
            <a:ext uri="{FF2B5EF4-FFF2-40B4-BE49-F238E27FC236}">
              <a16:creationId xmlns:a16="http://schemas.microsoft.com/office/drawing/2014/main" id="{F32E145D-D259-47E7-A886-92AB3410F9DE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365" name="Line 3">
          <a:extLst>
            <a:ext uri="{FF2B5EF4-FFF2-40B4-BE49-F238E27FC236}">
              <a16:creationId xmlns:a16="http://schemas.microsoft.com/office/drawing/2014/main" id="{B31D2ED6-8377-4076-A234-23F66398B083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366" name="Line 4">
          <a:extLst>
            <a:ext uri="{FF2B5EF4-FFF2-40B4-BE49-F238E27FC236}">
              <a16:creationId xmlns:a16="http://schemas.microsoft.com/office/drawing/2014/main" id="{10D430C1-01CB-406D-8992-68084244259C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367" name="Line 5">
          <a:extLst>
            <a:ext uri="{FF2B5EF4-FFF2-40B4-BE49-F238E27FC236}">
              <a16:creationId xmlns:a16="http://schemas.microsoft.com/office/drawing/2014/main" id="{52690BD1-6B5C-4C34-9406-7DB72378B794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368" name="Line 2">
          <a:extLst>
            <a:ext uri="{FF2B5EF4-FFF2-40B4-BE49-F238E27FC236}">
              <a16:creationId xmlns:a16="http://schemas.microsoft.com/office/drawing/2014/main" id="{F923F3E4-065C-437C-B7F4-BA0310B077DA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369" name="Line 3">
          <a:extLst>
            <a:ext uri="{FF2B5EF4-FFF2-40B4-BE49-F238E27FC236}">
              <a16:creationId xmlns:a16="http://schemas.microsoft.com/office/drawing/2014/main" id="{AADA5378-F897-49CD-BEB7-F2913F898EAF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370" name="Line 4">
          <a:extLst>
            <a:ext uri="{FF2B5EF4-FFF2-40B4-BE49-F238E27FC236}">
              <a16:creationId xmlns:a16="http://schemas.microsoft.com/office/drawing/2014/main" id="{6931A1D1-C127-41CA-8983-EADDC5947602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371" name="Line 5">
          <a:extLst>
            <a:ext uri="{FF2B5EF4-FFF2-40B4-BE49-F238E27FC236}">
              <a16:creationId xmlns:a16="http://schemas.microsoft.com/office/drawing/2014/main" id="{D24ED81E-97EE-40C1-A0CD-FFF879BBE116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372" name="Line 2">
          <a:extLst>
            <a:ext uri="{FF2B5EF4-FFF2-40B4-BE49-F238E27FC236}">
              <a16:creationId xmlns:a16="http://schemas.microsoft.com/office/drawing/2014/main" id="{ABB915B3-46DA-40BB-8316-73DED2CEAAF8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373" name="Line 3">
          <a:extLst>
            <a:ext uri="{FF2B5EF4-FFF2-40B4-BE49-F238E27FC236}">
              <a16:creationId xmlns:a16="http://schemas.microsoft.com/office/drawing/2014/main" id="{A83715FE-736D-4CDF-81AB-2A9F0413B22B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374" name="Line 5">
          <a:extLst>
            <a:ext uri="{FF2B5EF4-FFF2-40B4-BE49-F238E27FC236}">
              <a16:creationId xmlns:a16="http://schemas.microsoft.com/office/drawing/2014/main" id="{EAC4FF2A-0277-4DA5-9E07-CF7FEF545019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75" name="Line 2">
          <a:extLst>
            <a:ext uri="{FF2B5EF4-FFF2-40B4-BE49-F238E27FC236}">
              <a16:creationId xmlns:a16="http://schemas.microsoft.com/office/drawing/2014/main" id="{E8E525BC-C9D3-4C4F-B827-6E3A23D8F90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76" name="Line 3">
          <a:extLst>
            <a:ext uri="{FF2B5EF4-FFF2-40B4-BE49-F238E27FC236}">
              <a16:creationId xmlns:a16="http://schemas.microsoft.com/office/drawing/2014/main" id="{9F1A01C7-98F5-4E6D-BF20-DCD18DE5C42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77" name="Line 4">
          <a:extLst>
            <a:ext uri="{FF2B5EF4-FFF2-40B4-BE49-F238E27FC236}">
              <a16:creationId xmlns:a16="http://schemas.microsoft.com/office/drawing/2014/main" id="{86A26270-6F6C-4D86-B237-F3748D4F10E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378" name="Line 5">
          <a:extLst>
            <a:ext uri="{FF2B5EF4-FFF2-40B4-BE49-F238E27FC236}">
              <a16:creationId xmlns:a16="http://schemas.microsoft.com/office/drawing/2014/main" id="{7146B6AB-5709-4D07-9F24-6EBB16CD3B53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379" name="Line 7">
          <a:extLst>
            <a:ext uri="{FF2B5EF4-FFF2-40B4-BE49-F238E27FC236}">
              <a16:creationId xmlns:a16="http://schemas.microsoft.com/office/drawing/2014/main" id="{59967366-34FD-4FC0-8AC7-19E251FC4C34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80" name="Line 2">
          <a:extLst>
            <a:ext uri="{FF2B5EF4-FFF2-40B4-BE49-F238E27FC236}">
              <a16:creationId xmlns:a16="http://schemas.microsoft.com/office/drawing/2014/main" id="{AD07208C-283E-486C-AEA6-C03CB33B27DA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81" name="Line 3">
          <a:extLst>
            <a:ext uri="{FF2B5EF4-FFF2-40B4-BE49-F238E27FC236}">
              <a16:creationId xmlns:a16="http://schemas.microsoft.com/office/drawing/2014/main" id="{3E0D8BDC-4D57-4FCE-95C5-EE9D47D3A9A5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82" name="Line 4">
          <a:extLst>
            <a:ext uri="{FF2B5EF4-FFF2-40B4-BE49-F238E27FC236}">
              <a16:creationId xmlns:a16="http://schemas.microsoft.com/office/drawing/2014/main" id="{64F960E1-2D5E-4C7B-B249-EB0E61BDAD4C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383" name="Line 5">
          <a:extLst>
            <a:ext uri="{FF2B5EF4-FFF2-40B4-BE49-F238E27FC236}">
              <a16:creationId xmlns:a16="http://schemas.microsoft.com/office/drawing/2014/main" id="{47EFF6AE-7CF1-45A9-90EC-BC56A1C6758F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384" name="Line 2">
          <a:extLst>
            <a:ext uri="{FF2B5EF4-FFF2-40B4-BE49-F238E27FC236}">
              <a16:creationId xmlns:a16="http://schemas.microsoft.com/office/drawing/2014/main" id="{D98EFEC8-A2FD-4293-8A31-2BF91CA568AC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385" name="Line 3">
          <a:extLst>
            <a:ext uri="{FF2B5EF4-FFF2-40B4-BE49-F238E27FC236}">
              <a16:creationId xmlns:a16="http://schemas.microsoft.com/office/drawing/2014/main" id="{A4475116-3200-43C6-A543-051D1A383FF5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386" name="Line 4">
          <a:extLst>
            <a:ext uri="{FF2B5EF4-FFF2-40B4-BE49-F238E27FC236}">
              <a16:creationId xmlns:a16="http://schemas.microsoft.com/office/drawing/2014/main" id="{D998D5FE-E4FF-43A2-BE2F-F138F39AC92A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387" name="Line 5">
          <a:extLst>
            <a:ext uri="{FF2B5EF4-FFF2-40B4-BE49-F238E27FC236}">
              <a16:creationId xmlns:a16="http://schemas.microsoft.com/office/drawing/2014/main" id="{AFC6684A-3920-4A90-881A-B3E7E2AE5795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388" name="Line 7">
          <a:extLst>
            <a:ext uri="{FF2B5EF4-FFF2-40B4-BE49-F238E27FC236}">
              <a16:creationId xmlns:a16="http://schemas.microsoft.com/office/drawing/2014/main" id="{F3903DFC-44A3-42A9-A706-D157609F6CE5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389" name="Line 8">
          <a:extLst>
            <a:ext uri="{FF2B5EF4-FFF2-40B4-BE49-F238E27FC236}">
              <a16:creationId xmlns:a16="http://schemas.microsoft.com/office/drawing/2014/main" id="{1292E720-FB2F-440D-9674-ADEA5021FD64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390" name="Rectangle 7">
          <a:extLst>
            <a:ext uri="{FF2B5EF4-FFF2-40B4-BE49-F238E27FC236}">
              <a16:creationId xmlns:a16="http://schemas.microsoft.com/office/drawing/2014/main" id="{6EE3279B-896D-4485-9769-D90150356CD0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391" name="Rectangle 8">
          <a:extLst>
            <a:ext uri="{FF2B5EF4-FFF2-40B4-BE49-F238E27FC236}">
              <a16:creationId xmlns:a16="http://schemas.microsoft.com/office/drawing/2014/main" id="{3316F614-A30F-47E7-BF52-7EC8CBCC9CFA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392" name="Line 2">
          <a:extLst>
            <a:ext uri="{FF2B5EF4-FFF2-40B4-BE49-F238E27FC236}">
              <a16:creationId xmlns:a16="http://schemas.microsoft.com/office/drawing/2014/main" id="{7C72AA2A-A177-47E3-99B8-538F69404859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393" name="Line 3">
          <a:extLst>
            <a:ext uri="{FF2B5EF4-FFF2-40B4-BE49-F238E27FC236}">
              <a16:creationId xmlns:a16="http://schemas.microsoft.com/office/drawing/2014/main" id="{AC961456-CADE-4282-AF20-DF8F47BC47A7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394" name="Line 5">
          <a:extLst>
            <a:ext uri="{FF2B5EF4-FFF2-40B4-BE49-F238E27FC236}">
              <a16:creationId xmlns:a16="http://schemas.microsoft.com/office/drawing/2014/main" id="{A3EB056D-5D1E-4F5B-B9E1-8FFB5F094132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95" name="Line 2">
          <a:extLst>
            <a:ext uri="{FF2B5EF4-FFF2-40B4-BE49-F238E27FC236}">
              <a16:creationId xmlns:a16="http://schemas.microsoft.com/office/drawing/2014/main" id="{38844E90-A3C7-4E4D-8E16-9608CCF634CA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96" name="Line 3">
          <a:extLst>
            <a:ext uri="{FF2B5EF4-FFF2-40B4-BE49-F238E27FC236}">
              <a16:creationId xmlns:a16="http://schemas.microsoft.com/office/drawing/2014/main" id="{4324E2F8-0DCF-42CB-82F4-A3F1CF356D3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97" name="Line 4">
          <a:extLst>
            <a:ext uri="{FF2B5EF4-FFF2-40B4-BE49-F238E27FC236}">
              <a16:creationId xmlns:a16="http://schemas.microsoft.com/office/drawing/2014/main" id="{358BF9AF-2473-4802-A95C-DDC67FC92DE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398" name="Line 5">
          <a:extLst>
            <a:ext uri="{FF2B5EF4-FFF2-40B4-BE49-F238E27FC236}">
              <a16:creationId xmlns:a16="http://schemas.microsoft.com/office/drawing/2014/main" id="{57C1F464-FA4D-4373-ABA8-30CB8BD457D0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399" name="Line 7">
          <a:extLst>
            <a:ext uri="{FF2B5EF4-FFF2-40B4-BE49-F238E27FC236}">
              <a16:creationId xmlns:a16="http://schemas.microsoft.com/office/drawing/2014/main" id="{8035E23E-2FB1-44F1-BA3C-45B971CEC638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400" name="Line 2">
          <a:extLst>
            <a:ext uri="{FF2B5EF4-FFF2-40B4-BE49-F238E27FC236}">
              <a16:creationId xmlns:a16="http://schemas.microsoft.com/office/drawing/2014/main" id="{8EF8F0A7-F8D3-48EB-80BD-CD6A71529055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401" name="Line 3">
          <a:extLst>
            <a:ext uri="{FF2B5EF4-FFF2-40B4-BE49-F238E27FC236}">
              <a16:creationId xmlns:a16="http://schemas.microsoft.com/office/drawing/2014/main" id="{1E31399A-DE9B-4CC0-9D41-1BF96DB4E8E8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402" name="Line 4">
          <a:extLst>
            <a:ext uri="{FF2B5EF4-FFF2-40B4-BE49-F238E27FC236}">
              <a16:creationId xmlns:a16="http://schemas.microsoft.com/office/drawing/2014/main" id="{19A14E79-127F-40A0-8369-9A5E597453B3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403" name="Line 5">
          <a:extLst>
            <a:ext uri="{FF2B5EF4-FFF2-40B4-BE49-F238E27FC236}">
              <a16:creationId xmlns:a16="http://schemas.microsoft.com/office/drawing/2014/main" id="{D77E7554-BF9A-4382-A3A8-56EE56060D23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404" name="Line 2">
          <a:extLst>
            <a:ext uri="{FF2B5EF4-FFF2-40B4-BE49-F238E27FC236}">
              <a16:creationId xmlns:a16="http://schemas.microsoft.com/office/drawing/2014/main" id="{7B0EEC86-032D-4600-A3EF-BEBB11BAEE34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405" name="Line 3">
          <a:extLst>
            <a:ext uri="{FF2B5EF4-FFF2-40B4-BE49-F238E27FC236}">
              <a16:creationId xmlns:a16="http://schemas.microsoft.com/office/drawing/2014/main" id="{EC02641A-A813-42BB-AA08-30640ABF6798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406" name="Line 4">
          <a:extLst>
            <a:ext uri="{FF2B5EF4-FFF2-40B4-BE49-F238E27FC236}">
              <a16:creationId xmlns:a16="http://schemas.microsoft.com/office/drawing/2014/main" id="{DC7DC786-FB27-4752-830F-CFC4DB7AE480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407" name="Line 5">
          <a:extLst>
            <a:ext uri="{FF2B5EF4-FFF2-40B4-BE49-F238E27FC236}">
              <a16:creationId xmlns:a16="http://schemas.microsoft.com/office/drawing/2014/main" id="{43C2F76B-0D59-4F7F-8133-CF195695C071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408" name="Line 7">
          <a:extLst>
            <a:ext uri="{FF2B5EF4-FFF2-40B4-BE49-F238E27FC236}">
              <a16:creationId xmlns:a16="http://schemas.microsoft.com/office/drawing/2014/main" id="{4FE70CEB-7D34-408D-A1ED-D150E7BF2A00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409" name="Line 8">
          <a:extLst>
            <a:ext uri="{FF2B5EF4-FFF2-40B4-BE49-F238E27FC236}">
              <a16:creationId xmlns:a16="http://schemas.microsoft.com/office/drawing/2014/main" id="{F1C7269E-6E4A-4EA5-A85C-47816951C60B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410" name="Rectangle 7">
          <a:extLst>
            <a:ext uri="{FF2B5EF4-FFF2-40B4-BE49-F238E27FC236}">
              <a16:creationId xmlns:a16="http://schemas.microsoft.com/office/drawing/2014/main" id="{D3A3D5E2-45D3-4961-BB5F-0B5919FACFFA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411" name="Rectangle 8">
          <a:extLst>
            <a:ext uri="{FF2B5EF4-FFF2-40B4-BE49-F238E27FC236}">
              <a16:creationId xmlns:a16="http://schemas.microsoft.com/office/drawing/2014/main" id="{32C4DA94-696A-45B9-883F-BF4F1E94FCDE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412" name="Line 3">
          <a:extLst>
            <a:ext uri="{FF2B5EF4-FFF2-40B4-BE49-F238E27FC236}">
              <a16:creationId xmlns:a16="http://schemas.microsoft.com/office/drawing/2014/main" id="{551F5BDF-AFB8-47DE-8FF9-0C435E5CA0B1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413" name="Line 5">
          <a:extLst>
            <a:ext uri="{FF2B5EF4-FFF2-40B4-BE49-F238E27FC236}">
              <a16:creationId xmlns:a16="http://schemas.microsoft.com/office/drawing/2014/main" id="{B797D7A0-1462-4A00-8124-53947C12DB2E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14" name="Line 2">
          <a:extLst>
            <a:ext uri="{FF2B5EF4-FFF2-40B4-BE49-F238E27FC236}">
              <a16:creationId xmlns:a16="http://schemas.microsoft.com/office/drawing/2014/main" id="{91B94A57-66A8-47A6-A844-4730DAAEC0FA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15" name="Line 3">
          <a:extLst>
            <a:ext uri="{FF2B5EF4-FFF2-40B4-BE49-F238E27FC236}">
              <a16:creationId xmlns:a16="http://schemas.microsoft.com/office/drawing/2014/main" id="{D4D929C2-BA97-4EA0-B926-0195382310C4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16" name="Line 4">
          <a:extLst>
            <a:ext uri="{FF2B5EF4-FFF2-40B4-BE49-F238E27FC236}">
              <a16:creationId xmlns:a16="http://schemas.microsoft.com/office/drawing/2014/main" id="{1C06A4B2-107B-43F5-9431-89DD392097AC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417" name="Line 5">
          <a:extLst>
            <a:ext uri="{FF2B5EF4-FFF2-40B4-BE49-F238E27FC236}">
              <a16:creationId xmlns:a16="http://schemas.microsoft.com/office/drawing/2014/main" id="{069CE9DA-F048-42E9-8B10-1911C885AE78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418" name="Line 7">
          <a:extLst>
            <a:ext uri="{FF2B5EF4-FFF2-40B4-BE49-F238E27FC236}">
              <a16:creationId xmlns:a16="http://schemas.microsoft.com/office/drawing/2014/main" id="{C2A3F0FA-9ED4-4440-B04D-F633D99D1AA2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419" name="Line 2">
          <a:extLst>
            <a:ext uri="{FF2B5EF4-FFF2-40B4-BE49-F238E27FC236}">
              <a16:creationId xmlns:a16="http://schemas.microsoft.com/office/drawing/2014/main" id="{3CDDF1B5-E098-44F4-8B5A-992EABAA45F7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420" name="Line 3">
          <a:extLst>
            <a:ext uri="{FF2B5EF4-FFF2-40B4-BE49-F238E27FC236}">
              <a16:creationId xmlns:a16="http://schemas.microsoft.com/office/drawing/2014/main" id="{45577ED6-3C7C-4A8A-9166-98B363E227A3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421" name="Line 4">
          <a:extLst>
            <a:ext uri="{FF2B5EF4-FFF2-40B4-BE49-F238E27FC236}">
              <a16:creationId xmlns:a16="http://schemas.microsoft.com/office/drawing/2014/main" id="{1343421D-8071-4B98-8580-FD9DE2A6B0D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422" name="Line 5">
          <a:extLst>
            <a:ext uri="{FF2B5EF4-FFF2-40B4-BE49-F238E27FC236}">
              <a16:creationId xmlns:a16="http://schemas.microsoft.com/office/drawing/2014/main" id="{8FC12C1A-E69C-4BC2-9AAE-A006B09DAD21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423" name="Line 2">
          <a:extLst>
            <a:ext uri="{FF2B5EF4-FFF2-40B4-BE49-F238E27FC236}">
              <a16:creationId xmlns:a16="http://schemas.microsoft.com/office/drawing/2014/main" id="{AB2B6A45-C0D8-4B49-A82C-AB988E9C6FD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424" name="Line 3">
          <a:extLst>
            <a:ext uri="{FF2B5EF4-FFF2-40B4-BE49-F238E27FC236}">
              <a16:creationId xmlns:a16="http://schemas.microsoft.com/office/drawing/2014/main" id="{F329771E-CEC8-4832-A299-295541EAE07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25" name="Line 4">
          <a:extLst>
            <a:ext uri="{FF2B5EF4-FFF2-40B4-BE49-F238E27FC236}">
              <a16:creationId xmlns:a16="http://schemas.microsoft.com/office/drawing/2014/main" id="{04FACD0D-17C7-49A7-A003-FCEF1320629E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382</xdr:row>
      <xdr:rowOff>0</xdr:rowOff>
    </xdr:from>
    <xdr:to>
      <xdr:col>8</xdr:col>
      <xdr:colOff>180975</xdr:colOff>
      <xdr:row>382</xdr:row>
      <xdr:rowOff>0</xdr:rowOff>
    </xdr:to>
    <xdr:sp macro="" textlink="">
      <xdr:nvSpPr>
        <xdr:cNvPr id="426" name="Line 5">
          <a:extLst>
            <a:ext uri="{FF2B5EF4-FFF2-40B4-BE49-F238E27FC236}">
              <a16:creationId xmlns:a16="http://schemas.microsoft.com/office/drawing/2014/main" id="{8DF8FE01-2366-44F1-A4D5-0AE94805D8B9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427" name="Line 7">
          <a:extLst>
            <a:ext uri="{FF2B5EF4-FFF2-40B4-BE49-F238E27FC236}">
              <a16:creationId xmlns:a16="http://schemas.microsoft.com/office/drawing/2014/main" id="{40E62DCC-70E6-4780-A48C-86B49A3C18FE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428" name="Line 3">
          <a:extLst>
            <a:ext uri="{FF2B5EF4-FFF2-40B4-BE49-F238E27FC236}">
              <a16:creationId xmlns:a16="http://schemas.microsoft.com/office/drawing/2014/main" id="{82EE0A43-100D-4ADB-B8A0-7F068318D7B9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429" name="Line 5">
          <a:extLst>
            <a:ext uri="{FF2B5EF4-FFF2-40B4-BE49-F238E27FC236}">
              <a16:creationId xmlns:a16="http://schemas.microsoft.com/office/drawing/2014/main" id="{D4D082F1-5EC5-4491-8F84-88F9FA5D6926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30" name="Line 2">
          <a:extLst>
            <a:ext uri="{FF2B5EF4-FFF2-40B4-BE49-F238E27FC236}">
              <a16:creationId xmlns:a16="http://schemas.microsoft.com/office/drawing/2014/main" id="{9CEE5386-693E-4BE8-9EC3-28CC85C7544A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31" name="Line 3">
          <a:extLst>
            <a:ext uri="{FF2B5EF4-FFF2-40B4-BE49-F238E27FC236}">
              <a16:creationId xmlns:a16="http://schemas.microsoft.com/office/drawing/2014/main" id="{48656C2C-EF71-4193-A87D-07ABB6A85441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32" name="Line 4">
          <a:extLst>
            <a:ext uri="{FF2B5EF4-FFF2-40B4-BE49-F238E27FC236}">
              <a16:creationId xmlns:a16="http://schemas.microsoft.com/office/drawing/2014/main" id="{65017469-1DC3-44D8-AB1F-A690D4E6BCB7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433" name="Line 5">
          <a:extLst>
            <a:ext uri="{FF2B5EF4-FFF2-40B4-BE49-F238E27FC236}">
              <a16:creationId xmlns:a16="http://schemas.microsoft.com/office/drawing/2014/main" id="{8ED42E05-60E8-46B8-84A9-292FCCE36CFC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458</xdr:row>
      <xdr:rowOff>0</xdr:rowOff>
    </xdr:from>
    <xdr:to>
      <xdr:col>8</xdr:col>
      <xdr:colOff>180975</xdr:colOff>
      <xdr:row>458</xdr:row>
      <xdr:rowOff>0</xdr:rowOff>
    </xdr:to>
    <xdr:sp macro="" textlink="">
      <xdr:nvSpPr>
        <xdr:cNvPr id="434" name="Line 7">
          <a:extLst>
            <a:ext uri="{FF2B5EF4-FFF2-40B4-BE49-F238E27FC236}">
              <a16:creationId xmlns:a16="http://schemas.microsoft.com/office/drawing/2014/main" id="{213670F4-E56F-4529-9014-6AD97A988559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435" name="Line 2">
          <a:extLst>
            <a:ext uri="{FF2B5EF4-FFF2-40B4-BE49-F238E27FC236}">
              <a16:creationId xmlns:a16="http://schemas.microsoft.com/office/drawing/2014/main" id="{69CD059F-82DC-466A-9D66-D8FC7C712CD1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436" name="Line 3">
          <a:extLst>
            <a:ext uri="{FF2B5EF4-FFF2-40B4-BE49-F238E27FC236}">
              <a16:creationId xmlns:a16="http://schemas.microsoft.com/office/drawing/2014/main" id="{4F52D1FF-DFF1-4E5F-9220-AA21DD6E7FA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437" name="Line 4">
          <a:extLst>
            <a:ext uri="{FF2B5EF4-FFF2-40B4-BE49-F238E27FC236}">
              <a16:creationId xmlns:a16="http://schemas.microsoft.com/office/drawing/2014/main" id="{B674BEE7-CBBF-4DAB-94DF-02B4FC5A0AFA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438" name="Line 5">
          <a:extLst>
            <a:ext uri="{FF2B5EF4-FFF2-40B4-BE49-F238E27FC236}">
              <a16:creationId xmlns:a16="http://schemas.microsoft.com/office/drawing/2014/main" id="{B2183D91-EA97-4E74-A952-65B724321D3A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439" name="Line 2">
          <a:extLst>
            <a:ext uri="{FF2B5EF4-FFF2-40B4-BE49-F238E27FC236}">
              <a16:creationId xmlns:a16="http://schemas.microsoft.com/office/drawing/2014/main" id="{A6256B59-FC63-41C8-8D5C-DE6E73BBFD4A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440" name="Line 3">
          <a:extLst>
            <a:ext uri="{FF2B5EF4-FFF2-40B4-BE49-F238E27FC236}">
              <a16:creationId xmlns:a16="http://schemas.microsoft.com/office/drawing/2014/main" id="{743536D0-F8D5-4E04-BEAF-1025CA22D7CB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41" name="Line 4">
          <a:extLst>
            <a:ext uri="{FF2B5EF4-FFF2-40B4-BE49-F238E27FC236}">
              <a16:creationId xmlns:a16="http://schemas.microsoft.com/office/drawing/2014/main" id="{8DB56E16-CF8D-4BC7-9FB0-F07FC7A686F3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442" name="Line 5">
          <a:extLst>
            <a:ext uri="{FF2B5EF4-FFF2-40B4-BE49-F238E27FC236}">
              <a16:creationId xmlns:a16="http://schemas.microsoft.com/office/drawing/2014/main" id="{113FA318-5EC5-4629-8BFA-F50FF17CF0F8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443" name="Line 7">
          <a:extLst>
            <a:ext uri="{FF2B5EF4-FFF2-40B4-BE49-F238E27FC236}">
              <a16:creationId xmlns:a16="http://schemas.microsoft.com/office/drawing/2014/main" id="{CB553BC1-0BA1-40D7-9551-C647162BC9DD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444" name="Line 2">
          <a:extLst>
            <a:ext uri="{FF2B5EF4-FFF2-40B4-BE49-F238E27FC236}">
              <a16:creationId xmlns:a16="http://schemas.microsoft.com/office/drawing/2014/main" id="{30961EA6-F3EA-4DE1-9259-908BD49F01A7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445" name="Line 3">
          <a:extLst>
            <a:ext uri="{FF2B5EF4-FFF2-40B4-BE49-F238E27FC236}">
              <a16:creationId xmlns:a16="http://schemas.microsoft.com/office/drawing/2014/main" id="{5E251DA2-BE09-4906-9636-3EF037D8442D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446" name="Line 4">
          <a:extLst>
            <a:ext uri="{FF2B5EF4-FFF2-40B4-BE49-F238E27FC236}">
              <a16:creationId xmlns:a16="http://schemas.microsoft.com/office/drawing/2014/main" id="{13A6F889-8697-4957-8177-25796282ABFA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447" name="Line 3">
          <a:extLst>
            <a:ext uri="{FF2B5EF4-FFF2-40B4-BE49-F238E27FC236}">
              <a16:creationId xmlns:a16="http://schemas.microsoft.com/office/drawing/2014/main" id="{6165A7D5-9323-4FC8-A8E0-B8D290224C1B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448" name="Line 5">
          <a:extLst>
            <a:ext uri="{FF2B5EF4-FFF2-40B4-BE49-F238E27FC236}">
              <a16:creationId xmlns:a16="http://schemas.microsoft.com/office/drawing/2014/main" id="{439A183F-BA9B-456B-9278-187F5C3B5B48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49" name="Line 2">
          <a:extLst>
            <a:ext uri="{FF2B5EF4-FFF2-40B4-BE49-F238E27FC236}">
              <a16:creationId xmlns:a16="http://schemas.microsoft.com/office/drawing/2014/main" id="{13F85890-3526-4D62-AAD2-D2AF4EDA9982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50" name="Line 3">
          <a:extLst>
            <a:ext uri="{FF2B5EF4-FFF2-40B4-BE49-F238E27FC236}">
              <a16:creationId xmlns:a16="http://schemas.microsoft.com/office/drawing/2014/main" id="{08924089-96A1-473E-9DC9-A0288DE6915A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51" name="Line 4">
          <a:extLst>
            <a:ext uri="{FF2B5EF4-FFF2-40B4-BE49-F238E27FC236}">
              <a16:creationId xmlns:a16="http://schemas.microsoft.com/office/drawing/2014/main" id="{8C4408A5-7978-4F3F-A4C6-ECE582170C5F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452" name="Line 5">
          <a:extLst>
            <a:ext uri="{FF2B5EF4-FFF2-40B4-BE49-F238E27FC236}">
              <a16:creationId xmlns:a16="http://schemas.microsoft.com/office/drawing/2014/main" id="{CCA0893B-39E0-4149-9D3E-4141F63BB3A0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453" name="Line 7">
          <a:extLst>
            <a:ext uri="{FF2B5EF4-FFF2-40B4-BE49-F238E27FC236}">
              <a16:creationId xmlns:a16="http://schemas.microsoft.com/office/drawing/2014/main" id="{43129C42-BC22-43D3-B304-EC5BEFB56BF5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454" name="Line 2">
          <a:extLst>
            <a:ext uri="{FF2B5EF4-FFF2-40B4-BE49-F238E27FC236}">
              <a16:creationId xmlns:a16="http://schemas.microsoft.com/office/drawing/2014/main" id="{8180800C-79B6-4879-B155-B176EFF65DD7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455" name="Line 3">
          <a:extLst>
            <a:ext uri="{FF2B5EF4-FFF2-40B4-BE49-F238E27FC236}">
              <a16:creationId xmlns:a16="http://schemas.microsoft.com/office/drawing/2014/main" id="{1E3D8C61-4DCA-46DA-B6CF-ABDDD1A10081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456" name="Line 4">
          <a:extLst>
            <a:ext uri="{FF2B5EF4-FFF2-40B4-BE49-F238E27FC236}">
              <a16:creationId xmlns:a16="http://schemas.microsoft.com/office/drawing/2014/main" id="{0680BFEB-68FB-45FC-883C-C0EFAED5770F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457" name="Line 5">
          <a:extLst>
            <a:ext uri="{FF2B5EF4-FFF2-40B4-BE49-F238E27FC236}">
              <a16:creationId xmlns:a16="http://schemas.microsoft.com/office/drawing/2014/main" id="{549484A6-2310-460D-96F8-1D30B4ECF1D3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458" name="Line 2">
          <a:extLst>
            <a:ext uri="{FF2B5EF4-FFF2-40B4-BE49-F238E27FC236}">
              <a16:creationId xmlns:a16="http://schemas.microsoft.com/office/drawing/2014/main" id="{0F128FEF-F6F8-459C-8787-EDD6DEABE846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459" name="Line 3">
          <a:extLst>
            <a:ext uri="{FF2B5EF4-FFF2-40B4-BE49-F238E27FC236}">
              <a16:creationId xmlns:a16="http://schemas.microsoft.com/office/drawing/2014/main" id="{54319360-F489-4F17-952E-E4066C4F703F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60" name="Line 4">
          <a:extLst>
            <a:ext uri="{FF2B5EF4-FFF2-40B4-BE49-F238E27FC236}">
              <a16:creationId xmlns:a16="http://schemas.microsoft.com/office/drawing/2014/main" id="{C71F4B6B-51F8-467B-B659-0901868C169D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461" name="Line 2">
          <a:extLst>
            <a:ext uri="{FF2B5EF4-FFF2-40B4-BE49-F238E27FC236}">
              <a16:creationId xmlns:a16="http://schemas.microsoft.com/office/drawing/2014/main" id="{A1C4C43F-7B71-491D-A7B1-BAFD0F5CC05E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462" name="Line 3">
          <a:extLst>
            <a:ext uri="{FF2B5EF4-FFF2-40B4-BE49-F238E27FC236}">
              <a16:creationId xmlns:a16="http://schemas.microsoft.com/office/drawing/2014/main" id="{2B64B8FA-16AE-4C1C-ACD8-DEEF74197FB4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463" name="Line 4">
          <a:extLst>
            <a:ext uri="{FF2B5EF4-FFF2-40B4-BE49-F238E27FC236}">
              <a16:creationId xmlns:a16="http://schemas.microsoft.com/office/drawing/2014/main" id="{80882332-8578-4C5B-911A-353F8F6D0E78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464" name="Line 2">
          <a:extLst>
            <a:ext uri="{FF2B5EF4-FFF2-40B4-BE49-F238E27FC236}">
              <a16:creationId xmlns:a16="http://schemas.microsoft.com/office/drawing/2014/main" id="{E9152A7D-1DF9-488B-A190-7029C6EFE239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465" name="Line 3">
          <a:extLst>
            <a:ext uri="{FF2B5EF4-FFF2-40B4-BE49-F238E27FC236}">
              <a16:creationId xmlns:a16="http://schemas.microsoft.com/office/drawing/2014/main" id="{A387C5FA-051B-4DC9-9E2D-4F942470AD87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574</xdr:row>
      <xdr:rowOff>0</xdr:rowOff>
    </xdr:from>
    <xdr:to>
      <xdr:col>8</xdr:col>
      <xdr:colOff>180975</xdr:colOff>
      <xdr:row>574</xdr:row>
      <xdr:rowOff>0</xdr:rowOff>
    </xdr:to>
    <xdr:sp macro="" textlink="">
      <xdr:nvSpPr>
        <xdr:cNvPr id="466" name="Line 4">
          <a:extLst>
            <a:ext uri="{FF2B5EF4-FFF2-40B4-BE49-F238E27FC236}">
              <a16:creationId xmlns:a16="http://schemas.microsoft.com/office/drawing/2014/main" id="{5C64C53F-2BBE-4D35-A7F4-11783218AA32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467" name="Line 3">
          <a:extLst>
            <a:ext uri="{FF2B5EF4-FFF2-40B4-BE49-F238E27FC236}">
              <a16:creationId xmlns:a16="http://schemas.microsoft.com/office/drawing/2014/main" id="{93D576BA-3CB1-4757-A077-E1F20663E6A5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468" name="Line 5">
          <a:extLst>
            <a:ext uri="{FF2B5EF4-FFF2-40B4-BE49-F238E27FC236}">
              <a16:creationId xmlns:a16="http://schemas.microsoft.com/office/drawing/2014/main" id="{E38AB252-48A3-491D-A806-8F7A9A8FA2DD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69" name="Line 2">
          <a:extLst>
            <a:ext uri="{FF2B5EF4-FFF2-40B4-BE49-F238E27FC236}">
              <a16:creationId xmlns:a16="http://schemas.microsoft.com/office/drawing/2014/main" id="{76767F34-AD2C-4A3A-9BAD-40B1A8C1BAC4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70" name="Line 3">
          <a:extLst>
            <a:ext uri="{FF2B5EF4-FFF2-40B4-BE49-F238E27FC236}">
              <a16:creationId xmlns:a16="http://schemas.microsoft.com/office/drawing/2014/main" id="{B32A8579-9D15-44A9-8511-0EC6B2489BFC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71" name="Line 4">
          <a:extLst>
            <a:ext uri="{FF2B5EF4-FFF2-40B4-BE49-F238E27FC236}">
              <a16:creationId xmlns:a16="http://schemas.microsoft.com/office/drawing/2014/main" id="{EBF174A4-B414-4F27-AC1C-34A11F12D058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472" name="Line 5">
          <a:extLst>
            <a:ext uri="{FF2B5EF4-FFF2-40B4-BE49-F238E27FC236}">
              <a16:creationId xmlns:a16="http://schemas.microsoft.com/office/drawing/2014/main" id="{65CC1ED1-1921-475D-BB6E-C2E6D5B8F903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473" name="Line 7">
          <a:extLst>
            <a:ext uri="{FF2B5EF4-FFF2-40B4-BE49-F238E27FC236}">
              <a16:creationId xmlns:a16="http://schemas.microsoft.com/office/drawing/2014/main" id="{D28674DE-285B-46E2-B488-24B60D210676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474" name="Line 2">
          <a:extLst>
            <a:ext uri="{FF2B5EF4-FFF2-40B4-BE49-F238E27FC236}">
              <a16:creationId xmlns:a16="http://schemas.microsoft.com/office/drawing/2014/main" id="{9AFD0608-90BC-4040-8ED5-AADCD5BB872F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475" name="Line 3">
          <a:extLst>
            <a:ext uri="{FF2B5EF4-FFF2-40B4-BE49-F238E27FC236}">
              <a16:creationId xmlns:a16="http://schemas.microsoft.com/office/drawing/2014/main" id="{CEEA1710-2458-4609-907E-EBCDFD5E5C93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476" name="Line 4">
          <a:extLst>
            <a:ext uri="{FF2B5EF4-FFF2-40B4-BE49-F238E27FC236}">
              <a16:creationId xmlns:a16="http://schemas.microsoft.com/office/drawing/2014/main" id="{60352E12-94BE-4359-86DF-FD02EA1C6F23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477" name="Line 5">
          <a:extLst>
            <a:ext uri="{FF2B5EF4-FFF2-40B4-BE49-F238E27FC236}">
              <a16:creationId xmlns:a16="http://schemas.microsoft.com/office/drawing/2014/main" id="{56276064-398C-4EB0-B025-6DDC31329085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478" name="Line 2">
          <a:extLst>
            <a:ext uri="{FF2B5EF4-FFF2-40B4-BE49-F238E27FC236}">
              <a16:creationId xmlns:a16="http://schemas.microsoft.com/office/drawing/2014/main" id="{DBA8F444-7372-4011-A0BE-A4261B61B7FD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479" name="Line 3">
          <a:extLst>
            <a:ext uri="{FF2B5EF4-FFF2-40B4-BE49-F238E27FC236}">
              <a16:creationId xmlns:a16="http://schemas.microsoft.com/office/drawing/2014/main" id="{AF5DD719-0537-4E6C-A1B4-2A9B637E631A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80" name="Line 4">
          <a:extLst>
            <a:ext uri="{FF2B5EF4-FFF2-40B4-BE49-F238E27FC236}">
              <a16:creationId xmlns:a16="http://schemas.microsoft.com/office/drawing/2014/main" id="{91ED4AD3-4D3A-4B9B-96EA-293BC7203B10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481" name="Line 2">
          <a:extLst>
            <a:ext uri="{FF2B5EF4-FFF2-40B4-BE49-F238E27FC236}">
              <a16:creationId xmlns:a16="http://schemas.microsoft.com/office/drawing/2014/main" id="{B0368F55-793E-419F-8CF8-EAC4761A8E02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482" name="Line 3">
          <a:extLst>
            <a:ext uri="{FF2B5EF4-FFF2-40B4-BE49-F238E27FC236}">
              <a16:creationId xmlns:a16="http://schemas.microsoft.com/office/drawing/2014/main" id="{74ED7D22-A166-43B2-BFB8-4EC5A07AD889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483" name="Line 4">
          <a:extLst>
            <a:ext uri="{FF2B5EF4-FFF2-40B4-BE49-F238E27FC236}">
              <a16:creationId xmlns:a16="http://schemas.microsoft.com/office/drawing/2014/main" id="{DE27B619-3BB9-41CB-BC7D-83331898BA8A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484" name="Line 2">
          <a:extLst>
            <a:ext uri="{FF2B5EF4-FFF2-40B4-BE49-F238E27FC236}">
              <a16:creationId xmlns:a16="http://schemas.microsoft.com/office/drawing/2014/main" id="{FB3EAB1D-E82F-4981-8E2A-3D6C892B524D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485" name="Line 3">
          <a:extLst>
            <a:ext uri="{FF2B5EF4-FFF2-40B4-BE49-F238E27FC236}">
              <a16:creationId xmlns:a16="http://schemas.microsoft.com/office/drawing/2014/main" id="{6094F054-CB05-4487-85C7-33A863BE1591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635</xdr:row>
      <xdr:rowOff>0</xdr:rowOff>
    </xdr:from>
    <xdr:to>
      <xdr:col>8</xdr:col>
      <xdr:colOff>180975</xdr:colOff>
      <xdr:row>635</xdr:row>
      <xdr:rowOff>0</xdr:rowOff>
    </xdr:to>
    <xdr:sp macro="" textlink="">
      <xdr:nvSpPr>
        <xdr:cNvPr id="486" name="Line 4">
          <a:extLst>
            <a:ext uri="{FF2B5EF4-FFF2-40B4-BE49-F238E27FC236}">
              <a16:creationId xmlns:a16="http://schemas.microsoft.com/office/drawing/2014/main" id="{E940B3D2-81B2-489E-BFC3-1AAB6E6DDB53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487" name="Line 3">
          <a:extLst>
            <a:ext uri="{FF2B5EF4-FFF2-40B4-BE49-F238E27FC236}">
              <a16:creationId xmlns:a16="http://schemas.microsoft.com/office/drawing/2014/main" id="{56ECC42F-482C-4510-9F69-6D7FEDFBB46B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488" name="Line 5">
          <a:extLst>
            <a:ext uri="{FF2B5EF4-FFF2-40B4-BE49-F238E27FC236}">
              <a16:creationId xmlns:a16="http://schemas.microsoft.com/office/drawing/2014/main" id="{16457582-D0D2-45A2-8F19-FEB2907BEB7D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89" name="Line 2">
          <a:extLst>
            <a:ext uri="{FF2B5EF4-FFF2-40B4-BE49-F238E27FC236}">
              <a16:creationId xmlns:a16="http://schemas.microsoft.com/office/drawing/2014/main" id="{860F1DFF-913B-45ED-8B0F-8DAC18C4E162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90" name="Line 3">
          <a:extLst>
            <a:ext uri="{FF2B5EF4-FFF2-40B4-BE49-F238E27FC236}">
              <a16:creationId xmlns:a16="http://schemas.microsoft.com/office/drawing/2014/main" id="{C0428B13-9625-481E-91B8-811B429CEEED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91" name="Line 4">
          <a:extLst>
            <a:ext uri="{FF2B5EF4-FFF2-40B4-BE49-F238E27FC236}">
              <a16:creationId xmlns:a16="http://schemas.microsoft.com/office/drawing/2014/main" id="{091EA8A0-7479-4B8D-9148-44EF13AF5C5D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492" name="Line 5">
          <a:extLst>
            <a:ext uri="{FF2B5EF4-FFF2-40B4-BE49-F238E27FC236}">
              <a16:creationId xmlns:a16="http://schemas.microsoft.com/office/drawing/2014/main" id="{BD151E51-6261-43DF-A94F-153501DE9C5C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493" name="Line 7">
          <a:extLst>
            <a:ext uri="{FF2B5EF4-FFF2-40B4-BE49-F238E27FC236}">
              <a16:creationId xmlns:a16="http://schemas.microsoft.com/office/drawing/2014/main" id="{29BF8EEE-9824-454B-96CA-7BF8FFAF1997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494" name="Line 2">
          <a:extLst>
            <a:ext uri="{FF2B5EF4-FFF2-40B4-BE49-F238E27FC236}">
              <a16:creationId xmlns:a16="http://schemas.microsoft.com/office/drawing/2014/main" id="{FF5E064B-2BAD-43AC-A28D-D15652871328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495" name="Line 3">
          <a:extLst>
            <a:ext uri="{FF2B5EF4-FFF2-40B4-BE49-F238E27FC236}">
              <a16:creationId xmlns:a16="http://schemas.microsoft.com/office/drawing/2014/main" id="{AC88439C-38FB-401D-B200-7400072D631A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496" name="Line 4">
          <a:extLst>
            <a:ext uri="{FF2B5EF4-FFF2-40B4-BE49-F238E27FC236}">
              <a16:creationId xmlns:a16="http://schemas.microsoft.com/office/drawing/2014/main" id="{D29E6B81-9074-4EAF-BB24-C08F0F3AE7FA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497" name="Line 5">
          <a:extLst>
            <a:ext uri="{FF2B5EF4-FFF2-40B4-BE49-F238E27FC236}">
              <a16:creationId xmlns:a16="http://schemas.microsoft.com/office/drawing/2014/main" id="{9B33F9D3-9F95-435A-BF2A-6AA788AE37CD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498" name="Line 2">
          <a:extLst>
            <a:ext uri="{FF2B5EF4-FFF2-40B4-BE49-F238E27FC236}">
              <a16:creationId xmlns:a16="http://schemas.microsoft.com/office/drawing/2014/main" id="{898A21E7-DEF6-4D09-9006-B0F8CAD87423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499" name="Line 3">
          <a:extLst>
            <a:ext uri="{FF2B5EF4-FFF2-40B4-BE49-F238E27FC236}">
              <a16:creationId xmlns:a16="http://schemas.microsoft.com/office/drawing/2014/main" id="{03001D27-AA78-475E-8750-FB97F47561A0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500" name="Line 4">
          <a:extLst>
            <a:ext uri="{FF2B5EF4-FFF2-40B4-BE49-F238E27FC236}">
              <a16:creationId xmlns:a16="http://schemas.microsoft.com/office/drawing/2014/main" id="{6C9B1CB9-67FD-4C60-A67F-E0AB55F2B2EF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501" name="Line 2">
          <a:extLst>
            <a:ext uri="{FF2B5EF4-FFF2-40B4-BE49-F238E27FC236}">
              <a16:creationId xmlns:a16="http://schemas.microsoft.com/office/drawing/2014/main" id="{61A87BDE-26D5-4A96-A50A-2AF505CC263A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502" name="Line 3">
          <a:extLst>
            <a:ext uri="{FF2B5EF4-FFF2-40B4-BE49-F238E27FC236}">
              <a16:creationId xmlns:a16="http://schemas.microsoft.com/office/drawing/2014/main" id="{8CF97ED3-5471-47EE-96C4-FDC03495B8E5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503" name="Line 4">
          <a:extLst>
            <a:ext uri="{FF2B5EF4-FFF2-40B4-BE49-F238E27FC236}">
              <a16:creationId xmlns:a16="http://schemas.microsoft.com/office/drawing/2014/main" id="{E34C28CF-A3E6-47E8-9873-9ECB91D749F1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504" name="Line 2">
          <a:extLst>
            <a:ext uri="{FF2B5EF4-FFF2-40B4-BE49-F238E27FC236}">
              <a16:creationId xmlns:a16="http://schemas.microsoft.com/office/drawing/2014/main" id="{CFA4146C-0D72-4C3F-BCEE-23921617DCBA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505" name="Line 3">
          <a:extLst>
            <a:ext uri="{FF2B5EF4-FFF2-40B4-BE49-F238E27FC236}">
              <a16:creationId xmlns:a16="http://schemas.microsoft.com/office/drawing/2014/main" id="{E593FF3D-0E47-4556-AAF7-0FB90CA67766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692</xdr:row>
      <xdr:rowOff>0</xdr:rowOff>
    </xdr:from>
    <xdr:to>
      <xdr:col>8</xdr:col>
      <xdr:colOff>180975</xdr:colOff>
      <xdr:row>692</xdr:row>
      <xdr:rowOff>0</xdr:rowOff>
    </xdr:to>
    <xdr:sp macro="" textlink="">
      <xdr:nvSpPr>
        <xdr:cNvPr id="506" name="Line 4">
          <a:extLst>
            <a:ext uri="{FF2B5EF4-FFF2-40B4-BE49-F238E27FC236}">
              <a16:creationId xmlns:a16="http://schemas.microsoft.com/office/drawing/2014/main" id="{17123C40-EDBF-4DD2-A414-8DF878334BCE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507" name="Line 3">
          <a:extLst>
            <a:ext uri="{FF2B5EF4-FFF2-40B4-BE49-F238E27FC236}">
              <a16:creationId xmlns:a16="http://schemas.microsoft.com/office/drawing/2014/main" id="{8BDDD03A-1355-4E2A-8F93-667EE51F2C64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508" name="Line 5">
          <a:extLst>
            <a:ext uri="{FF2B5EF4-FFF2-40B4-BE49-F238E27FC236}">
              <a16:creationId xmlns:a16="http://schemas.microsoft.com/office/drawing/2014/main" id="{A45B7261-CCAB-440F-8768-4126F9E38919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09" name="Line 2">
          <a:extLst>
            <a:ext uri="{FF2B5EF4-FFF2-40B4-BE49-F238E27FC236}">
              <a16:creationId xmlns:a16="http://schemas.microsoft.com/office/drawing/2014/main" id="{811A3A40-A2BB-46E0-ACC5-6F1612594ADA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10" name="Line 3">
          <a:extLst>
            <a:ext uri="{FF2B5EF4-FFF2-40B4-BE49-F238E27FC236}">
              <a16:creationId xmlns:a16="http://schemas.microsoft.com/office/drawing/2014/main" id="{528DC359-D09A-4BCA-99D1-D486598744AE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11" name="Line 4">
          <a:extLst>
            <a:ext uri="{FF2B5EF4-FFF2-40B4-BE49-F238E27FC236}">
              <a16:creationId xmlns:a16="http://schemas.microsoft.com/office/drawing/2014/main" id="{FC76C178-D9AD-4110-9952-F6288CD69B9C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512" name="Line 5">
          <a:extLst>
            <a:ext uri="{FF2B5EF4-FFF2-40B4-BE49-F238E27FC236}">
              <a16:creationId xmlns:a16="http://schemas.microsoft.com/office/drawing/2014/main" id="{1C660245-DB69-4B96-BE75-9F48E577AD46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774</xdr:row>
      <xdr:rowOff>0</xdr:rowOff>
    </xdr:from>
    <xdr:to>
      <xdr:col>8</xdr:col>
      <xdr:colOff>180975</xdr:colOff>
      <xdr:row>774</xdr:row>
      <xdr:rowOff>0</xdr:rowOff>
    </xdr:to>
    <xdr:sp macro="" textlink="">
      <xdr:nvSpPr>
        <xdr:cNvPr id="513" name="Line 7">
          <a:extLst>
            <a:ext uri="{FF2B5EF4-FFF2-40B4-BE49-F238E27FC236}">
              <a16:creationId xmlns:a16="http://schemas.microsoft.com/office/drawing/2014/main" id="{CA144F7C-0B26-4740-8A26-922258C736FA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514" name="Line 2">
          <a:extLst>
            <a:ext uri="{FF2B5EF4-FFF2-40B4-BE49-F238E27FC236}">
              <a16:creationId xmlns:a16="http://schemas.microsoft.com/office/drawing/2014/main" id="{551FBFB2-3C95-46EB-B049-4EACFB98B1E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515" name="Line 3">
          <a:extLst>
            <a:ext uri="{FF2B5EF4-FFF2-40B4-BE49-F238E27FC236}">
              <a16:creationId xmlns:a16="http://schemas.microsoft.com/office/drawing/2014/main" id="{DB3A4BDB-CDE6-430D-97F3-B595C90FC45F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516" name="Line 4">
          <a:extLst>
            <a:ext uri="{FF2B5EF4-FFF2-40B4-BE49-F238E27FC236}">
              <a16:creationId xmlns:a16="http://schemas.microsoft.com/office/drawing/2014/main" id="{282A08A2-72DD-4BBD-8C37-18D8AB95A6E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517" name="Line 5">
          <a:extLst>
            <a:ext uri="{FF2B5EF4-FFF2-40B4-BE49-F238E27FC236}">
              <a16:creationId xmlns:a16="http://schemas.microsoft.com/office/drawing/2014/main" id="{E48D05E4-E241-4F39-B913-E620DE602EEB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518" name="Line 2">
          <a:extLst>
            <a:ext uri="{FF2B5EF4-FFF2-40B4-BE49-F238E27FC236}">
              <a16:creationId xmlns:a16="http://schemas.microsoft.com/office/drawing/2014/main" id="{747B7A18-2275-4072-9F01-19E780CF0869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519" name="Line 3">
          <a:extLst>
            <a:ext uri="{FF2B5EF4-FFF2-40B4-BE49-F238E27FC236}">
              <a16:creationId xmlns:a16="http://schemas.microsoft.com/office/drawing/2014/main" id="{24E563F1-0683-4782-B6EB-4E87EEDAA6B6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20" name="Line 4">
          <a:extLst>
            <a:ext uri="{FF2B5EF4-FFF2-40B4-BE49-F238E27FC236}">
              <a16:creationId xmlns:a16="http://schemas.microsoft.com/office/drawing/2014/main" id="{A8B0B2C1-24C6-450B-A51C-BDE576CF698B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521" name="Line 2">
          <a:extLst>
            <a:ext uri="{FF2B5EF4-FFF2-40B4-BE49-F238E27FC236}">
              <a16:creationId xmlns:a16="http://schemas.microsoft.com/office/drawing/2014/main" id="{ED2657CC-7ADB-48B2-AFA9-4A089A6B8D8B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522" name="Line 3">
          <a:extLst>
            <a:ext uri="{FF2B5EF4-FFF2-40B4-BE49-F238E27FC236}">
              <a16:creationId xmlns:a16="http://schemas.microsoft.com/office/drawing/2014/main" id="{A9E1D6CB-855D-47E3-B7A7-14B970741D6B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523" name="Line 4">
          <a:extLst>
            <a:ext uri="{FF2B5EF4-FFF2-40B4-BE49-F238E27FC236}">
              <a16:creationId xmlns:a16="http://schemas.microsoft.com/office/drawing/2014/main" id="{0D610067-6231-470E-9F4E-6BE0C5AC144D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524" name="Line 2">
          <a:extLst>
            <a:ext uri="{FF2B5EF4-FFF2-40B4-BE49-F238E27FC236}">
              <a16:creationId xmlns:a16="http://schemas.microsoft.com/office/drawing/2014/main" id="{33132C08-F89D-4AF2-8E64-A526B82C8C3E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525" name="Line 3">
          <a:extLst>
            <a:ext uri="{FF2B5EF4-FFF2-40B4-BE49-F238E27FC236}">
              <a16:creationId xmlns:a16="http://schemas.microsoft.com/office/drawing/2014/main" id="{E9DFA71C-BC76-48C0-8078-5EC2A54FFE9F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752</xdr:row>
      <xdr:rowOff>0</xdr:rowOff>
    </xdr:from>
    <xdr:to>
      <xdr:col>8</xdr:col>
      <xdr:colOff>180975</xdr:colOff>
      <xdr:row>752</xdr:row>
      <xdr:rowOff>0</xdr:rowOff>
    </xdr:to>
    <xdr:sp macro="" textlink="">
      <xdr:nvSpPr>
        <xdr:cNvPr id="526" name="Line 4">
          <a:extLst>
            <a:ext uri="{FF2B5EF4-FFF2-40B4-BE49-F238E27FC236}">
              <a16:creationId xmlns:a16="http://schemas.microsoft.com/office/drawing/2014/main" id="{08B831F5-F732-4D0F-9731-88FBD2897356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527" name="Line 2">
          <a:extLst>
            <a:ext uri="{FF2B5EF4-FFF2-40B4-BE49-F238E27FC236}">
              <a16:creationId xmlns:a16="http://schemas.microsoft.com/office/drawing/2014/main" id="{677B4D35-DE8D-42A4-AE01-DEAFFB3ED686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528" name="Line 3">
          <a:extLst>
            <a:ext uri="{FF2B5EF4-FFF2-40B4-BE49-F238E27FC236}">
              <a16:creationId xmlns:a16="http://schemas.microsoft.com/office/drawing/2014/main" id="{0F2EA02F-6980-4A17-B971-14A688E3487C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529" name="Line 5">
          <a:extLst>
            <a:ext uri="{FF2B5EF4-FFF2-40B4-BE49-F238E27FC236}">
              <a16:creationId xmlns:a16="http://schemas.microsoft.com/office/drawing/2014/main" id="{4E614EB5-E15B-4D47-84B3-4CF19AE30FA2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530" name="Line 3">
          <a:extLst>
            <a:ext uri="{FF2B5EF4-FFF2-40B4-BE49-F238E27FC236}">
              <a16:creationId xmlns:a16="http://schemas.microsoft.com/office/drawing/2014/main" id="{20F69A65-C64C-4420-BB7F-619E996880B6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531" name="Line 5">
          <a:extLst>
            <a:ext uri="{FF2B5EF4-FFF2-40B4-BE49-F238E27FC236}">
              <a16:creationId xmlns:a16="http://schemas.microsoft.com/office/drawing/2014/main" id="{8E6C7E2A-B332-43A6-9A9A-417167854D98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532" name="Line 2">
          <a:extLst>
            <a:ext uri="{FF2B5EF4-FFF2-40B4-BE49-F238E27FC236}">
              <a16:creationId xmlns:a16="http://schemas.microsoft.com/office/drawing/2014/main" id="{8BE5E0A5-1947-45E1-82DF-F9060C84F336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533" name="Line 3">
          <a:extLst>
            <a:ext uri="{FF2B5EF4-FFF2-40B4-BE49-F238E27FC236}">
              <a16:creationId xmlns:a16="http://schemas.microsoft.com/office/drawing/2014/main" id="{223E20A1-003C-438B-B9A0-1FCE17E034F9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534" name="Line 4">
          <a:extLst>
            <a:ext uri="{FF2B5EF4-FFF2-40B4-BE49-F238E27FC236}">
              <a16:creationId xmlns:a16="http://schemas.microsoft.com/office/drawing/2014/main" id="{3070A268-1259-42AA-8234-1C1566213053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82</xdr:row>
      <xdr:rowOff>0</xdr:rowOff>
    </xdr:from>
    <xdr:to>
      <xdr:col>8</xdr:col>
      <xdr:colOff>180975</xdr:colOff>
      <xdr:row>82</xdr:row>
      <xdr:rowOff>0</xdr:rowOff>
    </xdr:to>
    <xdr:sp macro="" textlink="">
      <xdr:nvSpPr>
        <xdr:cNvPr id="535" name="Line 5">
          <a:extLst>
            <a:ext uri="{FF2B5EF4-FFF2-40B4-BE49-F238E27FC236}">
              <a16:creationId xmlns:a16="http://schemas.microsoft.com/office/drawing/2014/main" id="{EF9A1F8E-1B80-46A9-979C-CDEBAE0DBB94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102</xdr:row>
      <xdr:rowOff>0</xdr:rowOff>
    </xdr:from>
    <xdr:to>
      <xdr:col>8</xdr:col>
      <xdr:colOff>180975</xdr:colOff>
      <xdr:row>102</xdr:row>
      <xdr:rowOff>0</xdr:rowOff>
    </xdr:to>
    <xdr:sp macro="" textlink="">
      <xdr:nvSpPr>
        <xdr:cNvPr id="536" name="Line 7">
          <a:extLst>
            <a:ext uri="{FF2B5EF4-FFF2-40B4-BE49-F238E27FC236}">
              <a16:creationId xmlns:a16="http://schemas.microsoft.com/office/drawing/2014/main" id="{3949AFEC-A37E-417F-A153-240705480989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537" name="Line 3">
          <a:extLst>
            <a:ext uri="{FF2B5EF4-FFF2-40B4-BE49-F238E27FC236}">
              <a16:creationId xmlns:a16="http://schemas.microsoft.com/office/drawing/2014/main" id="{47C9946B-1E04-49D8-AF70-45424044ACB8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538" name="Line 5">
          <a:extLst>
            <a:ext uri="{FF2B5EF4-FFF2-40B4-BE49-F238E27FC236}">
              <a16:creationId xmlns:a16="http://schemas.microsoft.com/office/drawing/2014/main" id="{1851CA16-E8A6-441C-A450-78AEEDB759DF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539" name="Line 2">
          <a:extLst>
            <a:ext uri="{FF2B5EF4-FFF2-40B4-BE49-F238E27FC236}">
              <a16:creationId xmlns:a16="http://schemas.microsoft.com/office/drawing/2014/main" id="{EC5C8BD4-E85D-4811-B2E9-AC26F4543808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540" name="Line 3">
          <a:extLst>
            <a:ext uri="{FF2B5EF4-FFF2-40B4-BE49-F238E27FC236}">
              <a16:creationId xmlns:a16="http://schemas.microsoft.com/office/drawing/2014/main" id="{4A11DD87-B23A-48C9-961B-616FAF2C36A8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541" name="Line 4">
          <a:extLst>
            <a:ext uri="{FF2B5EF4-FFF2-40B4-BE49-F238E27FC236}">
              <a16:creationId xmlns:a16="http://schemas.microsoft.com/office/drawing/2014/main" id="{CF7602B4-9C37-45A0-9081-12A810CD2950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542" name="Line 5">
          <a:extLst>
            <a:ext uri="{FF2B5EF4-FFF2-40B4-BE49-F238E27FC236}">
              <a16:creationId xmlns:a16="http://schemas.microsoft.com/office/drawing/2014/main" id="{29E7F4D6-D1C2-45D5-A85F-BA8CE8DEFFF3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543" name="Line 2">
          <a:extLst>
            <a:ext uri="{FF2B5EF4-FFF2-40B4-BE49-F238E27FC236}">
              <a16:creationId xmlns:a16="http://schemas.microsoft.com/office/drawing/2014/main" id="{FC660944-B45B-4164-B6A4-982311DBB7E7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544" name="Line 3">
          <a:extLst>
            <a:ext uri="{FF2B5EF4-FFF2-40B4-BE49-F238E27FC236}">
              <a16:creationId xmlns:a16="http://schemas.microsoft.com/office/drawing/2014/main" id="{35D6FC94-BA99-4221-8FE4-5F83F16564A4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545" name="Line 4">
          <a:extLst>
            <a:ext uri="{FF2B5EF4-FFF2-40B4-BE49-F238E27FC236}">
              <a16:creationId xmlns:a16="http://schemas.microsoft.com/office/drawing/2014/main" id="{FC09F31E-3F91-4105-99A9-846304CAF033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546" name="Line 5">
          <a:extLst>
            <a:ext uri="{FF2B5EF4-FFF2-40B4-BE49-F238E27FC236}">
              <a16:creationId xmlns:a16="http://schemas.microsoft.com/office/drawing/2014/main" id="{41AD46B9-8D81-4A2B-AD13-C7F885957485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547" name="Line 2">
          <a:extLst>
            <a:ext uri="{FF2B5EF4-FFF2-40B4-BE49-F238E27FC236}">
              <a16:creationId xmlns:a16="http://schemas.microsoft.com/office/drawing/2014/main" id="{183EE233-6D10-4857-89CA-8F5944B9E6C9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548" name="Line 3">
          <a:extLst>
            <a:ext uri="{FF2B5EF4-FFF2-40B4-BE49-F238E27FC236}">
              <a16:creationId xmlns:a16="http://schemas.microsoft.com/office/drawing/2014/main" id="{D7327A1B-FCAD-47EE-85CF-4343A859E60E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549" name="Line 5">
          <a:extLst>
            <a:ext uri="{FF2B5EF4-FFF2-40B4-BE49-F238E27FC236}">
              <a16:creationId xmlns:a16="http://schemas.microsoft.com/office/drawing/2014/main" id="{F851098C-5F16-4D64-BEDC-E0B77A37B4C0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50" name="Line 2">
          <a:extLst>
            <a:ext uri="{FF2B5EF4-FFF2-40B4-BE49-F238E27FC236}">
              <a16:creationId xmlns:a16="http://schemas.microsoft.com/office/drawing/2014/main" id="{F40A3F98-6B7D-4F17-88DD-2A5C819785A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51" name="Line 3">
          <a:extLst>
            <a:ext uri="{FF2B5EF4-FFF2-40B4-BE49-F238E27FC236}">
              <a16:creationId xmlns:a16="http://schemas.microsoft.com/office/drawing/2014/main" id="{F993DE2B-A332-4D19-B941-8D1F03C229A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52" name="Line 4">
          <a:extLst>
            <a:ext uri="{FF2B5EF4-FFF2-40B4-BE49-F238E27FC236}">
              <a16:creationId xmlns:a16="http://schemas.microsoft.com/office/drawing/2014/main" id="{531A8323-0785-4991-BDBC-1B2791A8B54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553" name="Line 5">
          <a:extLst>
            <a:ext uri="{FF2B5EF4-FFF2-40B4-BE49-F238E27FC236}">
              <a16:creationId xmlns:a16="http://schemas.microsoft.com/office/drawing/2014/main" id="{FDD0586B-7B0E-440B-9E50-B6353E23E3C6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554" name="Line 7">
          <a:extLst>
            <a:ext uri="{FF2B5EF4-FFF2-40B4-BE49-F238E27FC236}">
              <a16:creationId xmlns:a16="http://schemas.microsoft.com/office/drawing/2014/main" id="{44EE790F-63E3-4F7C-8530-97A2DF0D12A1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55" name="Line 2">
          <a:extLst>
            <a:ext uri="{FF2B5EF4-FFF2-40B4-BE49-F238E27FC236}">
              <a16:creationId xmlns:a16="http://schemas.microsoft.com/office/drawing/2014/main" id="{B1367B9F-591C-4B96-9B71-C3A31B23B865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56" name="Line 3">
          <a:extLst>
            <a:ext uri="{FF2B5EF4-FFF2-40B4-BE49-F238E27FC236}">
              <a16:creationId xmlns:a16="http://schemas.microsoft.com/office/drawing/2014/main" id="{16F211A1-3428-4339-8351-50C707B9107D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57" name="Line 4">
          <a:extLst>
            <a:ext uri="{FF2B5EF4-FFF2-40B4-BE49-F238E27FC236}">
              <a16:creationId xmlns:a16="http://schemas.microsoft.com/office/drawing/2014/main" id="{613EA640-9BB7-46FF-B897-83DB04B4350E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558" name="Line 5">
          <a:extLst>
            <a:ext uri="{FF2B5EF4-FFF2-40B4-BE49-F238E27FC236}">
              <a16:creationId xmlns:a16="http://schemas.microsoft.com/office/drawing/2014/main" id="{66446968-ABB3-42B9-B48B-54B1BAD8002E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559" name="Line 2">
          <a:extLst>
            <a:ext uri="{FF2B5EF4-FFF2-40B4-BE49-F238E27FC236}">
              <a16:creationId xmlns:a16="http://schemas.microsoft.com/office/drawing/2014/main" id="{C9833280-F14A-4707-A33F-185644EF06C5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560" name="Line 3">
          <a:extLst>
            <a:ext uri="{FF2B5EF4-FFF2-40B4-BE49-F238E27FC236}">
              <a16:creationId xmlns:a16="http://schemas.microsoft.com/office/drawing/2014/main" id="{EED262F9-9453-4DCC-B3C9-3B91BCECEFDF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61" name="Line 4">
          <a:extLst>
            <a:ext uri="{FF2B5EF4-FFF2-40B4-BE49-F238E27FC236}">
              <a16:creationId xmlns:a16="http://schemas.microsoft.com/office/drawing/2014/main" id="{6944C7BB-4ED9-4804-9DEE-FD303584060B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562" name="Line 5">
          <a:extLst>
            <a:ext uri="{FF2B5EF4-FFF2-40B4-BE49-F238E27FC236}">
              <a16:creationId xmlns:a16="http://schemas.microsoft.com/office/drawing/2014/main" id="{CB720793-F61E-4DA0-89DF-05733062B759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563" name="Line 7">
          <a:extLst>
            <a:ext uri="{FF2B5EF4-FFF2-40B4-BE49-F238E27FC236}">
              <a16:creationId xmlns:a16="http://schemas.microsoft.com/office/drawing/2014/main" id="{F960A6FD-E6E4-49D8-A129-99F314F5E147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564" name="Line 8">
          <a:extLst>
            <a:ext uri="{FF2B5EF4-FFF2-40B4-BE49-F238E27FC236}">
              <a16:creationId xmlns:a16="http://schemas.microsoft.com/office/drawing/2014/main" id="{1C5BEB9C-00BF-4FD8-BC0C-030234A92567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565" name="Rectangle 7">
          <a:extLst>
            <a:ext uri="{FF2B5EF4-FFF2-40B4-BE49-F238E27FC236}">
              <a16:creationId xmlns:a16="http://schemas.microsoft.com/office/drawing/2014/main" id="{60C467E8-2A4E-4628-9A8F-DD263CCEA15C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566" name="Rectangle 8">
          <a:extLst>
            <a:ext uri="{FF2B5EF4-FFF2-40B4-BE49-F238E27FC236}">
              <a16:creationId xmlns:a16="http://schemas.microsoft.com/office/drawing/2014/main" id="{92D4F7F6-34CB-4128-A95B-43165A058371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567" name="Line 2">
          <a:extLst>
            <a:ext uri="{FF2B5EF4-FFF2-40B4-BE49-F238E27FC236}">
              <a16:creationId xmlns:a16="http://schemas.microsoft.com/office/drawing/2014/main" id="{3AD76495-0D93-4D91-9B4A-AB5862394220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568" name="Line 3">
          <a:extLst>
            <a:ext uri="{FF2B5EF4-FFF2-40B4-BE49-F238E27FC236}">
              <a16:creationId xmlns:a16="http://schemas.microsoft.com/office/drawing/2014/main" id="{4984FC76-F924-4DE5-91CF-6206A4F18CA3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569" name="Line 5">
          <a:extLst>
            <a:ext uri="{FF2B5EF4-FFF2-40B4-BE49-F238E27FC236}">
              <a16:creationId xmlns:a16="http://schemas.microsoft.com/office/drawing/2014/main" id="{8288B807-C87C-4D10-90BE-8F19EA271A6A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70" name="Line 2">
          <a:extLst>
            <a:ext uri="{FF2B5EF4-FFF2-40B4-BE49-F238E27FC236}">
              <a16:creationId xmlns:a16="http://schemas.microsoft.com/office/drawing/2014/main" id="{C488938D-480B-46A7-B145-2237E5B1885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71" name="Line 3">
          <a:extLst>
            <a:ext uri="{FF2B5EF4-FFF2-40B4-BE49-F238E27FC236}">
              <a16:creationId xmlns:a16="http://schemas.microsoft.com/office/drawing/2014/main" id="{6B0BA288-60A8-43F7-BD3C-A37B818B1696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72" name="Line 4">
          <a:extLst>
            <a:ext uri="{FF2B5EF4-FFF2-40B4-BE49-F238E27FC236}">
              <a16:creationId xmlns:a16="http://schemas.microsoft.com/office/drawing/2014/main" id="{C9F098DA-7AA4-4FCB-B3A0-89EBEB490476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573" name="Line 5">
          <a:extLst>
            <a:ext uri="{FF2B5EF4-FFF2-40B4-BE49-F238E27FC236}">
              <a16:creationId xmlns:a16="http://schemas.microsoft.com/office/drawing/2014/main" id="{D44E7CD8-6A84-494C-B665-D1C0F7EC35A8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574" name="Line 7">
          <a:extLst>
            <a:ext uri="{FF2B5EF4-FFF2-40B4-BE49-F238E27FC236}">
              <a16:creationId xmlns:a16="http://schemas.microsoft.com/office/drawing/2014/main" id="{41D5CE73-C426-42C7-998C-78E1A343A956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75" name="Line 2">
          <a:extLst>
            <a:ext uri="{FF2B5EF4-FFF2-40B4-BE49-F238E27FC236}">
              <a16:creationId xmlns:a16="http://schemas.microsoft.com/office/drawing/2014/main" id="{155CC425-32F2-48C7-87AB-B09ED6C9C9BE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76" name="Line 3">
          <a:extLst>
            <a:ext uri="{FF2B5EF4-FFF2-40B4-BE49-F238E27FC236}">
              <a16:creationId xmlns:a16="http://schemas.microsoft.com/office/drawing/2014/main" id="{DDDC1318-AAEF-4003-8BF5-CC09D7E94287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77" name="Line 4">
          <a:extLst>
            <a:ext uri="{FF2B5EF4-FFF2-40B4-BE49-F238E27FC236}">
              <a16:creationId xmlns:a16="http://schemas.microsoft.com/office/drawing/2014/main" id="{5DE2F6B1-CFB3-4823-B3E4-619BCD2167D3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578" name="Line 5">
          <a:extLst>
            <a:ext uri="{FF2B5EF4-FFF2-40B4-BE49-F238E27FC236}">
              <a16:creationId xmlns:a16="http://schemas.microsoft.com/office/drawing/2014/main" id="{57391884-5958-4A48-A2E6-48448E207A3F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579" name="Line 2">
          <a:extLst>
            <a:ext uri="{FF2B5EF4-FFF2-40B4-BE49-F238E27FC236}">
              <a16:creationId xmlns:a16="http://schemas.microsoft.com/office/drawing/2014/main" id="{A2674CC3-5E62-41AC-9DAC-BB118E3D52AC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580" name="Line 3">
          <a:extLst>
            <a:ext uri="{FF2B5EF4-FFF2-40B4-BE49-F238E27FC236}">
              <a16:creationId xmlns:a16="http://schemas.microsoft.com/office/drawing/2014/main" id="{F156D048-1F04-4447-AAD9-91035A435089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81" name="Line 4">
          <a:extLst>
            <a:ext uri="{FF2B5EF4-FFF2-40B4-BE49-F238E27FC236}">
              <a16:creationId xmlns:a16="http://schemas.microsoft.com/office/drawing/2014/main" id="{14860BFA-0F9F-4C39-B75E-95164F29A5C9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582" name="Line 5">
          <a:extLst>
            <a:ext uri="{FF2B5EF4-FFF2-40B4-BE49-F238E27FC236}">
              <a16:creationId xmlns:a16="http://schemas.microsoft.com/office/drawing/2014/main" id="{343C49CA-906E-4E0F-BDD2-62228A0ECAD3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583" name="Line 7">
          <a:extLst>
            <a:ext uri="{FF2B5EF4-FFF2-40B4-BE49-F238E27FC236}">
              <a16:creationId xmlns:a16="http://schemas.microsoft.com/office/drawing/2014/main" id="{B1459590-C7FD-4CA7-AE9F-F37C52088B61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584" name="Line 8">
          <a:extLst>
            <a:ext uri="{FF2B5EF4-FFF2-40B4-BE49-F238E27FC236}">
              <a16:creationId xmlns:a16="http://schemas.microsoft.com/office/drawing/2014/main" id="{FF0F10C8-FD4D-404B-9A98-E969ADF2C796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585" name="Rectangle 7">
          <a:extLst>
            <a:ext uri="{FF2B5EF4-FFF2-40B4-BE49-F238E27FC236}">
              <a16:creationId xmlns:a16="http://schemas.microsoft.com/office/drawing/2014/main" id="{357E8DD4-30FA-4141-947B-06C3F1A44E58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586" name="Rectangle 8">
          <a:extLst>
            <a:ext uri="{FF2B5EF4-FFF2-40B4-BE49-F238E27FC236}">
              <a16:creationId xmlns:a16="http://schemas.microsoft.com/office/drawing/2014/main" id="{2FE60982-237A-4339-85DA-82EBDF59BC4B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587" name="Line 3">
          <a:extLst>
            <a:ext uri="{FF2B5EF4-FFF2-40B4-BE49-F238E27FC236}">
              <a16:creationId xmlns:a16="http://schemas.microsoft.com/office/drawing/2014/main" id="{D88D4C95-9596-491F-A464-A7E306725305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588" name="Line 5">
          <a:extLst>
            <a:ext uri="{FF2B5EF4-FFF2-40B4-BE49-F238E27FC236}">
              <a16:creationId xmlns:a16="http://schemas.microsoft.com/office/drawing/2014/main" id="{83BD7AD6-728B-43B8-A6A7-C2CEEF930F21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89" name="Line 2">
          <a:extLst>
            <a:ext uri="{FF2B5EF4-FFF2-40B4-BE49-F238E27FC236}">
              <a16:creationId xmlns:a16="http://schemas.microsoft.com/office/drawing/2014/main" id="{EA6F2F41-3338-47D5-9DEA-6BF5EB7BABBA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90" name="Line 3">
          <a:extLst>
            <a:ext uri="{FF2B5EF4-FFF2-40B4-BE49-F238E27FC236}">
              <a16:creationId xmlns:a16="http://schemas.microsoft.com/office/drawing/2014/main" id="{F24BADE4-644F-4B38-AED9-EC5EBBFBCD09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91" name="Line 4">
          <a:extLst>
            <a:ext uri="{FF2B5EF4-FFF2-40B4-BE49-F238E27FC236}">
              <a16:creationId xmlns:a16="http://schemas.microsoft.com/office/drawing/2014/main" id="{97496D5D-78C2-476A-8ECC-9CBFD3E729BB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592" name="Line 5">
          <a:extLst>
            <a:ext uri="{FF2B5EF4-FFF2-40B4-BE49-F238E27FC236}">
              <a16:creationId xmlns:a16="http://schemas.microsoft.com/office/drawing/2014/main" id="{E4CB8E3A-2DDB-4AE3-B250-A8C03DA044B7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593" name="Line 7">
          <a:extLst>
            <a:ext uri="{FF2B5EF4-FFF2-40B4-BE49-F238E27FC236}">
              <a16:creationId xmlns:a16="http://schemas.microsoft.com/office/drawing/2014/main" id="{37CF563C-7F43-4896-AD92-F3FC96FADBAD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594" name="Line 2">
          <a:extLst>
            <a:ext uri="{FF2B5EF4-FFF2-40B4-BE49-F238E27FC236}">
              <a16:creationId xmlns:a16="http://schemas.microsoft.com/office/drawing/2014/main" id="{F593B3F4-948C-4824-A0C8-56827EAE386D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595" name="Line 3">
          <a:extLst>
            <a:ext uri="{FF2B5EF4-FFF2-40B4-BE49-F238E27FC236}">
              <a16:creationId xmlns:a16="http://schemas.microsoft.com/office/drawing/2014/main" id="{E86A2108-BB6D-4D92-AA01-CE99B9495DA0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596" name="Line 4">
          <a:extLst>
            <a:ext uri="{FF2B5EF4-FFF2-40B4-BE49-F238E27FC236}">
              <a16:creationId xmlns:a16="http://schemas.microsoft.com/office/drawing/2014/main" id="{8293FA34-0626-43D6-91B9-DA36B3A11C30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597" name="Line 5">
          <a:extLst>
            <a:ext uri="{FF2B5EF4-FFF2-40B4-BE49-F238E27FC236}">
              <a16:creationId xmlns:a16="http://schemas.microsoft.com/office/drawing/2014/main" id="{1A657DD0-374A-414D-A910-904B77888244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598" name="Line 2">
          <a:extLst>
            <a:ext uri="{FF2B5EF4-FFF2-40B4-BE49-F238E27FC236}">
              <a16:creationId xmlns:a16="http://schemas.microsoft.com/office/drawing/2014/main" id="{914F66AC-BBF7-4B62-9976-1DB8E6C2C014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599" name="Line 3">
          <a:extLst>
            <a:ext uri="{FF2B5EF4-FFF2-40B4-BE49-F238E27FC236}">
              <a16:creationId xmlns:a16="http://schemas.microsoft.com/office/drawing/2014/main" id="{78607908-FCC9-4DFC-9DE7-F6A0D0BF117D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600" name="Line 4">
          <a:extLst>
            <a:ext uri="{FF2B5EF4-FFF2-40B4-BE49-F238E27FC236}">
              <a16:creationId xmlns:a16="http://schemas.microsoft.com/office/drawing/2014/main" id="{25036BD5-8731-45A8-AB8D-E32968FEE113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382</xdr:row>
      <xdr:rowOff>0</xdr:rowOff>
    </xdr:from>
    <xdr:to>
      <xdr:col>8</xdr:col>
      <xdr:colOff>180975</xdr:colOff>
      <xdr:row>382</xdr:row>
      <xdr:rowOff>0</xdr:rowOff>
    </xdr:to>
    <xdr:sp macro="" textlink="">
      <xdr:nvSpPr>
        <xdr:cNvPr id="601" name="Line 5">
          <a:extLst>
            <a:ext uri="{FF2B5EF4-FFF2-40B4-BE49-F238E27FC236}">
              <a16:creationId xmlns:a16="http://schemas.microsoft.com/office/drawing/2014/main" id="{20B3622C-84A9-4EBC-8334-0A4FCFE1A3B8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602" name="Line 7">
          <a:extLst>
            <a:ext uri="{FF2B5EF4-FFF2-40B4-BE49-F238E27FC236}">
              <a16:creationId xmlns:a16="http://schemas.microsoft.com/office/drawing/2014/main" id="{B554BB4C-5311-4666-974A-49737D823C0D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603" name="Line 3">
          <a:extLst>
            <a:ext uri="{FF2B5EF4-FFF2-40B4-BE49-F238E27FC236}">
              <a16:creationId xmlns:a16="http://schemas.microsoft.com/office/drawing/2014/main" id="{ECD6D51E-2B45-4049-8906-DF1D674C3A81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604" name="Line 5">
          <a:extLst>
            <a:ext uri="{FF2B5EF4-FFF2-40B4-BE49-F238E27FC236}">
              <a16:creationId xmlns:a16="http://schemas.microsoft.com/office/drawing/2014/main" id="{3E142D38-934B-4E1A-AD15-0E91A161F862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05" name="Line 2">
          <a:extLst>
            <a:ext uri="{FF2B5EF4-FFF2-40B4-BE49-F238E27FC236}">
              <a16:creationId xmlns:a16="http://schemas.microsoft.com/office/drawing/2014/main" id="{D9CB2F18-EABE-4509-BF3D-7190D8484FD1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06" name="Line 3">
          <a:extLst>
            <a:ext uri="{FF2B5EF4-FFF2-40B4-BE49-F238E27FC236}">
              <a16:creationId xmlns:a16="http://schemas.microsoft.com/office/drawing/2014/main" id="{DB27406B-601C-4886-8C77-0C98D232E1B8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07" name="Line 4">
          <a:extLst>
            <a:ext uri="{FF2B5EF4-FFF2-40B4-BE49-F238E27FC236}">
              <a16:creationId xmlns:a16="http://schemas.microsoft.com/office/drawing/2014/main" id="{5D12F18F-7C59-4477-AC53-A5CAD36212DF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608" name="Line 5">
          <a:extLst>
            <a:ext uri="{FF2B5EF4-FFF2-40B4-BE49-F238E27FC236}">
              <a16:creationId xmlns:a16="http://schemas.microsoft.com/office/drawing/2014/main" id="{83AB5962-53F1-42FD-8983-CD5454518E05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458</xdr:row>
      <xdr:rowOff>0</xdr:rowOff>
    </xdr:from>
    <xdr:to>
      <xdr:col>8</xdr:col>
      <xdr:colOff>180975</xdr:colOff>
      <xdr:row>458</xdr:row>
      <xdr:rowOff>0</xdr:rowOff>
    </xdr:to>
    <xdr:sp macro="" textlink="">
      <xdr:nvSpPr>
        <xdr:cNvPr id="609" name="Line 7">
          <a:extLst>
            <a:ext uri="{FF2B5EF4-FFF2-40B4-BE49-F238E27FC236}">
              <a16:creationId xmlns:a16="http://schemas.microsoft.com/office/drawing/2014/main" id="{6FB62390-0FA2-4509-A039-E96DF0FDB579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610" name="Line 2">
          <a:extLst>
            <a:ext uri="{FF2B5EF4-FFF2-40B4-BE49-F238E27FC236}">
              <a16:creationId xmlns:a16="http://schemas.microsoft.com/office/drawing/2014/main" id="{94410FD1-DBB6-4ABE-B2BE-080FF3EE2E10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611" name="Line 3">
          <a:extLst>
            <a:ext uri="{FF2B5EF4-FFF2-40B4-BE49-F238E27FC236}">
              <a16:creationId xmlns:a16="http://schemas.microsoft.com/office/drawing/2014/main" id="{7D11997B-24EF-481E-A7FF-985EDE92D5A1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612" name="Line 4">
          <a:extLst>
            <a:ext uri="{FF2B5EF4-FFF2-40B4-BE49-F238E27FC236}">
              <a16:creationId xmlns:a16="http://schemas.microsoft.com/office/drawing/2014/main" id="{96815ADB-6537-43D3-90DC-5594ED14A59B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613" name="Line 5">
          <a:extLst>
            <a:ext uri="{FF2B5EF4-FFF2-40B4-BE49-F238E27FC236}">
              <a16:creationId xmlns:a16="http://schemas.microsoft.com/office/drawing/2014/main" id="{413F2C79-D1EF-4D7B-818C-8794FF834B71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614" name="Line 2">
          <a:extLst>
            <a:ext uri="{FF2B5EF4-FFF2-40B4-BE49-F238E27FC236}">
              <a16:creationId xmlns:a16="http://schemas.microsoft.com/office/drawing/2014/main" id="{61755CD8-3211-42D2-A579-EC1EC4A35F9F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615" name="Line 3">
          <a:extLst>
            <a:ext uri="{FF2B5EF4-FFF2-40B4-BE49-F238E27FC236}">
              <a16:creationId xmlns:a16="http://schemas.microsoft.com/office/drawing/2014/main" id="{8588ABAF-8417-49AE-B6A4-F31963C6FA48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16" name="Line 4">
          <a:extLst>
            <a:ext uri="{FF2B5EF4-FFF2-40B4-BE49-F238E27FC236}">
              <a16:creationId xmlns:a16="http://schemas.microsoft.com/office/drawing/2014/main" id="{9545B627-7D92-4007-BBF2-F645D5CC655E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617" name="Line 5">
          <a:extLst>
            <a:ext uri="{FF2B5EF4-FFF2-40B4-BE49-F238E27FC236}">
              <a16:creationId xmlns:a16="http://schemas.microsoft.com/office/drawing/2014/main" id="{CF9D69D5-739A-4D64-992E-696FF2D5DD66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618" name="Line 7">
          <a:extLst>
            <a:ext uri="{FF2B5EF4-FFF2-40B4-BE49-F238E27FC236}">
              <a16:creationId xmlns:a16="http://schemas.microsoft.com/office/drawing/2014/main" id="{7770010E-F7C1-4707-8F6F-3DB86912DA5E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619" name="Line 2">
          <a:extLst>
            <a:ext uri="{FF2B5EF4-FFF2-40B4-BE49-F238E27FC236}">
              <a16:creationId xmlns:a16="http://schemas.microsoft.com/office/drawing/2014/main" id="{98D2FBBF-D9FD-4BDC-9EAD-C71ACFEBD948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620" name="Line 3">
          <a:extLst>
            <a:ext uri="{FF2B5EF4-FFF2-40B4-BE49-F238E27FC236}">
              <a16:creationId xmlns:a16="http://schemas.microsoft.com/office/drawing/2014/main" id="{2A16EE3E-C93E-4BB1-BB87-54FF448DBB0E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621" name="Line 4">
          <a:extLst>
            <a:ext uri="{FF2B5EF4-FFF2-40B4-BE49-F238E27FC236}">
              <a16:creationId xmlns:a16="http://schemas.microsoft.com/office/drawing/2014/main" id="{AF773DA9-C1BB-4F7E-ABD0-938CE2345BCB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622" name="Line 3">
          <a:extLst>
            <a:ext uri="{FF2B5EF4-FFF2-40B4-BE49-F238E27FC236}">
              <a16:creationId xmlns:a16="http://schemas.microsoft.com/office/drawing/2014/main" id="{9BB40C15-9818-412E-A163-D31400F10611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623" name="Line 5">
          <a:extLst>
            <a:ext uri="{FF2B5EF4-FFF2-40B4-BE49-F238E27FC236}">
              <a16:creationId xmlns:a16="http://schemas.microsoft.com/office/drawing/2014/main" id="{B0D1DB4C-9E57-4460-BF92-B0F80C797274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24" name="Line 2">
          <a:extLst>
            <a:ext uri="{FF2B5EF4-FFF2-40B4-BE49-F238E27FC236}">
              <a16:creationId xmlns:a16="http://schemas.microsoft.com/office/drawing/2014/main" id="{73C96DAD-85CA-4339-9B22-5FE5A3E371FE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25" name="Line 3">
          <a:extLst>
            <a:ext uri="{FF2B5EF4-FFF2-40B4-BE49-F238E27FC236}">
              <a16:creationId xmlns:a16="http://schemas.microsoft.com/office/drawing/2014/main" id="{17342043-4572-43DA-B764-B4B175ADA090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26" name="Line 4">
          <a:extLst>
            <a:ext uri="{FF2B5EF4-FFF2-40B4-BE49-F238E27FC236}">
              <a16:creationId xmlns:a16="http://schemas.microsoft.com/office/drawing/2014/main" id="{F18127EF-62D6-47FB-88BF-CA1F4FE51488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627" name="Line 5">
          <a:extLst>
            <a:ext uri="{FF2B5EF4-FFF2-40B4-BE49-F238E27FC236}">
              <a16:creationId xmlns:a16="http://schemas.microsoft.com/office/drawing/2014/main" id="{B9DA583C-25F3-4EDC-B8C7-C24503B382D8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628" name="Line 7">
          <a:extLst>
            <a:ext uri="{FF2B5EF4-FFF2-40B4-BE49-F238E27FC236}">
              <a16:creationId xmlns:a16="http://schemas.microsoft.com/office/drawing/2014/main" id="{265C44B3-A7BB-48DE-BB64-9ED8E59887E1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629" name="Line 2">
          <a:extLst>
            <a:ext uri="{FF2B5EF4-FFF2-40B4-BE49-F238E27FC236}">
              <a16:creationId xmlns:a16="http://schemas.microsoft.com/office/drawing/2014/main" id="{FDA3577F-3FD7-4998-AD96-1D592539A423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630" name="Line 3">
          <a:extLst>
            <a:ext uri="{FF2B5EF4-FFF2-40B4-BE49-F238E27FC236}">
              <a16:creationId xmlns:a16="http://schemas.microsoft.com/office/drawing/2014/main" id="{C38A0FD3-5510-4F04-A5C2-F504BE581882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631" name="Line 4">
          <a:extLst>
            <a:ext uri="{FF2B5EF4-FFF2-40B4-BE49-F238E27FC236}">
              <a16:creationId xmlns:a16="http://schemas.microsoft.com/office/drawing/2014/main" id="{03F5B57A-AE95-4B22-9305-5AF13F145151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632" name="Line 5">
          <a:extLst>
            <a:ext uri="{FF2B5EF4-FFF2-40B4-BE49-F238E27FC236}">
              <a16:creationId xmlns:a16="http://schemas.microsoft.com/office/drawing/2014/main" id="{6542DB7C-38D5-4E99-91C2-CC76B70A630D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633" name="Line 2">
          <a:extLst>
            <a:ext uri="{FF2B5EF4-FFF2-40B4-BE49-F238E27FC236}">
              <a16:creationId xmlns:a16="http://schemas.microsoft.com/office/drawing/2014/main" id="{B646EB9C-2321-4B46-880F-222A0A9DEBC5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634" name="Line 3">
          <a:extLst>
            <a:ext uri="{FF2B5EF4-FFF2-40B4-BE49-F238E27FC236}">
              <a16:creationId xmlns:a16="http://schemas.microsoft.com/office/drawing/2014/main" id="{9ABE6858-526B-4ACC-B830-09493BA53D32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35" name="Line 4">
          <a:extLst>
            <a:ext uri="{FF2B5EF4-FFF2-40B4-BE49-F238E27FC236}">
              <a16:creationId xmlns:a16="http://schemas.microsoft.com/office/drawing/2014/main" id="{55B07A79-9CBA-4B0E-AF42-8C0BCFA8817E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636" name="Line 2">
          <a:extLst>
            <a:ext uri="{FF2B5EF4-FFF2-40B4-BE49-F238E27FC236}">
              <a16:creationId xmlns:a16="http://schemas.microsoft.com/office/drawing/2014/main" id="{6A03A472-7028-45D4-8355-8A20E60740A1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637" name="Line 3">
          <a:extLst>
            <a:ext uri="{FF2B5EF4-FFF2-40B4-BE49-F238E27FC236}">
              <a16:creationId xmlns:a16="http://schemas.microsoft.com/office/drawing/2014/main" id="{49CAB6DB-AC65-45CF-B09B-A71B5429E366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638" name="Line 4">
          <a:extLst>
            <a:ext uri="{FF2B5EF4-FFF2-40B4-BE49-F238E27FC236}">
              <a16:creationId xmlns:a16="http://schemas.microsoft.com/office/drawing/2014/main" id="{B89E8453-F75A-4E7B-8342-F9EE133051D1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639" name="Line 2">
          <a:extLst>
            <a:ext uri="{FF2B5EF4-FFF2-40B4-BE49-F238E27FC236}">
              <a16:creationId xmlns:a16="http://schemas.microsoft.com/office/drawing/2014/main" id="{D9F3578D-E631-495E-BAAE-0D6AC95175D9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640" name="Line 3">
          <a:extLst>
            <a:ext uri="{FF2B5EF4-FFF2-40B4-BE49-F238E27FC236}">
              <a16:creationId xmlns:a16="http://schemas.microsoft.com/office/drawing/2014/main" id="{231B1214-FD21-411B-B9EE-B6A37AF0D5E3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574</xdr:row>
      <xdr:rowOff>0</xdr:rowOff>
    </xdr:from>
    <xdr:to>
      <xdr:col>8</xdr:col>
      <xdr:colOff>180975</xdr:colOff>
      <xdr:row>574</xdr:row>
      <xdr:rowOff>0</xdr:rowOff>
    </xdr:to>
    <xdr:sp macro="" textlink="">
      <xdr:nvSpPr>
        <xdr:cNvPr id="641" name="Line 4">
          <a:extLst>
            <a:ext uri="{FF2B5EF4-FFF2-40B4-BE49-F238E27FC236}">
              <a16:creationId xmlns:a16="http://schemas.microsoft.com/office/drawing/2014/main" id="{02ED5447-A942-4E6E-A301-55F5C4688B01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642" name="Line 3">
          <a:extLst>
            <a:ext uri="{FF2B5EF4-FFF2-40B4-BE49-F238E27FC236}">
              <a16:creationId xmlns:a16="http://schemas.microsoft.com/office/drawing/2014/main" id="{873ED41C-8A19-4D16-A767-6113BB911F71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643" name="Line 5">
          <a:extLst>
            <a:ext uri="{FF2B5EF4-FFF2-40B4-BE49-F238E27FC236}">
              <a16:creationId xmlns:a16="http://schemas.microsoft.com/office/drawing/2014/main" id="{20CA81F5-C4EB-481D-B199-83A7D4919AEA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44" name="Line 2">
          <a:extLst>
            <a:ext uri="{FF2B5EF4-FFF2-40B4-BE49-F238E27FC236}">
              <a16:creationId xmlns:a16="http://schemas.microsoft.com/office/drawing/2014/main" id="{943D69F9-2616-4B82-864F-1016111C65B1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45" name="Line 3">
          <a:extLst>
            <a:ext uri="{FF2B5EF4-FFF2-40B4-BE49-F238E27FC236}">
              <a16:creationId xmlns:a16="http://schemas.microsoft.com/office/drawing/2014/main" id="{834BBCC0-842F-4D92-BDAB-09628608747F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46" name="Line 4">
          <a:extLst>
            <a:ext uri="{FF2B5EF4-FFF2-40B4-BE49-F238E27FC236}">
              <a16:creationId xmlns:a16="http://schemas.microsoft.com/office/drawing/2014/main" id="{286FF012-C3C3-4D51-B43D-6D5E7094B46B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647" name="Line 5">
          <a:extLst>
            <a:ext uri="{FF2B5EF4-FFF2-40B4-BE49-F238E27FC236}">
              <a16:creationId xmlns:a16="http://schemas.microsoft.com/office/drawing/2014/main" id="{7E9D5628-A97C-4205-B764-3680DF7EB8AE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648" name="Line 7">
          <a:extLst>
            <a:ext uri="{FF2B5EF4-FFF2-40B4-BE49-F238E27FC236}">
              <a16:creationId xmlns:a16="http://schemas.microsoft.com/office/drawing/2014/main" id="{993B0985-A165-4D91-AF41-38A78DD6B1C5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649" name="Line 2">
          <a:extLst>
            <a:ext uri="{FF2B5EF4-FFF2-40B4-BE49-F238E27FC236}">
              <a16:creationId xmlns:a16="http://schemas.microsoft.com/office/drawing/2014/main" id="{811312DA-FF39-4465-B7BA-C9FCAEA72A7A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650" name="Line 3">
          <a:extLst>
            <a:ext uri="{FF2B5EF4-FFF2-40B4-BE49-F238E27FC236}">
              <a16:creationId xmlns:a16="http://schemas.microsoft.com/office/drawing/2014/main" id="{1C549AAB-1D2F-4CF6-BA7B-2A4D6B9B0C35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651" name="Line 4">
          <a:extLst>
            <a:ext uri="{FF2B5EF4-FFF2-40B4-BE49-F238E27FC236}">
              <a16:creationId xmlns:a16="http://schemas.microsoft.com/office/drawing/2014/main" id="{51E586EF-18A2-41A7-A900-737251BD0200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652" name="Line 5">
          <a:extLst>
            <a:ext uri="{FF2B5EF4-FFF2-40B4-BE49-F238E27FC236}">
              <a16:creationId xmlns:a16="http://schemas.microsoft.com/office/drawing/2014/main" id="{A5D7A133-6B7A-4E6A-8BCA-CD6FEA27BE8F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653" name="Line 2">
          <a:extLst>
            <a:ext uri="{FF2B5EF4-FFF2-40B4-BE49-F238E27FC236}">
              <a16:creationId xmlns:a16="http://schemas.microsoft.com/office/drawing/2014/main" id="{0B353BA6-D857-4DA6-A9A2-513754C2D916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654" name="Line 3">
          <a:extLst>
            <a:ext uri="{FF2B5EF4-FFF2-40B4-BE49-F238E27FC236}">
              <a16:creationId xmlns:a16="http://schemas.microsoft.com/office/drawing/2014/main" id="{0CDC526A-92E1-4D16-BCFB-294BD4D42568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55" name="Line 4">
          <a:extLst>
            <a:ext uri="{FF2B5EF4-FFF2-40B4-BE49-F238E27FC236}">
              <a16:creationId xmlns:a16="http://schemas.microsoft.com/office/drawing/2014/main" id="{69DB82AA-2DFD-464D-813F-6EAA2EF790D0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656" name="Line 2">
          <a:extLst>
            <a:ext uri="{FF2B5EF4-FFF2-40B4-BE49-F238E27FC236}">
              <a16:creationId xmlns:a16="http://schemas.microsoft.com/office/drawing/2014/main" id="{EC1D1F5B-EEC5-4A33-96D8-19AA674B2B08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657" name="Line 3">
          <a:extLst>
            <a:ext uri="{FF2B5EF4-FFF2-40B4-BE49-F238E27FC236}">
              <a16:creationId xmlns:a16="http://schemas.microsoft.com/office/drawing/2014/main" id="{BE560DC6-C770-45D3-8D5E-24E678CECB5D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658" name="Line 4">
          <a:extLst>
            <a:ext uri="{FF2B5EF4-FFF2-40B4-BE49-F238E27FC236}">
              <a16:creationId xmlns:a16="http://schemas.microsoft.com/office/drawing/2014/main" id="{80D0D67A-B17C-49CC-A73E-0B4A73A91702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659" name="Line 2">
          <a:extLst>
            <a:ext uri="{FF2B5EF4-FFF2-40B4-BE49-F238E27FC236}">
              <a16:creationId xmlns:a16="http://schemas.microsoft.com/office/drawing/2014/main" id="{708DA2CD-A404-4736-ADD3-4CB88F25732B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660" name="Line 3">
          <a:extLst>
            <a:ext uri="{FF2B5EF4-FFF2-40B4-BE49-F238E27FC236}">
              <a16:creationId xmlns:a16="http://schemas.microsoft.com/office/drawing/2014/main" id="{FA4E45D2-099D-4FD5-87AC-BB80834A1DE1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635</xdr:row>
      <xdr:rowOff>0</xdr:rowOff>
    </xdr:from>
    <xdr:to>
      <xdr:col>8</xdr:col>
      <xdr:colOff>180975</xdr:colOff>
      <xdr:row>635</xdr:row>
      <xdr:rowOff>0</xdr:rowOff>
    </xdr:to>
    <xdr:sp macro="" textlink="">
      <xdr:nvSpPr>
        <xdr:cNvPr id="661" name="Line 4">
          <a:extLst>
            <a:ext uri="{FF2B5EF4-FFF2-40B4-BE49-F238E27FC236}">
              <a16:creationId xmlns:a16="http://schemas.microsoft.com/office/drawing/2014/main" id="{9C474B07-9D9D-4230-AB7C-B1CE395D5C79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662" name="Line 3">
          <a:extLst>
            <a:ext uri="{FF2B5EF4-FFF2-40B4-BE49-F238E27FC236}">
              <a16:creationId xmlns:a16="http://schemas.microsoft.com/office/drawing/2014/main" id="{1A74FDE5-D08B-4E7B-BBDD-385B01C3F65B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663" name="Line 5">
          <a:extLst>
            <a:ext uri="{FF2B5EF4-FFF2-40B4-BE49-F238E27FC236}">
              <a16:creationId xmlns:a16="http://schemas.microsoft.com/office/drawing/2014/main" id="{8FBDEAE4-9412-4FC8-96AD-3F15B7BABB8C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64" name="Line 2">
          <a:extLst>
            <a:ext uri="{FF2B5EF4-FFF2-40B4-BE49-F238E27FC236}">
              <a16:creationId xmlns:a16="http://schemas.microsoft.com/office/drawing/2014/main" id="{4F6894F0-7201-4B1F-9E9F-DD9C9773BB95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65" name="Line 3">
          <a:extLst>
            <a:ext uri="{FF2B5EF4-FFF2-40B4-BE49-F238E27FC236}">
              <a16:creationId xmlns:a16="http://schemas.microsoft.com/office/drawing/2014/main" id="{894987FA-BCBB-4BBC-998D-99A661A89F3F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66" name="Line 4">
          <a:extLst>
            <a:ext uri="{FF2B5EF4-FFF2-40B4-BE49-F238E27FC236}">
              <a16:creationId xmlns:a16="http://schemas.microsoft.com/office/drawing/2014/main" id="{E9A83921-7785-41E9-B988-25116F460254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667" name="Line 5">
          <a:extLst>
            <a:ext uri="{FF2B5EF4-FFF2-40B4-BE49-F238E27FC236}">
              <a16:creationId xmlns:a16="http://schemas.microsoft.com/office/drawing/2014/main" id="{7148519C-AF40-44E7-BD57-C53BDE2CADDA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668" name="Line 7">
          <a:extLst>
            <a:ext uri="{FF2B5EF4-FFF2-40B4-BE49-F238E27FC236}">
              <a16:creationId xmlns:a16="http://schemas.microsoft.com/office/drawing/2014/main" id="{6EBBD4D4-DD1E-49CC-93C9-608C81F7C939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669" name="Line 2">
          <a:extLst>
            <a:ext uri="{FF2B5EF4-FFF2-40B4-BE49-F238E27FC236}">
              <a16:creationId xmlns:a16="http://schemas.microsoft.com/office/drawing/2014/main" id="{EEF47BEF-9B86-4112-A190-E91FFC6DC75A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670" name="Line 3">
          <a:extLst>
            <a:ext uri="{FF2B5EF4-FFF2-40B4-BE49-F238E27FC236}">
              <a16:creationId xmlns:a16="http://schemas.microsoft.com/office/drawing/2014/main" id="{A285B8FE-7AF9-49BB-A24F-F402F5C5205A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671" name="Line 4">
          <a:extLst>
            <a:ext uri="{FF2B5EF4-FFF2-40B4-BE49-F238E27FC236}">
              <a16:creationId xmlns:a16="http://schemas.microsoft.com/office/drawing/2014/main" id="{21D13382-C0AE-4F61-90E5-2DDD2185BC99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672" name="Line 5">
          <a:extLst>
            <a:ext uri="{FF2B5EF4-FFF2-40B4-BE49-F238E27FC236}">
              <a16:creationId xmlns:a16="http://schemas.microsoft.com/office/drawing/2014/main" id="{EE608688-D492-43E8-B408-F9DD7B4DF1F9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673" name="Line 2">
          <a:extLst>
            <a:ext uri="{FF2B5EF4-FFF2-40B4-BE49-F238E27FC236}">
              <a16:creationId xmlns:a16="http://schemas.microsoft.com/office/drawing/2014/main" id="{AC41C42C-1137-4E41-BE61-91C3BDA44959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674" name="Line 3">
          <a:extLst>
            <a:ext uri="{FF2B5EF4-FFF2-40B4-BE49-F238E27FC236}">
              <a16:creationId xmlns:a16="http://schemas.microsoft.com/office/drawing/2014/main" id="{211B2A85-D264-4314-A78D-E232C1973EBD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75" name="Line 4">
          <a:extLst>
            <a:ext uri="{FF2B5EF4-FFF2-40B4-BE49-F238E27FC236}">
              <a16:creationId xmlns:a16="http://schemas.microsoft.com/office/drawing/2014/main" id="{9F9A1DBB-B6D4-4BC9-BC69-5FE113538CF7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676" name="Line 2">
          <a:extLst>
            <a:ext uri="{FF2B5EF4-FFF2-40B4-BE49-F238E27FC236}">
              <a16:creationId xmlns:a16="http://schemas.microsoft.com/office/drawing/2014/main" id="{B4463686-DFB6-44C2-BCCF-45A7390B23B4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677" name="Line 3">
          <a:extLst>
            <a:ext uri="{FF2B5EF4-FFF2-40B4-BE49-F238E27FC236}">
              <a16:creationId xmlns:a16="http://schemas.microsoft.com/office/drawing/2014/main" id="{8AF69B8E-489D-4483-809C-F3206F8BB16B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678" name="Line 4">
          <a:extLst>
            <a:ext uri="{FF2B5EF4-FFF2-40B4-BE49-F238E27FC236}">
              <a16:creationId xmlns:a16="http://schemas.microsoft.com/office/drawing/2014/main" id="{7DEE465B-87AF-4F80-B4AE-6B815E0AD44A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679" name="Line 2">
          <a:extLst>
            <a:ext uri="{FF2B5EF4-FFF2-40B4-BE49-F238E27FC236}">
              <a16:creationId xmlns:a16="http://schemas.microsoft.com/office/drawing/2014/main" id="{274A4669-CA8A-4ED4-A38D-68CE1F1A600A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680" name="Line 3">
          <a:extLst>
            <a:ext uri="{FF2B5EF4-FFF2-40B4-BE49-F238E27FC236}">
              <a16:creationId xmlns:a16="http://schemas.microsoft.com/office/drawing/2014/main" id="{AA921D21-E06C-43D5-A8B0-C95F16C1C0F7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692</xdr:row>
      <xdr:rowOff>0</xdr:rowOff>
    </xdr:from>
    <xdr:to>
      <xdr:col>8</xdr:col>
      <xdr:colOff>180975</xdr:colOff>
      <xdr:row>692</xdr:row>
      <xdr:rowOff>0</xdr:rowOff>
    </xdr:to>
    <xdr:sp macro="" textlink="">
      <xdr:nvSpPr>
        <xdr:cNvPr id="681" name="Line 4">
          <a:extLst>
            <a:ext uri="{FF2B5EF4-FFF2-40B4-BE49-F238E27FC236}">
              <a16:creationId xmlns:a16="http://schemas.microsoft.com/office/drawing/2014/main" id="{866EB127-8283-4E8A-9801-48D56B99A598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682" name="Line 3">
          <a:extLst>
            <a:ext uri="{FF2B5EF4-FFF2-40B4-BE49-F238E27FC236}">
              <a16:creationId xmlns:a16="http://schemas.microsoft.com/office/drawing/2014/main" id="{8830BC27-60B4-4361-B397-70E1020729BF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683" name="Line 5">
          <a:extLst>
            <a:ext uri="{FF2B5EF4-FFF2-40B4-BE49-F238E27FC236}">
              <a16:creationId xmlns:a16="http://schemas.microsoft.com/office/drawing/2014/main" id="{A03E74CA-7B95-43AC-82C1-8CEDEA8B86B1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84" name="Line 2">
          <a:extLst>
            <a:ext uri="{FF2B5EF4-FFF2-40B4-BE49-F238E27FC236}">
              <a16:creationId xmlns:a16="http://schemas.microsoft.com/office/drawing/2014/main" id="{D1A61F82-4D56-48F9-ABA4-441079DF0670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85" name="Line 3">
          <a:extLst>
            <a:ext uri="{FF2B5EF4-FFF2-40B4-BE49-F238E27FC236}">
              <a16:creationId xmlns:a16="http://schemas.microsoft.com/office/drawing/2014/main" id="{C0E96F53-A0E0-4F96-BA8A-154E9AF9F2C0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86" name="Line 4">
          <a:extLst>
            <a:ext uri="{FF2B5EF4-FFF2-40B4-BE49-F238E27FC236}">
              <a16:creationId xmlns:a16="http://schemas.microsoft.com/office/drawing/2014/main" id="{5A8A1C0C-88FD-414E-94D9-9F04AFD4953F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687" name="Line 5">
          <a:extLst>
            <a:ext uri="{FF2B5EF4-FFF2-40B4-BE49-F238E27FC236}">
              <a16:creationId xmlns:a16="http://schemas.microsoft.com/office/drawing/2014/main" id="{E5D84940-4034-4BC3-8E68-793CCB275094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774</xdr:row>
      <xdr:rowOff>0</xdr:rowOff>
    </xdr:from>
    <xdr:to>
      <xdr:col>8</xdr:col>
      <xdr:colOff>180975</xdr:colOff>
      <xdr:row>774</xdr:row>
      <xdr:rowOff>0</xdr:rowOff>
    </xdr:to>
    <xdr:sp macro="" textlink="">
      <xdr:nvSpPr>
        <xdr:cNvPr id="688" name="Line 7">
          <a:extLst>
            <a:ext uri="{FF2B5EF4-FFF2-40B4-BE49-F238E27FC236}">
              <a16:creationId xmlns:a16="http://schemas.microsoft.com/office/drawing/2014/main" id="{668407E0-BE2B-4890-8A9A-5072EBE17E9F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689" name="Line 2">
          <a:extLst>
            <a:ext uri="{FF2B5EF4-FFF2-40B4-BE49-F238E27FC236}">
              <a16:creationId xmlns:a16="http://schemas.microsoft.com/office/drawing/2014/main" id="{AE8B13BD-B329-474B-BAC0-33E351F7F7E3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690" name="Line 3">
          <a:extLst>
            <a:ext uri="{FF2B5EF4-FFF2-40B4-BE49-F238E27FC236}">
              <a16:creationId xmlns:a16="http://schemas.microsoft.com/office/drawing/2014/main" id="{A36D461C-6B97-4FC7-8748-E6A19A12040D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691" name="Line 4">
          <a:extLst>
            <a:ext uri="{FF2B5EF4-FFF2-40B4-BE49-F238E27FC236}">
              <a16:creationId xmlns:a16="http://schemas.microsoft.com/office/drawing/2014/main" id="{EFDAD18C-B672-43BA-8A27-8CEA61EC079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692" name="Line 5">
          <a:extLst>
            <a:ext uri="{FF2B5EF4-FFF2-40B4-BE49-F238E27FC236}">
              <a16:creationId xmlns:a16="http://schemas.microsoft.com/office/drawing/2014/main" id="{6413861B-EF9A-4152-88B0-C43681ACB746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693" name="Line 2">
          <a:extLst>
            <a:ext uri="{FF2B5EF4-FFF2-40B4-BE49-F238E27FC236}">
              <a16:creationId xmlns:a16="http://schemas.microsoft.com/office/drawing/2014/main" id="{54198312-5412-4585-837B-AE53D5921B6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694" name="Line 3">
          <a:extLst>
            <a:ext uri="{FF2B5EF4-FFF2-40B4-BE49-F238E27FC236}">
              <a16:creationId xmlns:a16="http://schemas.microsoft.com/office/drawing/2014/main" id="{91943584-D710-466E-AD0B-758B6A124CB9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95" name="Line 4">
          <a:extLst>
            <a:ext uri="{FF2B5EF4-FFF2-40B4-BE49-F238E27FC236}">
              <a16:creationId xmlns:a16="http://schemas.microsoft.com/office/drawing/2014/main" id="{D63F20A6-8C85-4E5C-B523-A13EDB338F37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696" name="Line 2">
          <a:extLst>
            <a:ext uri="{FF2B5EF4-FFF2-40B4-BE49-F238E27FC236}">
              <a16:creationId xmlns:a16="http://schemas.microsoft.com/office/drawing/2014/main" id="{3D2D3C4B-5B1B-405A-87F6-255A6BD65458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697" name="Line 3">
          <a:extLst>
            <a:ext uri="{FF2B5EF4-FFF2-40B4-BE49-F238E27FC236}">
              <a16:creationId xmlns:a16="http://schemas.microsoft.com/office/drawing/2014/main" id="{D996EA66-21A1-47B0-84B8-394A6AADDECB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698" name="Line 4">
          <a:extLst>
            <a:ext uri="{FF2B5EF4-FFF2-40B4-BE49-F238E27FC236}">
              <a16:creationId xmlns:a16="http://schemas.microsoft.com/office/drawing/2014/main" id="{35492FC7-EA6B-4A65-99D2-09D09B419E6F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699" name="Line 2">
          <a:extLst>
            <a:ext uri="{FF2B5EF4-FFF2-40B4-BE49-F238E27FC236}">
              <a16:creationId xmlns:a16="http://schemas.microsoft.com/office/drawing/2014/main" id="{8CBBBA66-7075-423C-90AD-C45CA31A8EC5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700" name="Line 3">
          <a:extLst>
            <a:ext uri="{FF2B5EF4-FFF2-40B4-BE49-F238E27FC236}">
              <a16:creationId xmlns:a16="http://schemas.microsoft.com/office/drawing/2014/main" id="{5121F861-BFFD-4614-A2BE-ACBD17256010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752</xdr:row>
      <xdr:rowOff>0</xdr:rowOff>
    </xdr:from>
    <xdr:to>
      <xdr:col>8</xdr:col>
      <xdr:colOff>180975</xdr:colOff>
      <xdr:row>752</xdr:row>
      <xdr:rowOff>0</xdr:rowOff>
    </xdr:to>
    <xdr:sp macro="" textlink="">
      <xdr:nvSpPr>
        <xdr:cNvPr id="701" name="Line 4">
          <a:extLst>
            <a:ext uri="{FF2B5EF4-FFF2-40B4-BE49-F238E27FC236}">
              <a16:creationId xmlns:a16="http://schemas.microsoft.com/office/drawing/2014/main" id="{3E2D6627-C790-40D6-8A9F-5BD9850F8F26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702" name="Line 2">
          <a:extLst>
            <a:ext uri="{FF2B5EF4-FFF2-40B4-BE49-F238E27FC236}">
              <a16:creationId xmlns:a16="http://schemas.microsoft.com/office/drawing/2014/main" id="{CD94CFBC-2918-44D8-9A3E-920B3221A40E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703" name="Line 3">
          <a:extLst>
            <a:ext uri="{FF2B5EF4-FFF2-40B4-BE49-F238E27FC236}">
              <a16:creationId xmlns:a16="http://schemas.microsoft.com/office/drawing/2014/main" id="{34EFED36-8342-4C91-ADAA-833606B09BBA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704" name="Line 5">
          <a:extLst>
            <a:ext uri="{FF2B5EF4-FFF2-40B4-BE49-F238E27FC236}">
              <a16:creationId xmlns:a16="http://schemas.microsoft.com/office/drawing/2014/main" id="{AB2D1331-C369-4D3E-AE65-89613DC56A79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705" name="Line 3">
          <a:extLst>
            <a:ext uri="{FF2B5EF4-FFF2-40B4-BE49-F238E27FC236}">
              <a16:creationId xmlns:a16="http://schemas.microsoft.com/office/drawing/2014/main" id="{D567719A-BF51-4B71-ACE2-9BAE26B28B7C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706" name="Line 5">
          <a:extLst>
            <a:ext uri="{FF2B5EF4-FFF2-40B4-BE49-F238E27FC236}">
              <a16:creationId xmlns:a16="http://schemas.microsoft.com/office/drawing/2014/main" id="{FF58CF70-8306-4062-B373-0CE4102CBAC5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707" name="Line 2">
          <a:extLst>
            <a:ext uri="{FF2B5EF4-FFF2-40B4-BE49-F238E27FC236}">
              <a16:creationId xmlns:a16="http://schemas.microsoft.com/office/drawing/2014/main" id="{CBA1C8AC-5ED6-4B3F-A740-C795D3B8CDDD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708" name="Line 3">
          <a:extLst>
            <a:ext uri="{FF2B5EF4-FFF2-40B4-BE49-F238E27FC236}">
              <a16:creationId xmlns:a16="http://schemas.microsoft.com/office/drawing/2014/main" id="{1AE84FF2-CECA-429B-B2C9-92C10EFCFF65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709" name="Line 4">
          <a:extLst>
            <a:ext uri="{FF2B5EF4-FFF2-40B4-BE49-F238E27FC236}">
              <a16:creationId xmlns:a16="http://schemas.microsoft.com/office/drawing/2014/main" id="{B813FCB2-4D14-45BA-8E0E-40AFA429F7C1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82</xdr:row>
      <xdr:rowOff>0</xdr:rowOff>
    </xdr:from>
    <xdr:to>
      <xdr:col>8</xdr:col>
      <xdr:colOff>180975</xdr:colOff>
      <xdr:row>82</xdr:row>
      <xdr:rowOff>0</xdr:rowOff>
    </xdr:to>
    <xdr:sp macro="" textlink="">
      <xdr:nvSpPr>
        <xdr:cNvPr id="710" name="Line 5">
          <a:extLst>
            <a:ext uri="{FF2B5EF4-FFF2-40B4-BE49-F238E27FC236}">
              <a16:creationId xmlns:a16="http://schemas.microsoft.com/office/drawing/2014/main" id="{64F76D03-6EF5-4DBB-B75F-B599EF90132E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102</xdr:row>
      <xdr:rowOff>0</xdr:rowOff>
    </xdr:from>
    <xdr:to>
      <xdr:col>8</xdr:col>
      <xdr:colOff>180975</xdr:colOff>
      <xdr:row>102</xdr:row>
      <xdr:rowOff>0</xdr:rowOff>
    </xdr:to>
    <xdr:sp macro="" textlink="">
      <xdr:nvSpPr>
        <xdr:cNvPr id="711" name="Line 7">
          <a:extLst>
            <a:ext uri="{FF2B5EF4-FFF2-40B4-BE49-F238E27FC236}">
              <a16:creationId xmlns:a16="http://schemas.microsoft.com/office/drawing/2014/main" id="{97810EE4-97C8-40F7-8674-E3B112433802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712" name="Line 3">
          <a:extLst>
            <a:ext uri="{FF2B5EF4-FFF2-40B4-BE49-F238E27FC236}">
              <a16:creationId xmlns:a16="http://schemas.microsoft.com/office/drawing/2014/main" id="{1228ECF4-BB71-4423-83D0-50457D5A11F9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713" name="Line 5">
          <a:extLst>
            <a:ext uri="{FF2B5EF4-FFF2-40B4-BE49-F238E27FC236}">
              <a16:creationId xmlns:a16="http://schemas.microsoft.com/office/drawing/2014/main" id="{450E86AD-2B5B-4AC1-966E-DB7C7FFE5CBF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714" name="Line 2">
          <a:extLst>
            <a:ext uri="{FF2B5EF4-FFF2-40B4-BE49-F238E27FC236}">
              <a16:creationId xmlns:a16="http://schemas.microsoft.com/office/drawing/2014/main" id="{10727E65-4503-4420-A2AD-E6886D10B5FB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715" name="Line 3">
          <a:extLst>
            <a:ext uri="{FF2B5EF4-FFF2-40B4-BE49-F238E27FC236}">
              <a16:creationId xmlns:a16="http://schemas.microsoft.com/office/drawing/2014/main" id="{35D3A35B-5813-48CE-94EA-1503417B02DB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716" name="Line 4">
          <a:extLst>
            <a:ext uri="{FF2B5EF4-FFF2-40B4-BE49-F238E27FC236}">
              <a16:creationId xmlns:a16="http://schemas.microsoft.com/office/drawing/2014/main" id="{8D11F2CD-7F11-4E97-B23C-8BD926FAE86D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717" name="Line 5">
          <a:extLst>
            <a:ext uri="{FF2B5EF4-FFF2-40B4-BE49-F238E27FC236}">
              <a16:creationId xmlns:a16="http://schemas.microsoft.com/office/drawing/2014/main" id="{D1B7604C-D976-4730-A315-811C1368CBD8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718" name="Line 2">
          <a:extLst>
            <a:ext uri="{FF2B5EF4-FFF2-40B4-BE49-F238E27FC236}">
              <a16:creationId xmlns:a16="http://schemas.microsoft.com/office/drawing/2014/main" id="{1F5FD264-C093-4BD3-9DE1-25F2A93E2D4D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719" name="Line 3">
          <a:extLst>
            <a:ext uri="{FF2B5EF4-FFF2-40B4-BE49-F238E27FC236}">
              <a16:creationId xmlns:a16="http://schemas.microsoft.com/office/drawing/2014/main" id="{EB823BBD-6E32-4EBF-9509-37D00711B1AD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720" name="Line 4">
          <a:extLst>
            <a:ext uri="{FF2B5EF4-FFF2-40B4-BE49-F238E27FC236}">
              <a16:creationId xmlns:a16="http://schemas.microsoft.com/office/drawing/2014/main" id="{AA429388-FCED-43F7-A18E-3C8A7F677457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721" name="Line 5">
          <a:extLst>
            <a:ext uri="{FF2B5EF4-FFF2-40B4-BE49-F238E27FC236}">
              <a16:creationId xmlns:a16="http://schemas.microsoft.com/office/drawing/2014/main" id="{2CF5C273-FBF0-4CF2-90A1-0507AD894A4A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722" name="Line 2">
          <a:extLst>
            <a:ext uri="{FF2B5EF4-FFF2-40B4-BE49-F238E27FC236}">
              <a16:creationId xmlns:a16="http://schemas.microsoft.com/office/drawing/2014/main" id="{7F70C654-5499-4958-BEF0-59DF3F9F481C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723" name="Line 3">
          <a:extLst>
            <a:ext uri="{FF2B5EF4-FFF2-40B4-BE49-F238E27FC236}">
              <a16:creationId xmlns:a16="http://schemas.microsoft.com/office/drawing/2014/main" id="{D189872E-A533-4195-831C-3027AAC82BFD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724" name="Line 5">
          <a:extLst>
            <a:ext uri="{FF2B5EF4-FFF2-40B4-BE49-F238E27FC236}">
              <a16:creationId xmlns:a16="http://schemas.microsoft.com/office/drawing/2014/main" id="{0C137085-792F-4622-BFB9-4DA81A0A5709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25" name="Line 2">
          <a:extLst>
            <a:ext uri="{FF2B5EF4-FFF2-40B4-BE49-F238E27FC236}">
              <a16:creationId xmlns:a16="http://schemas.microsoft.com/office/drawing/2014/main" id="{74E4E785-26FA-493B-9358-74A5492020B3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26" name="Line 3">
          <a:extLst>
            <a:ext uri="{FF2B5EF4-FFF2-40B4-BE49-F238E27FC236}">
              <a16:creationId xmlns:a16="http://schemas.microsoft.com/office/drawing/2014/main" id="{38333551-4B86-43FE-8BCD-A00EE8D0C4A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27" name="Line 4">
          <a:extLst>
            <a:ext uri="{FF2B5EF4-FFF2-40B4-BE49-F238E27FC236}">
              <a16:creationId xmlns:a16="http://schemas.microsoft.com/office/drawing/2014/main" id="{0F80B10E-FAD2-4F58-B505-E8A7D8A3079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728" name="Line 5">
          <a:extLst>
            <a:ext uri="{FF2B5EF4-FFF2-40B4-BE49-F238E27FC236}">
              <a16:creationId xmlns:a16="http://schemas.microsoft.com/office/drawing/2014/main" id="{3F7BD291-AB93-40AE-AF14-359B578F24EE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729" name="Line 7">
          <a:extLst>
            <a:ext uri="{FF2B5EF4-FFF2-40B4-BE49-F238E27FC236}">
              <a16:creationId xmlns:a16="http://schemas.microsoft.com/office/drawing/2014/main" id="{264DDBE5-7F58-49BF-B5F5-7B39E49BAD04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30" name="Line 2">
          <a:extLst>
            <a:ext uri="{FF2B5EF4-FFF2-40B4-BE49-F238E27FC236}">
              <a16:creationId xmlns:a16="http://schemas.microsoft.com/office/drawing/2014/main" id="{0AB578F5-01C0-48BD-9058-7842F1CD3698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31" name="Line 3">
          <a:extLst>
            <a:ext uri="{FF2B5EF4-FFF2-40B4-BE49-F238E27FC236}">
              <a16:creationId xmlns:a16="http://schemas.microsoft.com/office/drawing/2014/main" id="{98B8A93E-E482-4CE0-B796-20AF59524723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32" name="Line 4">
          <a:extLst>
            <a:ext uri="{FF2B5EF4-FFF2-40B4-BE49-F238E27FC236}">
              <a16:creationId xmlns:a16="http://schemas.microsoft.com/office/drawing/2014/main" id="{CA908DA9-BE50-4220-A5A7-DD42740C713D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733" name="Line 5">
          <a:extLst>
            <a:ext uri="{FF2B5EF4-FFF2-40B4-BE49-F238E27FC236}">
              <a16:creationId xmlns:a16="http://schemas.microsoft.com/office/drawing/2014/main" id="{8B0D273A-573D-4483-82AC-24B7A4CA53FE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734" name="Line 2">
          <a:extLst>
            <a:ext uri="{FF2B5EF4-FFF2-40B4-BE49-F238E27FC236}">
              <a16:creationId xmlns:a16="http://schemas.microsoft.com/office/drawing/2014/main" id="{8287053C-5C0C-46BD-AC94-B81A91D9B292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735" name="Line 3">
          <a:extLst>
            <a:ext uri="{FF2B5EF4-FFF2-40B4-BE49-F238E27FC236}">
              <a16:creationId xmlns:a16="http://schemas.microsoft.com/office/drawing/2014/main" id="{F844EDB4-6DAD-4651-B589-EC2225BA2CEB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736" name="Line 4">
          <a:extLst>
            <a:ext uri="{FF2B5EF4-FFF2-40B4-BE49-F238E27FC236}">
              <a16:creationId xmlns:a16="http://schemas.microsoft.com/office/drawing/2014/main" id="{047653D0-1B6B-43E8-8503-B8E121090E19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737" name="Line 5">
          <a:extLst>
            <a:ext uri="{FF2B5EF4-FFF2-40B4-BE49-F238E27FC236}">
              <a16:creationId xmlns:a16="http://schemas.microsoft.com/office/drawing/2014/main" id="{4C9F0161-6081-42F5-B4FB-D04FD891261A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738" name="Line 7">
          <a:extLst>
            <a:ext uri="{FF2B5EF4-FFF2-40B4-BE49-F238E27FC236}">
              <a16:creationId xmlns:a16="http://schemas.microsoft.com/office/drawing/2014/main" id="{C8F7D2A6-1739-4B02-A06F-67BBB043C6A0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739" name="Line 8">
          <a:extLst>
            <a:ext uri="{FF2B5EF4-FFF2-40B4-BE49-F238E27FC236}">
              <a16:creationId xmlns:a16="http://schemas.microsoft.com/office/drawing/2014/main" id="{E26C327B-8F0A-458B-BBCE-8D535A36F398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740" name="Rectangle 7">
          <a:extLst>
            <a:ext uri="{FF2B5EF4-FFF2-40B4-BE49-F238E27FC236}">
              <a16:creationId xmlns:a16="http://schemas.microsoft.com/office/drawing/2014/main" id="{25E5C533-493D-4F45-AF3A-ACD3CEE9EF54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741" name="Rectangle 8">
          <a:extLst>
            <a:ext uri="{FF2B5EF4-FFF2-40B4-BE49-F238E27FC236}">
              <a16:creationId xmlns:a16="http://schemas.microsoft.com/office/drawing/2014/main" id="{0AF1451F-1436-4F24-A61A-BB038E90D0D0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742" name="Line 2">
          <a:extLst>
            <a:ext uri="{FF2B5EF4-FFF2-40B4-BE49-F238E27FC236}">
              <a16:creationId xmlns:a16="http://schemas.microsoft.com/office/drawing/2014/main" id="{CDECC7D7-0E59-4A4D-8A8E-D57B5FB97C73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743" name="Line 3">
          <a:extLst>
            <a:ext uri="{FF2B5EF4-FFF2-40B4-BE49-F238E27FC236}">
              <a16:creationId xmlns:a16="http://schemas.microsoft.com/office/drawing/2014/main" id="{9D05DBD9-3AC5-4A89-BB7A-50575F72218B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744" name="Line 5">
          <a:extLst>
            <a:ext uri="{FF2B5EF4-FFF2-40B4-BE49-F238E27FC236}">
              <a16:creationId xmlns:a16="http://schemas.microsoft.com/office/drawing/2014/main" id="{E0A07FD4-D562-4EA4-A716-6BA77304FC87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45" name="Line 2">
          <a:extLst>
            <a:ext uri="{FF2B5EF4-FFF2-40B4-BE49-F238E27FC236}">
              <a16:creationId xmlns:a16="http://schemas.microsoft.com/office/drawing/2014/main" id="{E4D4824C-A126-4FA7-A234-3BDD8D4F959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46" name="Line 3">
          <a:extLst>
            <a:ext uri="{FF2B5EF4-FFF2-40B4-BE49-F238E27FC236}">
              <a16:creationId xmlns:a16="http://schemas.microsoft.com/office/drawing/2014/main" id="{CF417ED9-364D-4635-BB89-38A5D75B9EF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47" name="Line 4">
          <a:extLst>
            <a:ext uri="{FF2B5EF4-FFF2-40B4-BE49-F238E27FC236}">
              <a16:creationId xmlns:a16="http://schemas.microsoft.com/office/drawing/2014/main" id="{AA60C6A8-D478-46EB-85D0-6DC04868A6A0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748" name="Line 5">
          <a:extLst>
            <a:ext uri="{FF2B5EF4-FFF2-40B4-BE49-F238E27FC236}">
              <a16:creationId xmlns:a16="http://schemas.microsoft.com/office/drawing/2014/main" id="{CB30E4A4-62F3-44AA-8BC8-C85037880D3E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749" name="Line 7">
          <a:extLst>
            <a:ext uri="{FF2B5EF4-FFF2-40B4-BE49-F238E27FC236}">
              <a16:creationId xmlns:a16="http://schemas.microsoft.com/office/drawing/2014/main" id="{52D084E8-7FFA-4A32-9D4F-F4DBCF397BC3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50" name="Line 2">
          <a:extLst>
            <a:ext uri="{FF2B5EF4-FFF2-40B4-BE49-F238E27FC236}">
              <a16:creationId xmlns:a16="http://schemas.microsoft.com/office/drawing/2014/main" id="{1EA1AB31-304F-406E-98B2-53837C22C22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51" name="Line 3">
          <a:extLst>
            <a:ext uri="{FF2B5EF4-FFF2-40B4-BE49-F238E27FC236}">
              <a16:creationId xmlns:a16="http://schemas.microsoft.com/office/drawing/2014/main" id="{37B27590-48BA-47F5-8D12-D0889ABFE066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52" name="Line 4">
          <a:extLst>
            <a:ext uri="{FF2B5EF4-FFF2-40B4-BE49-F238E27FC236}">
              <a16:creationId xmlns:a16="http://schemas.microsoft.com/office/drawing/2014/main" id="{B30D0954-1D52-4E0D-BBB9-4C7241641E6F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753" name="Line 5">
          <a:extLst>
            <a:ext uri="{FF2B5EF4-FFF2-40B4-BE49-F238E27FC236}">
              <a16:creationId xmlns:a16="http://schemas.microsoft.com/office/drawing/2014/main" id="{2B5E2472-D0D7-431F-8E80-FD574F579268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754" name="Line 2">
          <a:extLst>
            <a:ext uri="{FF2B5EF4-FFF2-40B4-BE49-F238E27FC236}">
              <a16:creationId xmlns:a16="http://schemas.microsoft.com/office/drawing/2014/main" id="{E4878729-C3AB-469F-A7AB-C21E0C7568B7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755" name="Line 3">
          <a:extLst>
            <a:ext uri="{FF2B5EF4-FFF2-40B4-BE49-F238E27FC236}">
              <a16:creationId xmlns:a16="http://schemas.microsoft.com/office/drawing/2014/main" id="{3CA7E053-5A8A-4994-AD3B-4704BE0BACA1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756" name="Line 4">
          <a:extLst>
            <a:ext uri="{FF2B5EF4-FFF2-40B4-BE49-F238E27FC236}">
              <a16:creationId xmlns:a16="http://schemas.microsoft.com/office/drawing/2014/main" id="{F6AB45D6-ED4F-4AB2-8FC4-CFF4A3F927E7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757" name="Line 5">
          <a:extLst>
            <a:ext uri="{FF2B5EF4-FFF2-40B4-BE49-F238E27FC236}">
              <a16:creationId xmlns:a16="http://schemas.microsoft.com/office/drawing/2014/main" id="{C1E3F934-BA65-4D9D-87F2-A64DB118A62C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758" name="Line 7">
          <a:extLst>
            <a:ext uri="{FF2B5EF4-FFF2-40B4-BE49-F238E27FC236}">
              <a16:creationId xmlns:a16="http://schemas.microsoft.com/office/drawing/2014/main" id="{BCD26810-A1B4-4006-8779-B043B78527A2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759" name="Line 8">
          <a:extLst>
            <a:ext uri="{FF2B5EF4-FFF2-40B4-BE49-F238E27FC236}">
              <a16:creationId xmlns:a16="http://schemas.microsoft.com/office/drawing/2014/main" id="{B40856A8-5D41-4C8E-8F2C-49B519027ED8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760" name="Rectangle 7">
          <a:extLst>
            <a:ext uri="{FF2B5EF4-FFF2-40B4-BE49-F238E27FC236}">
              <a16:creationId xmlns:a16="http://schemas.microsoft.com/office/drawing/2014/main" id="{D11E8868-FD2B-47FC-A161-CA750E9F6E06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761" name="Rectangle 8">
          <a:extLst>
            <a:ext uri="{FF2B5EF4-FFF2-40B4-BE49-F238E27FC236}">
              <a16:creationId xmlns:a16="http://schemas.microsoft.com/office/drawing/2014/main" id="{D0374B8F-A55E-4143-AC60-D260AA8B2BB5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762" name="Line 3">
          <a:extLst>
            <a:ext uri="{FF2B5EF4-FFF2-40B4-BE49-F238E27FC236}">
              <a16:creationId xmlns:a16="http://schemas.microsoft.com/office/drawing/2014/main" id="{2DFA4F84-7C0A-4527-AAE1-94FD31F247A5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763" name="Line 5">
          <a:extLst>
            <a:ext uri="{FF2B5EF4-FFF2-40B4-BE49-F238E27FC236}">
              <a16:creationId xmlns:a16="http://schemas.microsoft.com/office/drawing/2014/main" id="{942CA1B0-1AFB-4212-951A-978CD22AF884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64" name="Line 2">
          <a:extLst>
            <a:ext uri="{FF2B5EF4-FFF2-40B4-BE49-F238E27FC236}">
              <a16:creationId xmlns:a16="http://schemas.microsoft.com/office/drawing/2014/main" id="{97B38AEC-440C-4620-975D-46CE10EA8AA4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65" name="Line 3">
          <a:extLst>
            <a:ext uri="{FF2B5EF4-FFF2-40B4-BE49-F238E27FC236}">
              <a16:creationId xmlns:a16="http://schemas.microsoft.com/office/drawing/2014/main" id="{E0A2E5D4-E774-4B93-B584-6FF1BBA1BB33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66" name="Line 4">
          <a:extLst>
            <a:ext uri="{FF2B5EF4-FFF2-40B4-BE49-F238E27FC236}">
              <a16:creationId xmlns:a16="http://schemas.microsoft.com/office/drawing/2014/main" id="{6F449A8C-3DF6-48D3-95E1-2FCBCE7166F7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767" name="Line 5">
          <a:extLst>
            <a:ext uri="{FF2B5EF4-FFF2-40B4-BE49-F238E27FC236}">
              <a16:creationId xmlns:a16="http://schemas.microsoft.com/office/drawing/2014/main" id="{F5F4F489-63B1-4119-A6D7-D6CCA78A5E8C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768" name="Line 7">
          <a:extLst>
            <a:ext uri="{FF2B5EF4-FFF2-40B4-BE49-F238E27FC236}">
              <a16:creationId xmlns:a16="http://schemas.microsoft.com/office/drawing/2014/main" id="{83CB964A-1CB8-46ED-B1E6-7176EDA61629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69" name="Line 2">
          <a:extLst>
            <a:ext uri="{FF2B5EF4-FFF2-40B4-BE49-F238E27FC236}">
              <a16:creationId xmlns:a16="http://schemas.microsoft.com/office/drawing/2014/main" id="{9DE188D5-3304-40E5-A0D8-E0B95676521E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70" name="Line 3">
          <a:extLst>
            <a:ext uri="{FF2B5EF4-FFF2-40B4-BE49-F238E27FC236}">
              <a16:creationId xmlns:a16="http://schemas.microsoft.com/office/drawing/2014/main" id="{F048C6E8-B1C2-45C5-A8BC-0E244D057B9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71" name="Line 4">
          <a:extLst>
            <a:ext uri="{FF2B5EF4-FFF2-40B4-BE49-F238E27FC236}">
              <a16:creationId xmlns:a16="http://schemas.microsoft.com/office/drawing/2014/main" id="{8B01CABD-8E94-4AA8-BD31-5455E0EC5FAA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772" name="Line 5">
          <a:extLst>
            <a:ext uri="{FF2B5EF4-FFF2-40B4-BE49-F238E27FC236}">
              <a16:creationId xmlns:a16="http://schemas.microsoft.com/office/drawing/2014/main" id="{F9A4096F-6A25-4325-BCAB-A878D6B88BFD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73" name="Line 2">
          <a:extLst>
            <a:ext uri="{FF2B5EF4-FFF2-40B4-BE49-F238E27FC236}">
              <a16:creationId xmlns:a16="http://schemas.microsoft.com/office/drawing/2014/main" id="{DC1AE683-8BAC-4D06-B543-61D9222A3102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774" name="Line 3">
          <a:extLst>
            <a:ext uri="{FF2B5EF4-FFF2-40B4-BE49-F238E27FC236}">
              <a16:creationId xmlns:a16="http://schemas.microsoft.com/office/drawing/2014/main" id="{D5178880-240A-4575-9639-7B58D41CA596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75" name="Line 4">
          <a:extLst>
            <a:ext uri="{FF2B5EF4-FFF2-40B4-BE49-F238E27FC236}">
              <a16:creationId xmlns:a16="http://schemas.microsoft.com/office/drawing/2014/main" id="{C2EE327E-EA71-49D4-8681-CB23382884AA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382</xdr:row>
      <xdr:rowOff>0</xdr:rowOff>
    </xdr:from>
    <xdr:to>
      <xdr:col>8</xdr:col>
      <xdr:colOff>180975</xdr:colOff>
      <xdr:row>382</xdr:row>
      <xdr:rowOff>0</xdr:rowOff>
    </xdr:to>
    <xdr:sp macro="" textlink="">
      <xdr:nvSpPr>
        <xdr:cNvPr id="776" name="Line 5">
          <a:extLst>
            <a:ext uri="{FF2B5EF4-FFF2-40B4-BE49-F238E27FC236}">
              <a16:creationId xmlns:a16="http://schemas.microsoft.com/office/drawing/2014/main" id="{0E009363-22C4-485D-9E27-E5FAE50315D1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777" name="Line 7">
          <a:extLst>
            <a:ext uri="{FF2B5EF4-FFF2-40B4-BE49-F238E27FC236}">
              <a16:creationId xmlns:a16="http://schemas.microsoft.com/office/drawing/2014/main" id="{1B872E77-D975-4B6A-9083-41B9B3D3604A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778" name="Line 3">
          <a:extLst>
            <a:ext uri="{FF2B5EF4-FFF2-40B4-BE49-F238E27FC236}">
              <a16:creationId xmlns:a16="http://schemas.microsoft.com/office/drawing/2014/main" id="{8DA25C67-0381-4A49-BFB2-F7DE8EB96E91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779" name="Line 5">
          <a:extLst>
            <a:ext uri="{FF2B5EF4-FFF2-40B4-BE49-F238E27FC236}">
              <a16:creationId xmlns:a16="http://schemas.microsoft.com/office/drawing/2014/main" id="{9533A691-095A-449F-87A2-6E18C2E00807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80" name="Line 2">
          <a:extLst>
            <a:ext uri="{FF2B5EF4-FFF2-40B4-BE49-F238E27FC236}">
              <a16:creationId xmlns:a16="http://schemas.microsoft.com/office/drawing/2014/main" id="{382BC64E-7CD5-4594-B6B9-ED7C42A83B47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81" name="Line 3">
          <a:extLst>
            <a:ext uri="{FF2B5EF4-FFF2-40B4-BE49-F238E27FC236}">
              <a16:creationId xmlns:a16="http://schemas.microsoft.com/office/drawing/2014/main" id="{1C68CB6E-F8A2-4090-B7E4-3D0014D05142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82" name="Line 4">
          <a:extLst>
            <a:ext uri="{FF2B5EF4-FFF2-40B4-BE49-F238E27FC236}">
              <a16:creationId xmlns:a16="http://schemas.microsoft.com/office/drawing/2014/main" id="{61192282-951D-41A7-86EC-34BE3C7D03C3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783" name="Line 5">
          <a:extLst>
            <a:ext uri="{FF2B5EF4-FFF2-40B4-BE49-F238E27FC236}">
              <a16:creationId xmlns:a16="http://schemas.microsoft.com/office/drawing/2014/main" id="{2CD536FD-DAF7-47A6-8904-7EACEB3F15ED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458</xdr:row>
      <xdr:rowOff>0</xdr:rowOff>
    </xdr:from>
    <xdr:to>
      <xdr:col>8</xdr:col>
      <xdr:colOff>180975</xdr:colOff>
      <xdr:row>458</xdr:row>
      <xdr:rowOff>0</xdr:rowOff>
    </xdr:to>
    <xdr:sp macro="" textlink="">
      <xdr:nvSpPr>
        <xdr:cNvPr id="784" name="Line 7">
          <a:extLst>
            <a:ext uri="{FF2B5EF4-FFF2-40B4-BE49-F238E27FC236}">
              <a16:creationId xmlns:a16="http://schemas.microsoft.com/office/drawing/2014/main" id="{35B63B46-33C7-40BB-A613-B9017DA3B02D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785" name="Line 2">
          <a:extLst>
            <a:ext uri="{FF2B5EF4-FFF2-40B4-BE49-F238E27FC236}">
              <a16:creationId xmlns:a16="http://schemas.microsoft.com/office/drawing/2014/main" id="{D1C82D15-8114-48D3-B18B-D0454993495A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786" name="Line 3">
          <a:extLst>
            <a:ext uri="{FF2B5EF4-FFF2-40B4-BE49-F238E27FC236}">
              <a16:creationId xmlns:a16="http://schemas.microsoft.com/office/drawing/2014/main" id="{2D19E7BE-BCC5-4707-967A-BE2FDC94EA6A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787" name="Line 4">
          <a:extLst>
            <a:ext uri="{FF2B5EF4-FFF2-40B4-BE49-F238E27FC236}">
              <a16:creationId xmlns:a16="http://schemas.microsoft.com/office/drawing/2014/main" id="{1391145A-D64D-4FA1-BCEA-474AAE2EABD2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788" name="Line 5">
          <a:extLst>
            <a:ext uri="{FF2B5EF4-FFF2-40B4-BE49-F238E27FC236}">
              <a16:creationId xmlns:a16="http://schemas.microsoft.com/office/drawing/2014/main" id="{C8D4CB71-22AA-4D76-ADAB-D524E08FA5DB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789" name="Line 2">
          <a:extLst>
            <a:ext uri="{FF2B5EF4-FFF2-40B4-BE49-F238E27FC236}">
              <a16:creationId xmlns:a16="http://schemas.microsoft.com/office/drawing/2014/main" id="{EFC5974B-7972-4233-A601-ECC2CF3DDAD0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790" name="Line 3">
          <a:extLst>
            <a:ext uri="{FF2B5EF4-FFF2-40B4-BE49-F238E27FC236}">
              <a16:creationId xmlns:a16="http://schemas.microsoft.com/office/drawing/2014/main" id="{CC8A7643-CF0B-4BFB-AD3D-61B2AA40BD6B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91" name="Line 4">
          <a:extLst>
            <a:ext uri="{FF2B5EF4-FFF2-40B4-BE49-F238E27FC236}">
              <a16:creationId xmlns:a16="http://schemas.microsoft.com/office/drawing/2014/main" id="{8D39BF29-1758-4385-A532-C89C8E1E8A36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792" name="Line 5">
          <a:extLst>
            <a:ext uri="{FF2B5EF4-FFF2-40B4-BE49-F238E27FC236}">
              <a16:creationId xmlns:a16="http://schemas.microsoft.com/office/drawing/2014/main" id="{673C5CCF-EA2A-4DD0-8B4B-A4CDD6DC45AF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793" name="Line 7">
          <a:extLst>
            <a:ext uri="{FF2B5EF4-FFF2-40B4-BE49-F238E27FC236}">
              <a16:creationId xmlns:a16="http://schemas.microsoft.com/office/drawing/2014/main" id="{9E1B883B-BC86-4F60-A306-1C5573229764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794" name="Line 2">
          <a:extLst>
            <a:ext uri="{FF2B5EF4-FFF2-40B4-BE49-F238E27FC236}">
              <a16:creationId xmlns:a16="http://schemas.microsoft.com/office/drawing/2014/main" id="{B4251F06-A87B-4871-92F1-3718A459DC71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795" name="Line 3">
          <a:extLst>
            <a:ext uri="{FF2B5EF4-FFF2-40B4-BE49-F238E27FC236}">
              <a16:creationId xmlns:a16="http://schemas.microsoft.com/office/drawing/2014/main" id="{509DA155-4838-4B55-8314-461920BAE35D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796" name="Line 4">
          <a:extLst>
            <a:ext uri="{FF2B5EF4-FFF2-40B4-BE49-F238E27FC236}">
              <a16:creationId xmlns:a16="http://schemas.microsoft.com/office/drawing/2014/main" id="{FAC8DBA4-ED30-49F1-821D-9EAB119D145D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797" name="Line 3">
          <a:extLst>
            <a:ext uri="{FF2B5EF4-FFF2-40B4-BE49-F238E27FC236}">
              <a16:creationId xmlns:a16="http://schemas.microsoft.com/office/drawing/2014/main" id="{3AA033D8-02F7-412C-AA9C-8AA146760DB4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798" name="Line 5">
          <a:extLst>
            <a:ext uri="{FF2B5EF4-FFF2-40B4-BE49-F238E27FC236}">
              <a16:creationId xmlns:a16="http://schemas.microsoft.com/office/drawing/2014/main" id="{FFADB0EC-1269-4B79-A076-E6D6C3B9D754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799" name="Line 2">
          <a:extLst>
            <a:ext uri="{FF2B5EF4-FFF2-40B4-BE49-F238E27FC236}">
              <a16:creationId xmlns:a16="http://schemas.microsoft.com/office/drawing/2014/main" id="{5DACA2A8-C984-4425-8F3D-9D45AA03F604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00" name="Line 3">
          <a:extLst>
            <a:ext uri="{FF2B5EF4-FFF2-40B4-BE49-F238E27FC236}">
              <a16:creationId xmlns:a16="http://schemas.microsoft.com/office/drawing/2014/main" id="{A9A8A89B-4806-4AF5-8AB3-8DE109928D80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01" name="Line 4">
          <a:extLst>
            <a:ext uri="{FF2B5EF4-FFF2-40B4-BE49-F238E27FC236}">
              <a16:creationId xmlns:a16="http://schemas.microsoft.com/office/drawing/2014/main" id="{CD1E326F-F799-4EB0-AE56-1F733425CCFF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802" name="Line 5">
          <a:extLst>
            <a:ext uri="{FF2B5EF4-FFF2-40B4-BE49-F238E27FC236}">
              <a16:creationId xmlns:a16="http://schemas.microsoft.com/office/drawing/2014/main" id="{7237B189-21F0-4A2D-8B84-04079F764BC5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803" name="Line 7">
          <a:extLst>
            <a:ext uri="{FF2B5EF4-FFF2-40B4-BE49-F238E27FC236}">
              <a16:creationId xmlns:a16="http://schemas.microsoft.com/office/drawing/2014/main" id="{9565B1B2-37DA-442D-9B0E-43976A98BB53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804" name="Line 2">
          <a:extLst>
            <a:ext uri="{FF2B5EF4-FFF2-40B4-BE49-F238E27FC236}">
              <a16:creationId xmlns:a16="http://schemas.microsoft.com/office/drawing/2014/main" id="{2E2C7711-6129-4845-AD8D-377751A827CC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805" name="Line 3">
          <a:extLst>
            <a:ext uri="{FF2B5EF4-FFF2-40B4-BE49-F238E27FC236}">
              <a16:creationId xmlns:a16="http://schemas.microsoft.com/office/drawing/2014/main" id="{7FE3E7AE-1725-43F2-A6A6-5920F92C184B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806" name="Line 4">
          <a:extLst>
            <a:ext uri="{FF2B5EF4-FFF2-40B4-BE49-F238E27FC236}">
              <a16:creationId xmlns:a16="http://schemas.microsoft.com/office/drawing/2014/main" id="{FA587506-EC07-4595-A1B7-8DF590CE7A70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807" name="Line 5">
          <a:extLst>
            <a:ext uri="{FF2B5EF4-FFF2-40B4-BE49-F238E27FC236}">
              <a16:creationId xmlns:a16="http://schemas.microsoft.com/office/drawing/2014/main" id="{2AC9A643-A6B7-4ACC-88A7-29ABFBBFCF03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808" name="Line 2">
          <a:extLst>
            <a:ext uri="{FF2B5EF4-FFF2-40B4-BE49-F238E27FC236}">
              <a16:creationId xmlns:a16="http://schemas.microsoft.com/office/drawing/2014/main" id="{39D09ACD-67DE-4591-B829-EC93019B306C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809" name="Line 3">
          <a:extLst>
            <a:ext uri="{FF2B5EF4-FFF2-40B4-BE49-F238E27FC236}">
              <a16:creationId xmlns:a16="http://schemas.microsoft.com/office/drawing/2014/main" id="{CFFB77E0-6246-4EB3-B767-F1F2C3D2D89B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10" name="Line 4">
          <a:extLst>
            <a:ext uri="{FF2B5EF4-FFF2-40B4-BE49-F238E27FC236}">
              <a16:creationId xmlns:a16="http://schemas.microsoft.com/office/drawing/2014/main" id="{6993D5C2-F47C-4902-91E7-6D12F69DA545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811" name="Line 2">
          <a:extLst>
            <a:ext uri="{FF2B5EF4-FFF2-40B4-BE49-F238E27FC236}">
              <a16:creationId xmlns:a16="http://schemas.microsoft.com/office/drawing/2014/main" id="{0642BCC7-EFF7-44AA-8BF1-EC4DEB2ED22E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812" name="Line 3">
          <a:extLst>
            <a:ext uri="{FF2B5EF4-FFF2-40B4-BE49-F238E27FC236}">
              <a16:creationId xmlns:a16="http://schemas.microsoft.com/office/drawing/2014/main" id="{D0685A53-A45F-4AEB-9296-CE8C6B396BBD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813" name="Line 4">
          <a:extLst>
            <a:ext uri="{FF2B5EF4-FFF2-40B4-BE49-F238E27FC236}">
              <a16:creationId xmlns:a16="http://schemas.microsoft.com/office/drawing/2014/main" id="{AE595F05-1FD9-479B-816F-84957E550770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814" name="Line 2">
          <a:extLst>
            <a:ext uri="{FF2B5EF4-FFF2-40B4-BE49-F238E27FC236}">
              <a16:creationId xmlns:a16="http://schemas.microsoft.com/office/drawing/2014/main" id="{DC066854-7662-4627-A5C8-FA7C22A0A90B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815" name="Line 3">
          <a:extLst>
            <a:ext uri="{FF2B5EF4-FFF2-40B4-BE49-F238E27FC236}">
              <a16:creationId xmlns:a16="http://schemas.microsoft.com/office/drawing/2014/main" id="{410D9C59-B4C7-492B-BEB7-1A91B5762CB8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574</xdr:row>
      <xdr:rowOff>0</xdr:rowOff>
    </xdr:from>
    <xdr:to>
      <xdr:col>8</xdr:col>
      <xdr:colOff>180975</xdr:colOff>
      <xdr:row>574</xdr:row>
      <xdr:rowOff>0</xdr:rowOff>
    </xdr:to>
    <xdr:sp macro="" textlink="">
      <xdr:nvSpPr>
        <xdr:cNvPr id="816" name="Line 4">
          <a:extLst>
            <a:ext uri="{FF2B5EF4-FFF2-40B4-BE49-F238E27FC236}">
              <a16:creationId xmlns:a16="http://schemas.microsoft.com/office/drawing/2014/main" id="{15C68A96-6CAC-499B-92DC-52E8E30FD0A2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817" name="Line 3">
          <a:extLst>
            <a:ext uri="{FF2B5EF4-FFF2-40B4-BE49-F238E27FC236}">
              <a16:creationId xmlns:a16="http://schemas.microsoft.com/office/drawing/2014/main" id="{1C0B3CDD-2767-45DB-A779-86310B56FC60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818" name="Line 5">
          <a:extLst>
            <a:ext uri="{FF2B5EF4-FFF2-40B4-BE49-F238E27FC236}">
              <a16:creationId xmlns:a16="http://schemas.microsoft.com/office/drawing/2014/main" id="{E1C74B03-A034-4B56-B83C-78E3891D7435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19" name="Line 2">
          <a:extLst>
            <a:ext uri="{FF2B5EF4-FFF2-40B4-BE49-F238E27FC236}">
              <a16:creationId xmlns:a16="http://schemas.microsoft.com/office/drawing/2014/main" id="{4190535F-9838-407E-B0A3-64E2DCC27093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20" name="Line 3">
          <a:extLst>
            <a:ext uri="{FF2B5EF4-FFF2-40B4-BE49-F238E27FC236}">
              <a16:creationId xmlns:a16="http://schemas.microsoft.com/office/drawing/2014/main" id="{F0DBEDF9-0B16-4809-BA75-20C167DECBBF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21" name="Line 4">
          <a:extLst>
            <a:ext uri="{FF2B5EF4-FFF2-40B4-BE49-F238E27FC236}">
              <a16:creationId xmlns:a16="http://schemas.microsoft.com/office/drawing/2014/main" id="{BA4B6E17-3BBA-47C8-A991-84C72FA2117E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822" name="Line 5">
          <a:extLst>
            <a:ext uri="{FF2B5EF4-FFF2-40B4-BE49-F238E27FC236}">
              <a16:creationId xmlns:a16="http://schemas.microsoft.com/office/drawing/2014/main" id="{D129B6D2-765A-4C84-BDB5-CF25B6994C5E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823" name="Line 7">
          <a:extLst>
            <a:ext uri="{FF2B5EF4-FFF2-40B4-BE49-F238E27FC236}">
              <a16:creationId xmlns:a16="http://schemas.microsoft.com/office/drawing/2014/main" id="{8218A67F-1D3E-4F78-A2B0-594E27EA7222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824" name="Line 2">
          <a:extLst>
            <a:ext uri="{FF2B5EF4-FFF2-40B4-BE49-F238E27FC236}">
              <a16:creationId xmlns:a16="http://schemas.microsoft.com/office/drawing/2014/main" id="{09003298-1C45-40CB-A463-C1EA65B853CF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825" name="Line 3">
          <a:extLst>
            <a:ext uri="{FF2B5EF4-FFF2-40B4-BE49-F238E27FC236}">
              <a16:creationId xmlns:a16="http://schemas.microsoft.com/office/drawing/2014/main" id="{4FA12C43-35CB-4A62-8A9E-72C2E542BE75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826" name="Line 4">
          <a:extLst>
            <a:ext uri="{FF2B5EF4-FFF2-40B4-BE49-F238E27FC236}">
              <a16:creationId xmlns:a16="http://schemas.microsoft.com/office/drawing/2014/main" id="{029CABAA-C02A-4E81-BFD6-90B25F4D0E0E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827" name="Line 5">
          <a:extLst>
            <a:ext uri="{FF2B5EF4-FFF2-40B4-BE49-F238E27FC236}">
              <a16:creationId xmlns:a16="http://schemas.microsoft.com/office/drawing/2014/main" id="{5E634E2F-8F89-42E7-B473-72B903B4C71B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828" name="Line 2">
          <a:extLst>
            <a:ext uri="{FF2B5EF4-FFF2-40B4-BE49-F238E27FC236}">
              <a16:creationId xmlns:a16="http://schemas.microsoft.com/office/drawing/2014/main" id="{B4B6C2CE-FC97-4703-A8E0-0B1C617170FB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829" name="Line 3">
          <a:extLst>
            <a:ext uri="{FF2B5EF4-FFF2-40B4-BE49-F238E27FC236}">
              <a16:creationId xmlns:a16="http://schemas.microsoft.com/office/drawing/2014/main" id="{CE60DECC-8863-4283-BAFA-A72C6D07D77C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30" name="Line 4">
          <a:extLst>
            <a:ext uri="{FF2B5EF4-FFF2-40B4-BE49-F238E27FC236}">
              <a16:creationId xmlns:a16="http://schemas.microsoft.com/office/drawing/2014/main" id="{9213BE6C-A45C-4417-9E66-344431E3602C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831" name="Line 2">
          <a:extLst>
            <a:ext uri="{FF2B5EF4-FFF2-40B4-BE49-F238E27FC236}">
              <a16:creationId xmlns:a16="http://schemas.microsoft.com/office/drawing/2014/main" id="{D182CC5C-F21B-420A-A592-E2BDFE495F6A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832" name="Line 3">
          <a:extLst>
            <a:ext uri="{FF2B5EF4-FFF2-40B4-BE49-F238E27FC236}">
              <a16:creationId xmlns:a16="http://schemas.microsoft.com/office/drawing/2014/main" id="{502181BC-9F2E-42D5-99CC-0AAB8D862AD8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833" name="Line 4">
          <a:extLst>
            <a:ext uri="{FF2B5EF4-FFF2-40B4-BE49-F238E27FC236}">
              <a16:creationId xmlns:a16="http://schemas.microsoft.com/office/drawing/2014/main" id="{D88DAEA6-4F38-45AA-B35C-044DFE549B5B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834" name="Line 2">
          <a:extLst>
            <a:ext uri="{FF2B5EF4-FFF2-40B4-BE49-F238E27FC236}">
              <a16:creationId xmlns:a16="http://schemas.microsoft.com/office/drawing/2014/main" id="{CF8C09D5-8881-45A8-ACFC-50FC8A0AB50C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835" name="Line 3">
          <a:extLst>
            <a:ext uri="{FF2B5EF4-FFF2-40B4-BE49-F238E27FC236}">
              <a16:creationId xmlns:a16="http://schemas.microsoft.com/office/drawing/2014/main" id="{2AF6E3E2-79E0-4D23-A87E-E9AA7373F6D0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635</xdr:row>
      <xdr:rowOff>0</xdr:rowOff>
    </xdr:from>
    <xdr:to>
      <xdr:col>8</xdr:col>
      <xdr:colOff>180975</xdr:colOff>
      <xdr:row>635</xdr:row>
      <xdr:rowOff>0</xdr:rowOff>
    </xdr:to>
    <xdr:sp macro="" textlink="">
      <xdr:nvSpPr>
        <xdr:cNvPr id="836" name="Line 4">
          <a:extLst>
            <a:ext uri="{FF2B5EF4-FFF2-40B4-BE49-F238E27FC236}">
              <a16:creationId xmlns:a16="http://schemas.microsoft.com/office/drawing/2014/main" id="{0A3AEBC0-5EC9-4803-B509-911F13FFC63F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837" name="Line 3">
          <a:extLst>
            <a:ext uri="{FF2B5EF4-FFF2-40B4-BE49-F238E27FC236}">
              <a16:creationId xmlns:a16="http://schemas.microsoft.com/office/drawing/2014/main" id="{BF2CA904-8D50-4155-8028-40FA38B751D4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838" name="Line 5">
          <a:extLst>
            <a:ext uri="{FF2B5EF4-FFF2-40B4-BE49-F238E27FC236}">
              <a16:creationId xmlns:a16="http://schemas.microsoft.com/office/drawing/2014/main" id="{0B7E5A99-840E-4BCD-8534-575CE814B585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39" name="Line 2">
          <a:extLst>
            <a:ext uri="{FF2B5EF4-FFF2-40B4-BE49-F238E27FC236}">
              <a16:creationId xmlns:a16="http://schemas.microsoft.com/office/drawing/2014/main" id="{896D7F04-6763-48DC-A8DE-ED1779F6360B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40" name="Line 3">
          <a:extLst>
            <a:ext uri="{FF2B5EF4-FFF2-40B4-BE49-F238E27FC236}">
              <a16:creationId xmlns:a16="http://schemas.microsoft.com/office/drawing/2014/main" id="{DBB9A9D4-4CCB-4285-B231-A7A5C4AC89D5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41" name="Line 4">
          <a:extLst>
            <a:ext uri="{FF2B5EF4-FFF2-40B4-BE49-F238E27FC236}">
              <a16:creationId xmlns:a16="http://schemas.microsoft.com/office/drawing/2014/main" id="{0147E5E1-FABA-4497-A652-6ADE8B3810AD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842" name="Line 5">
          <a:extLst>
            <a:ext uri="{FF2B5EF4-FFF2-40B4-BE49-F238E27FC236}">
              <a16:creationId xmlns:a16="http://schemas.microsoft.com/office/drawing/2014/main" id="{ABD0C72E-52EE-40DD-BB6A-2B5A73850CD0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843" name="Line 7">
          <a:extLst>
            <a:ext uri="{FF2B5EF4-FFF2-40B4-BE49-F238E27FC236}">
              <a16:creationId xmlns:a16="http://schemas.microsoft.com/office/drawing/2014/main" id="{A0D855D9-E19D-4C69-9760-5EEFCB05D426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844" name="Line 2">
          <a:extLst>
            <a:ext uri="{FF2B5EF4-FFF2-40B4-BE49-F238E27FC236}">
              <a16:creationId xmlns:a16="http://schemas.microsoft.com/office/drawing/2014/main" id="{C3B6B9F2-D797-43CA-880D-97AC82487CDC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845" name="Line 3">
          <a:extLst>
            <a:ext uri="{FF2B5EF4-FFF2-40B4-BE49-F238E27FC236}">
              <a16:creationId xmlns:a16="http://schemas.microsoft.com/office/drawing/2014/main" id="{131F3156-AA23-41C2-9CF1-87B561B1E2BB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846" name="Line 4">
          <a:extLst>
            <a:ext uri="{FF2B5EF4-FFF2-40B4-BE49-F238E27FC236}">
              <a16:creationId xmlns:a16="http://schemas.microsoft.com/office/drawing/2014/main" id="{1FC711B2-9274-48D4-BF22-ED8F726EA6C3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847" name="Line 5">
          <a:extLst>
            <a:ext uri="{FF2B5EF4-FFF2-40B4-BE49-F238E27FC236}">
              <a16:creationId xmlns:a16="http://schemas.microsoft.com/office/drawing/2014/main" id="{E18694D7-62AB-4CB6-B3CE-373C3E665BE5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848" name="Line 2">
          <a:extLst>
            <a:ext uri="{FF2B5EF4-FFF2-40B4-BE49-F238E27FC236}">
              <a16:creationId xmlns:a16="http://schemas.microsoft.com/office/drawing/2014/main" id="{2144FDDA-DC67-4ECD-AE08-1A208EF5AE1C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849" name="Line 3">
          <a:extLst>
            <a:ext uri="{FF2B5EF4-FFF2-40B4-BE49-F238E27FC236}">
              <a16:creationId xmlns:a16="http://schemas.microsoft.com/office/drawing/2014/main" id="{5E154430-DA7A-495A-9340-172B4595D19C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50" name="Line 4">
          <a:extLst>
            <a:ext uri="{FF2B5EF4-FFF2-40B4-BE49-F238E27FC236}">
              <a16:creationId xmlns:a16="http://schemas.microsoft.com/office/drawing/2014/main" id="{975D8514-49B1-49CB-BA4C-FB568DEED6F8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851" name="Line 2">
          <a:extLst>
            <a:ext uri="{FF2B5EF4-FFF2-40B4-BE49-F238E27FC236}">
              <a16:creationId xmlns:a16="http://schemas.microsoft.com/office/drawing/2014/main" id="{338505CA-6189-4B8E-9A7C-223A7BD087C5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852" name="Line 3">
          <a:extLst>
            <a:ext uri="{FF2B5EF4-FFF2-40B4-BE49-F238E27FC236}">
              <a16:creationId xmlns:a16="http://schemas.microsoft.com/office/drawing/2014/main" id="{A8E126FD-396C-4EDD-8A8B-59D0E4BAD00E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853" name="Line 4">
          <a:extLst>
            <a:ext uri="{FF2B5EF4-FFF2-40B4-BE49-F238E27FC236}">
              <a16:creationId xmlns:a16="http://schemas.microsoft.com/office/drawing/2014/main" id="{A7223D5C-C54E-4571-95E6-3CDD0C007960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854" name="Line 2">
          <a:extLst>
            <a:ext uri="{FF2B5EF4-FFF2-40B4-BE49-F238E27FC236}">
              <a16:creationId xmlns:a16="http://schemas.microsoft.com/office/drawing/2014/main" id="{37D1EF87-D9C6-445B-943D-17ACF571F837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855" name="Line 3">
          <a:extLst>
            <a:ext uri="{FF2B5EF4-FFF2-40B4-BE49-F238E27FC236}">
              <a16:creationId xmlns:a16="http://schemas.microsoft.com/office/drawing/2014/main" id="{F15D610E-E192-4370-9064-5C203338ACC5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692</xdr:row>
      <xdr:rowOff>0</xdr:rowOff>
    </xdr:from>
    <xdr:to>
      <xdr:col>8</xdr:col>
      <xdr:colOff>180975</xdr:colOff>
      <xdr:row>692</xdr:row>
      <xdr:rowOff>0</xdr:rowOff>
    </xdr:to>
    <xdr:sp macro="" textlink="">
      <xdr:nvSpPr>
        <xdr:cNvPr id="856" name="Line 4">
          <a:extLst>
            <a:ext uri="{FF2B5EF4-FFF2-40B4-BE49-F238E27FC236}">
              <a16:creationId xmlns:a16="http://schemas.microsoft.com/office/drawing/2014/main" id="{2304CFD7-B291-44FB-9CB6-0DB52066C7C7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857" name="Line 3">
          <a:extLst>
            <a:ext uri="{FF2B5EF4-FFF2-40B4-BE49-F238E27FC236}">
              <a16:creationId xmlns:a16="http://schemas.microsoft.com/office/drawing/2014/main" id="{9A97B299-C838-4B97-8B79-C306009A2F66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858" name="Line 5">
          <a:extLst>
            <a:ext uri="{FF2B5EF4-FFF2-40B4-BE49-F238E27FC236}">
              <a16:creationId xmlns:a16="http://schemas.microsoft.com/office/drawing/2014/main" id="{6E5984F4-B292-4C78-B273-BBBB588B1E4E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59" name="Line 2">
          <a:extLst>
            <a:ext uri="{FF2B5EF4-FFF2-40B4-BE49-F238E27FC236}">
              <a16:creationId xmlns:a16="http://schemas.microsoft.com/office/drawing/2014/main" id="{C46DB9C8-B04E-4E56-89FF-43AF56CBD9B9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60" name="Line 3">
          <a:extLst>
            <a:ext uri="{FF2B5EF4-FFF2-40B4-BE49-F238E27FC236}">
              <a16:creationId xmlns:a16="http://schemas.microsoft.com/office/drawing/2014/main" id="{FB7D6DED-E872-4702-A4F2-520DA6DBA0E9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61" name="Line 4">
          <a:extLst>
            <a:ext uri="{FF2B5EF4-FFF2-40B4-BE49-F238E27FC236}">
              <a16:creationId xmlns:a16="http://schemas.microsoft.com/office/drawing/2014/main" id="{4E7D0B4A-028B-4F88-A32D-0F58221D4450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862" name="Line 5">
          <a:extLst>
            <a:ext uri="{FF2B5EF4-FFF2-40B4-BE49-F238E27FC236}">
              <a16:creationId xmlns:a16="http://schemas.microsoft.com/office/drawing/2014/main" id="{CECF30B2-EA42-4F94-860B-895F8CDA0492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774</xdr:row>
      <xdr:rowOff>0</xdr:rowOff>
    </xdr:from>
    <xdr:to>
      <xdr:col>8</xdr:col>
      <xdr:colOff>180975</xdr:colOff>
      <xdr:row>774</xdr:row>
      <xdr:rowOff>0</xdr:rowOff>
    </xdr:to>
    <xdr:sp macro="" textlink="">
      <xdr:nvSpPr>
        <xdr:cNvPr id="863" name="Line 7">
          <a:extLst>
            <a:ext uri="{FF2B5EF4-FFF2-40B4-BE49-F238E27FC236}">
              <a16:creationId xmlns:a16="http://schemas.microsoft.com/office/drawing/2014/main" id="{C3E7C84B-AD33-4924-A1FB-32BB5A6D3573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864" name="Line 2">
          <a:extLst>
            <a:ext uri="{FF2B5EF4-FFF2-40B4-BE49-F238E27FC236}">
              <a16:creationId xmlns:a16="http://schemas.microsoft.com/office/drawing/2014/main" id="{FBABDF61-CE3E-4ED5-A922-2661BB61373E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865" name="Line 3">
          <a:extLst>
            <a:ext uri="{FF2B5EF4-FFF2-40B4-BE49-F238E27FC236}">
              <a16:creationId xmlns:a16="http://schemas.microsoft.com/office/drawing/2014/main" id="{B5482D1A-7302-44DE-8A08-F0B7ED49DDC4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866" name="Line 4">
          <a:extLst>
            <a:ext uri="{FF2B5EF4-FFF2-40B4-BE49-F238E27FC236}">
              <a16:creationId xmlns:a16="http://schemas.microsoft.com/office/drawing/2014/main" id="{501A593D-06D8-408B-8BD6-71141E8FE5C9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867" name="Line 5">
          <a:extLst>
            <a:ext uri="{FF2B5EF4-FFF2-40B4-BE49-F238E27FC236}">
              <a16:creationId xmlns:a16="http://schemas.microsoft.com/office/drawing/2014/main" id="{7B59726B-7CDB-42AA-8B4C-260F997AC370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868" name="Line 2">
          <a:extLst>
            <a:ext uri="{FF2B5EF4-FFF2-40B4-BE49-F238E27FC236}">
              <a16:creationId xmlns:a16="http://schemas.microsoft.com/office/drawing/2014/main" id="{8602B1CA-DC9F-4A9A-9EEF-F9E6794D4939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869" name="Line 3">
          <a:extLst>
            <a:ext uri="{FF2B5EF4-FFF2-40B4-BE49-F238E27FC236}">
              <a16:creationId xmlns:a16="http://schemas.microsoft.com/office/drawing/2014/main" id="{5116F245-9219-435A-80F2-D5B3138217F6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70" name="Line 4">
          <a:extLst>
            <a:ext uri="{FF2B5EF4-FFF2-40B4-BE49-F238E27FC236}">
              <a16:creationId xmlns:a16="http://schemas.microsoft.com/office/drawing/2014/main" id="{09F7FEA6-3FF1-4008-A9E8-F7B746CD8A13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871" name="Line 2">
          <a:extLst>
            <a:ext uri="{FF2B5EF4-FFF2-40B4-BE49-F238E27FC236}">
              <a16:creationId xmlns:a16="http://schemas.microsoft.com/office/drawing/2014/main" id="{EC38B4BD-0CC7-44BF-B2D0-3569888D6B83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872" name="Line 3">
          <a:extLst>
            <a:ext uri="{FF2B5EF4-FFF2-40B4-BE49-F238E27FC236}">
              <a16:creationId xmlns:a16="http://schemas.microsoft.com/office/drawing/2014/main" id="{8E4C228D-F8D6-4FE7-9FA5-449F35666CA0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873" name="Line 4">
          <a:extLst>
            <a:ext uri="{FF2B5EF4-FFF2-40B4-BE49-F238E27FC236}">
              <a16:creationId xmlns:a16="http://schemas.microsoft.com/office/drawing/2014/main" id="{E1131F05-053A-427F-A019-09D9C5094D47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874" name="Line 2">
          <a:extLst>
            <a:ext uri="{FF2B5EF4-FFF2-40B4-BE49-F238E27FC236}">
              <a16:creationId xmlns:a16="http://schemas.microsoft.com/office/drawing/2014/main" id="{F8DF76CB-F0E0-4A2E-9E17-93C2F24F86D3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875" name="Line 3">
          <a:extLst>
            <a:ext uri="{FF2B5EF4-FFF2-40B4-BE49-F238E27FC236}">
              <a16:creationId xmlns:a16="http://schemas.microsoft.com/office/drawing/2014/main" id="{7F6A99DC-26AC-4E16-B5ED-8BAAD8EBC0C7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752</xdr:row>
      <xdr:rowOff>0</xdr:rowOff>
    </xdr:from>
    <xdr:to>
      <xdr:col>8</xdr:col>
      <xdr:colOff>180975</xdr:colOff>
      <xdr:row>752</xdr:row>
      <xdr:rowOff>0</xdr:rowOff>
    </xdr:to>
    <xdr:sp macro="" textlink="">
      <xdr:nvSpPr>
        <xdr:cNvPr id="876" name="Line 4">
          <a:extLst>
            <a:ext uri="{FF2B5EF4-FFF2-40B4-BE49-F238E27FC236}">
              <a16:creationId xmlns:a16="http://schemas.microsoft.com/office/drawing/2014/main" id="{60E3502F-2FD1-4DF5-B810-C464B3560C15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877" name="Line 2">
          <a:extLst>
            <a:ext uri="{FF2B5EF4-FFF2-40B4-BE49-F238E27FC236}">
              <a16:creationId xmlns:a16="http://schemas.microsoft.com/office/drawing/2014/main" id="{4EED9260-0D13-41CE-B623-E5B1C241909F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878" name="Line 3">
          <a:extLst>
            <a:ext uri="{FF2B5EF4-FFF2-40B4-BE49-F238E27FC236}">
              <a16:creationId xmlns:a16="http://schemas.microsoft.com/office/drawing/2014/main" id="{353807F9-2567-4251-84D3-A90F3AA146F5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879" name="Line 5">
          <a:extLst>
            <a:ext uri="{FF2B5EF4-FFF2-40B4-BE49-F238E27FC236}">
              <a16:creationId xmlns:a16="http://schemas.microsoft.com/office/drawing/2014/main" id="{A4476E1C-3598-4A50-AC3D-7FFB3F52B883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880" name="Line 3">
          <a:extLst>
            <a:ext uri="{FF2B5EF4-FFF2-40B4-BE49-F238E27FC236}">
              <a16:creationId xmlns:a16="http://schemas.microsoft.com/office/drawing/2014/main" id="{2744B24C-136F-4FD7-A1AC-39695E89E632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881" name="Line 5">
          <a:extLst>
            <a:ext uri="{FF2B5EF4-FFF2-40B4-BE49-F238E27FC236}">
              <a16:creationId xmlns:a16="http://schemas.microsoft.com/office/drawing/2014/main" id="{54292D2B-3B7F-4805-A3B2-4602DE4508BB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882" name="Line 2">
          <a:extLst>
            <a:ext uri="{FF2B5EF4-FFF2-40B4-BE49-F238E27FC236}">
              <a16:creationId xmlns:a16="http://schemas.microsoft.com/office/drawing/2014/main" id="{960331AB-E810-4792-B9F7-AB8B92832393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883" name="Line 3">
          <a:extLst>
            <a:ext uri="{FF2B5EF4-FFF2-40B4-BE49-F238E27FC236}">
              <a16:creationId xmlns:a16="http://schemas.microsoft.com/office/drawing/2014/main" id="{EBAB0E67-AEE9-4740-85E2-6B9B56E32283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884" name="Line 4">
          <a:extLst>
            <a:ext uri="{FF2B5EF4-FFF2-40B4-BE49-F238E27FC236}">
              <a16:creationId xmlns:a16="http://schemas.microsoft.com/office/drawing/2014/main" id="{F3CC6BD2-EA51-40B5-A28B-4C7CAB450CE2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82</xdr:row>
      <xdr:rowOff>0</xdr:rowOff>
    </xdr:from>
    <xdr:to>
      <xdr:col>8</xdr:col>
      <xdr:colOff>180975</xdr:colOff>
      <xdr:row>82</xdr:row>
      <xdr:rowOff>0</xdr:rowOff>
    </xdr:to>
    <xdr:sp macro="" textlink="">
      <xdr:nvSpPr>
        <xdr:cNvPr id="885" name="Line 5">
          <a:extLst>
            <a:ext uri="{FF2B5EF4-FFF2-40B4-BE49-F238E27FC236}">
              <a16:creationId xmlns:a16="http://schemas.microsoft.com/office/drawing/2014/main" id="{8B85E63D-5342-4588-9F47-FD9D6326708F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102</xdr:row>
      <xdr:rowOff>0</xdr:rowOff>
    </xdr:from>
    <xdr:to>
      <xdr:col>8</xdr:col>
      <xdr:colOff>180975</xdr:colOff>
      <xdr:row>102</xdr:row>
      <xdr:rowOff>0</xdr:rowOff>
    </xdr:to>
    <xdr:sp macro="" textlink="">
      <xdr:nvSpPr>
        <xdr:cNvPr id="886" name="Line 7">
          <a:extLst>
            <a:ext uri="{FF2B5EF4-FFF2-40B4-BE49-F238E27FC236}">
              <a16:creationId xmlns:a16="http://schemas.microsoft.com/office/drawing/2014/main" id="{0016FC26-98D1-4329-92CC-506EDC4EE6DE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887" name="Line 3">
          <a:extLst>
            <a:ext uri="{FF2B5EF4-FFF2-40B4-BE49-F238E27FC236}">
              <a16:creationId xmlns:a16="http://schemas.microsoft.com/office/drawing/2014/main" id="{8A41E39C-C808-4AF7-9189-9B42554284FE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154</xdr:row>
      <xdr:rowOff>0</xdr:rowOff>
    </xdr:from>
    <xdr:to>
      <xdr:col>8</xdr:col>
      <xdr:colOff>180975</xdr:colOff>
      <xdr:row>154</xdr:row>
      <xdr:rowOff>0</xdr:rowOff>
    </xdr:to>
    <xdr:sp macro="" textlink="">
      <xdr:nvSpPr>
        <xdr:cNvPr id="888" name="Line 5">
          <a:extLst>
            <a:ext uri="{FF2B5EF4-FFF2-40B4-BE49-F238E27FC236}">
              <a16:creationId xmlns:a16="http://schemas.microsoft.com/office/drawing/2014/main" id="{6FDB607A-A8AB-46C1-906B-D013426173C4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889" name="Line 2">
          <a:extLst>
            <a:ext uri="{FF2B5EF4-FFF2-40B4-BE49-F238E27FC236}">
              <a16:creationId xmlns:a16="http://schemas.microsoft.com/office/drawing/2014/main" id="{DEB6066C-320D-4ECE-91D2-07128F27B839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890" name="Line 3">
          <a:extLst>
            <a:ext uri="{FF2B5EF4-FFF2-40B4-BE49-F238E27FC236}">
              <a16:creationId xmlns:a16="http://schemas.microsoft.com/office/drawing/2014/main" id="{73BC0799-3D3C-4ECB-B49F-F0F1484196BF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891" name="Line 4">
          <a:extLst>
            <a:ext uri="{FF2B5EF4-FFF2-40B4-BE49-F238E27FC236}">
              <a16:creationId xmlns:a16="http://schemas.microsoft.com/office/drawing/2014/main" id="{F654E028-13D6-410F-BAC9-8E2580A810F2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892" name="Line 5">
          <a:extLst>
            <a:ext uri="{FF2B5EF4-FFF2-40B4-BE49-F238E27FC236}">
              <a16:creationId xmlns:a16="http://schemas.microsoft.com/office/drawing/2014/main" id="{95C269AC-9A58-4C3B-A6F4-89A1AD188FEC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893" name="Line 2">
          <a:extLst>
            <a:ext uri="{FF2B5EF4-FFF2-40B4-BE49-F238E27FC236}">
              <a16:creationId xmlns:a16="http://schemas.microsoft.com/office/drawing/2014/main" id="{3E3B081E-BFAE-41EA-8D15-3365746C94C4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894" name="Line 3">
          <a:extLst>
            <a:ext uri="{FF2B5EF4-FFF2-40B4-BE49-F238E27FC236}">
              <a16:creationId xmlns:a16="http://schemas.microsoft.com/office/drawing/2014/main" id="{C1C6219E-D1E1-492A-9920-10CE5D0FFDB9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137</xdr:row>
      <xdr:rowOff>0</xdr:rowOff>
    </xdr:from>
    <xdr:to>
      <xdr:col>8</xdr:col>
      <xdr:colOff>180975</xdr:colOff>
      <xdr:row>137</xdr:row>
      <xdr:rowOff>0</xdr:rowOff>
    </xdr:to>
    <xdr:sp macro="" textlink="">
      <xdr:nvSpPr>
        <xdr:cNvPr id="895" name="Line 4">
          <a:extLst>
            <a:ext uri="{FF2B5EF4-FFF2-40B4-BE49-F238E27FC236}">
              <a16:creationId xmlns:a16="http://schemas.microsoft.com/office/drawing/2014/main" id="{F230BFBC-763D-4046-96C0-D7FB1B8DFFF1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896" name="Line 5">
          <a:extLst>
            <a:ext uri="{FF2B5EF4-FFF2-40B4-BE49-F238E27FC236}">
              <a16:creationId xmlns:a16="http://schemas.microsoft.com/office/drawing/2014/main" id="{28DEFF12-43DA-40E9-8E1D-1923A30EA15C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897" name="Line 2">
          <a:extLst>
            <a:ext uri="{FF2B5EF4-FFF2-40B4-BE49-F238E27FC236}">
              <a16:creationId xmlns:a16="http://schemas.microsoft.com/office/drawing/2014/main" id="{EF77E7D7-5C60-465A-B528-D950B661E784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898" name="Line 3">
          <a:extLst>
            <a:ext uri="{FF2B5EF4-FFF2-40B4-BE49-F238E27FC236}">
              <a16:creationId xmlns:a16="http://schemas.microsoft.com/office/drawing/2014/main" id="{5443093E-D5F0-4F95-B819-C9627BACE3CC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899" name="Line 5">
          <a:extLst>
            <a:ext uri="{FF2B5EF4-FFF2-40B4-BE49-F238E27FC236}">
              <a16:creationId xmlns:a16="http://schemas.microsoft.com/office/drawing/2014/main" id="{19759DBF-3324-4AA9-93DF-B50B155F039D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00" name="Line 2">
          <a:extLst>
            <a:ext uri="{FF2B5EF4-FFF2-40B4-BE49-F238E27FC236}">
              <a16:creationId xmlns:a16="http://schemas.microsoft.com/office/drawing/2014/main" id="{EA40D07B-F3DD-4840-8CEF-BE3D0062CE7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01" name="Line 3">
          <a:extLst>
            <a:ext uri="{FF2B5EF4-FFF2-40B4-BE49-F238E27FC236}">
              <a16:creationId xmlns:a16="http://schemas.microsoft.com/office/drawing/2014/main" id="{F2C56C92-465F-4369-A0F2-80981FF2E5A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02" name="Line 4">
          <a:extLst>
            <a:ext uri="{FF2B5EF4-FFF2-40B4-BE49-F238E27FC236}">
              <a16:creationId xmlns:a16="http://schemas.microsoft.com/office/drawing/2014/main" id="{BC0253E2-C14C-42D5-AE04-B9C5439BAAD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903" name="Line 5">
          <a:extLst>
            <a:ext uri="{FF2B5EF4-FFF2-40B4-BE49-F238E27FC236}">
              <a16:creationId xmlns:a16="http://schemas.microsoft.com/office/drawing/2014/main" id="{AEDA2439-3DAF-4835-9ED6-1CBC1BD9AE2D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904" name="Line 7">
          <a:extLst>
            <a:ext uri="{FF2B5EF4-FFF2-40B4-BE49-F238E27FC236}">
              <a16:creationId xmlns:a16="http://schemas.microsoft.com/office/drawing/2014/main" id="{8BD489CC-C874-4707-9AC7-7156BD266D3F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05" name="Line 2">
          <a:extLst>
            <a:ext uri="{FF2B5EF4-FFF2-40B4-BE49-F238E27FC236}">
              <a16:creationId xmlns:a16="http://schemas.microsoft.com/office/drawing/2014/main" id="{546021B8-A5FA-456B-91D6-BCBA819351E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06" name="Line 3">
          <a:extLst>
            <a:ext uri="{FF2B5EF4-FFF2-40B4-BE49-F238E27FC236}">
              <a16:creationId xmlns:a16="http://schemas.microsoft.com/office/drawing/2014/main" id="{E66E3856-8D80-4EBF-9891-A8C11CEABE67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07" name="Line 4">
          <a:extLst>
            <a:ext uri="{FF2B5EF4-FFF2-40B4-BE49-F238E27FC236}">
              <a16:creationId xmlns:a16="http://schemas.microsoft.com/office/drawing/2014/main" id="{6702D907-4C63-4B79-A8D2-CF6433586757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908" name="Line 5">
          <a:extLst>
            <a:ext uri="{FF2B5EF4-FFF2-40B4-BE49-F238E27FC236}">
              <a16:creationId xmlns:a16="http://schemas.microsoft.com/office/drawing/2014/main" id="{45DED69A-0E66-495C-B853-8239337A7395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909" name="Line 2">
          <a:extLst>
            <a:ext uri="{FF2B5EF4-FFF2-40B4-BE49-F238E27FC236}">
              <a16:creationId xmlns:a16="http://schemas.microsoft.com/office/drawing/2014/main" id="{963A3FDF-3C4F-44E6-A3E4-55D0624684D6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910" name="Line 3">
          <a:extLst>
            <a:ext uri="{FF2B5EF4-FFF2-40B4-BE49-F238E27FC236}">
              <a16:creationId xmlns:a16="http://schemas.microsoft.com/office/drawing/2014/main" id="{ED5DF986-C721-412B-950A-52D9BE3BF65E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911" name="Line 4">
          <a:extLst>
            <a:ext uri="{FF2B5EF4-FFF2-40B4-BE49-F238E27FC236}">
              <a16:creationId xmlns:a16="http://schemas.microsoft.com/office/drawing/2014/main" id="{F073403F-F403-4058-8869-76BDF08183A3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912" name="Line 5">
          <a:extLst>
            <a:ext uri="{FF2B5EF4-FFF2-40B4-BE49-F238E27FC236}">
              <a16:creationId xmlns:a16="http://schemas.microsoft.com/office/drawing/2014/main" id="{4609B88A-9CD7-4C1A-91DD-9BAF31F235C8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913" name="Line 7">
          <a:extLst>
            <a:ext uri="{FF2B5EF4-FFF2-40B4-BE49-F238E27FC236}">
              <a16:creationId xmlns:a16="http://schemas.microsoft.com/office/drawing/2014/main" id="{D9435CD2-53CC-4ED8-BDC6-ACFAFC8AC8C6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914" name="Line 8">
          <a:extLst>
            <a:ext uri="{FF2B5EF4-FFF2-40B4-BE49-F238E27FC236}">
              <a16:creationId xmlns:a16="http://schemas.microsoft.com/office/drawing/2014/main" id="{1599CF94-881F-44E4-8CA4-6C3F66C65224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915" name="Rectangle 7">
          <a:extLst>
            <a:ext uri="{FF2B5EF4-FFF2-40B4-BE49-F238E27FC236}">
              <a16:creationId xmlns:a16="http://schemas.microsoft.com/office/drawing/2014/main" id="{CBEA41E0-F221-490F-9B90-3F071E24E6DC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240</xdr:row>
      <xdr:rowOff>0</xdr:rowOff>
    </xdr:from>
    <xdr:ext cx="190500" cy="933450"/>
    <xdr:sp macro="" textlink="">
      <xdr:nvSpPr>
        <xdr:cNvPr id="916" name="Rectangle 8">
          <a:extLst>
            <a:ext uri="{FF2B5EF4-FFF2-40B4-BE49-F238E27FC236}">
              <a16:creationId xmlns:a16="http://schemas.microsoft.com/office/drawing/2014/main" id="{C5AE3289-85F5-424D-B844-475F2707DF4B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217</xdr:row>
      <xdr:rowOff>0</xdr:rowOff>
    </xdr:from>
    <xdr:to>
      <xdr:col>8</xdr:col>
      <xdr:colOff>180975</xdr:colOff>
      <xdr:row>217</xdr:row>
      <xdr:rowOff>0</xdr:rowOff>
    </xdr:to>
    <xdr:sp macro="" textlink="">
      <xdr:nvSpPr>
        <xdr:cNvPr id="917" name="Line 2">
          <a:extLst>
            <a:ext uri="{FF2B5EF4-FFF2-40B4-BE49-F238E27FC236}">
              <a16:creationId xmlns:a16="http://schemas.microsoft.com/office/drawing/2014/main" id="{62CE02C8-ACFE-4614-A82D-00168C3B11C1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918" name="Line 3">
          <a:extLst>
            <a:ext uri="{FF2B5EF4-FFF2-40B4-BE49-F238E27FC236}">
              <a16:creationId xmlns:a16="http://schemas.microsoft.com/office/drawing/2014/main" id="{CE2B1D8F-3C94-4056-B5C1-EB6ED7118A6A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189</xdr:row>
      <xdr:rowOff>0</xdr:rowOff>
    </xdr:from>
    <xdr:to>
      <xdr:col>8</xdr:col>
      <xdr:colOff>180975</xdr:colOff>
      <xdr:row>189</xdr:row>
      <xdr:rowOff>0</xdr:rowOff>
    </xdr:to>
    <xdr:sp macro="" textlink="">
      <xdr:nvSpPr>
        <xdr:cNvPr id="919" name="Line 5">
          <a:extLst>
            <a:ext uri="{FF2B5EF4-FFF2-40B4-BE49-F238E27FC236}">
              <a16:creationId xmlns:a16="http://schemas.microsoft.com/office/drawing/2014/main" id="{D3DC05F0-DB66-4833-92D1-CBFE69C52B2C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20" name="Line 2">
          <a:extLst>
            <a:ext uri="{FF2B5EF4-FFF2-40B4-BE49-F238E27FC236}">
              <a16:creationId xmlns:a16="http://schemas.microsoft.com/office/drawing/2014/main" id="{E1428E38-3488-449F-995A-8105CF97DE6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21" name="Line 3">
          <a:extLst>
            <a:ext uri="{FF2B5EF4-FFF2-40B4-BE49-F238E27FC236}">
              <a16:creationId xmlns:a16="http://schemas.microsoft.com/office/drawing/2014/main" id="{B05BBD0D-726B-43DE-93A0-92EBBF5B915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22" name="Line 4">
          <a:extLst>
            <a:ext uri="{FF2B5EF4-FFF2-40B4-BE49-F238E27FC236}">
              <a16:creationId xmlns:a16="http://schemas.microsoft.com/office/drawing/2014/main" id="{578DAA8B-33BC-4298-B4B5-79D370AD8783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923" name="Line 5">
          <a:extLst>
            <a:ext uri="{FF2B5EF4-FFF2-40B4-BE49-F238E27FC236}">
              <a16:creationId xmlns:a16="http://schemas.microsoft.com/office/drawing/2014/main" id="{300A3EBE-7B3D-4E5B-9F80-865B5E23E6BB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206</xdr:row>
      <xdr:rowOff>0</xdr:rowOff>
    </xdr:from>
    <xdr:to>
      <xdr:col>8</xdr:col>
      <xdr:colOff>180975</xdr:colOff>
      <xdr:row>206</xdr:row>
      <xdr:rowOff>0</xdr:rowOff>
    </xdr:to>
    <xdr:sp macro="" textlink="">
      <xdr:nvSpPr>
        <xdr:cNvPr id="924" name="Line 7">
          <a:extLst>
            <a:ext uri="{FF2B5EF4-FFF2-40B4-BE49-F238E27FC236}">
              <a16:creationId xmlns:a16="http://schemas.microsoft.com/office/drawing/2014/main" id="{BE8FC40A-1BB1-44E5-9F2F-5E7BE901F23D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25" name="Line 2">
          <a:extLst>
            <a:ext uri="{FF2B5EF4-FFF2-40B4-BE49-F238E27FC236}">
              <a16:creationId xmlns:a16="http://schemas.microsoft.com/office/drawing/2014/main" id="{D87706F8-0A0D-4903-94D4-73FA53B6412E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26" name="Line 3">
          <a:extLst>
            <a:ext uri="{FF2B5EF4-FFF2-40B4-BE49-F238E27FC236}">
              <a16:creationId xmlns:a16="http://schemas.microsoft.com/office/drawing/2014/main" id="{E83346B3-F179-4612-9D41-2DD5EE0E90DB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27" name="Line 4">
          <a:extLst>
            <a:ext uri="{FF2B5EF4-FFF2-40B4-BE49-F238E27FC236}">
              <a16:creationId xmlns:a16="http://schemas.microsoft.com/office/drawing/2014/main" id="{4B9F3D42-0001-4E8C-B280-56799B172E74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928" name="Line 5">
          <a:extLst>
            <a:ext uri="{FF2B5EF4-FFF2-40B4-BE49-F238E27FC236}">
              <a16:creationId xmlns:a16="http://schemas.microsoft.com/office/drawing/2014/main" id="{D0B002B5-19FD-498B-812F-13935A06446D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929" name="Line 2">
          <a:extLst>
            <a:ext uri="{FF2B5EF4-FFF2-40B4-BE49-F238E27FC236}">
              <a16:creationId xmlns:a16="http://schemas.microsoft.com/office/drawing/2014/main" id="{FC005797-E47B-4473-9B6B-977228BCEF01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175</xdr:row>
      <xdr:rowOff>0</xdr:rowOff>
    </xdr:from>
    <xdr:to>
      <xdr:col>8</xdr:col>
      <xdr:colOff>180975</xdr:colOff>
      <xdr:row>175</xdr:row>
      <xdr:rowOff>0</xdr:rowOff>
    </xdr:to>
    <xdr:sp macro="" textlink="">
      <xdr:nvSpPr>
        <xdr:cNvPr id="930" name="Line 3">
          <a:extLst>
            <a:ext uri="{FF2B5EF4-FFF2-40B4-BE49-F238E27FC236}">
              <a16:creationId xmlns:a16="http://schemas.microsoft.com/office/drawing/2014/main" id="{C0D0D16A-F013-499B-AA23-23B8B9297E57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931" name="Line 4">
          <a:extLst>
            <a:ext uri="{FF2B5EF4-FFF2-40B4-BE49-F238E27FC236}">
              <a16:creationId xmlns:a16="http://schemas.microsoft.com/office/drawing/2014/main" id="{F82086C8-A062-4D87-B00C-D6FF35122962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268</xdr:row>
      <xdr:rowOff>0</xdr:rowOff>
    </xdr:from>
    <xdr:to>
      <xdr:col>8</xdr:col>
      <xdr:colOff>180975</xdr:colOff>
      <xdr:row>268</xdr:row>
      <xdr:rowOff>0</xdr:rowOff>
    </xdr:to>
    <xdr:sp macro="" textlink="">
      <xdr:nvSpPr>
        <xdr:cNvPr id="932" name="Line 5">
          <a:extLst>
            <a:ext uri="{FF2B5EF4-FFF2-40B4-BE49-F238E27FC236}">
              <a16:creationId xmlns:a16="http://schemas.microsoft.com/office/drawing/2014/main" id="{67507CA0-61B0-4BEE-8EEE-501FCF2BEEAF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933" name="Line 7">
          <a:extLst>
            <a:ext uri="{FF2B5EF4-FFF2-40B4-BE49-F238E27FC236}">
              <a16:creationId xmlns:a16="http://schemas.microsoft.com/office/drawing/2014/main" id="{5DA9A96A-F3DC-4A34-9E97-56E66A1E9A02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261</xdr:row>
      <xdr:rowOff>0</xdr:rowOff>
    </xdr:from>
    <xdr:to>
      <xdr:col>8</xdr:col>
      <xdr:colOff>180975</xdr:colOff>
      <xdr:row>261</xdr:row>
      <xdr:rowOff>0</xdr:rowOff>
    </xdr:to>
    <xdr:sp macro="" textlink="">
      <xdr:nvSpPr>
        <xdr:cNvPr id="934" name="Line 8">
          <a:extLst>
            <a:ext uri="{FF2B5EF4-FFF2-40B4-BE49-F238E27FC236}">
              <a16:creationId xmlns:a16="http://schemas.microsoft.com/office/drawing/2014/main" id="{113EAEC7-0C70-4F29-813E-B8846BDDF440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175</xdr:row>
      <xdr:rowOff>38100</xdr:rowOff>
    </xdr:from>
    <xdr:ext cx="180975" cy="933450"/>
    <xdr:sp macro="" textlink="">
      <xdr:nvSpPr>
        <xdr:cNvPr id="935" name="Rectangle 7">
          <a:extLst>
            <a:ext uri="{FF2B5EF4-FFF2-40B4-BE49-F238E27FC236}">
              <a16:creationId xmlns:a16="http://schemas.microsoft.com/office/drawing/2014/main" id="{1C807F0A-9647-4CAB-AE34-B74FC38A8D63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936" name="Line 3">
          <a:extLst>
            <a:ext uri="{FF2B5EF4-FFF2-40B4-BE49-F238E27FC236}">
              <a16:creationId xmlns:a16="http://schemas.microsoft.com/office/drawing/2014/main" id="{30156DE7-FA40-41B4-87E5-4BDB4EE72FB6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313</xdr:row>
      <xdr:rowOff>0</xdr:rowOff>
    </xdr:from>
    <xdr:to>
      <xdr:col>8</xdr:col>
      <xdr:colOff>180975</xdr:colOff>
      <xdr:row>313</xdr:row>
      <xdr:rowOff>0</xdr:rowOff>
    </xdr:to>
    <xdr:sp macro="" textlink="">
      <xdr:nvSpPr>
        <xdr:cNvPr id="937" name="Line 5">
          <a:extLst>
            <a:ext uri="{FF2B5EF4-FFF2-40B4-BE49-F238E27FC236}">
              <a16:creationId xmlns:a16="http://schemas.microsoft.com/office/drawing/2014/main" id="{37F63E9C-5793-438A-B813-98BF5E0E0602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38" name="Line 2">
          <a:extLst>
            <a:ext uri="{FF2B5EF4-FFF2-40B4-BE49-F238E27FC236}">
              <a16:creationId xmlns:a16="http://schemas.microsoft.com/office/drawing/2014/main" id="{44D0A03B-A9F2-43A0-B96C-20507B68DE4B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39" name="Line 3">
          <a:extLst>
            <a:ext uri="{FF2B5EF4-FFF2-40B4-BE49-F238E27FC236}">
              <a16:creationId xmlns:a16="http://schemas.microsoft.com/office/drawing/2014/main" id="{71286FC6-63EB-44F0-B41E-BDDC769A13CA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40" name="Line 4">
          <a:extLst>
            <a:ext uri="{FF2B5EF4-FFF2-40B4-BE49-F238E27FC236}">
              <a16:creationId xmlns:a16="http://schemas.microsoft.com/office/drawing/2014/main" id="{755A932E-61CB-46D5-9F61-815CF7BD9763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941" name="Line 5">
          <a:extLst>
            <a:ext uri="{FF2B5EF4-FFF2-40B4-BE49-F238E27FC236}">
              <a16:creationId xmlns:a16="http://schemas.microsoft.com/office/drawing/2014/main" id="{A8797847-97BE-470E-9D39-E3F91D3E8911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942" name="Line 7">
          <a:extLst>
            <a:ext uri="{FF2B5EF4-FFF2-40B4-BE49-F238E27FC236}">
              <a16:creationId xmlns:a16="http://schemas.microsoft.com/office/drawing/2014/main" id="{6B12A92D-DBEB-49D8-8CC2-0374E6FED9C1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943" name="Line 2">
          <a:extLst>
            <a:ext uri="{FF2B5EF4-FFF2-40B4-BE49-F238E27FC236}">
              <a16:creationId xmlns:a16="http://schemas.microsoft.com/office/drawing/2014/main" id="{1A97FD29-A805-4877-99C8-E19589DA902E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944" name="Line 3">
          <a:extLst>
            <a:ext uri="{FF2B5EF4-FFF2-40B4-BE49-F238E27FC236}">
              <a16:creationId xmlns:a16="http://schemas.microsoft.com/office/drawing/2014/main" id="{EEA14EE6-301E-4E3E-9166-86C6F39B7E34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945" name="Line 4">
          <a:extLst>
            <a:ext uri="{FF2B5EF4-FFF2-40B4-BE49-F238E27FC236}">
              <a16:creationId xmlns:a16="http://schemas.microsoft.com/office/drawing/2014/main" id="{DC68DDB3-7AAC-4856-AFAD-87D35C0A84AC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305</xdr:row>
      <xdr:rowOff>0</xdr:rowOff>
    </xdr:from>
    <xdr:to>
      <xdr:col>8</xdr:col>
      <xdr:colOff>180975</xdr:colOff>
      <xdr:row>305</xdr:row>
      <xdr:rowOff>0</xdr:rowOff>
    </xdr:to>
    <xdr:sp macro="" textlink="">
      <xdr:nvSpPr>
        <xdr:cNvPr id="946" name="Line 5">
          <a:extLst>
            <a:ext uri="{FF2B5EF4-FFF2-40B4-BE49-F238E27FC236}">
              <a16:creationId xmlns:a16="http://schemas.microsoft.com/office/drawing/2014/main" id="{FD64C581-231F-4FCF-AC3C-EF831925D63E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947" name="Line 2">
          <a:extLst>
            <a:ext uri="{FF2B5EF4-FFF2-40B4-BE49-F238E27FC236}">
              <a16:creationId xmlns:a16="http://schemas.microsoft.com/office/drawing/2014/main" id="{8984FEF8-192B-49C8-8A20-484BE02818D1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948" name="Line 3">
          <a:extLst>
            <a:ext uri="{FF2B5EF4-FFF2-40B4-BE49-F238E27FC236}">
              <a16:creationId xmlns:a16="http://schemas.microsoft.com/office/drawing/2014/main" id="{99CF603B-6319-4C3D-BE63-1E449145D791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49" name="Line 4">
          <a:extLst>
            <a:ext uri="{FF2B5EF4-FFF2-40B4-BE49-F238E27FC236}">
              <a16:creationId xmlns:a16="http://schemas.microsoft.com/office/drawing/2014/main" id="{86C7FBCB-079D-4251-A5A5-A7BA720630D0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382</xdr:row>
      <xdr:rowOff>0</xdr:rowOff>
    </xdr:from>
    <xdr:to>
      <xdr:col>8</xdr:col>
      <xdr:colOff>180975</xdr:colOff>
      <xdr:row>382</xdr:row>
      <xdr:rowOff>0</xdr:rowOff>
    </xdr:to>
    <xdr:sp macro="" textlink="">
      <xdr:nvSpPr>
        <xdr:cNvPr id="950" name="Line 5">
          <a:extLst>
            <a:ext uri="{FF2B5EF4-FFF2-40B4-BE49-F238E27FC236}">
              <a16:creationId xmlns:a16="http://schemas.microsoft.com/office/drawing/2014/main" id="{497ACA5F-3223-4D42-AF02-E6806208BD8E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951" name="Line 7">
          <a:extLst>
            <a:ext uri="{FF2B5EF4-FFF2-40B4-BE49-F238E27FC236}">
              <a16:creationId xmlns:a16="http://schemas.microsoft.com/office/drawing/2014/main" id="{94CE6285-D46D-46A5-AE5C-2D7AD53CF9D2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952" name="Line 3">
          <a:extLst>
            <a:ext uri="{FF2B5EF4-FFF2-40B4-BE49-F238E27FC236}">
              <a16:creationId xmlns:a16="http://schemas.microsoft.com/office/drawing/2014/main" id="{52286B90-E07C-418F-A42A-1A4E5C4D3DC3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431</xdr:row>
      <xdr:rowOff>0</xdr:rowOff>
    </xdr:from>
    <xdr:to>
      <xdr:col>8</xdr:col>
      <xdr:colOff>180975</xdr:colOff>
      <xdr:row>431</xdr:row>
      <xdr:rowOff>0</xdr:rowOff>
    </xdr:to>
    <xdr:sp macro="" textlink="">
      <xdr:nvSpPr>
        <xdr:cNvPr id="953" name="Line 5">
          <a:extLst>
            <a:ext uri="{FF2B5EF4-FFF2-40B4-BE49-F238E27FC236}">
              <a16:creationId xmlns:a16="http://schemas.microsoft.com/office/drawing/2014/main" id="{CFB25C7E-18CC-46F0-8EA6-C2183448C112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54" name="Line 2">
          <a:extLst>
            <a:ext uri="{FF2B5EF4-FFF2-40B4-BE49-F238E27FC236}">
              <a16:creationId xmlns:a16="http://schemas.microsoft.com/office/drawing/2014/main" id="{C7059599-3A54-48F2-A2AD-883C2A686080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55" name="Line 3">
          <a:extLst>
            <a:ext uri="{FF2B5EF4-FFF2-40B4-BE49-F238E27FC236}">
              <a16:creationId xmlns:a16="http://schemas.microsoft.com/office/drawing/2014/main" id="{18000DF1-82D3-4248-8616-4E4410CF4655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56" name="Line 4">
          <a:extLst>
            <a:ext uri="{FF2B5EF4-FFF2-40B4-BE49-F238E27FC236}">
              <a16:creationId xmlns:a16="http://schemas.microsoft.com/office/drawing/2014/main" id="{333879A9-63EC-4970-859B-94F5DB2A6C07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957" name="Line 5">
          <a:extLst>
            <a:ext uri="{FF2B5EF4-FFF2-40B4-BE49-F238E27FC236}">
              <a16:creationId xmlns:a16="http://schemas.microsoft.com/office/drawing/2014/main" id="{E9F05D70-9541-41DA-A49C-AC54C49D2A42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458</xdr:row>
      <xdr:rowOff>0</xdr:rowOff>
    </xdr:from>
    <xdr:to>
      <xdr:col>8</xdr:col>
      <xdr:colOff>180975</xdr:colOff>
      <xdr:row>458</xdr:row>
      <xdr:rowOff>0</xdr:rowOff>
    </xdr:to>
    <xdr:sp macro="" textlink="">
      <xdr:nvSpPr>
        <xdr:cNvPr id="958" name="Line 7">
          <a:extLst>
            <a:ext uri="{FF2B5EF4-FFF2-40B4-BE49-F238E27FC236}">
              <a16:creationId xmlns:a16="http://schemas.microsoft.com/office/drawing/2014/main" id="{88BE307D-6C6A-4BF9-AFF6-BC6D5A49A740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959" name="Line 2">
          <a:extLst>
            <a:ext uri="{FF2B5EF4-FFF2-40B4-BE49-F238E27FC236}">
              <a16:creationId xmlns:a16="http://schemas.microsoft.com/office/drawing/2014/main" id="{1DBE2684-5610-4FFF-915D-24CC07B3388F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960" name="Line 3">
          <a:extLst>
            <a:ext uri="{FF2B5EF4-FFF2-40B4-BE49-F238E27FC236}">
              <a16:creationId xmlns:a16="http://schemas.microsoft.com/office/drawing/2014/main" id="{775FA486-2CC8-4356-BCE7-46C745C85579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961" name="Line 4">
          <a:extLst>
            <a:ext uri="{FF2B5EF4-FFF2-40B4-BE49-F238E27FC236}">
              <a16:creationId xmlns:a16="http://schemas.microsoft.com/office/drawing/2014/main" id="{7CA257CA-C572-47DB-923B-4CC2FF3E45B1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418</xdr:row>
      <xdr:rowOff>0</xdr:rowOff>
    </xdr:from>
    <xdr:to>
      <xdr:col>8</xdr:col>
      <xdr:colOff>180975</xdr:colOff>
      <xdr:row>418</xdr:row>
      <xdr:rowOff>0</xdr:rowOff>
    </xdr:to>
    <xdr:sp macro="" textlink="">
      <xdr:nvSpPr>
        <xdr:cNvPr id="962" name="Line 5">
          <a:extLst>
            <a:ext uri="{FF2B5EF4-FFF2-40B4-BE49-F238E27FC236}">
              <a16:creationId xmlns:a16="http://schemas.microsoft.com/office/drawing/2014/main" id="{E3A67E4B-54DC-49E8-A5AC-BE959B954C35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963" name="Line 2">
          <a:extLst>
            <a:ext uri="{FF2B5EF4-FFF2-40B4-BE49-F238E27FC236}">
              <a16:creationId xmlns:a16="http://schemas.microsoft.com/office/drawing/2014/main" id="{28D7AF6D-3BF4-445C-9090-E4009A55745A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964" name="Line 3">
          <a:extLst>
            <a:ext uri="{FF2B5EF4-FFF2-40B4-BE49-F238E27FC236}">
              <a16:creationId xmlns:a16="http://schemas.microsoft.com/office/drawing/2014/main" id="{F65E48E3-EBBF-4C98-AF07-D973BAB0C2EC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65" name="Line 4">
          <a:extLst>
            <a:ext uri="{FF2B5EF4-FFF2-40B4-BE49-F238E27FC236}">
              <a16:creationId xmlns:a16="http://schemas.microsoft.com/office/drawing/2014/main" id="{57FAC866-36EC-4A27-A3FA-6998FD83DE08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966" name="Line 5">
          <a:extLst>
            <a:ext uri="{FF2B5EF4-FFF2-40B4-BE49-F238E27FC236}">
              <a16:creationId xmlns:a16="http://schemas.microsoft.com/office/drawing/2014/main" id="{1B35691B-7673-4158-A124-F56E4EB1C829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967" name="Line 7">
          <a:extLst>
            <a:ext uri="{FF2B5EF4-FFF2-40B4-BE49-F238E27FC236}">
              <a16:creationId xmlns:a16="http://schemas.microsoft.com/office/drawing/2014/main" id="{F6C8B657-4344-4CED-8197-B9B41B2437D0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968" name="Line 2">
          <a:extLst>
            <a:ext uri="{FF2B5EF4-FFF2-40B4-BE49-F238E27FC236}">
              <a16:creationId xmlns:a16="http://schemas.microsoft.com/office/drawing/2014/main" id="{7D9C301F-C608-4F60-8D01-A1C0FD81F720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969" name="Line 3">
          <a:extLst>
            <a:ext uri="{FF2B5EF4-FFF2-40B4-BE49-F238E27FC236}">
              <a16:creationId xmlns:a16="http://schemas.microsoft.com/office/drawing/2014/main" id="{6014F1B3-9FBC-447B-81F8-B576709F7DE5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970" name="Line 4">
          <a:extLst>
            <a:ext uri="{FF2B5EF4-FFF2-40B4-BE49-F238E27FC236}">
              <a16:creationId xmlns:a16="http://schemas.microsoft.com/office/drawing/2014/main" id="{4C0CBD0A-8C01-4EAF-9E2E-2B53C09B6F66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971" name="Line 3">
          <a:extLst>
            <a:ext uri="{FF2B5EF4-FFF2-40B4-BE49-F238E27FC236}">
              <a16:creationId xmlns:a16="http://schemas.microsoft.com/office/drawing/2014/main" id="{81ADD242-7A07-4B92-9C6C-B89A85B3ED34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585</xdr:row>
      <xdr:rowOff>0</xdr:rowOff>
    </xdr:from>
    <xdr:to>
      <xdr:col>8</xdr:col>
      <xdr:colOff>180975</xdr:colOff>
      <xdr:row>585</xdr:row>
      <xdr:rowOff>0</xdr:rowOff>
    </xdr:to>
    <xdr:sp macro="" textlink="">
      <xdr:nvSpPr>
        <xdr:cNvPr id="972" name="Line 5">
          <a:extLst>
            <a:ext uri="{FF2B5EF4-FFF2-40B4-BE49-F238E27FC236}">
              <a16:creationId xmlns:a16="http://schemas.microsoft.com/office/drawing/2014/main" id="{B80B00F7-DC71-4A4E-8CB4-068CA7199C6C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73" name="Line 2">
          <a:extLst>
            <a:ext uri="{FF2B5EF4-FFF2-40B4-BE49-F238E27FC236}">
              <a16:creationId xmlns:a16="http://schemas.microsoft.com/office/drawing/2014/main" id="{FF922BEA-03C6-4290-B0ED-620BBD1D1EDD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74" name="Line 3">
          <a:extLst>
            <a:ext uri="{FF2B5EF4-FFF2-40B4-BE49-F238E27FC236}">
              <a16:creationId xmlns:a16="http://schemas.microsoft.com/office/drawing/2014/main" id="{FF83F001-820B-40A4-93F0-F96344025F91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75" name="Line 4">
          <a:extLst>
            <a:ext uri="{FF2B5EF4-FFF2-40B4-BE49-F238E27FC236}">
              <a16:creationId xmlns:a16="http://schemas.microsoft.com/office/drawing/2014/main" id="{56AA3BA7-B322-410F-BC4E-8FEBA962082B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976" name="Line 5">
          <a:extLst>
            <a:ext uri="{FF2B5EF4-FFF2-40B4-BE49-F238E27FC236}">
              <a16:creationId xmlns:a16="http://schemas.microsoft.com/office/drawing/2014/main" id="{6D911E0B-DFB1-47BF-B07D-3560AAB86592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977" name="Line 7">
          <a:extLst>
            <a:ext uri="{FF2B5EF4-FFF2-40B4-BE49-F238E27FC236}">
              <a16:creationId xmlns:a16="http://schemas.microsoft.com/office/drawing/2014/main" id="{502566D2-6224-4B24-9FA7-B7F3177BE509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978" name="Line 2">
          <a:extLst>
            <a:ext uri="{FF2B5EF4-FFF2-40B4-BE49-F238E27FC236}">
              <a16:creationId xmlns:a16="http://schemas.microsoft.com/office/drawing/2014/main" id="{42326B8E-4EB8-41FF-836C-8DC975F89562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979" name="Line 3">
          <a:extLst>
            <a:ext uri="{FF2B5EF4-FFF2-40B4-BE49-F238E27FC236}">
              <a16:creationId xmlns:a16="http://schemas.microsoft.com/office/drawing/2014/main" id="{E38FD9DB-7BA1-4E95-AB9A-A66BD770D111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980" name="Line 4">
          <a:extLst>
            <a:ext uri="{FF2B5EF4-FFF2-40B4-BE49-F238E27FC236}">
              <a16:creationId xmlns:a16="http://schemas.microsoft.com/office/drawing/2014/main" id="{2B839A87-8071-438E-9D2B-3B276DC23730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575</xdr:row>
      <xdr:rowOff>0</xdr:rowOff>
    </xdr:from>
    <xdr:to>
      <xdr:col>8</xdr:col>
      <xdr:colOff>180975</xdr:colOff>
      <xdr:row>575</xdr:row>
      <xdr:rowOff>0</xdr:rowOff>
    </xdr:to>
    <xdr:sp macro="" textlink="">
      <xdr:nvSpPr>
        <xdr:cNvPr id="981" name="Line 5">
          <a:extLst>
            <a:ext uri="{FF2B5EF4-FFF2-40B4-BE49-F238E27FC236}">
              <a16:creationId xmlns:a16="http://schemas.microsoft.com/office/drawing/2014/main" id="{E9D53B8A-EF63-44AF-A210-D5399196E256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982" name="Line 2">
          <a:extLst>
            <a:ext uri="{FF2B5EF4-FFF2-40B4-BE49-F238E27FC236}">
              <a16:creationId xmlns:a16="http://schemas.microsoft.com/office/drawing/2014/main" id="{E25A4C85-8AF2-418F-A8A1-FA82EDEAA193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568</xdr:row>
      <xdr:rowOff>0</xdr:rowOff>
    </xdr:from>
    <xdr:to>
      <xdr:col>8</xdr:col>
      <xdr:colOff>180975</xdr:colOff>
      <xdr:row>568</xdr:row>
      <xdr:rowOff>0</xdr:rowOff>
    </xdr:to>
    <xdr:sp macro="" textlink="">
      <xdr:nvSpPr>
        <xdr:cNvPr id="983" name="Line 3">
          <a:extLst>
            <a:ext uri="{FF2B5EF4-FFF2-40B4-BE49-F238E27FC236}">
              <a16:creationId xmlns:a16="http://schemas.microsoft.com/office/drawing/2014/main" id="{0954E2DB-B02E-4E01-993F-EE42D16A639F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84" name="Line 4">
          <a:extLst>
            <a:ext uri="{FF2B5EF4-FFF2-40B4-BE49-F238E27FC236}">
              <a16:creationId xmlns:a16="http://schemas.microsoft.com/office/drawing/2014/main" id="{3264DEEE-12D2-4690-8177-CAC09EAD9568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985" name="Line 2">
          <a:extLst>
            <a:ext uri="{FF2B5EF4-FFF2-40B4-BE49-F238E27FC236}">
              <a16:creationId xmlns:a16="http://schemas.microsoft.com/office/drawing/2014/main" id="{8B06FF1B-38B9-40C3-9361-E8B4B90C49C3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986" name="Line 3">
          <a:extLst>
            <a:ext uri="{FF2B5EF4-FFF2-40B4-BE49-F238E27FC236}">
              <a16:creationId xmlns:a16="http://schemas.microsoft.com/office/drawing/2014/main" id="{AB8D1150-AA9C-4D34-A63D-CBED9E0EEDE9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987" name="Line 4">
          <a:extLst>
            <a:ext uri="{FF2B5EF4-FFF2-40B4-BE49-F238E27FC236}">
              <a16:creationId xmlns:a16="http://schemas.microsoft.com/office/drawing/2014/main" id="{546D6494-AA0E-427A-9DEF-B3F4C46FE1EB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988" name="Line 2">
          <a:extLst>
            <a:ext uri="{FF2B5EF4-FFF2-40B4-BE49-F238E27FC236}">
              <a16:creationId xmlns:a16="http://schemas.microsoft.com/office/drawing/2014/main" id="{8FF4FE7F-25D4-417D-B409-96048CAED545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569</xdr:row>
      <xdr:rowOff>0</xdr:rowOff>
    </xdr:from>
    <xdr:to>
      <xdr:col>8</xdr:col>
      <xdr:colOff>180975</xdr:colOff>
      <xdr:row>569</xdr:row>
      <xdr:rowOff>0</xdr:rowOff>
    </xdr:to>
    <xdr:sp macro="" textlink="">
      <xdr:nvSpPr>
        <xdr:cNvPr id="989" name="Line 3">
          <a:extLst>
            <a:ext uri="{FF2B5EF4-FFF2-40B4-BE49-F238E27FC236}">
              <a16:creationId xmlns:a16="http://schemas.microsoft.com/office/drawing/2014/main" id="{2081291C-8534-469B-868E-7E82A31E681B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574</xdr:row>
      <xdr:rowOff>0</xdr:rowOff>
    </xdr:from>
    <xdr:to>
      <xdr:col>8</xdr:col>
      <xdr:colOff>180975</xdr:colOff>
      <xdr:row>574</xdr:row>
      <xdr:rowOff>0</xdr:rowOff>
    </xdr:to>
    <xdr:sp macro="" textlink="">
      <xdr:nvSpPr>
        <xdr:cNvPr id="990" name="Line 4">
          <a:extLst>
            <a:ext uri="{FF2B5EF4-FFF2-40B4-BE49-F238E27FC236}">
              <a16:creationId xmlns:a16="http://schemas.microsoft.com/office/drawing/2014/main" id="{52AA1A42-9CEA-439D-9D6A-57D0396FCF40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991" name="Line 3">
          <a:extLst>
            <a:ext uri="{FF2B5EF4-FFF2-40B4-BE49-F238E27FC236}">
              <a16:creationId xmlns:a16="http://schemas.microsoft.com/office/drawing/2014/main" id="{5A401206-1D0D-448B-A349-6E0439B65205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646</xdr:row>
      <xdr:rowOff>0</xdr:rowOff>
    </xdr:from>
    <xdr:to>
      <xdr:col>8</xdr:col>
      <xdr:colOff>180975</xdr:colOff>
      <xdr:row>646</xdr:row>
      <xdr:rowOff>0</xdr:rowOff>
    </xdr:to>
    <xdr:sp macro="" textlink="">
      <xdr:nvSpPr>
        <xdr:cNvPr id="992" name="Line 5">
          <a:extLst>
            <a:ext uri="{FF2B5EF4-FFF2-40B4-BE49-F238E27FC236}">
              <a16:creationId xmlns:a16="http://schemas.microsoft.com/office/drawing/2014/main" id="{38FFA10D-EA66-4043-AD3B-524BC17717FA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993" name="Line 2">
          <a:extLst>
            <a:ext uri="{FF2B5EF4-FFF2-40B4-BE49-F238E27FC236}">
              <a16:creationId xmlns:a16="http://schemas.microsoft.com/office/drawing/2014/main" id="{60028F37-8110-4866-9BC8-FA9D36BE816B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994" name="Line 3">
          <a:extLst>
            <a:ext uri="{FF2B5EF4-FFF2-40B4-BE49-F238E27FC236}">
              <a16:creationId xmlns:a16="http://schemas.microsoft.com/office/drawing/2014/main" id="{162DAB00-80F7-4DB8-B28F-CE7D64910EB1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995" name="Line 4">
          <a:extLst>
            <a:ext uri="{FF2B5EF4-FFF2-40B4-BE49-F238E27FC236}">
              <a16:creationId xmlns:a16="http://schemas.microsoft.com/office/drawing/2014/main" id="{D76C9E33-05C4-4087-8C97-1291B65DBFB2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996" name="Line 5">
          <a:extLst>
            <a:ext uri="{FF2B5EF4-FFF2-40B4-BE49-F238E27FC236}">
              <a16:creationId xmlns:a16="http://schemas.microsoft.com/office/drawing/2014/main" id="{973BB939-9BC2-4E08-8622-314D9739B6F8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997" name="Line 7">
          <a:extLst>
            <a:ext uri="{FF2B5EF4-FFF2-40B4-BE49-F238E27FC236}">
              <a16:creationId xmlns:a16="http://schemas.microsoft.com/office/drawing/2014/main" id="{D0CEC703-67B0-41BB-9071-F2FB645AEEC3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998" name="Line 2">
          <a:extLst>
            <a:ext uri="{FF2B5EF4-FFF2-40B4-BE49-F238E27FC236}">
              <a16:creationId xmlns:a16="http://schemas.microsoft.com/office/drawing/2014/main" id="{7C3F122A-8F48-4633-99E1-2C6307D739F5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999" name="Line 3">
          <a:extLst>
            <a:ext uri="{FF2B5EF4-FFF2-40B4-BE49-F238E27FC236}">
              <a16:creationId xmlns:a16="http://schemas.microsoft.com/office/drawing/2014/main" id="{C659CD87-CD2A-4199-B495-CC0709BF1A3A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000" name="Line 4">
          <a:extLst>
            <a:ext uri="{FF2B5EF4-FFF2-40B4-BE49-F238E27FC236}">
              <a16:creationId xmlns:a16="http://schemas.microsoft.com/office/drawing/2014/main" id="{F76DB0A0-3132-45A7-A2E4-A1F8E7BC154E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636</xdr:row>
      <xdr:rowOff>0</xdr:rowOff>
    </xdr:from>
    <xdr:to>
      <xdr:col>8</xdr:col>
      <xdr:colOff>180975</xdr:colOff>
      <xdr:row>636</xdr:row>
      <xdr:rowOff>0</xdr:rowOff>
    </xdr:to>
    <xdr:sp macro="" textlink="">
      <xdr:nvSpPr>
        <xdr:cNvPr id="1001" name="Line 5">
          <a:extLst>
            <a:ext uri="{FF2B5EF4-FFF2-40B4-BE49-F238E27FC236}">
              <a16:creationId xmlns:a16="http://schemas.microsoft.com/office/drawing/2014/main" id="{E02BC31E-D89F-49A5-9D83-94B851D89C7E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002" name="Line 2">
          <a:extLst>
            <a:ext uri="{FF2B5EF4-FFF2-40B4-BE49-F238E27FC236}">
              <a16:creationId xmlns:a16="http://schemas.microsoft.com/office/drawing/2014/main" id="{8E0ADA3C-8115-447C-B66E-6CCD87DF9109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629</xdr:row>
      <xdr:rowOff>0</xdr:rowOff>
    </xdr:from>
    <xdr:to>
      <xdr:col>8</xdr:col>
      <xdr:colOff>180975</xdr:colOff>
      <xdr:row>629</xdr:row>
      <xdr:rowOff>0</xdr:rowOff>
    </xdr:to>
    <xdr:sp macro="" textlink="">
      <xdr:nvSpPr>
        <xdr:cNvPr id="1003" name="Line 3">
          <a:extLst>
            <a:ext uri="{FF2B5EF4-FFF2-40B4-BE49-F238E27FC236}">
              <a16:creationId xmlns:a16="http://schemas.microsoft.com/office/drawing/2014/main" id="{D743B9DE-260F-45ED-B1CA-BC54B3E742A1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004" name="Line 4">
          <a:extLst>
            <a:ext uri="{FF2B5EF4-FFF2-40B4-BE49-F238E27FC236}">
              <a16:creationId xmlns:a16="http://schemas.microsoft.com/office/drawing/2014/main" id="{A1A691CB-BA2A-41DB-8B5C-B72B28AF5C66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005" name="Line 2">
          <a:extLst>
            <a:ext uri="{FF2B5EF4-FFF2-40B4-BE49-F238E27FC236}">
              <a16:creationId xmlns:a16="http://schemas.microsoft.com/office/drawing/2014/main" id="{FBE8792F-A0F8-4148-B788-2CCC116B4C4F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006" name="Line 3">
          <a:extLst>
            <a:ext uri="{FF2B5EF4-FFF2-40B4-BE49-F238E27FC236}">
              <a16:creationId xmlns:a16="http://schemas.microsoft.com/office/drawing/2014/main" id="{347AFC2B-2AC8-492E-AB0B-3E05B23D8A74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007" name="Line 4">
          <a:extLst>
            <a:ext uri="{FF2B5EF4-FFF2-40B4-BE49-F238E27FC236}">
              <a16:creationId xmlns:a16="http://schemas.microsoft.com/office/drawing/2014/main" id="{D3F6A9E6-7673-4F77-929B-C78CFF739188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008" name="Line 2">
          <a:extLst>
            <a:ext uri="{FF2B5EF4-FFF2-40B4-BE49-F238E27FC236}">
              <a16:creationId xmlns:a16="http://schemas.microsoft.com/office/drawing/2014/main" id="{5AC85A6C-9B9C-4EE3-A5F0-1EF52B9505B0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630</xdr:row>
      <xdr:rowOff>0</xdr:rowOff>
    </xdr:from>
    <xdr:to>
      <xdr:col>8</xdr:col>
      <xdr:colOff>180975</xdr:colOff>
      <xdr:row>630</xdr:row>
      <xdr:rowOff>0</xdr:rowOff>
    </xdr:to>
    <xdr:sp macro="" textlink="">
      <xdr:nvSpPr>
        <xdr:cNvPr id="1009" name="Line 3">
          <a:extLst>
            <a:ext uri="{FF2B5EF4-FFF2-40B4-BE49-F238E27FC236}">
              <a16:creationId xmlns:a16="http://schemas.microsoft.com/office/drawing/2014/main" id="{E97FBB7E-F00C-4C87-A264-2F9C45670160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635</xdr:row>
      <xdr:rowOff>0</xdr:rowOff>
    </xdr:from>
    <xdr:to>
      <xdr:col>8</xdr:col>
      <xdr:colOff>180975</xdr:colOff>
      <xdr:row>635</xdr:row>
      <xdr:rowOff>0</xdr:rowOff>
    </xdr:to>
    <xdr:sp macro="" textlink="">
      <xdr:nvSpPr>
        <xdr:cNvPr id="1010" name="Line 4">
          <a:extLst>
            <a:ext uri="{FF2B5EF4-FFF2-40B4-BE49-F238E27FC236}">
              <a16:creationId xmlns:a16="http://schemas.microsoft.com/office/drawing/2014/main" id="{06DB8809-05C0-4689-BBB2-00E33C4CD4CB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1011" name="Line 3">
          <a:extLst>
            <a:ext uri="{FF2B5EF4-FFF2-40B4-BE49-F238E27FC236}">
              <a16:creationId xmlns:a16="http://schemas.microsoft.com/office/drawing/2014/main" id="{D41EA250-2396-4B62-880C-DA0964FD22B7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703</xdr:row>
      <xdr:rowOff>0</xdr:rowOff>
    </xdr:from>
    <xdr:to>
      <xdr:col>8</xdr:col>
      <xdr:colOff>180975</xdr:colOff>
      <xdr:row>703</xdr:row>
      <xdr:rowOff>0</xdr:rowOff>
    </xdr:to>
    <xdr:sp macro="" textlink="">
      <xdr:nvSpPr>
        <xdr:cNvPr id="1012" name="Line 5">
          <a:extLst>
            <a:ext uri="{FF2B5EF4-FFF2-40B4-BE49-F238E27FC236}">
              <a16:creationId xmlns:a16="http://schemas.microsoft.com/office/drawing/2014/main" id="{4D5B8E82-A2F4-44FA-BBF5-864363D9FCD5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13" name="Line 2">
          <a:extLst>
            <a:ext uri="{FF2B5EF4-FFF2-40B4-BE49-F238E27FC236}">
              <a16:creationId xmlns:a16="http://schemas.microsoft.com/office/drawing/2014/main" id="{1C5F2E02-77E7-4916-8CD7-FD464FDEC1DD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14" name="Line 3">
          <a:extLst>
            <a:ext uri="{FF2B5EF4-FFF2-40B4-BE49-F238E27FC236}">
              <a16:creationId xmlns:a16="http://schemas.microsoft.com/office/drawing/2014/main" id="{40196C89-7FD7-454C-93B6-6A82529BA9A4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15" name="Line 4">
          <a:extLst>
            <a:ext uri="{FF2B5EF4-FFF2-40B4-BE49-F238E27FC236}">
              <a16:creationId xmlns:a16="http://schemas.microsoft.com/office/drawing/2014/main" id="{7D6EF7F3-EF6B-4156-AB7F-9A6518E9F2A4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1016" name="Line 5">
          <a:extLst>
            <a:ext uri="{FF2B5EF4-FFF2-40B4-BE49-F238E27FC236}">
              <a16:creationId xmlns:a16="http://schemas.microsoft.com/office/drawing/2014/main" id="{9B1520B2-96A6-4736-A4BE-EE408EAB5C2A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017" name="Line 7">
          <a:extLst>
            <a:ext uri="{FF2B5EF4-FFF2-40B4-BE49-F238E27FC236}">
              <a16:creationId xmlns:a16="http://schemas.microsoft.com/office/drawing/2014/main" id="{DBD60EE8-19D2-4D91-B9D3-9437F2F8CA7C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018" name="Line 2">
          <a:extLst>
            <a:ext uri="{FF2B5EF4-FFF2-40B4-BE49-F238E27FC236}">
              <a16:creationId xmlns:a16="http://schemas.microsoft.com/office/drawing/2014/main" id="{04101ED0-8596-45C2-97F1-FF6DBCA63230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019" name="Line 3">
          <a:extLst>
            <a:ext uri="{FF2B5EF4-FFF2-40B4-BE49-F238E27FC236}">
              <a16:creationId xmlns:a16="http://schemas.microsoft.com/office/drawing/2014/main" id="{467B71C7-629E-4A1F-95F6-3F0ACE354F7B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020" name="Line 4">
          <a:extLst>
            <a:ext uri="{FF2B5EF4-FFF2-40B4-BE49-F238E27FC236}">
              <a16:creationId xmlns:a16="http://schemas.microsoft.com/office/drawing/2014/main" id="{F16F5B40-ECBB-4499-9B95-6F3B2C4913EB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693</xdr:row>
      <xdr:rowOff>0</xdr:rowOff>
    </xdr:from>
    <xdr:to>
      <xdr:col>8</xdr:col>
      <xdr:colOff>180975</xdr:colOff>
      <xdr:row>693</xdr:row>
      <xdr:rowOff>0</xdr:rowOff>
    </xdr:to>
    <xdr:sp macro="" textlink="">
      <xdr:nvSpPr>
        <xdr:cNvPr id="1021" name="Line 5">
          <a:extLst>
            <a:ext uri="{FF2B5EF4-FFF2-40B4-BE49-F238E27FC236}">
              <a16:creationId xmlns:a16="http://schemas.microsoft.com/office/drawing/2014/main" id="{56D9818E-83A6-4BCD-8CEC-22E02A07EDB8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022" name="Line 2">
          <a:extLst>
            <a:ext uri="{FF2B5EF4-FFF2-40B4-BE49-F238E27FC236}">
              <a16:creationId xmlns:a16="http://schemas.microsoft.com/office/drawing/2014/main" id="{3D6D5D02-B508-4940-8698-8493A0687741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686</xdr:row>
      <xdr:rowOff>0</xdr:rowOff>
    </xdr:from>
    <xdr:to>
      <xdr:col>8</xdr:col>
      <xdr:colOff>180975</xdr:colOff>
      <xdr:row>686</xdr:row>
      <xdr:rowOff>0</xdr:rowOff>
    </xdr:to>
    <xdr:sp macro="" textlink="">
      <xdr:nvSpPr>
        <xdr:cNvPr id="1023" name="Line 3">
          <a:extLst>
            <a:ext uri="{FF2B5EF4-FFF2-40B4-BE49-F238E27FC236}">
              <a16:creationId xmlns:a16="http://schemas.microsoft.com/office/drawing/2014/main" id="{AEEDE9F2-916D-4046-AD83-15B503B3F9F9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24" name="Line 4">
          <a:extLst>
            <a:ext uri="{FF2B5EF4-FFF2-40B4-BE49-F238E27FC236}">
              <a16:creationId xmlns:a16="http://schemas.microsoft.com/office/drawing/2014/main" id="{0FBD5A62-9AEA-4A29-B8D5-2BC7AB8BB14F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025" name="Line 2">
          <a:extLst>
            <a:ext uri="{FF2B5EF4-FFF2-40B4-BE49-F238E27FC236}">
              <a16:creationId xmlns:a16="http://schemas.microsoft.com/office/drawing/2014/main" id="{8738FFBC-E096-4227-961C-784A5E821D16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026" name="Line 3">
          <a:extLst>
            <a:ext uri="{FF2B5EF4-FFF2-40B4-BE49-F238E27FC236}">
              <a16:creationId xmlns:a16="http://schemas.microsoft.com/office/drawing/2014/main" id="{7513B93F-52C1-47D5-BC76-7E013F76BFCE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027" name="Line 4">
          <a:extLst>
            <a:ext uri="{FF2B5EF4-FFF2-40B4-BE49-F238E27FC236}">
              <a16:creationId xmlns:a16="http://schemas.microsoft.com/office/drawing/2014/main" id="{44E1A628-FA8D-4A43-9506-4D34842DD31D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028" name="Line 2">
          <a:extLst>
            <a:ext uri="{FF2B5EF4-FFF2-40B4-BE49-F238E27FC236}">
              <a16:creationId xmlns:a16="http://schemas.microsoft.com/office/drawing/2014/main" id="{5E2587CC-0E2D-440C-959A-A95677C73C56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687</xdr:row>
      <xdr:rowOff>0</xdr:rowOff>
    </xdr:from>
    <xdr:to>
      <xdr:col>8</xdr:col>
      <xdr:colOff>180975</xdr:colOff>
      <xdr:row>687</xdr:row>
      <xdr:rowOff>0</xdr:rowOff>
    </xdr:to>
    <xdr:sp macro="" textlink="">
      <xdr:nvSpPr>
        <xdr:cNvPr id="1029" name="Line 3">
          <a:extLst>
            <a:ext uri="{FF2B5EF4-FFF2-40B4-BE49-F238E27FC236}">
              <a16:creationId xmlns:a16="http://schemas.microsoft.com/office/drawing/2014/main" id="{3FC920A8-788E-407D-8FC4-9D190361DB90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692</xdr:row>
      <xdr:rowOff>0</xdr:rowOff>
    </xdr:from>
    <xdr:to>
      <xdr:col>8</xdr:col>
      <xdr:colOff>180975</xdr:colOff>
      <xdr:row>692</xdr:row>
      <xdr:rowOff>0</xdr:rowOff>
    </xdr:to>
    <xdr:sp macro="" textlink="">
      <xdr:nvSpPr>
        <xdr:cNvPr id="1030" name="Line 4">
          <a:extLst>
            <a:ext uri="{FF2B5EF4-FFF2-40B4-BE49-F238E27FC236}">
              <a16:creationId xmlns:a16="http://schemas.microsoft.com/office/drawing/2014/main" id="{AA87D764-FB8F-490A-94B2-4AC3BA06E00D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1031" name="Line 3">
          <a:extLst>
            <a:ext uri="{FF2B5EF4-FFF2-40B4-BE49-F238E27FC236}">
              <a16:creationId xmlns:a16="http://schemas.microsoft.com/office/drawing/2014/main" id="{6A1406E6-23A6-4295-BAEF-DD63D921CD8C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763</xdr:row>
      <xdr:rowOff>0</xdr:rowOff>
    </xdr:from>
    <xdr:to>
      <xdr:col>8</xdr:col>
      <xdr:colOff>180975</xdr:colOff>
      <xdr:row>763</xdr:row>
      <xdr:rowOff>0</xdr:rowOff>
    </xdr:to>
    <xdr:sp macro="" textlink="">
      <xdr:nvSpPr>
        <xdr:cNvPr id="1032" name="Line 5">
          <a:extLst>
            <a:ext uri="{FF2B5EF4-FFF2-40B4-BE49-F238E27FC236}">
              <a16:creationId xmlns:a16="http://schemas.microsoft.com/office/drawing/2014/main" id="{93DC2DCA-9CC4-4171-9757-24CC2A6FB55D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33" name="Line 2">
          <a:extLst>
            <a:ext uri="{FF2B5EF4-FFF2-40B4-BE49-F238E27FC236}">
              <a16:creationId xmlns:a16="http://schemas.microsoft.com/office/drawing/2014/main" id="{55186121-70CF-4B91-972D-64DE7CA30879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34" name="Line 3">
          <a:extLst>
            <a:ext uri="{FF2B5EF4-FFF2-40B4-BE49-F238E27FC236}">
              <a16:creationId xmlns:a16="http://schemas.microsoft.com/office/drawing/2014/main" id="{F6700B37-452C-4835-92CC-A11F0FA674C1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35" name="Line 4">
          <a:extLst>
            <a:ext uri="{FF2B5EF4-FFF2-40B4-BE49-F238E27FC236}">
              <a16:creationId xmlns:a16="http://schemas.microsoft.com/office/drawing/2014/main" id="{13B15076-4130-432A-96B7-8F8EFB0DF740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1036" name="Line 5">
          <a:extLst>
            <a:ext uri="{FF2B5EF4-FFF2-40B4-BE49-F238E27FC236}">
              <a16:creationId xmlns:a16="http://schemas.microsoft.com/office/drawing/2014/main" id="{DDA5F293-889D-4075-85E3-DB7EFBBF2983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774</xdr:row>
      <xdr:rowOff>0</xdr:rowOff>
    </xdr:from>
    <xdr:to>
      <xdr:col>8</xdr:col>
      <xdr:colOff>180975</xdr:colOff>
      <xdr:row>774</xdr:row>
      <xdr:rowOff>0</xdr:rowOff>
    </xdr:to>
    <xdr:sp macro="" textlink="">
      <xdr:nvSpPr>
        <xdr:cNvPr id="1037" name="Line 7">
          <a:extLst>
            <a:ext uri="{FF2B5EF4-FFF2-40B4-BE49-F238E27FC236}">
              <a16:creationId xmlns:a16="http://schemas.microsoft.com/office/drawing/2014/main" id="{ACC70B25-8BB0-4B91-9652-485EE3D23EC3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038" name="Line 2">
          <a:extLst>
            <a:ext uri="{FF2B5EF4-FFF2-40B4-BE49-F238E27FC236}">
              <a16:creationId xmlns:a16="http://schemas.microsoft.com/office/drawing/2014/main" id="{374DFDF6-3BAB-4B2E-932C-3A3820FDC87D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039" name="Line 3">
          <a:extLst>
            <a:ext uri="{FF2B5EF4-FFF2-40B4-BE49-F238E27FC236}">
              <a16:creationId xmlns:a16="http://schemas.microsoft.com/office/drawing/2014/main" id="{4A479330-8E33-4273-804D-C170384D6A5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040" name="Line 4">
          <a:extLst>
            <a:ext uri="{FF2B5EF4-FFF2-40B4-BE49-F238E27FC236}">
              <a16:creationId xmlns:a16="http://schemas.microsoft.com/office/drawing/2014/main" id="{B23599B3-C427-41A5-B9B6-C36086D3CEB5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753</xdr:row>
      <xdr:rowOff>0</xdr:rowOff>
    </xdr:from>
    <xdr:to>
      <xdr:col>8</xdr:col>
      <xdr:colOff>180975</xdr:colOff>
      <xdr:row>753</xdr:row>
      <xdr:rowOff>0</xdr:rowOff>
    </xdr:to>
    <xdr:sp macro="" textlink="">
      <xdr:nvSpPr>
        <xdr:cNvPr id="1041" name="Line 5">
          <a:extLst>
            <a:ext uri="{FF2B5EF4-FFF2-40B4-BE49-F238E27FC236}">
              <a16:creationId xmlns:a16="http://schemas.microsoft.com/office/drawing/2014/main" id="{894225A0-17FA-4A50-A567-AC8E944CD4C3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042" name="Line 2">
          <a:extLst>
            <a:ext uri="{FF2B5EF4-FFF2-40B4-BE49-F238E27FC236}">
              <a16:creationId xmlns:a16="http://schemas.microsoft.com/office/drawing/2014/main" id="{B984B104-6BB8-4E5B-B996-73586BD362C6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746</xdr:row>
      <xdr:rowOff>0</xdr:rowOff>
    </xdr:from>
    <xdr:to>
      <xdr:col>8</xdr:col>
      <xdr:colOff>180975</xdr:colOff>
      <xdr:row>746</xdr:row>
      <xdr:rowOff>0</xdr:rowOff>
    </xdr:to>
    <xdr:sp macro="" textlink="">
      <xdr:nvSpPr>
        <xdr:cNvPr id="1043" name="Line 3">
          <a:extLst>
            <a:ext uri="{FF2B5EF4-FFF2-40B4-BE49-F238E27FC236}">
              <a16:creationId xmlns:a16="http://schemas.microsoft.com/office/drawing/2014/main" id="{FC7F6FB2-3BEA-4DF4-B2A8-00BB6557BCD4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44" name="Line 4">
          <a:extLst>
            <a:ext uri="{FF2B5EF4-FFF2-40B4-BE49-F238E27FC236}">
              <a16:creationId xmlns:a16="http://schemas.microsoft.com/office/drawing/2014/main" id="{A46262D3-BD36-4B6E-98BA-5E3A03B64DA2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045" name="Line 2">
          <a:extLst>
            <a:ext uri="{FF2B5EF4-FFF2-40B4-BE49-F238E27FC236}">
              <a16:creationId xmlns:a16="http://schemas.microsoft.com/office/drawing/2014/main" id="{A77BA078-B2A0-4AF9-A500-5D3BAF7F79FD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046" name="Line 3">
          <a:extLst>
            <a:ext uri="{FF2B5EF4-FFF2-40B4-BE49-F238E27FC236}">
              <a16:creationId xmlns:a16="http://schemas.microsoft.com/office/drawing/2014/main" id="{E7264DEE-3B01-42DD-B013-CAB3CAFA9BC1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047" name="Line 4">
          <a:extLst>
            <a:ext uri="{FF2B5EF4-FFF2-40B4-BE49-F238E27FC236}">
              <a16:creationId xmlns:a16="http://schemas.microsoft.com/office/drawing/2014/main" id="{A36059A2-CC43-47DC-8A90-8BAAC3AA546C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048" name="Line 2">
          <a:extLst>
            <a:ext uri="{FF2B5EF4-FFF2-40B4-BE49-F238E27FC236}">
              <a16:creationId xmlns:a16="http://schemas.microsoft.com/office/drawing/2014/main" id="{B49C4EB6-C77B-402A-9BD7-3666BE155539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747</xdr:row>
      <xdr:rowOff>0</xdr:rowOff>
    </xdr:from>
    <xdr:to>
      <xdr:col>8</xdr:col>
      <xdr:colOff>180975</xdr:colOff>
      <xdr:row>747</xdr:row>
      <xdr:rowOff>0</xdr:rowOff>
    </xdr:to>
    <xdr:sp macro="" textlink="">
      <xdr:nvSpPr>
        <xdr:cNvPr id="1049" name="Line 3">
          <a:extLst>
            <a:ext uri="{FF2B5EF4-FFF2-40B4-BE49-F238E27FC236}">
              <a16:creationId xmlns:a16="http://schemas.microsoft.com/office/drawing/2014/main" id="{BE73241E-4DF4-455C-9E72-1E497ED00D93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752</xdr:row>
      <xdr:rowOff>0</xdr:rowOff>
    </xdr:from>
    <xdr:to>
      <xdr:col>8</xdr:col>
      <xdr:colOff>180975</xdr:colOff>
      <xdr:row>752</xdr:row>
      <xdr:rowOff>0</xdr:rowOff>
    </xdr:to>
    <xdr:sp macro="" textlink="">
      <xdr:nvSpPr>
        <xdr:cNvPr id="1050" name="Line 4">
          <a:extLst>
            <a:ext uri="{FF2B5EF4-FFF2-40B4-BE49-F238E27FC236}">
              <a16:creationId xmlns:a16="http://schemas.microsoft.com/office/drawing/2014/main" id="{4BE0310B-647E-4328-A250-C62B524959F5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</xdr:row>
      <xdr:rowOff>0</xdr:rowOff>
    </xdr:from>
    <xdr:to>
      <xdr:col>8</xdr:col>
      <xdr:colOff>180975</xdr:colOff>
      <xdr:row>55</xdr:row>
      <xdr:rowOff>0</xdr:rowOff>
    </xdr:to>
    <xdr:sp macro="" textlink="">
      <xdr:nvSpPr>
        <xdr:cNvPr id="1051" name="Line 2">
          <a:extLst>
            <a:ext uri="{FF2B5EF4-FFF2-40B4-BE49-F238E27FC236}">
              <a16:creationId xmlns:a16="http://schemas.microsoft.com/office/drawing/2014/main" id="{ED1678D6-140F-4503-869C-B71E285CEB0D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052" name="Line 3">
          <a:extLst>
            <a:ext uri="{FF2B5EF4-FFF2-40B4-BE49-F238E27FC236}">
              <a16:creationId xmlns:a16="http://schemas.microsoft.com/office/drawing/2014/main" id="{7DE98F70-D7FC-4023-BACF-D387C6EBEA7F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053" name="Line 5">
          <a:extLst>
            <a:ext uri="{FF2B5EF4-FFF2-40B4-BE49-F238E27FC236}">
              <a16:creationId xmlns:a16="http://schemas.microsoft.com/office/drawing/2014/main" id="{98A6D86A-73F7-40EE-9541-D25D851C1E7E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1054" name="Line 2">
          <a:extLst>
            <a:ext uri="{FF2B5EF4-FFF2-40B4-BE49-F238E27FC236}">
              <a16:creationId xmlns:a16="http://schemas.microsoft.com/office/drawing/2014/main" id="{B52D6A05-5CAD-440A-8797-5F4F37F82148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055" name="Line 3">
          <a:extLst>
            <a:ext uri="{FF2B5EF4-FFF2-40B4-BE49-F238E27FC236}">
              <a16:creationId xmlns:a16="http://schemas.microsoft.com/office/drawing/2014/main" id="{803F5DE8-306C-4074-9AC4-7998B40EA50B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056" name="Line 5">
          <a:extLst>
            <a:ext uri="{FF2B5EF4-FFF2-40B4-BE49-F238E27FC236}">
              <a16:creationId xmlns:a16="http://schemas.microsoft.com/office/drawing/2014/main" id="{1D78FB45-6FDA-4708-940B-9614D9BB3AF4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057" name="Line 2">
          <a:extLst>
            <a:ext uri="{FF2B5EF4-FFF2-40B4-BE49-F238E27FC236}">
              <a16:creationId xmlns:a16="http://schemas.microsoft.com/office/drawing/2014/main" id="{213323AF-AB50-4C53-BFAE-009AEC4B4CA8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058" name="Line 3">
          <a:extLst>
            <a:ext uri="{FF2B5EF4-FFF2-40B4-BE49-F238E27FC236}">
              <a16:creationId xmlns:a16="http://schemas.microsoft.com/office/drawing/2014/main" id="{CE5D9A9F-FB6B-473A-87BA-0BF9C70BA448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059" name="Line 4">
          <a:extLst>
            <a:ext uri="{FF2B5EF4-FFF2-40B4-BE49-F238E27FC236}">
              <a16:creationId xmlns:a16="http://schemas.microsoft.com/office/drawing/2014/main" id="{110FC734-DEA4-4C94-A938-DB8DDEDCC7BB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105</xdr:row>
      <xdr:rowOff>0</xdr:rowOff>
    </xdr:from>
    <xdr:to>
      <xdr:col>8</xdr:col>
      <xdr:colOff>180975</xdr:colOff>
      <xdr:row>105</xdr:row>
      <xdr:rowOff>0</xdr:rowOff>
    </xdr:to>
    <xdr:sp macro="" textlink="">
      <xdr:nvSpPr>
        <xdr:cNvPr id="1060" name="Line 7">
          <a:extLst>
            <a:ext uri="{FF2B5EF4-FFF2-40B4-BE49-F238E27FC236}">
              <a16:creationId xmlns:a16="http://schemas.microsoft.com/office/drawing/2014/main" id="{2FB21437-27F1-4C4F-BB1C-D2D86CA9A33B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160</xdr:row>
      <xdr:rowOff>0</xdr:rowOff>
    </xdr:from>
    <xdr:to>
      <xdr:col>8</xdr:col>
      <xdr:colOff>180975</xdr:colOff>
      <xdr:row>160</xdr:row>
      <xdr:rowOff>0</xdr:rowOff>
    </xdr:to>
    <xdr:sp macro="" textlink="">
      <xdr:nvSpPr>
        <xdr:cNvPr id="1061" name="Line 2">
          <a:extLst>
            <a:ext uri="{FF2B5EF4-FFF2-40B4-BE49-F238E27FC236}">
              <a16:creationId xmlns:a16="http://schemas.microsoft.com/office/drawing/2014/main" id="{5324120E-4969-4264-A38D-A9F3F6FD0F58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062" name="Line 3">
          <a:extLst>
            <a:ext uri="{FF2B5EF4-FFF2-40B4-BE49-F238E27FC236}">
              <a16:creationId xmlns:a16="http://schemas.microsoft.com/office/drawing/2014/main" id="{31ACAA50-9402-4867-A4FF-4C488582A3C5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063" name="Line 5">
          <a:extLst>
            <a:ext uri="{FF2B5EF4-FFF2-40B4-BE49-F238E27FC236}">
              <a16:creationId xmlns:a16="http://schemas.microsoft.com/office/drawing/2014/main" id="{540DF7E0-A12A-422A-83A8-9660CF9869F3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064" name="Line 2">
          <a:extLst>
            <a:ext uri="{FF2B5EF4-FFF2-40B4-BE49-F238E27FC236}">
              <a16:creationId xmlns:a16="http://schemas.microsoft.com/office/drawing/2014/main" id="{39B68E6D-F8EF-4370-A8E9-1A01F30BE796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065" name="Line 3">
          <a:extLst>
            <a:ext uri="{FF2B5EF4-FFF2-40B4-BE49-F238E27FC236}">
              <a16:creationId xmlns:a16="http://schemas.microsoft.com/office/drawing/2014/main" id="{6627F2D6-4551-4F4A-AEEC-2579C9E31CBD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066" name="Line 4">
          <a:extLst>
            <a:ext uri="{FF2B5EF4-FFF2-40B4-BE49-F238E27FC236}">
              <a16:creationId xmlns:a16="http://schemas.microsoft.com/office/drawing/2014/main" id="{11DA800E-218E-4B27-A300-FB339FE79553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067" name="Line 5">
          <a:extLst>
            <a:ext uri="{FF2B5EF4-FFF2-40B4-BE49-F238E27FC236}">
              <a16:creationId xmlns:a16="http://schemas.microsoft.com/office/drawing/2014/main" id="{3798A6F1-EF3D-430C-AEEC-AACFEF5B682C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068" name="Line 2">
          <a:extLst>
            <a:ext uri="{FF2B5EF4-FFF2-40B4-BE49-F238E27FC236}">
              <a16:creationId xmlns:a16="http://schemas.microsoft.com/office/drawing/2014/main" id="{E673D91C-3239-45BA-A65D-B881E59B2F8B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069" name="Line 3">
          <a:extLst>
            <a:ext uri="{FF2B5EF4-FFF2-40B4-BE49-F238E27FC236}">
              <a16:creationId xmlns:a16="http://schemas.microsoft.com/office/drawing/2014/main" id="{FACA5DE7-16AE-46C5-9572-B3B450C55D0D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070" name="Line 4">
          <a:extLst>
            <a:ext uri="{FF2B5EF4-FFF2-40B4-BE49-F238E27FC236}">
              <a16:creationId xmlns:a16="http://schemas.microsoft.com/office/drawing/2014/main" id="{1EA788BD-5782-4D50-89AC-F37D1E4DA454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071" name="Line 5">
          <a:extLst>
            <a:ext uri="{FF2B5EF4-FFF2-40B4-BE49-F238E27FC236}">
              <a16:creationId xmlns:a16="http://schemas.microsoft.com/office/drawing/2014/main" id="{5BA7B439-FF17-4205-B42C-9EA9BE9318BA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072" name="Line 2">
          <a:extLst>
            <a:ext uri="{FF2B5EF4-FFF2-40B4-BE49-F238E27FC236}">
              <a16:creationId xmlns:a16="http://schemas.microsoft.com/office/drawing/2014/main" id="{B8A67517-D3D7-48F7-A2AA-665780305378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073" name="Line 3">
          <a:extLst>
            <a:ext uri="{FF2B5EF4-FFF2-40B4-BE49-F238E27FC236}">
              <a16:creationId xmlns:a16="http://schemas.microsoft.com/office/drawing/2014/main" id="{89272A0A-F552-4BEE-99ED-5A8B87787010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074" name="Line 5">
          <a:extLst>
            <a:ext uri="{FF2B5EF4-FFF2-40B4-BE49-F238E27FC236}">
              <a16:creationId xmlns:a16="http://schemas.microsoft.com/office/drawing/2014/main" id="{F7ED006F-C4BF-4273-92E0-D4A403BF1008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75" name="Line 2">
          <a:extLst>
            <a:ext uri="{FF2B5EF4-FFF2-40B4-BE49-F238E27FC236}">
              <a16:creationId xmlns:a16="http://schemas.microsoft.com/office/drawing/2014/main" id="{44F5763E-9651-493D-B9DE-A3918C7F0D06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76" name="Line 3">
          <a:extLst>
            <a:ext uri="{FF2B5EF4-FFF2-40B4-BE49-F238E27FC236}">
              <a16:creationId xmlns:a16="http://schemas.microsoft.com/office/drawing/2014/main" id="{A8BAE33A-2922-4415-97BC-5DD91F6611EE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77" name="Line 4">
          <a:extLst>
            <a:ext uri="{FF2B5EF4-FFF2-40B4-BE49-F238E27FC236}">
              <a16:creationId xmlns:a16="http://schemas.microsoft.com/office/drawing/2014/main" id="{11F2885C-7517-4D8F-B8AA-1324853DF942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078" name="Line 5">
          <a:extLst>
            <a:ext uri="{FF2B5EF4-FFF2-40B4-BE49-F238E27FC236}">
              <a16:creationId xmlns:a16="http://schemas.microsoft.com/office/drawing/2014/main" id="{78B6FE5B-94BC-47E3-B77D-22C8B42CB05C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079" name="Line 2">
          <a:extLst>
            <a:ext uri="{FF2B5EF4-FFF2-40B4-BE49-F238E27FC236}">
              <a16:creationId xmlns:a16="http://schemas.microsoft.com/office/drawing/2014/main" id="{0B8D7740-9425-4685-9AAF-3361796C92A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080" name="Line 3">
          <a:extLst>
            <a:ext uri="{FF2B5EF4-FFF2-40B4-BE49-F238E27FC236}">
              <a16:creationId xmlns:a16="http://schemas.microsoft.com/office/drawing/2014/main" id="{80BC8FDA-B72E-49E0-A83A-CBB795F9E15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081" name="Line 4">
          <a:extLst>
            <a:ext uri="{FF2B5EF4-FFF2-40B4-BE49-F238E27FC236}">
              <a16:creationId xmlns:a16="http://schemas.microsoft.com/office/drawing/2014/main" id="{232FD13D-706B-42A7-A904-E913EB003162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082" name="Line 5">
          <a:extLst>
            <a:ext uri="{FF2B5EF4-FFF2-40B4-BE49-F238E27FC236}">
              <a16:creationId xmlns:a16="http://schemas.microsoft.com/office/drawing/2014/main" id="{61F9F1EF-98B4-40C5-837B-C5B4B392A178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083" name="Line 2">
          <a:extLst>
            <a:ext uri="{FF2B5EF4-FFF2-40B4-BE49-F238E27FC236}">
              <a16:creationId xmlns:a16="http://schemas.microsoft.com/office/drawing/2014/main" id="{BD89A9B1-C783-41D0-B42B-8BF0760E69FE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084" name="Line 3">
          <a:extLst>
            <a:ext uri="{FF2B5EF4-FFF2-40B4-BE49-F238E27FC236}">
              <a16:creationId xmlns:a16="http://schemas.microsoft.com/office/drawing/2014/main" id="{1F011ACC-D652-4021-A83D-61416C0A48F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085" name="Line 4">
          <a:extLst>
            <a:ext uri="{FF2B5EF4-FFF2-40B4-BE49-F238E27FC236}">
              <a16:creationId xmlns:a16="http://schemas.microsoft.com/office/drawing/2014/main" id="{6D3EA216-3703-40AA-92FD-0694F31EA126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086" name="Line 5">
          <a:extLst>
            <a:ext uri="{FF2B5EF4-FFF2-40B4-BE49-F238E27FC236}">
              <a16:creationId xmlns:a16="http://schemas.microsoft.com/office/drawing/2014/main" id="{878A6749-183C-43D0-906F-A357E3B7C96C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087" name="Line 7">
          <a:extLst>
            <a:ext uri="{FF2B5EF4-FFF2-40B4-BE49-F238E27FC236}">
              <a16:creationId xmlns:a16="http://schemas.microsoft.com/office/drawing/2014/main" id="{D18B271C-E336-4180-9C7B-75B270A69FA7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088" name="Line 8">
          <a:extLst>
            <a:ext uri="{FF2B5EF4-FFF2-40B4-BE49-F238E27FC236}">
              <a16:creationId xmlns:a16="http://schemas.microsoft.com/office/drawing/2014/main" id="{E9016E96-7051-4512-8641-71126F27A62A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089" name="Rectangle 7">
          <a:extLst>
            <a:ext uri="{FF2B5EF4-FFF2-40B4-BE49-F238E27FC236}">
              <a16:creationId xmlns:a16="http://schemas.microsoft.com/office/drawing/2014/main" id="{20ECE6F4-A454-4922-8444-164DB9CF2A11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090" name="Rectangle 8">
          <a:extLst>
            <a:ext uri="{FF2B5EF4-FFF2-40B4-BE49-F238E27FC236}">
              <a16:creationId xmlns:a16="http://schemas.microsoft.com/office/drawing/2014/main" id="{925F9BD8-3122-4257-B2CF-48465C92A649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091" name="Line 2">
          <a:extLst>
            <a:ext uri="{FF2B5EF4-FFF2-40B4-BE49-F238E27FC236}">
              <a16:creationId xmlns:a16="http://schemas.microsoft.com/office/drawing/2014/main" id="{921F5E7C-C545-4D09-B5F8-C198F02BD592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092" name="Line 3">
          <a:extLst>
            <a:ext uri="{FF2B5EF4-FFF2-40B4-BE49-F238E27FC236}">
              <a16:creationId xmlns:a16="http://schemas.microsoft.com/office/drawing/2014/main" id="{6A38CE74-0029-4A5D-81B7-2940D24F3F48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093" name="Line 5">
          <a:extLst>
            <a:ext uri="{FF2B5EF4-FFF2-40B4-BE49-F238E27FC236}">
              <a16:creationId xmlns:a16="http://schemas.microsoft.com/office/drawing/2014/main" id="{B03C10B2-A8B1-4666-A178-5ABF73D3F9BB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94" name="Line 2">
          <a:extLst>
            <a:ext uri="{FF2B5EF4-FFF2-40B4-BE49-F238E27FC236}">
              <a16:creationId xmlns:a16="http://schemas.microsoft.com/office/drawing/2014/main" id="{8A28A22F-5B10-40D1-9996-3FF3933D0DB1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95" name="Line 3">
          <a:extLst>
            <a:ext uri="{FF2B5EF4-FFF2-40B4-BE49-F238E27FC236}">
              <a16:creationId xmlns:a16="http://schemas.microsoft.com/office/drawing/2014/main" id="{CB655B78-2202-404A-A2B3-FFF9D2D9C117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96" name="Line 4">
          <a:extLst>
            <a:ext uri="{FF2B5EF4-FFF2-40B4-BE49-F238E27FC236}">
              <a16:creationId xmlns:a16="http://schemas.microsoft.com/office/drawing/2014/main" id="{E95C367F-095D-4FB4-9754-0716D8E212BF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097" name="Line 5">
          <a:extLst>
            <a:ext uri="{FF2B5EF4-FFF2-40B4-BE49-F238E27FC236}">
              <a16:creationId xmlns:a16="http://schemas.microsoft.com/office/drawing/2014/main" id="{91CE7383-1E66-4CF1-8702-7AB67657242B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098" name="Line 2">
          <a:extLst>
            <a:ext uri="{FF2B5EF4-FFF2-40B4-BE49-F238E27FC236}">
              <a16:creationId xmlns:a16="http://schemas.microsoft.com/office/drawing/2014/main" id="{B842AA71-4ADA-4CA4-A93E-DED19541F9C8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099" name="Line 3">
          <a:extLst>
            <a:ext uri="{FF2B5EF4-FFF2-40B4-BE49-F238E27FC236}">
              <a16:creationId xmlns:a16="http://schemas.microsoft.com/office/drawing/2014/main" id="{63882D8A-4D62-4620-8DA6-8D05F2830DDB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100" name="Line 4">
          <a:extLst>
            <a:ext uri="{FF2B5EF4-FFF2-40B4-BE49-F238E27FC236}">
              <a16:creationId xmlns:a16="http://schemas.microsoft.com/office/drawing/2014/main" id="{1766A018-7746-45DA-B9D1-6B876BB0E703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101" name="Line 5">
          <a:extLst>
            <a:ext uri="{FF2B5EF4-FFF2-40B4-BE49-F238E27FC236}">
              <a16:creationId xmlns:a16="http://schemas.microsoft.com/office/drawing/2014/main" id="{0599B500-BD54-4E28-8AFD-A34EDB4AD8F4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102" name="Line 2">
          <a:extLst>
            <a:ext uri="{FF2B5EF4-FFF2-40B4-BE49-F238E27FC236}">
              <a16:creationId xmlns:a16="http://schemas.microsoft.com/office/drawing/2014/main" id="{DA9E9111-C589-43A1-9BFF-C8F945C320B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103" name="Line 3">
          <a:extLst>
            <a:ext uri="{FF2B5EF4-FFF2-40B4-BE49-F238E27FC236}">
              <a16:creationId xmlns:a16="http://schemas.microsoft.com/office/drawing/2014/main" id="{98556617-4534-4F2D-80D0-1BE146457BF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104" name="Line 4">
          <a:extLst>
            <a:ext uri="{FF2B5EF4-FFF2-40B4-BE49-F238E27FC236}">
              <a16:creationId xmlns:a16="http://schemas.microsoft.com/office/drawing/2014/main" id="{4683FFA2-A37E-4A1D-A261-30D15692A4AF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105" name="Line 5">
          <a:extLst>
            <a:ext uri="{FF2B5EF4-FFF2-40B4-BE49-F238E27FC236}">
              <a16:creationId xmlns:a16="http://schemas.microsoft.com/office/drawing/2014/main" id="{812584F5-52B0-4444-9B2E-14B8D665D005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106" name="Line 7">
          <a:extLst>
            <a:ext uri="{FF2B5EF4-FFF2-40B4-BE49-F238E27FC236}">
              <a16:creationId xmlns:a16="http://schemas.microsoft.com/office/drawing/2014/main" id="{3085FC35-7312-4FF7-81F4-B44176A2A370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107" name="Line 8">
          <a:extLst>
            <a:ext uri="{FF2B5EF4-FFF2-40B4-BE49-F238E27FC236}">
              <a16:creationId xmlns:a16="http://schemas.microsoft.com/office/drawing/2014/main" id="{20C50FE1-4591-487B-B37E-B3DAD288A23F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108" name="Rectangle 7">
          <a:extLst>
            <a:ext uri="{FF2B5EF4-FFF2-40B4-BE49-F238E27FC236}">
              <a16:creationId xmlns:a16="http://schemas.microsoft.com/office/drawing/2014/main" id="{A0F835F6-FB36-44C1-9581-795B6B2236BE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109" name="Rectangle 8">
          <a:extLst>
            <a:ext uri="{FF2B5EF4-FFF2-40B4-BE49-F238E27FC236}">
              <a16:creationId xmlns:a16="http://schemas.microsoft.com/office/drawing/2014/main" id="{15EFAB80-9BD4-4917-A223-E53B5EE1A7EB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110" name="Line 3">
          <a:extLst>
            <a:ext uri="{FF2B5EF4-FFF2-40B4-BE49-F238E27FC236}">
              <a16:creationId xmlns:a16="http://schemas.microsoft.com/office/drawing/2014/main" id="{C23DAF41-F69F-43C5-BE88-164B0B1D37C8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111" name="Line 5">
          <a:extLst>
            <a:ext uri="{FF2B5EF4-FFF2-40B4-BE49-F238E27FC236}">
              <a16:creationId xmlns:a16="http://schemas.microsoft.com/office/drawing/2014/main" id="{4F29383D-094E-4E5D-A9AA-92CF9D92971F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12" name="Line 2">
          <a:extLst>
            <a:ext uri="{FF2B5EF4-FFF2-40B4-BE49-F238E27FC236}">
              <a16:creationId xmlns:a16="http://schemas.microsoft.com/office/drawing/2014/main" id="{C9330DA9-1BCC-4686-8838-7413EE89C83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13" name="Line 3">
          <a:extLst>
            <a:ext uri="{FF2B5EF4-FFF2-40B4-BE49-F238E27FC236}">
              <a16:creationId xmlns:a16="http://schemas.microsoft.com/office/drawing/2014/main" id="{8EF44820-B6E3-4E40-A5A1-6AD67CD729FC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14" name="Line 4">
          <a:extLst>
            <a:ext uri="{FF2B5EF4-FFF2-40B4-BE49-F238E27FC236}">
              <a16:creationId xmlns:a16="http://schemas.microsoft.com/office/drawing/2014/main" id="{DF8CFB7C-5F1D-4F0F-9076-3D22651B3C72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115" name="Line 5">
          <a:extLst>
            <a:ext uri="{FF2B5EF4-FFF2-40B4-BE49-F238E27FC236}">
              <a16:creationId xmlns:a16="http://schemas.microsoft.com/office/drawing/2014/main" id="{D6A4D19C-6289-4592-8DD5-DA366115E707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1116" name="Line 7">
          <a:extLst>
            <a:ext uri="{FF2B5EF4-FFF2-40B4-BE49-F238E27FC236}">
              <a16:creationId xmlns:a16="http://schemas.microsoft.com/office/drawing/2014/main" id="{21FB04C6-9ECC-47AB-AEFC-A8AF7531909A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117" name="Line 2">
          <a:extLst>
            <a:ext uri="{FF2B5EF4-FFF2-40B4-BE49-F238E27FC236}">
              <a16:creationId xmlns:a16="http://schemas.microsoft.com/office/drawing/2014/main" id="{DC2D7857-FDFF-4D0A-B870-19B6A04C4371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118" name="Line 3">
          <a:extLst>
            <a:ext uri="{FF2B5EF4-FFF2-40B4-BE49-F238E27FC236}">
              <a16:creationId xmlns:a16="http://schemas.microsoft.com/office/drawing/2014/main" id="{34F506B4-1BE9-4436-B1B1-170748C62DF2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119" name="Line 4">
          <a:extLst>
            <a:ext uri="{FF2B5EF4-FFF2-40B4-BE49-F238E27FC236}">
              <a16:creationId xmlns:a16="http://schemas.microsoft.com/office/drawing/2014/main" id="{A2D504BE-12D1-4143-9580-D299D3829C16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120" name="Line 5">
          <a:extLst>
            <a:ext uri="{FF2B5EF4-FFF2-40B4-BE49-F238E27FC236}">
              <a16:creationId xmlns:a16="http://schemas.microsoft.com/office/drawing/2014/main" id="{A1D5D47F-CA90-4318-826C-34ECEDC57E97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121" name="Line 2">
          <a:extLst>
            <a:ext uri="{FF2B5EF4-FFF2-40B4-BE49-F238E27FC236}">
              <a16:creationId xmlns:a16="http://schemas.microsoft.com/office/drawing/2014/main" id="{32C04A31-F092-4AF2-8DB3-D7882D238984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122" name="Line 3">
          <a:extLst>
            <a:ext uri="{FF2B5EF4-FFF2-40B4-BE49-F238E27FC236}">
              <a16:creationId xmlns:a16="http://schemas.microsoft.com/office/drawing/2014/main" id="{2B95BA7E-BDE9-4BA6-BCB5-6CAA0C00BED9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23" name="Line 4">
          <a:extLst>
            <a:ext uri="{FF2B5EF4-FFF2-40B4-BE49-F238E27FC236}">
              <a16:creationId xmlns:a16="http://schemas.microsoft.com/office/drawing/2014/main" id="{2F33444C-C66C-44F3-822F-B221205F9BE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379</xdr:row>
      <xdr:rowOff>0</xdr:rowOff>
    </xdr:from>
    <xdr:to>
      <xdr:col>8</xdr:col>
      <xdr:colOff>180975</xdr:colOff>
      <xdr:row>379</xdr:row>
      <xdr:rowOff>0</xdr:rowOff>
    </xdr:to>
    <xdr:sp macro="" textlink="">
      <xdr:nvSpPr>
        <xdr:cNvPr id="1124" name="Line 5">
          <a:extLst>
            <a:ext uri="{FF2B5EF4-FFF2-40B4-BE49-F238E27FC236}">
              <a16:creationId xmlns:a16="http://schemas.microsoft.com/office/drawing/2014/main" id="{9797E8FF-9894-4343-B28F-3670D4C2875A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367</xdr:row>
      <xdr:rowOff>0</xdr:rowOff>
    </xdr:from>
    <xdr:to>
      <xdr:col>8</xdr:col>
      <xdr:colOff>180975</xdr:colOff>
      <xdr:row>367</xdr:row>
      <xdr:rowOff>0</xdr:rowOff>
    </xdr:to>
    <xdr:sp macro="" textlink="">
      <xdr:nvSpPr>
        <xdr:cNvPr id="1125" name="Line 7">
          <a:extLst>
            <a:ext uri="{FF2B5EF4-FFF2-40B4-BE49-F238E27FC236}">
              <a16:creationId xmlns:a16="http://schemas.microsoft.com/office/drawing/2014/main" id="{8045290A-D066-4192-BBC9-2AD740542FE6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126" name="Line 3">
          <a:extLst>
            <a:ext uri="{FF2B5EF4-FFF2-40B4-BE49-F238E27FC236}">
              <a16:creationId xmlns:a16="http://schemas.microsoft.com/office/drawing/2014/main" id="{BA742F5D-5C96-40D6-81CA-84E90E7D2CD0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127" name="Line 5">
          <a:extLst>
            <a:ext uri="{FF2B5EF4-FFF2-40B4-BE49-F238E27FC236}">
              <a16:creationId xmlns:a16="http://schemas.microsoft.com/office/drawing/2014/main" id="{0D837BD3-CE71-44D6-A475-509AF2E5248A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28" name="Line 2">
          <a:extLst>
            <a:ext uri="{FF2B5EF4-FFF2-40B4-BE49-F238E27FC236}">
              <a16:creationId xmlns:a16="http://schemas.microsoft.com/office/drawing/2014/main" id="{14268694-CE0C-41EC-9EE7-4000F2A8B688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29" name="Line 3">
          <a:extLst>
            <a:ext uri="{FF2B5EF4-FFF2-40B4-BE49-F238E27FC236}">
              <a16:creationId xmlns:a16="http://schemas.microsoft.com/office/drawing/2014/main" id="{9076A641-2611-48D3-BA73-4A26F4760D02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30" name="Line 4">
          <a:extLst>
            <a:ext uri="{FF2B5EF4-FFF2-40B4-BE49-F238E27FC236}">
              <a16:creationId xmlns:a16="http://schemas.microsoft.com/office/drawing/2014/main" id="{3368A782-B64D-4C05-AB00-B10AD00AB4A6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131" name="Line 5">
          <a:extLst>
            <a:ext uri="{FF2B5EF4-FFF2-40B4-BE49-F238E27FC236}">
              <a16:creationId xmlns:a16="http://schemas.microsoft.com/office/drawing/2014/main" id="{EE5A3653-C216-436C-B883-1F1F065A8CCB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132" name="Line 2">
          <a:extLst>
            <a:ext uri="{FF2B5EF4-FFF2-40B4-BE49-F238E27FC236}">
              <a16:creationId xmlns:a16="http://schemas.microsoft.com/office/drawing/2014/main" id="{0CA6D765-21E6-43C3-8F99-500AFCCDD581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133" name="Line 3">
          <a:extLst>
            <a:ext uri="{FF2B5EF4-FFF2-40B4-BE49-F238E27FC236}">
              <a16:creationId xmlns:a16="http://schemas.microsoft.com/office/drawing/2014/main" id="{A481EA45-717A-408D-B3E9-DB04118DDB43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134" name="Line 4">
          <a:extLst>
            <a:ext uri="{FF2B5EF4-FFF2-40B4-BE49-F238E27FC236}">
              <a16:creationId xmlns:a16="http://schemas.microsoft.com/office/drawing/2014/main" id="{5421A150-306F-4537-B3E5-D738C74E0463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135" name="Line 5">
          <a:extLst>
            <a:ext uri="{FF2B5EF4-FFF2-40B4-BE49-F238E27FC236}">
              <a16:creationId xmlns:a16="http://schemas.microsoft.com/office/drawing/2014/main" id="{C43F9368-5150-45CE-AC99-DD129DE427BC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136" name="Line 2">
          <a:extLst>
            <a:ext uri="{FF2B5EF4-FFF2-40B4-BE49-F238E27FC236}">
              <a16:creationId xmlns:a16="http://schemas.microsoft.com/office/drawing/2014/main" id="{E8E5DA68-D10F-42AA-9DB9-06F93AF2A35C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137" name="Line 3">
          <a:extLst>
            <a:ext uri="{FF2B5EF4-FFF2-40B4-BE49-F238E27FC236}">
              <a16:creationId xmlns:a16="http://schemas.microsoft.com/office/drawing/2014/main" id="{8BCC28D5-5F69-4F49-BC0D-856C1F579130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38" name="Line 4">
          <a:extLst>
            <a:ext uri="{FF2B5EF4-FFF2-40B4-BE49-F238E27FC236}">
              <a16:creationId xmlns:a16="http://schemas.microsoft.com/office/drawing/2014/main" id="{F940A0A1-BCF8-4F11-BB79-F89099F34E80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483</xdr:row>
      <xdr:rowOff>0</xdr:rowOff>
    </xdr:from>
    <xdr:to>
      <xdr:col>8</xdr:col>
      <xdr:colOff>180975</xdr:colOff>
      <xdr:row>483</xdr:row>
      <xdr:rowOff>0</xdr:rowOff>
    </xdr:to>
    <xdr:sp macro="" textlink="">
      <xdr:nvSpPr>
        <xdr:cNvPr id="1139" name="Line 5">
          <a:extLst>
            <a:ext uri="{FF2B5EF4-FFF2-40B4-BE49-F238E27FC236}">
              <a16:creationId xmlns:a16="http://schemas.microsoft.com/office/drawing/2014/main" id="{80A433A2-6DEB-4158-A25E-546EFF18E582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140" name="Line 7">
          <a:extLst>
            <a:ext uri="{FF2B5EF4-FFF2-40B4-BE49-F238E27FC236}">
              <a16:creationId xmlns:a16="http://schemas.microsoft.com/office/drawing/2014/main" id="{B49D987F-8BEB-4073-A0A5-9D8179310EFB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141" name="Line 2">
          <a:extLst>
            <a:ext uri="{FF2B5EF4-FFF2-40B4-BE49-F238E27FC236}">
              <a16:creationId xmlns:a16="http://schemas.microsoft.com/office/drawing/2014/main" id="{285AE01F-46B9-414F-9BBC-5EAE30A231D9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142" name="Line 3">
          <a:extLst>
            <a:ext uri="{FF2B5EF4-FFF2-40B4-BE49-F238E27FC236}">
              <a16:creationId xmlns:a16="http://schemas.microsoft.com/office/drawing/2014/main" id="{785B1592-34B5-42FE-B72A-0CE5C39EF425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143" name="Line 4">
          <a:extLst>
            <a:ext uri="{FF2B5EF4-FFF2-40B4-BE49-F238E27FC236}">
              <a16:creationId xmlns:a16="http://schemas.microsoft.com/office/drawing/2014/main" id="{FFBDF86A-4106-4AAC-A05E-8582725C3A93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144" name="Line 3">
          <a:extLst>
            <a:ext uri="{FF2B5EF4-FFF2-40B4-BE49-F238E27FC236}">
              <a16:creationId xmlns:a16="http://schemas.microsoft.com/office/drawing/2014/main" id="{24496287-DDCB-48FB-BACE-74199BF74207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145" name="Line 5">
          <a:extLst>
            <a:ext uri="{FF2B5EF4-FFF2-40B4-BE49-F238E27FC236}">
              <a16:creationId xmlns:a16="http://schemas.microsoft.com/office/drawing/2014/main" id="{375761A5-7F19-40B9-B222-DDCE8949E7A0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46" name="Line 2">
          <a:extLst>
            <a:ext uri="{FF2B5EF4-FFF2-40B4-BE49-F238E27FC236}">
              <a16:creationId xmlns:a16="http://schemas.microsoft.com/office/drawing/2014/main" id="{3851E3B5-659A-49DA-8A6D-B49DC0681953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47" name="Line 3">
          <a:extLst>
            <a:ext uri="{FF2B5EF4-FFF2-40B4-BE49-F238E27FC236}">
              <a16:creationId xmlns:a16="http://schemas.microsoft.com/office/drawing/2014/main" id="{97AFC8C3-EE7F-4B4D-A481-EE636B2FEACE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48" name="Line 4">
          <a:extLst>
            <a:ext uri="{FF2B5EF4-FFF2-40B4-BE49-F238E27FC236}">
              <a16:creationId xmlns:a16="http://schemas.microsoft.com/office/drawing/2014/main" id="{4D079125-25F9-4770-82B2-6438C13EAF6E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149" name="Line 5">
          <a:extLst>
            <a:ext uri="{FF2B5EF4-FFF2-40B4-BE49-F238E27FC236}">
              <a16:creationId xmlns:a16="http://schemas.microsoft.com/office/drawing/2014/main" id="{1D802850-0925-4335-868D-C4BCDC90E254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150" name="Line 7">
          <a:extLst>
            <a:ext uri="{FF2B5EF4-FFF2-40B4-BE49-F238E27FC236}">
              <a16:creationId xmlns:a16="http://schemas.microsoft.com/office/drawing/2014/main" id="{F52AD7B9-0B4D-43B2-8B5C-6F1673D7CF2C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151" name="Line 2">
          <a:extLst>
            <a:ext uri="{FF2B5EF4-FFF2-40B4-BE49-F238E27FC236}">
              <a16:creationId xmlns:a16="http://schemas.microsoft.com/office/drawing/2014/main" id="{6D8494E1-6072-4AA1-9455-8DE0304DBD75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152" name="Line 3">
          <a:extLst>
            <a:ext uri="{FF2B5EF4-FFF2-40B4-BE49-F238E27FC236}">
              <a16:creationId xmlns:a16="http://schemas.microsoft.com/office/drawing/2014/main" id="{A0DC3135-0024-4246-ADE9-F8454F058FBF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153" name="Line 4">
          <a:extLst>
            <a:ext uri="{FF2B5EF4-FFF2-40B4-BE49-F238E27FC236}">
              <a16:creationId xmlns:a16="http://schemas.microsoft.com/office/drawing/2014/main" id="{77090B43-F42A-49C6-9B57-E794B4FB3CE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154" name="Line 5">
          <a:extLst>
            <a:ext uri="{FF2B5EF4-FFF2-40B4-BE49-F238E27FC236}">
              <a16:creationId xmlns:a16="http://schemas.microsoft.com/office/drawing/2014/main" id="{8A3F1BC6-A9E4-4257-BAA9-DE6BC3E2EDB1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155" name="Line 2">
          <a:extLst>
            <a:ext uri="{FF2B5EF4-FFF2-40B4-BE49-F238E27FC236}">
              <a16:creationId xmlns:a16="http://schemas.microsoft.com/office/drawing/2014/main" id="{7B1752A6-E3FC-4D14-B86C-AC9767261CCF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156" name="Line 3">
          <a:extLst>
            <a:ext uri="{FF2B5EF4-FFF2-40B4-BE49-F238E27FC236}">
              <a16:creationId xmlns:a16="http://schemas.microsoft.com/office/drawing/2014/main" id="{1C97951F-DA83-48B8-A494-65568484AB51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57" name="Line 4">
          <a:extLst>
            <a:ext uri="{FF2B5EF4-FFF2-40B4-BE49-F238E27FC236}">
              <a16:creationId xmlns:a16="http://schemas.microsoft.com/office/drawing/2014/main" id="{716377C5-3A9E-429C-8B42-3FA0B24D6D33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158" name="Line 2">
          <a:extLst>
            <a:ext uri="{FF2B5EF4-FFF2-40B4-BE49-F238E27FC236}">
              <a16:creationId xmlns:a16="http://schemas.microsoft.com/office/drawing/2014/main" id="{C0123F82-5ACF-4CCA-AB4B-D9AF0DBBA2C0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159" name="Line 3">
          <a:extLst>
            <a:ext uri="{FF2B5EF4-FFF2-40B4-BE49-F238E27FC236}">
              <a16:creationId xmlns:a16="http://schemas.microsoft.com/office/drawing/2014/main" id="{05AD8117-816B-4E7A-BEF1-4DA1A8B185D7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160" name="Line 4">
          <a:extLst>
            <a:ext uri="{FF2B5EF4-FFF2-40B4-BE49-F238E27FC236}">
              <a16:creationId xmlns:a16="http://schemas.microsoft.com/office/drawing/2014/main" id="{733D5825-C912-4E18-AB39-417F296E57EA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161" name="Line 2">
          <a:extLst>
            <a:ext uri="{FF2B5EF4-FFF2-40B4-BE49-F238E27FC236}">
              <a16:creationId xmlns:a16="http://schemas.microsoft.com/office/drawing/2014/main" id="{FE4C5476-5539-4908-B4FA-578182C7A86B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162" name="Line 3">
          <a:extLst>
            <a:ext uri="{FF2B5EF4-FFF2-40B4-BE49-F238E27FC236}">
              <a16:creationId xmlns:a16="http://schemas.microsoft.com/office/drawing/2014/main" id="{D62AF3D6-BD18-463F-A639-DC1994773E05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534</xdr:row>
      <xdr:rowOff>0</xdr:rowOff>
    </xdr:from>
    <xdr:to>
      <xdr:col>8</xdr:col>
      <xdr:colOff>180975</xdr:colOff>
      <xdr:row>534</xdr:row>
      <xdr:rowOff>0</xdr:rowOff>
    </xdr:to>
    <xdr:sp macro="" textlink="">
      <xdr:nvSpPr>
        <xdr:cNvPr id="1163" name="Line 4">
          <a:extLst>
            <a:ext uri="{FF2B5EF4-FFF2-40B4-BE49-F238E27FC236}">
              <a16:creationId xmlns:a16="http://schemas.microsoft.com/office/drawing/2014/main" id="{2DCA56E1-B210-4BCD-9DA9-72424785C6ED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164" name="Line 3">
          <a:extLst>
            <a:ext uri="{FF2B5EF4-FFF2-40B4-BE49-F238E27FC236}">
              <a16:creationId xmlns:a16="http://schemas.microsoft.com/office/drawing/2014/main" id="{7FA67B24-C669-4A17-B60B-AEA1508239DE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165" name="Line 5">
          <a:extLst>
            <a:ext uri="{FF2B5EF4-FFF2-40B4-BE49-F238E27FC236}">
              <a16:creationId xmlns:a16="http://schemas.microsoft.com/office/drawing/2014/main" id="{201C0AA5-B2E1-4EF3-B170-D2049CAE5ECC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66" name="Line 2">
          <a:extLst>
            <a:ext uri="{FF2B5EF4-FFF2-40B4-BE49-F238E27FC236}">
              <a16:creationId xmlns:a16="http://schemas.microsoft.com/office/drawing/2014/main" id="{C19E04BA-B3E2-42A4-96CC-D342B7361F41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67" name="Line 3">
          <a:extLst>
            <a:ext uri="{FF2B5EF4-FFF2-40B4-BE49-F238E27FC236}">
              <a16:creationId xmlns:a16="http://schemas.microsoft.com/office/drawing/2014/main" id="{AC172A42-428C-4F78-A01F-F57232AA3D62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68" name="Line 4">
          <a:extLst>
            <a:ext uri="{FF2B5EF4-FFF2-40B4-BE49-F238E27FC236}">
              <a16:creationId xmlns:a16="http://schemas.microsoft.com/office/drawing/2014/main" id="{F31BCE7B-D6FD-4AC4-886E-81395FEB0B43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169" name="Line 5">
          <a:extLst>
            <a:ext uri="{FF2B5EF4-FFF2-40B4-BE49-F238E27FC236}">
              <a16:creationId xmlns:a16="http://schemas.microsoft.com/office/drawing/2014/main" id="{2AAC0346-9C88-46EB-9583-0029FB43E51A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618</xdr:row>
      <xdr:rowOff>0</xdr:rowOff>
    </xdr:from>
    <xdr:to>
      <xdr:col>8</xdr:col>
      <xdr:colOff>180975</xdr:colOff>
      <xdr:row>618</xdr:row>
      <xdr:rowOff>0</xdr:rowOff>
    </xdr:to>
    <xdr:sp macro="" textlink="">
      <xdr:nvSpPr>
        <xdr:cNvPr id="1170" name="Line 7">
          <a:extLst>
            <a:ext uri="{FF2B5EF4-FFF2-40B4-BE49-F238E27FC236}">
              <a16:creationId xmlns:a16="http://schemas.microsoft.com/office/drawing/2014/main" id="{520B1CF1-4CCF-4914-B822-5AF0DAF2ABA3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171" name="Line 2">
          <a:extLst>
            <a:ext uri="{FF2B5EF4-FFF2-40B4-BE49-F238E27FC236}">
              <a16:creationId xmlns:a16="http://schemas.microsoft.com/office/drawing/2014/main" id="{6B9C9E9B-2585-43E2-9F65-C9AE997EEC5A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172" name="Line 3">
          <a:extLst>
            <a:ext uri="{FF2B5EF4-FFF2-40B4-BE49-F238E27FC236}">
              <a16:creationId xmlns:a16="http://schemas.microsoft.com/office/drawing/2014/main" id="{BD3F0691-37E8-4001-B3C0-C6DC4782CA49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173" name="Line 4">
          <a:extLst>
            <a:ext uri="{FF2B5EF4-FFF2-40B4-BE49-F238E27FC236}">
              <a16:creationId xmlns:a16="http://schemas.microsoft.com/office/drawing/2014/main" id="{6C49DC29-43F0-407C-A2DA-EF2CFEB86458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174" name="Line 5">
          <a:extLst>
            <a:ext uri="{FF2B5EF4-FFF2-40B4-BE49-F238E27FC236}">
              <a16:creationId xmlns:a16="http://schemas.microsoft.com/office/drawing/2014/main" id="{7FE60EEF-DFC8-4DC4-9D22-D3E2CD547C3D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175" name="Line 2">
          <a:extLst>
            <a:ext uri="{FF2B5EF4-FFF2-40B4-BE49-F238E27FC236}">
              <a16:creationId xmlns:a16="http://schemas.microsoft.com/office/drawing/2014/main" id="{CA7A0BDB-9F73-450B-9F11-6281339AB73A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176" name="Line 3">
          <a:extLst>
            <a:ext uri="{FF2B5EF4-FFF2-40B4-BE49-F238E27FC236}">
              <a16:creationId xmlns:a16="http://schemas.microsoft.com/office/drawing/2014/main" id="{67AC08B8-CD9D-4DA1-8DA5-11E01824A932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77" name="Line 4">
          <a:extLst>
            <a:ext uri="{FF2B5EF4-FFF2-40B4-BE49-F238E27FC236}">
              <a16:creationId xmlns:a16="http://schemas.microsoft.com/office/drawing/2014/main" id="{8F23B1B2-C342-47E3-89B6-DC2904BCFC4B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178" name="Line 2">
          <a:extLst>
            <a:ext uri="{FF2B5EF4-FFF2-40B4-BE49-F238E27FC236}">
              <a16:creationId xmlns:a16="http://schemas.microsoft.com/office/drawing/2014/main" id="{B20D0555-62E5-449E-AC52-D1FD954613E8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179" name="Line 3">
          <a:extLst>
            <a:ext uri="{FF2B5EF4-FFF2-40B4-BE49-F238E27FC236}">
              <a16:creationId xmlns:a16="http://schemas.microsoft.com/office/drawing/2014/main" id="{F880698D-B5C4-489A-8B2F-A18340B4F6FC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180" name="Line 4">
          <a:extLst>
            <a:ext uri="{FF2B5EF4-FFF2-40B4-BE49-F238E27FC236}">
              <a16:creationId xmlns:a16="http://schemas.microsoft.com/office/drawing/2014/main" id="{9524AF72-8873-407B-9E15-9E37EBEC8D73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181" name="Line 2">
          <a:extLst>
            <a:ext uri="{FF2B5EF4-FFF2-40B4-BE49-F238E27FC236}">
              <a16:creationId xmlns:a16="http://schemas.microsoft.com/office/drawing/2014/main" id="{669C89DC-FCAE-48F4-A30D-637E8D94F289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182" name="Line 3">
          <a:extLst>
            <a:ext uri="{FF2B5EF4-FFF2-40B4-BE49-F238E27FC236}">
              <a16:creationId xmlns:a16="http://schemas.microsoft.com/office/drawing/2014/main" id="{187C5C84-9AE6-4043-9BC6-4AC381B772A9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1183" name="Line 4">
          <a:extLst>
            <a:ext uri="{FF2B5EF4-FFF2-40B4-BE49-F238E27FC236}">
              <a16:creationId xmlns:a16="http://schemas.microsoft.com/office/drawing/2014/main" id="{737AF523-703A-46EA-A34C-8A4DF890C2B9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184" name="Line 3">
          <a:extLst>
            <a:ext uri="{FF2B5EF4-FFF2-40B4-BE49-F238E27FC236}">
              <a16:creationId xmlns:a16="http://schemas.microsoft.com/office/drawing/2014/main" id="{66D5C4C0-6ADC-4007-B5E9-E9F34E3783FA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185" name="Line 5">
          <a:extLst>
            <a:ext uri="{FF2B5EF4-FFF2-40B4-BE49-F238E27FC236}">
              <a16:creationId xmlns:a16="http://schemas.microsoft.com/office/drawing/2014/main" id="{137A6FEA-C935-46A0-B3CE-DC8C70D6BD20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86" name="Line 2">
          <a:extLst>
            <a:ext uri="{FF2B5EF4-FFF2-40B4-BE49-F238E27FC236}">
              <a16:creationId xmlns:a16="http://schemas.microsoft.com/office/drawing/2014/main" id="{6371FC8F-ED75-41F7-ACDE-66F7F0CA0F9F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87" name="Line 3">
          <a:extLst>
            <a:ext uri="{FF2B5EF4-FFF2-40B4-BE49-F238E27FC236}">
              <a16:creationId xmlns:a16="http://schemas.microsoft.com/office/drawing/2014/main" id="{CAB46F2E-BEB4-4267-A9B2-10041EB44019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88" name="Line 4">
          <a:extLst>
            <a:ext uri="{FF2B5EF4-FFF2-40B4-BE49-F238E27FC236}">
              <a16:creationId xmlns:a16="http://schemas.microsoft.com/office/drawing/2014/main" id="{9D9BE08F-2B95-4F52-9BBF-A2A999532BBD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189" name="Line 5">
          <a:extLst>
            <a:ext uri="{FF2B5EF4-FFF2-40B4-BE49-F238E27FC236}">
              <a16:creationId xmlns:a16="http://schemas.microsoft.com/office/drawing/2014/main" id="{E6130152-D0CA-431B-8003-8FCE2F35D9F8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677</xdr:row>
      <xdr:rowOff>0</xdr:rowOff>
    </xdr:from>
    <xdr:to>
      <xdr:col>8</xdr:col>
      <xdr:colOff>180975</xdr:colOff>
      <xdr:row>677</xdr:row>
      <xdr:rowOff>0</xdr:rowOff>
    </xdr:to>
    <xdr:sp macro="" textlink="">
      <xdr:nvSpPr>
        <xdr:cNvPr id="1190" name="Line 7">
          <a:extLst>
            <a:ext uri="{FF2B5EF4-FFF2-40B4-BE49-F238E27FC236}">
              <a16:creationId xmlns:a16="http://schemas.microsoft.com/office/drawing/2014/main" id="{32EF4CB7-3303-4466-ACBC-49E6767162DB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191" name="Line 2">
          <a:extLst>
            <a:ext uri="{FF2B5EF4-FFF2-40B4-BE49-F238E27FC236}">
              <a16:creationId xmlns:a16="http://schemas.microsoft.com/office/drawing/2014/main" id="{D431BC5D-13DA-493D-AB96-EFFBC6300AB4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192" name="Line 3">
          <a:extLst>
            <a:ext uri="{FF2B5EF4-FFF2-40B4-BE49-F238E27FC236}">
              <a16:creationId xmlns:a16="http://schemas.microsoft.com/office/drawing/2014/main" id="{2763BF1D-CC7A-4102-AD85-E68AB5C4D2FA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193" name="Line 4">
          <a:extLst>
            <a:ext uri="{FF2B5EF4-FFF2-40B4-BE49-F238E27FC236}">
              <a16:creationId xmlns:a16="http://schemas.microsoft.com/office/drawing/2014/main" id="{973F6DA6-145D-4769-B575-EC3EF9C55328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194" name="Line 5">
          <a:extLst>
            <a:ext uri="{FF2B5EF4-FFF2-40B4-BE49-F238E27FC236}">
              <a16:creationId xmlns:a16="http://schemas.microsoft.com/office/drawing/2014/main" id="{D182B6C0-9652-429C-AF37-D368D8206AD7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195" name="Line 2">
          <a:extLst>
            <a:ext uri="{FF2B5EF4-FFF2-40B4-BE49-F238E27FC236}">
              <a16:creationId xmlns:a16="http://schemas.microsoft.com/office/drawing/2014/main" id="{1FC08F61-8EBC-4476-BFDD-555A41B949D2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196" name="Line 3">
          <a:extLst>
            <a:ext uri="{FF2B5EF4-FFF2-40B4-BE49-F238E27FC236}">
              <a16:creationId xmlns:a16="http://schemas.microsoft.com/office/drawing/2014/main" id="{C6819876-F3F6-4C0F-ACB6-D6C361B06139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97" name="Line 4">
          <a:extLst>
            <a:ext uri="{FF2B5EF4-FFF2-40B4-BE49-F238E27FC236}">
              <a16:creationId xmlns:a16="http://schemas.microsoft.com/office/drawing/2014/main" id="{1483320D-A0DF-4F25-93A7-66B47D4EBB19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198" name="Line 2">
          <a:extLst>
            <a:ext uri="{FF2B5EF4-FFF2-40B4-BE49-F238E27FC236}">
              <a16:creationId xmlns:a16="http://schemas.microsoft.com/office/drawing/2014/main" id="{CCA74E41-79A3-4B74-BB36-099ADCFC441C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199" name="Line 3">
          <a:extLst>
            <a:ext uri="{FF2B5EF4-FFF2-40B4-BE49-F238E27FC236}">
              <a16:creationId xmlns:a16="http://schemas.microsoft.com/office/drawing/2014/main" id="{CF8A45BF-E776-47D4-9D9A-0669BF4E816B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200" name="Line 4">
          <a:extLst>
            <a:ext uri="{FF2B5EF4-FFF2-40B4-BE49-F238E27FC236}">
              <a16:creationId xmlns:a16="http://schemas.microsoft.com/office/drawing/2014/main" id="{BAA038AA-3FD5-4E77-ACD5-FA9C3D795572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201" name="Line 2">
          <a:extLst>
            <a:ext uri="{FF2B5EF4-FFF2-40B4-BE49-F238E27FC236}">
              <a16:creationId xmlns:a16="http://schemas.microsoft.com/office/drawing/2014/main" id="{D12865D0-D64B-4473-8FD5-000D36E1EBB3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202" name="Line 3">
          <a:extLst>
            <a:ext uri="{FF2B5EF4-FFF2-40B4-BE49-F238E27FC236}">
              <a16:creationId xmlns:a16="http://schemas.microsoft.com/office/drawing/2014/main" id="{A55549E1-8794-4B24-8781-23C740E10B30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656</xdr:row>
      <xdr:rowOff>0</xdr:rowOff>
    </xdr:from>
    <xdr:to>
      <xdr:col>8</xdr:col>
      <xdr:colOff>180975</xdr:colOff>
      <xdr:row>656</xdr:row>
      <xdr:rowOff>0</xdr:rowOff>
    </xdr:to>
    <xdr:sp macro="" textlink="">
      <xdr:nvSpPr>
        <xdr:cNvPr id="1203" name="Line 4">
          <a:extLst>
            <a:ext uri="{FF2B5EF4-FFF2-40B4-BE49-F238E27FC236}">
              <a16:creationId xmlns:a16="http://schemas.microsoft.com/office/drawing/2014/main" id="{DB1787A9-BE4A-42BE-9D1B-1FB06B76345A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204" name="Line 3">
          <a:extLst>
            <a:ext uri="{FF2B5EF4-FFF2-40B4-BE49-F238E27FC236}">
              <a16:creationId xmlns:a16="http://schemas.microsoft.com/office/drawing/2014/main" id="{25EAF740-F3F9-4943-9319-A69B8F946147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205" name="Line 5">
          <a:extLst>
            <a:ext uri="{FF2B5EF4-FFF2-40B4-BE49-F238E27FC236}">
              <a16:creationId xmlns:a16="http://schemas.microsoft.com/office/drawing/2014/main" id="{3A6FB1BF-35FB-4F7C-8A68-C3963976EE17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06" name="Line 2">
          <a:extLst>
            <a:ext uri="{FF2B5EF4-FFF2-40B4-BE49-F238E27FC236}">
              <a16:creationId xmlns:a16="http://schemas.microsoft.com/office/drawing/2014/main" id="{C1F931F9-F6D5-4FE2-94C5-F290FFC30238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07" name="Line 3">
          <a:extLst>
            <a:ext uri="{FF2B5EF4-FFF2-40B4-BE49-F238E27FC236}">
              <a16:creationId xmlns:a16="http://schemas.microsoft.com/office/drawing/2014/main" id="{4843116D-B936-4A50-A1B0-56A2F8C196DD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08" name="Line 4">
          <a:extLst>
            <a:ext uri="{FF2B5EF4-FFF2-40B4-BE49-F238E27FC236}">
              <a16:creationId xmlns:a16="http://schemas.microsoft.com/office/drawing/2014/main" id="{6FFD7D21-60B9-4F3A-B48A-0572532F8685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209" name="Line 5">
          <a:extLst>
            <a:ext uri="{FF2B5EF4-FFF2-40B4-BE49-F238E27FC236}">
              <a16:creationId xmlns:a16="http://schemas.microsoft.com/office/drawing/2014/main" id="{3E1AB471-83D6-4F1D-B7BA-6C06FE42CBC1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735</xdr:row>
      <xdr:rowOff>0</xdr:rowOff>
    </xdr:from>
    <xdr:to>
      <xdr:col>8</xdr:col>
      <xdr:colOff>180975</xdr:colOff>
      <xdr:row>735</xdr:row>
      <xdr:rowOff>0</xdr:rowOff>
    </xdr:to>
    <xdr:sp macro="" textlink="">
      <xdr:nvSpPr>
        <xdr:cNvPr id="1210" name="Line 7">
          <a:extLst>
            <a:ext uri="{FF2B5EF4-FFF2-40B4-BE49-F238E27FC236}">
              <a16:creationId xmlns:a16="http://schemas.microsoft.com/office/drawing/2014/main" id="{2450DB1F-FD39-4C00-8162-D01A6C90068B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211" name="Line 2">
          <a:extLst>
            <a:ext uri="{FF2B5EF4-FFF2-40B4-BE49-F238E27FC236}">
              <a16:creationId xmlns:a16="http://schemas.microsoft.com/office/drawing/2014/main" id="{A6D79C25-2DBF-4564-9539-7D3FBE22D562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212" name="Line 3">
          <a:extLst>
            <a:ext uri="{FF2B5EF4-FFF2-40B4-BE49-F238E27FC236}">
              <a16:creationId xmlns:a16="http://schemas.microsoft.com/office/drawing/2014/main" id="{0FCCFE18-B651-4C1C-BFC9-3B4F19EF4F5A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213" name="Line 4">
          <a:extLst>
            <a:ext uri="{FF2B5EF4-FFF2-40B4-BE49-F238E27FC236}">
              <a16:creationId xmlns:a16="http://schemas.microsoft.com/office/drawing/2014/main" id="{232D9879-5015-44E9-8DC9-65586F23E616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214" name="Line 5">
          <a:extLst>
            <a:ext uri="{FF2B5EF4-FFF2-40B4-BE49-F238E27FC236}">
              <a16:creationId xmlns:a16="http://schemas.microsoft.com/office/drawing/2014/main" id="{9072069F-6516-4E97-92B6-C72B2D809CA8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215" name="Line 2">
          <a:extLst>
            <a:ext uri="{FF2B5EF4-FFF2-40B4-BE49-F238E27FC236}">
              <a16:creationId xmlns:a16="http://schemas.microsoft.com/office/drawing/2014/main" id="{E1C422A5-9DBC-4359-817A-9556893794E2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216" name="Line 3">
          <a:extLst>
            <a:ext uri="{FF2B5EF4-FFF2-40B4-BE49-F238E27FC236}">
              <a16:creationId xmlns:a16="http://schemas.microsoft.com/office/drawing/2014/main" id="{A773D4A2-61B9-473D-970E-5C06041E919B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17" name="Line 4">
          <a:extLst>
            <a:ext uri="{FF2B5EF4-FFF2-40B4-BE49-F238E27FC236}">
              <a16:creationId xmlns:a16="http://schemas.microsoft.com/office/drawing/2014/main" id="{E003FF7B-73A2-4AF1-9012-9865ACAAF609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218" name="Line 2">
          <a:extLst>
            <a:ext uri="{FF2B5EF4-FFF2-40B4-BE49-F238E27FC236}">
              <a16:creationId xmlns:a16="http://schemas.microsoft.com/office/drawing/2014/main" id="{0FAE6C58-F6FD-4168-9F1B-49A023A03C26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219" name="Line 3">
          <a:extLst>
            <a:ext uri="{FF2B5EF4-FFF2-40B4-BE49-F238E27FC236}">
              <a16:creationId xmlns:a16="http://schemas.microsoft.com/office/drawing/2014/main" id="{804CB7BA-55AC-4012-877A-A0E2D75DAB69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220" name="Line 4">
          <a:extLst>
            <a:ext uri="{FF2B5EF4-FFF2-40B4-BE49-F238E27FC236}">
              <a16:creationId xmlns:a16="http://schemas.microsoft.com/office/drawing/2014/main" id="{E4497A98-0F83-4037-B2FD-397E953C2782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221" name="Line 2">
          <a:extLst>
            <a:ext uri="{FF2B5EF4-FFF2-40B4-BE49-F238E27FC236}">
              <a16:creationId xmlns:a16="http://schemas.microsoft.com/office/drawing/2014/main" id="{167D9875-6D9A-4089-A0E2-3C4920DFBAC8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222" name="Line 3">
          <a:extLst>
            <a:ext uri="{FF2B5EF4-FFF2-40B4-BE49-F238E27FC236}">
              <a16:creationId xmlns:a16="http://schemas.microsoft.com/office/drawing/2014/main" id="{8C7904C0-3CF5-4D23-8657-1B4A7509B299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713</xdr:row>
      <xdr:rowOff>0</xdr:rowOff>
    </xdr:from>
    <xdr:to>
      <xdr:col>8</xdr:col>
      <xdr:colOff>180975</xdr:colOff>
      <xdr:row>713</xdr:row>
      <xdr:rowOff>0</xdr:rowOff>
    </xdr:to>
    <xdr:sp macro="" textlink="">
      <xdr:nvSpPr>
        <xdr:cNvPr id="1223" name="Line 4">
          <a:extLst>
            <a:ext uri="{FF2B5EF4-FFF2-40B4-BE49-F238E27FC236}">
              <a16:creationId xmlns:a16="http://schemas.microsoft.com/office/drawing/2014/main" id="{D53DD5A7-FC1E-40C8-A545-C7E9821F39AE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</xdr:row>
      <xdr:rowOff>0</xdr:rowOff>
    </xdr:from>
    <xdr:to>
      <xdr:col>8</xdr:col>
      <xdr:colOff>180975</xdr:colOff>
      <xdr:row>55</xdr:row>
      <xdr:rowOff>0</xdr:rowOff>
    </xdr:to>
    <xdr:sp macro="" textlink="">
      <xdr:nvSpPr>
        <xdr:cNvPr id="1224" name="Line 2">
          <a:extLst>
            <a:ext uri="{FF2B5EF4-FFF2-40B4-BE49-F238E27FC236}">
              <a16:creationId xmlns:a16="http://schemas.microsoft.com/office/drawing/2014/main" id="{09C4AD8B-CF76-45F4-A464-15918830786B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225" name="Line 3">
          <a:extLst>
            <a:ext uri="{FF2B5EF4-FFF2-40B4-BE49-F238E27FC236}">
              <a16:creationId xmlns:a16="http://schemas.microsoft.com/office/drawing/2014/main" id="{B4689D48-3C19-4A57-BA45-D5B49692BFE9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226" name="Line 5">
          <a:extLst>
            <a:ext uri="{FF2B5EF4-FFF2-40B4-BE49-F238E27FC236}">
              <a16:creationId xmlns:a16="http://schemas.microsoft.com/office/drawing/2014/main" id="{8C137F86-857D-429D-8312-F42F2A4DE0CA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1227" name="Line 2">
          <a:extLst>
            <a:ext uri="{FF2B5EF4-FFF2-40B4-BE49-F238E27FC236}">
              <a16:creationId xmlns:a16="http://schemas.microsoft.com/office/drawing/2014/main" id="{72AF2FE8-6B00-4B97-B2EA-CFF6107A744E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228" name="Line 3">
          <a:extLst>
            <a:ext uri="{FF2B5EF4-FFF2-40B4-BE49-F238E27FC236}">
              <a16:creationId xmlns:a16="http://schemas.microsoft.com/office/drawing/2014/main" id="{39AF4543-C745-4444-A002-EB43C13FA759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229" name="Line 5">
          <a:extLst>
            <a:ext uri="{FF2B5EF4-FFF2-40B4-BE49-F238E27FC236}">
              <a16:creationId xmlns:a16="http://schemas.microsoft.com/office/drawing/2014/main" id="{DF9650ED-3BDD-4C2D-AFBA-291BF55581A0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230" name="Line 2">
          <a:extLst>
            <a:ext uri="{FF2B5EF4-FFF2-40B4-BE49-F238E27FC236}">
              <a16:creationId xmlns:a16="http://schemas.microsoft.com/office/drawing/2014/main" id="{414BAEB8-D747-477C-B60E-A9AF6064065B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231" name="Line 3">
          <a:extLst>
            <a:ext uri="{FF2B5EF4-FFF2-40B4-BE49-F238E27FC236}">
              <a16:creationId xmlns:a16="http://schemas.microsoft.com/office/drawing/2014/main" id="{9C69DA9B-4E71-4CF5-A66E-E2BF440FF271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232" name="Line 4">
          <a:extLst>
            <a:ext uri="{FF2B5EF4-FFF2-40B4-BE49-F238E27FC236}">
              <a16:creationId xmlns:a16="http://schemas.microsoft.com/office/drawing/2014/main" id="{C050BE67-2058-414D-94CF-3865796262D5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105</xdr:row>
      <xdr:rowOff>0</xdr:rowOff>
    </xdr:from>
    <xdr:to>
      <xdr:col>8</xdr:col>
      <xdr:colOff>180975</xdr:colOff>
      <xdr:row>105</xdr:row>
      <xdr:rowOff>0</xdr:rowOff>
    </xdr:to>
    <xdr:sp macro="" textlink="">
      <xdr:nvSpPr>
        <xdr:cNvPr id="1233" name="Line 7">
          <a:extLst>
            <a:ext uri="{FF2B5EF4-FFF2-40B4-BE49-F238E27FC236}">
              <a16:creationId xmlns:a16="http://schemas.microsoft.com/office/drawing/2014/main" id="{15119C1B-1F7D-4B28-BC34-E4548C15FBCE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160</xdr:row>
      <xdr:rowOff>0</xdr:rowOff>
    </xdr:from>
    <xdr:to>
      <xdr:col>8</xdr:col>
      <xdr:colOff>180975</xdr:colOff>
      <xdr:row>160</xdr:row>
      <xdr:rowOff>0</xdr:rowOff>
    </xdr:to>
    <xdr:sp macro="" textlink="">
      <xdr:nvSpPr>
        <xdr:cNvPr id="1234" name="Line 2">
          <a:extLst>
            <a:ext uri="{FF2B5EF4-FFF2-40B4-BE49-F238E27FC236}">
              <a16:creationId xmlns:a16="http://schemas.microsoft.com/office/drawing/2014/main" id="{CF1D6413-54D4-43FB-944A-38CA44503066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235" name="Line 3">
          <a:extLst>
            <a:ext uri="{FF2B5EF4-FFF2-40B4-BE49-F238E27FC236}">
              <a16:creationId xmlns:a16="http://schemas.microsoft.com/office/drawing/2014/main" id="{425E5E53-7BEA-41A4-8A85-1CC36C5BBA72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236" name="Line 5">
          <a:extLst>
            <a:ext uri="{FF2B5EF4-FFF2-40B4-BE49-F238E27FC236}">
              <a16:creationId xmlns:a16="http://schemas.microsoft.com/office/drawing/2014/main" id="{5B35C8B3-78F9-4C65-B426-1E67D7804425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237" name="Line 2">
          <a:extLst>
            <a:ext uri="{FF2B5EF4-FFF2-40B4-BE49-F238E27FC236}">
              <a16:creationId xmlns:a16="http://schemas.microsoft.com/office/drawing/2014/main" id="{A7C74347-1652-41CC-BF0F-06EE49087670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238" name="Line 3">
          <a:extLst>
            <a:ext uri="{FF2B5EF4-FFF2-40B4-BE49-F238E27FC236}">
              <a16:creationId xmlns:a16="http://schemas.microsoft.com/office/drawing/2014/main" id="{5114724B-D0BE-477E-BEB2-4CC0502533E5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239" name="Line 4">
          <a:extLst>
            <a:ext uri="{FF2B5EF4-FFF2-40B4-BE49-F238E27FC236}">
              <a16:creationId xmlns:a16="http://schemas.microsoft.com/office/drawing/2014/main" id="{245AB0E4-6A81-4BA3-AC18-038F301F06A4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240" name="Line 5">
          <a:extLst>
            <a:ext uri="{FF2B5EF4-FFF2-40B4-BE49-F238E27FC236}">
              <a16:creationId xmlns:a16="http://schemas.microsoft.com/office/drawing/2014/main" id="{020C8716-2B4F-4A1B-B909-F913AB388938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241" name="Line 2">
          <a:extLst>
            <a:ext uri="{FF2B5EF4-FFF2-40B4-BE49-F238E27FC236}">
              <a16:creationId xmlns:a16="http://schemas.microsoft.com/office/drawing/2014/main" id="{1960CC1B-07C7-422E-9F04-01C624F9BED8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242" name="Line 3">
          <a:extLst>
            <a:ext uri="{FF2B5EF4-FFF2-40B4-BE49-F238E27FC236}">
              <a16:creationId xmlns:a16="http://schemas.microsoft.com/office/drawing/2014/main" id="{D64EF4AA-7B35-4073-8210-03598F67E5B0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243" name="Line 4">
          <a:extLst>
            <a:ext uri="{FF2B5EF4-FFF2-40B4-BE49-F238E27FC236}">
              <a16:creationId xmlns:a16="http://schemas.microsoft.com/office/drawing/2014/main" id="{A976B926-EA66-4B07-AFFB-3A6A380A78AE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244" name="Line 5">
          <a:extLst>
            <a:ext uri="{FF2B5EF4-FFF2-40B4-BE49-F238E27FC236}">
              <a16:creationId xmlns:a16="http://schemas.microsoft.com/office/drawing/2014/main" id="{975D2D5D-B1EA-417A-80BA-503EDADB3258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245" name="Line 2">
          <a:extLst>
            <a:ext uri="{FF2B5EF4-FFF2-40B4-BE49-F238E27FC236}">
              <a16:creationId xmlns:a16="http://schemas.microsoft.com/office/drawing/2014/main" id="{7ED6B4C4-7A54-4475-8F14-F2C8CD220495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246" name="Line 3">
          <a:extLst>
            <a:ext uri="{FF2B5EF4-FFF2-40B4-BE49-F238E27FC236}">
              <a16:creationId xmlns:a16="http://schemas.microsoft.com/office/drawing/2014/main" id="{0D98A742-6261-4369-991E-AAA73E209AA3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247" name="Line 5">
          <a:extLst>
            <a:ext uri="{FF2B5EF4-FFF2-40B4-BE49-F238E27FC236}">
              <a16:creationId xmlns:a16="http://schemas.microsoft.com/office/drawing/2014/main" id="{4819747B-3B5D-4A49-9582-B2BFE4B21867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48" name="Line 2">
          <a:extLst>
            <a:ext uri="{FF2B5EF4-FFF2-40B4-BE49-F238E27FC236}">
              <a16:creationId xmlns:a16="http://schemas.microsoft.com/office/drawing/2014/main" id="{47DB78B1-B1C9-40F7-9AA6-43807EA06CF3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49" name="Line 3">
          <a:extLst>
            <a:ext uri="{FF2B5EF4-FFF2-40B4-BE49-F238E27FC236}">
              <a16:creationId xmlns:a16="http://schemas.microsoft.com/office/drawing/2014/main" id="{8E2ADDC1-76A0-4477-8E29-3D3B9FDCA9B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50" name="Line 4">
          <a:extLst>
            <a:ext uri="{FF2B5EF4-FFF2-40B4-BE49-F238E27FC236}">
              <a16:creationId xmlns:a16="http://schemas.microsoft.com/office/drawing/2014/main" id="{B1940D52-8739-4A9C-BDFA-D6AB381B820D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251" name="Line 5">
          <a:extLst>
            <a:ext uri="{FF2B5EF4-FFF2-40B4-BE49-F238E27FC236}">
              <a16:creationId xmlns:a16="http://schemas.microsoft.com/office/drawing/2014/main" id="{6BD092CD-EF94-449B-A007-AD620C718894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52" name="Line 2">
          <a:extLst>
            <a:ext uri="{FF2B5EF4-FFF2-40B4-BE49-F238E27FC236}">
              <a16:creationId xmlns:a16="http://schemas.microsoft.com/office/drawing/2014/main" id="{CC0884B0-4FA0-41D2-B68C-F7C1B4261F3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53" name="Line 3">
          <a:extLst>
            <a:ext uri="{FF2B5EF4-FFF2-40B4-BE49-F238E27FC236}">
              <a16:creationId xmlns:a16="http://schemas.microsoft.com/office/drawing/2014/main" id="{B59FB579-A0E5-48C7-992D-9B74E5C03163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54" name="Line 4">
          <a:extLst>
            <a:ext uri="{FF2B5EF4-FFF2-40B4-BE49-F238E27FC236}">
              <a16:creationId xmlns:a16="http://schemas.microsoft.com/office/drawing/2014/main" id="{80AAEDD7-5A1A-4569-9DD5-390BB7664E27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255" name="Line 5">
          <a:extLst>
            <a:ext uri="{FF2B5EF4-FFF2-40B4-BE49-F238E27FC236}">
              <a16:creationId xmlns:a16="http://schemas.microsoft.com/office/drawing/2014/main" id="{B01B3270-D6A8-4E59-BDF6-8F758252F474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256" name="Line 2">
          <a:extLst>
            <a:ext uri="{FF2B5EF4-FFF2-40B4-BE49-F238E27FC236}">
              <a16:creationId xmlns:a16="http://schemas.microsoft.com/office/drawing/2014/main" id="{3C2598A1-F45E-488C-8BBF-C8D255201BA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257" name="Line 3">
          <a:extLst>
            <a:ext uri="{FF2B5EF4-FFF2-40B4-BE49-F238E27FC236}">
              <a16:creationId xmlns:a16="http://schemas.microsoft.com/office/drawing/2014/main" id="{1B328928-CEC3-4F14-9E16-7F5143A7AA0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258" name="Line 4">
          <a:extLst>
            <a:ext uri="{FF2B5EF4-FFF2-40B4-BE49-F238E27FC236}">
              <a16:creationId xmlns:a16="http://schemas.microsoft.com/office/drawing/2014/main" id="{94E098B1-9C0A-4D17-9BB6-6329299EE822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259" name="Line 5">
          <a:extLst>
            <a:ext uri="{FF2B5EF4-FFF2-40B4-BE49-F238E27FC236}">
              <a16:creationId xmlns:a16="http://schemas.microsoft.com/office/drawing/2014/main" id="{18638414-57AE-45C9-BBB1-A4BE802F2010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260" name="Line 7">
          <a:extLst>
            <a:ext uri="{FF2B5EF4-FFF2-40B4-BE49-F238E27FC236}">
              <a16:creationId xmlns:a16="http://schemas.microsoft.com/office/drawing/2014/main" id="{CBD63616-987D-49D6-956F-F532333C8C5C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261" name="Line 8">
          <a:extLst>
            <a:ext uri="{FF2B5EF4-FFF2-40B4-BE49-F238E27FC236}">
              <a16:creationId xmlns:a16="http://schemas.microsoft.com/office/drawing/2014/main" id="{E83C747D-6266-40BF-9964-84A2CC04B7CD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262" name="Rectangle 7">
          <a:extLst>
            <a:ext uri="{FF2B5EF4-FFF2-40B4-BE49-F238E27FC236}">
              <a16:creationId xmlns:a16="http://schemas.microsoft.com/office/drawing/2014/main" id="{9CBF11DF-86B2-42C5-A38F-DB583A2886D7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263" name="Rectangle 8">
          <a:extLst>
            <a:ext uri="{FF2B5EF4-FFF2-40B4-BE49-F238E27FC236}">
              <a16:creationId xmlns:a16="http://schemas.microsoft.com/office/drawing/2014/main" id="{E6053436-B14E-42EF-AF22-B58A517DF801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264" name="Line 2">
          <a:extLst>
            <a:ext uri="{FF2B5EF4-FFF2-40B4-BE49-F238E27FC236}">
              <a16:creationId xmlns:a16="http://schemas.microsoft.com/office/drawing/2014/main" id="{F048379C-6CAE-40A6-B320-CF2095465AD5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265" name="Line 3">
          <a:extLst>
            <a:ext uri="{FF2B5EF4-FFF2-40B4-BE49-F238E27FC236}">
              <a16:creationId xmlns:a16="http://schemas.microsoft.com/office/drawing/2014/main" id="{A24887EC-9CC7-4893-BD5D-19529FC5642E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266" name="Line 5">
          <a:extLst>
            <a:ext uri="{FF2B5EF4-FFF2-40B4-BE49-F238E27FC236}">
              <a16:creationId xmlns:a16="http://schemas.microsoft.com/office/drawing/2014/main" id="{2D5DC1AF-BFBD-4FED-9955-DA3BF2ECF685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67" name="Line 2">
          <a:extLst>
            <a:ext uri="{FF2B5EF4-FFF2-40B4-BE49-F238E27FC236}">
              <a16:creationId xmlns:a16="http://schemas.microsoft.com/office/drawing/2014/main" id="{E7C2932E-2815-4AD3-B397-965EE6992F78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68" name="Line 3">
          <a:extLst>
            <a:ext uri="{FF2B5EF4-FFF2-40B4-BE49-F238E27FC236}">
              <a16:creationId xmlns:a16="http://schemas.microsoft.com/office/drawing/2014/main" id="{335BE0C8-A6CD-41E2-9240-9994E045381C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69" name="Line 4">
          <a:extLst>
            <a:ext uri="{FF2B5EF4-FFF2-40B4-BE49-F238E27FC236}">
              <a16:creationId xmlns:a16="http://schemas.microsoft.com/office/drawing/2014/main" id="{CE659930-3144-460F-8A0E-719829FA82D4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270" name="Line 5">
          <a:extLst>
            <a:ext uri="{FF2B5EF4-FFF2-40B4-BE49-F238E27FC236}">
              <a16:creationId xmlns:a16="http://schemas.microsoft.com/office/drawing/2014/main" id="{400CF952-C80F-4BD8-9FEC-4204EBD19C26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71" name="Line 2">
          <a:extLst>
            <a:ext uri="{FF2B5EF4-FFF2-40B4-BE49-F238E27FC236}">
              <a16:creationId xmlns:a16="http://schemas.microsoft.com/office/drawing/2014/main" id="{D2405709-A765-4A15-9B51-38D37B366E9F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72" name="Line 3">
          <a:extLst>
            <a:ext uri="{FF2B5EF4-FFF2-40B4-BE49-F238E27FC236}">
              <a16:creationId xmlns:a16="http://schemas.microsoft.com/office/drawing/2014/main" id="{F7DE6A0D-2CD9-49A3-9C0B-D286798BED8F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73" name="Line 4">
          <a:extLst>
            <a:ext uri="{FF2B5EF4-FFF2-40B4-BE49-F238E27FC236}">
              <a16:creationId xmlns:a16="http://schemas.microsoft.com/office/drawing/2014/main" id="{32819799-3813-44E9-BC04-A80475B5872A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274" name="Line 5">
          <a:extLst>
            <a:ext uri="{FF2B5EF4-FFF2-40B4-BE49-F238E27FC236}">
              <a16:creationId xmlns:a16="http://schemas.microsoft.com/office/drawing/2014/main" id="{4B523B61-2046-4088-9CA3-DA6ECCFC421E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275" name="Line 2">
          <a:extLst>
            <a:ext uri="{FF2B5EF4-FFF2-40B4-BE49-F238E27FC236}">
              <a16:creationId xmlns:a16="http://schemas.microsoft.com/office/drawing/2014/main" id="{2A38B75E-90AF-48BA-87EB-437430936B5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276" name="Line 3">
          <a:extLst>
            <a:ext uri="{FF2B5EF4-FFF2-40B4-BE49-F238E27FC236}">
              <a16:creationId xmlns:a16="http://schemas.microsoft.com/office/drawing/2014/main" id="{EBBE4A00-711C-4421-8356-24D8E11719AD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277" name="Line 4">
          <a:extLst>
            <a:ext uri="{FF2B5EF4-FFF2-40B4-BE49-F238E27FC236}">
              <a16:creationId xmlns:a16="http://schemas.microsoft.com/office/drawing/2014/main" id="{37E93F8E-3B63-401B-AE1B-ACA39723EA42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278" name="Line 5">
          <a:extLst>
            <a:ext uri="{FF2B5EF4-FFF2-40B4-BE49-F238E27FC236}">
              <a16:creationId xmlns:a16="http://schemas.microsoft.com/office/drawing/2014/main" id="{C8F53EA5-5A0E-467F-A066-6D83FE78DA65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279" name="Line 7">
          <a:extLst>
            <a:ext uri="{FF2B5EF4-FFF2-40B4-BE49-F238E27FC236}">
              <a16:creationId xmlns:a16="http://schemas.microsoft.com/office/drawing/2014/main" id="{DF490D57-D686-434D-AF49-EF46CA04CD99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280" name="Line 8">
          <a:extLst>
            <a:ext uri="{FF2B5EF4-FFF2-40B4-BE49-F238E27FC236}">
              <a16:creationId xmlns:a16="http://schemas.microsoft.com/office/drawing/2014/main" id="{A0784A9F-6517-4C86-A372-D815F08B6B85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281" name="Rectangle 7">
          <a:extLst>
            <a:ext uri="{FF2B5EF4-FFF2-40B4-BE49-F238E27FC236}">
              <a16:creationId xmlns:a16="http://schemas.microsoft.com/office/drawing/2014/main" id="{9A0DBD26-E0F5-47A7-8BDA-2247E8F4AE95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282" name="Rectangle 8">
          <a:extLst>
            <a:ext uri="{FF2B5EF4-FFF2-40B4-BE49-F238E27FC236}">
              <a16:creationId xmlns:a16="http://schemas.microsoft.com/office/drawing/2014/main" id="{D76DD293-7762-4FEF-BCE8-CBA9548FBB23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283" name="Line 3">
          <a:extLst>
            <a:ext uri="{FF2B5EF4-FFF2-40B4-BE49-F238E27FC236}">
              <a16:creationId xmlns:a16="http://schemas.microsoft.com/office/drawing/2014/main" id="{7966A122-1936-4750-BAE7-EF64D001BC68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284" name="Line 5">
          <a:extLst>
            <a:ext uri="{FF2B5EF4-FFF2-40B4-BE49-F238E27FC236}">
              <a16:creationId xmlns:a16="http://schemas.microsoft.com/office/drawing/2014/main" id="{FF2AE1E1-108D-42DF-BAE8-C9A3AC85EA7F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85" name="Line 2">
          <a:extLst>
            <a:ext uri="{FF2B5EF4-FFF2-40B4-BE49-F238E27FC236}">
              <a16:creationId xmlns:a16="http://schemas.microsoft.com/office/drawing/2014/main" id="{14A2DCB2-29B9-4B2E-8522-E24FA4A2FEB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86" name="Line 3">
          <a:extLst>
            <a:ext uri="{FF2B5EF4-FFF2-40B4-BE49-F238E27FC236}">
              <a16:creationId xmlns:a16="http://schemas.microsoft.com/office/drawing/2014/main" id="{8ADF2528-D490-46C8-8020-5804C7D88C00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87" name="Line 4">
          <a:extLst>
            <a:ext uri="{FF2B5EF4-FFF2-40B4-BE49-F238E27FC236}">
              <a16:creationId xmlns:a16="http://schemas.microsoft.com/office/drawing/2014/main" id="{146AB887-C5C0-4A49-8FB0-F840D41BC356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288" name="Line 5">
          <a:extLst>
            <a:ext uri="{FF2B5EF4-FFF2-40B4-BE49-F238E27FC236}">
              <a16:creationId xmlns:a16="http://schemas.microsoft.com/office/drawing/2014/main" id="{7650E9E5-85C1-4275-85D1-1AAC640E7EA9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1289" name="Line 7">
          <a:extLst>
            <a:ext uri="{FF2B5EF4-FFF2-40B4-BE49-F238E27FC236}">
              <a16:creationId xmlns:a16="http://schemas.microsoft.com/office/drawing/2014/main" id="{11682043-E257-489C-B098-036E318A7C76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290" name="Line 2">
          <a:extLst>
            <a:ext uri="{FF2B5EF4-FFF2-40B4-BE49-F238E27FC236}">
              <a16:creationId xmlns:a16="http://schemas.microsoft.com/office/drawing/2014/main" id="{992A0069-3F2B-49E9-9044-4BEA4037CC4D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291" name="Line 3">
          <a:extLst>
            <a:ext uri="{FF2B5EF4-FFF2-40B4-BE49-F238E27FC236}">
              <a16:creationId xmlns:a16="http://schemas.microsoft.com/office/drawing/2014/main" id="{45B99575-0FFC-4C79-AAA3-21F3091ED46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292" name="Line 4">
          <a:extLst>
            <a:ext uri="{FF2B5EF4-FFF2-40B4-BE49-F238E27FC236}">
              <a16:creationId xmlns:a16="http://schemas.microsoft.com/office/drawing/2014/main" id="{78E13373-2109-4360-831D-B8C49384B31C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293" name="Line 5">
          <a:extLst>
            <a:ext uri="{FF2B5EF4-FFF2-40B4-BE49-F238E27FC236}">
              <a16:creationId xmlns:a16="http://schemas.microsoft.com/office/drawing/2014/main" id="{F0AD428C-8F71-4CBB-B324-A0DEDD408D34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294" name="Line 2">
          <a:extLst>
            <a:ext uri="{FF2B5EF4-FFF2-40B4-BE49-F238E27FC236}">
              <a16:creationId xmlns:a16="http://schemas.microsoft.com/office/drawing/2014/main" id="{97667845-4620-4952-8B6D-4F42A5B9769C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295" name="Line 3">
          <a:extLst>
            <a:ext uri="{FF2B5EF4-FFF2-40B4-BE49-F238E27FC236}">
              <a16:creationId xmlns:a16="http://schemas.microsoft.com/office/drawing/2014/main" id="{D41B2603-6755-4574-8DD4-3DCEB9CF9756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96" name="Line 4">
          <a:extLst>
            <a:ext uri="{FF2B5EF4-FFF2-40B4-BE49-F238E27FC236}">
              <a16:creationId xmlns:a16="http://schemas.microsoft.com/office/drawing/2014/main" id="{43D91598-07D2-4FF5-9D11-D177481F6E7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379</xdr:row>
      <xdr:rowOff>0</xdr:rowOff>
    </xdr:from>
    <xdr:to>
      <xdr:col>8</xdr:col>
      <xdr:colOff>180975</xdr:colOff>
      <xdr:row>379</xdr:row>
      <xdr:rowOff>0</xdr:rowOff>
    </xdr:to>
    <xdr:sp macro="" textlink="">
      <xdr:nvSpPr>
        <xdr:cNvPr id="1297" name="Line 5">
          <a:extLst>
            <a:ext uri="{FF2B5EF4-FFF2-40B4-BE49-F238E27FC236}">
              <a16:creationId xmlns:a16="http://schemas.microsoft.com/office/drawing/2014/main" id="{BCF3E3B2-2AFE-4BEC-A3CD-E1295BF79057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367</xdr:row>
      <xdr:rowOff>0</xdr:rowOff>
    </xdr:from>
    <xdr:to>
      <xdr:col>8</xdr:col>
      <xdr:colOff>180975</xdr:colOff>
      <xdr:row>367</xdr:row>
      <xdr:rowOff>0</xdr:rowOff>
    </xdr:to>
    <xdr:sp macro="" textlink="">
      <xdr:nvSpPr>
        <xdr:cNvPr id="1298" name="Line 7">
          <a:extLst>
            <a:ext uri="{FF2B5EF4-FFF2-40B4-BE49-F238E27FC236}">
              <a16:creationId xmlns:a16="http://schemas.microsoft.com/office/drawing/2014/main" id="{5E01BD95-0033-4244-B21F-D5CC9D650907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299" name="Line 3">
          <a:extLst>
            <a:ext uri="{FF2B5EF4-FFF2-40B4-BE49-F238E27FC236}">
              <a16:creationId xmlns:a16="http://schemas.microsoft.com/office/drawing/2014/main" id="{81EB81FB-69F0-485D-BC0A-571BF3A9D668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300" name="Line 5">
          <a:extLst>
            <a:ext uri="{FF2B5EF4-FFF2-40B4-BE49-F238E27FC236}">
              <a16:creationId xmlns:a16="http://schemas.microsoft.com/office/drawing/2014/main" id="{349E21B8-E350-4C9F-B732-8D0A58F41019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01" name="Line 2">
          <a:extLst>
            <a:ext uri="{FF2B5EF4-FFF2-40B4-BE49-F238E27FC236}">
              <a16:creationId xmlns:a16="http://schemas.microsoft.com/office/drawing/2014/main" id="{C264D789-972D-4419-A36C-73D987168004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02" name="Line 3">
          <a:extLst>
            <a:ext uri="{FF2B5EF4-FFF2-40B4-BE49-F238E27FC236}">
              <a16:creationId xmlns:a16="http://schemas.microsoft.com/office/drawing/2014/main" id="{CA7A693D-628E-4E5E-BE2D-F92BFFEEA9D5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03" name="Line 4">
          <a:extLst>
            <a:ext uri="{FF2B5EF4-FFF2-40B4-BE49-F238E27FC236}">
              <a16:creationId xmlns:a16="http://schemas.microsoft.com/office/drawing/2014/main" id="{34FA22C7-DEA2-4FFF-88C5-591AEC53A4EB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304" name="Line 5">
          <a:extLst>
            <a:ext uri="{FF2B5EF4-FFF2-40B4-BE49-F238E27FC236}">
              <a16:creationId xmlns:a16="http://schemas.microsoft.com/office/drawing/2014/main" id="{B7C0F349-D6A8-4DA8-8B70-1835DAC77929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305" name="Line 2">
          <a:extLst>
            <a:ext uri="{FF2B5EF4-FFF2-40B4-BE49-F238E27FC236}">
              <a16:creationId xmlns:a16="http://schemas.microsoft.com/office/drawing/2014/main" id="{11D16A74-B0B1-493D-BD85-238BAED0FA7C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306" name="Line 3">
          <a:extLst>
            <a:ext uri="{FF2B5EF4-FFF2-40B4-BE49-F238E27FC236}">
              <a16:creationId xmlns:a16="http://schemas.microsoft.com/office/drawing/2014/main" id="{D90E869D-C09D-4E10-9B3A-0E7AD5E65FE6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307" name="Line 4">
          <a:extLst>
            <a:ext uri="{FF2B5EF4-FFF2-40B4-BE49-F238E27FC236}">
              <a16:creationId xmlns:a16="http://schemas.microsoft.com/office/drawing/2014/main" id="{9B00B897-1579-4A8D-B83F-8DB29609F156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308" name="Line 5">
          <a:extLst>
            <a:ext uri="{FF2B5EF4-FFF2-40B4-BE49-F238E27FC236}">
              <a16:creationId xmlns:a16="http://schemas.microsoft.com/office/drawing/2014/main" id="{EB58C10D-38BA-4B78-B5AF-8EBFDFE9A4E1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309" name="Line 2">
          <a:extLst>
            <a:ext uri="{FF2B5EF4-FFF2-40B4-BE49-F238E27FC236}">
              <a16:creationId xmlns:a16="http://schemas.microsoft.com/office/drawing/2014/main" id="{CA6A8C8C-F4BF-4EE5-9F76-4F1B501DCCAD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310" name="Line 3">
          <a:extLst>
            <a:ext uri="{FF2B5EF4-FFF2-40B4-BE49-F238E27FC236}">
              <a16:creationId xmlns:a16="http://schemas.microsoft.com/office/drawing/2014/main" id="{8CE9B834-71B7-476C-9590-BF0AF9C28056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11" name="Line 4">
          <a:extLst>
            <a:ext uri="{FF2B5EF4-FFF2-40B4-BE49-F238E27FC236}">
              <a16:creationId xmlns:a16="http://schemas.microsoft.com/office/drawing/2014/main" id="{BB51EBC9-8E69-4EDD-B495-17FC18033AD5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483</xdr:row>
      <xdr:rowOff>0</xdr:rowOff>
    </xdr:from>
    <xdr:to>
      <xdr:col>8</xdr:col>
      <xdr:colOff>180975</xdr:colOff>
      <xdr:row>483</xdr:row>
      <xdr:rowOff>0</xdr:rowOff>
    </xdr:to>
    <xdr:sp macro="" textlink="">
      <xdr:nvSpPr>
        <xdr:cNvPr id="1312" name="Line 5">
          <a:extLst>
            <a:ext uri="{FF2B5EF4-FFF2-40B4-BE49-F238E27FC236}">
              <a16:creationId xmlns:a16="http://schemas.microsoft.com/office/drawing/2014/main" id="{5971F230-66F4-4FE9-AEE8-630455EDB685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313" name="Line 7">
          <a:extLst>
            <a:ext uri="{FF2B5EF4-FFF2-40B4-BE49-F238E27FC236}">
              <a16:creationId xmlns:a16="http://schemas.microsoft.com/office/drawing/2014/main" id="{CD4797B9-FB15-4C83-ADEB-BE15ACC74DCE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314" name="Line 2">
          <a:extLst>
            <a:ext uri="{FF2B5EF4-FFF2-40B4-BE49-F238E27FC236}">
              <a16:creationId xmlns:a16="http://schemas.microsoft.com/office/drawing/2014/main" id="{D0E00E19-1830-423A-9253-01D447BE2263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315" name="Line 3">
          <a:extLst>
            <a:ext uri="{FF2B5EF4-FFF2-40B4-BE49-F238E27FC236}">
              <a16:creationId xmlns:a16="http://schemas.microsoft.com/office/drawing/2014/main" id="{E1C513D2-C3C9-4B22-9E4E-1D259D85386D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316" name="Line 4">
          <a:extLst>
            <a:ext uri="{FF2B5EF4-FFF2-40B4-BE49-F238E27FC236}">
              <a16:creationId xmlns:a16="http://schemas.microsoft.com/office/drawing/2014/main" id="{3BDC8B95-41EB-468A-A42F-8A9FA7C5AFDA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317" name="Line 3">
          <a:extLst>
            <a:ext uri="{FF2B5EF4-FFF2-40B4-BE49-F238E27FC236}">
              <a16:creationId xmlns:a16="http://schemas.microsoft.com/office/drawing/2014/main" id="{6312D34B-4504-4CA0-8429-D4ED5CC3B9A9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318" name="Line 5">
          <a:extLst>
            <a:ext uri="{FF2B5EF4-FFF2-40B4-BE49-F238E27FC236}">
              <a16:creationId xmlns:a16="http://schemas.microsoft.com/office/drawing/2014/main" id="{B763AC6B-072B-47E4-BBF9-870501399A83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19" name="Line 2">
          <a:extLst>
            <a:ext uri="{FF2B5EF4-FFF2-40B4-BE49-F238E27FC236}">
              <a16:creationId xmlns:a16="http://schemas.microsoft.com/office/drawing/2014/main" id="{4124503D-893C-441B-A9A6-CE76F2BA38F9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20" name="Line 3">
          <a:extLst>
            <a:ext uri="{FF2B5EF4-FFF2-40B4-BE49-F238E27FC236}">
              <a16:creationId xmlns:a16="http://schemas.microsoft.com/office/drawing/2014/main" id="{D35710D1-CA63-4B80-845A-AB62AA59C45D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21" name="Line 4">
          <a:extLst>
            <a:ext uri="{FF2B5EF4-FFF2-40B4-BE49-F238E27FC236}">
              <a16:creationId xmlns:a16="http://schemas.microsoft.com/office/drawing/2014/main" id="{5D0EB614-A941-48BF-BEB7-51A794BA2C3B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322" name="Line 5">
          <a:extLst>
            <a:ext uri="{FF2B5EF4-FFF2-40B4-BE49-F238E27FC236}">
              <a16:creationId xmlns:a16="http://schemas.microsoft.com/office/drawing/2014/main" id="{84E43BBD-0619-4985-8E62-0B23B73528AE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323" name="Line 7">
          <a:extLst>
            <a:ext uri="{FF2B5EF4-FFF2-40B4-BE49-F238E27FC236}">
              <a16:creationId xmlns:a16="http://schemas.microsoft.com/office/drawing/2014/main" id="{DE81A781-5C58-4D6C-A97A-5854B8AAFFE3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324" name="Line 2">
          <a:extLst>
            <a:ext uri="{FF2B5EF4-FFF2-40B4-BE49-F238E27FC236}">
              <a16:creationId xmlns:a16="http://schemas.microsoft.com/office/drawing/2014/main" id="{CF062B5B-7EEC-4C60-B04E-E28CF16FCFDD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325" name="Line 3">
          <a:extLst>
            <a:ext uri="{FF2B5EF4-FFF2-40B4-BE49-F238E27FC236}">
              <a16:creationId xmlns:a16="http://schemas.microsoft.com/office/drawing/2014/main" id="{03B9AD9C-1F7C-482C-A946-326E57A53ACB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326" name="Line 4">
          <a:extLst>
            <a:ext uri="{FF2B5EF4-FFF2-40B4-BE49-F238E27FC236}">
              <a16:creationId xmlns:a16="http://schemas.microsoft.com/office/drawing/2014/main" id="{FCDC1AE8-F2C5-4FFC-8EA6-3C101A7EF190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327" name="Line 5">
          <a:extLst>
            <a:ext uri="{FF2B5EF4-FFF2-40B4-BE49-F238E27FC236}">
              <a16:creationId xmlns:a16="http://schemas.microsoft.com/office/drawing/2014/main" id="{6B492725-2C74-4518-A807-76C575C85425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328" name="Line 2">
          <a:extLst>
            <a:ext uri="{FF2B5EF4-FFF2-40B4-BE49-F238E27FC236}">
              <a16:creationId xmlns:a16="http://schemas.microsoft.com/office/drawing/2014/main" id="{1687EFF2-1052-45B4-9B28-93BC4FEB8E5A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329" name="Line 3">
          <a:extLst>
            <a:ext uri="{FF2B5EF4-FFF2-40B4-BE49-F238E27FC236}">
              <a16:creationId xmlns:a16="http://schemas.microsoft.com/office/drawing/2014/main" id="{0A1FF12C-60FB-4560-B930-FD528670A37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30" name="Line 4">
          <a:extLst>
            <a:ext uri="{FF2B5EF4-FFF2-40B4-BE49-F238E27FC236}">
              <a16:creationId xmlns:a16="http://schemas.microsoft.com/office/drawing/2014/main" id="{86C82D01-B58F-42AC-B949-1957C261F031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331" name="Line 2">
          <a:extLst>
            <a:ext uri="{FF2B5EF4-FFF2-40B4-BE49-F238E27FC236}">
              <a16:creationId xmlns:a16="http://schemas.microsoft.com/office/drawing/2014/main" id="{A36FC686-6EAE-44C5-9AD0-C047F47BFD94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332" name="Line 3">
          <a:extLst>
            <a:ext uri="{FF2B5EF4-FFF2-40B4-BE49-F238E27FC236}">
              <a16:creationId xmlns:a16="http://schemas.microsoft.com/office/drawing/2014/main" id="{650D7903-5B18-41F7-95E2-6B8BF6CF8E7F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333" name="Line 4">
          <a:extLst>
            <a:ext uri="{FF2B5EF4-FFF2-40B4-BE49-F238E27FC236}">
              <a16:creationId xmlns:a16="http://schemas.microsoft.com/office/drawing/2014/main" id="{2A65EA01-DC94-4980-899A-AAF0B819BCC3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334" name="Line 2">
          <a:extLst>
            <a:ext uri="{FF2B5EF4-FFF2-40B4-BE49-F238E27FC236}">
              <a16:creationId xmlns:a16="http://schemas.microsoft.com/office/drawing/2014/main" id="{9E52FF10-3662-41D5-8497-62D771C3A66E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335" name="Line 3">
          <a:extLst>
            <a:ext uri="{FF2B5EF4-FFF2-40B4-BE49-F238E27FC236}">
              <a16:creationId xmlns:a16="http://schemas.microsoft.com/office/drawing/2014/main" id="{62269ED8-257A-46AF-A11F-80BEC4FF3BE5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534</xdr:row>
      <xdr:rowOff>0</xdr:rowOff>
    </xdr:from>
    <xdr:to>
      <xdr:col>8</xdr:col>
      <xdr:colOff>180975</xdr:colOff>
      <xdr:row>534</xdr:row>
      <xdr:rowOff>0</xdr:rowOff>
    </xdr:to>
    <xdr:sp macro="" textlink="">
      <xdr:nvSpPr>
        <xdr:cNvPr id="1336" name="Line 4">
          <a:extLst>
            <a:ext uri="{FF2B5EF4-FFF2-40B4-BE49-F238E27FC236}">
              <a16:creationId xmlns:a16="http://schemas.microsoft.com/office/drawing/2014/main" id="{27D799E4-2538-46F8-9651-48D94EB61584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337" name="Line 3">
          <a:extLst>
            <a:ext uri="{FF2B5EF4-FFF2-40B4-BE49-F238E27FC236}">
              <a16:creationId xmlns:a16="http://schemas.microsoft.com/office/drawing/2014/main" id="{EEFABEC8-ABCB-4BD9-B5D7-D475BF6426FA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338" name="Line 5">
          <a:extLst>
            <a:ext uri="{FF2B5EF4-FFF2-40B4-BE49-F238E27FC236}">
              <a16:creationId xmlns:a16="http://schemas.microsoft.com/office/drawing/2014/main" id="{0AA405D6-5976-4FB0-BC7B-08F757714846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39" name="Line 2">
          <a:extLst>
            <a:ext uri="{FF2B5EF4-FFF2-40B4-BE49-F238E27FC236}">
              <a16:creationId xmlns:a16="http://schemas.microsoft.com/office/drawing/2014/main" id="{34B056D3-7278-4AD0-846D-EBD5BE05005E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40" name="Line 3">
          <a:extLst>
            <a:ext uri="{FF2B5EF4-FFF2-40B4-BE49-F238E27FC236}">
              <a16:creationId xmlns:a16="http://schemas.microsoft.com/office/drawing/2014/main" id="{93DB9590-99ED-40F4-9CF8-02A36A524293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41" name="Line 4">
          <a:extLst>
            <a:ext uri="{FF2B5EF4-FFF2-40B4-BE49-F238E27FC236}">
              <a16:creationId xmlns:a16="http://schemas.microsoft.com/office/drawing/2014/main" id="{B311520F-28C3-4430-9FBF-E91C01BD71BC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342" name="Line 5">
          <a:extLst>
            <a:ext uri="{FF2B5EF4-FFF2-40B4-BE49-F238E27FC236}">
              <a16:creationId xmlns:a16="http://schemas.microsoft.com/office/drawing/2014/main" id="{4B7D03E4-29AA-4136-B88A-B727A8415C65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618</xdr:row>
      <xdr:rowOff>0</xdr:rowOff>
    </xdr:from>
    <xdr:to>
      <xdr:col>8</xdr:col>
      <xdr:colOff>180975</xdr:colOff>
      <xdr:row>618</xdr:row>
      <xdr:rowOff>0</xdr:rowOff>
    </xdr:to>
    <xdr:sp macro="" textlink="">
      <xdr:nvSpPr>
        <xdr:cNvPr id="1343" name="Line 7">
          <a:extLst>
            <a:ext uri="{FF2B5EF4-FFF2-40B4-BE49-F238E27FC236}">
              <a16:creationId xmlns:a16="http://schemas.microsoft.com/office/drawing/2014/main" id="{5EE20041-F899-4753-8ABB-3C0D1DFA25DF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344" name="Line 2">
          <a:extLst>
            <a:ext uri="{FF2B5EF4-FFF2-40B4-BE49-F238E27FC236}">
              <a16:creationId xmlns:a16="http://schemas.microsoft.com/office/drawing/2014/main" id="{C26E36A9-A570-410A-8705-1B6788EBF664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345" name="Line 3">
          <a:extLst>
            <a:ext uri="{FF2B5EF4-FFF2-40B4-BE49-F238E27FC236}">
              <a16:creationId xmlns:a16="http://schemas.microsoft.com/office/drawing/2014/main" id="{788ABB9F-AF02-4EF8-9952-E6436550DC69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346" name="Line 4">
          <a:extLst>
            <a:ext uri="{FF2B5EF4-FFF2-40B4-BE49-F238E27FC236}">
              <a16:creationId xmlns:a16="http://schemas.microsoft.com/office/drawing/2014/main" id="{317F34C5-3EED-4C95-82D9-51C3AE920716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347" name="Line 5">
          <a:extLst>
            <a:ext uri="{FF2B5EF4-FFF2-40B4-BE49-F238E27FC236}">
              <a16:creationId xmlns:a16="http://schemas.microsoft.com/office/drawing/2014/main" id="{6982F4AE-712F-4360-91F7-812DB46349CD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348" name="Line 2">
          <a:extLst>
            <a:ext uri="{FF2B5EF4-FFF2-40B4-BE49-F238E27FC236}">
              <a16:creationId xmlns:a16="http://schemas.microsoft.com/office/drawing/2014/main" id="{20732320-B02D-478A-9A57-94C785497E3D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349" name="Line 3">
          <a:extLst>
            <a:ext uri="{FF2B5EF4-FFF2-40B4-BE49-F238E27FC236}">
              <a16:creationId xmlns:a16="http://schemas.microsoft.com/office/drawing/2014/main" id="{F14A4D7E-318E-4D64-B3D4-02F00258F679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50" name="Line 4">
          <a:extLst>
            <a:ext uri="{FF2B5EF4-FFF2-40B4-BE49-F238E27FC236}">
              <a16:creationId xmlns:a16="http://schemas.microsoft.com/office/drawing/2014/main" id="{3724F44E-CBC1-4C34-BA25-08D91190D4CF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351" name="Line 2">
          <a:extLst>
            <a:ext uri="{FF2B5EF4-FFF2-40B4-BE49-F238E27FC236}">
              <a16:creationId xmlns:a16="http://schemas.microsoft.com/office/drawing/2014/main" id="{15644553-DDC3-4537-855D-B72EFF434A83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352" name="Line 3">
          <a:extLst>
            <a:ext uri="{FF2B5EF4-FFF2-40B4-BE49-F238E27FC236}">
              <a16:creationId xmlns:a16="http://schemas.microsoft.com/office/drawing/2014/main" id="{4106F10F-7F31-4118-A9C9-DF21FAC7FD18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353" name="Line 4">
          <a:extLst>
            <a:ext uri="{FF2B5EF4-FFF2-40B4-BE49-F238E27FC236}">
              <a16:creationId xmlns:a16="http://schemas.microsoft.com/office/drawing/2014/main" id="{32F72086-0BD2-492C-8890-DFAD1586EAA7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354" name="Line 2">
          <a:extLst>
            <a:ext uri="{FF2B5EF4-FFF2-40B4-BE49-F238E27FC236}">
              <a16:creationId xmlns:a16="http://schemas.microsoft.com/office/drawing/2014/main" id="{C0483FF3-45B9-46C9-8EFB-388BF699C607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355" name="Line 3">
          <a:extLst>
            <a:ext uri="{FF2B5EF4-FFF2-40B4-BE49-F238E27FC236}">
              <a16:creationId xmlns:a16="http://schemas.microsoft.com/office/drawing/2014/main" id="{47342BB9-E349-4AD4-AC3C-E0AE22A7E3F4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1356" name="Line 4">
          <a:extLst>
            <a:ext uri="{FF2B5EF4-FFF2-40B4-BE49-F238E27FC236}">
              <a16:creationId xmlns:a16="http://schemas.microsoft.com/office/drawing/2014/main" id="{4B04999E-8122-4CFB-ACEF-F33A6AB9F3FF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357" name="Line 3">
          <a:extLst>
            <a:ext uri="{FF2B5EF4-FFF2-40B4-BE49-F238E27FC236}">
              <a16:creationId xmlns:a16="http://schemas.microsoft.com/office/drawing/2014/main" id="{7DFD1B28-D605-47D9-8B02-BFFAD8E2E912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358" name="Line 5">
          <a:extLst>
            <a:ext uri="{FF2B5EF4-FFF2-40B4-BE49-F238E27FC236}">
              <a16:creationId xmlns:a16="http://schemas.microsoft.com/office/drawing/2014/main" id="{C2B5BB36-14DE-46E2-AE06-FE2329725FB9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59" name="Line 2">
          <a:extLst>
            <a:ext uri="{FF2B5EF4-FFF2-40B4-BE49-F238E27FC236}">
              <a16:creationId xmlns:a16="http://schemas.microsoft.com/office/drawing/2014/main" id="{A7EEAE4D-EBC3-43F3-9ED2-975F6126FD60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60" name="Line 3">
          <a:extLst>
            <a:ext uri="{FF2B5EF4-FFF2-40B4-BE49-F238E27FC236}">
              <a16:creationId xmlns:a16="http://schemas.microsoft.com/office/drawing/2014/main" id="{67BB8AF2-0DE5-46FF-A8D2-4C668A0D92C5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61" name="Line 4">
          <a:extLst>
            <a:ext uri="{FF2B5EF4-FFF2-40B4-BE49-F238E27FC236}">
              <a16:creationId xmlns:a16="http://schemas.microsoft.com/office/drawing/2014/main" id="{B05B4F0F-7918-423C-ADA2-4E1E36E87D94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362" name="Line 5">
          <a:extLst>
            <a:ext uri="{FF2B5EF4-FFF2-40B4-BE49-F238E27FC236}">
              <a16:creationId xmlns:a16="http://schemas.microsoft.com/office/drawing/2014/main" id="{21B79102-C976-42DA-B174-6B2539524745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677</xdr:row>
      <xdr:rowOff>0</xdr:rowOff>
    </xdr:from>
    <xdr:to>
      <xdr:col>8</xdr:col>
      <xdr:colOff>180975</xdr:colOff>
      <xdr:row>677</xdr:row>
      <xdr:rowOff>0</xdr:rowOff>
    </xdr:to>
    <xdr:sp macro="" textlink="">
      <xdr:nvSpPr>
        <xdr:cNvPr id="1363" name="Line 7">
          <a:extLst>
            <a:ext uri="{FF2B5EF4-FFF2-40B4-BE49-F238E27FC236}">
              <a16:creationId xmlns:a16="http://schemas.microsoft.com/office/drawing/2014/main" id="{DD6D4EB5-3B47-4AC4-A98E-D8D64E2BCFAA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364" name="Line 2">
          <a:extLst>
            <a:ext uri="{FF2B5EF4-FFF2-40B4-BE49-F238E27FC236}">
              <a16:creationId xmlns:a16="http://schemas.microsoft.com/office/drawing/2014/main" id="{A88DA5A5-271C-400C-9B7C-A4531AB5E319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365" name="Line 3">
          <a:extLst>
            <a:ext uri="{FF2B5EF4-FFF2-40B4-BE49-F238E27FC236}">
              <a16:creationId xmlns:a16="http://schemas.microsoft.com/office/drawing/2014/main" id="{2AE00553-A637-4518-885A-C3A10C032838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366" name="Line 4">
          <a:extLst>
            <a:ext uri="{FF2B5EF4-FFF2-40B4-BE49-F238E27FC236}">
              <a16:creationId xmlns:a16="http://schemas.microsoft.com/office/drawing/2014/main" id="{0FF96DD5-C0FA-46A6-ADF5-C33F37F576DB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367" name="Line 5">
          <a:extLst>
            <a:ext uri="{FF2B5EF4-FFF2-40B4-BE49-F238E27FC236}">
              <a16:creationId xmlns:a16="http://schemas.microsoft.com/office/drawing/2014/main" id="{C92C99DE-3EB7-4990-AEAB-B66A9ECAF1C4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368" name="Line 2">
          <a:extLst>
            <a:ext uri="{FF2B5EF4-FFF2-40B4-BE49-F238E27FC236}">
              <a16:creationId xmlns:a16="http://schemas.microsoft.com/office/drawing/2014/main" id="{F03AFDAE-72C4-4375-A177-9AB3BB7216DA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369" name="Line 3">
          <a:extLst>
            <a:ext uri="{FF2B5EF4-FFF2-40B4-BE49-F238E27FC236}">
              <a16:creationId xmlns:a16="http://schemas.microsoft.com/office/drawing/2014/main" id="{7FDE5732-CCD2-4E43-A2B5-606D22DFB261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70" name="Line 4">
          <a:extLst>
            <a:ext uri="{FF2B5EF4-FFF2-40B4-BE49-F238E27FC236}">
              <a16:creationId xmlns:a16="http://schemas.microsoft.com/office/drawing/2014/main" id="{64F25959-083B-4BF3-86D5-E11672AF7F65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371" name="Line 2">
          <a:extLst>
            <a:ext uri="{FF2B5EF4-FFF2-40B4-BE49-F238E27FC236}">
              <a16:creationId xmlns:a16="http://schemas.microsoft.com/office/drawing/2014/main" id="{CE506C72-2311-4BAC-BEB7-6327AD36CB58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372" name="Line 3">
          <a:extLst>
            <a:ext uri="{FF2B5EF4-FFF2-40B4-BE49-F238E27FC236}">
              <a16:creationId xmlns:a16="http://schemas.microsoft.com/office/drawing/2014/main" id="{75F6E7EF-565B-4CBF-9C29-238CF7823B12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373" name="Line 4">
          <a:extLst>
            <a:ext uri="{FF2B5EF4-FFF2-40B4-BE49-F238E27FC236}">
              <a16:creationId xmlns:a16="http://schemas.microsoft.com/office/drawing/2014/main" id="{9DEC408A-E182-4287-A73E-8DF597B41418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374" name="Line 2">
          <a:extLst>
            <a:ext uri="{FF2B5EF4-FFF2-40B4-BE49-F238E27FC236}">
              <a16:creationId xmlns:a16="http://schemas.microsoft.com/office/drawing/2014/main" id="{0CA65FE7-C921-47FD-8632-E448E905DB8D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375" name="Line 3">
          <a:extLst>
            <a:ext uri="{FF2B5EF4-FFF2-40B4-BE49-F238E27FC236}">
              <a16:creationId xmlns:a16="http://schemas.microsoft.com/office/drawing/2014/main" id="{321032B9-97F7-44CE-B6DE-AA344561956A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656</xdr:row>
      <xdr:rowOff>0</xdr:rowOff>
    </xdr:from>
    <xdr:to>
      <xdr:col>8</xdr:col>
      <xdr:colOff>180975</xdr:colOff>
      <xdr:row>656</xdr:row>
      <xdr:rowOff>0</xdr:rowOff>
    </xdr:to>
    <xdr:sp macro="" textlink="">
      <xdr:nvSpPr>
        <xdr:cNvPr id="1376" name="Line 4">
          <a:extLst>
            <a:ext uri="{FF2B5EF4-FFF2-40B4-BE49-F238E27FC236}">
              <a16:creationId xmlns:a16="http://schemas.microsoft.com/office/drawing/2014/main" id="{A34E1810-8FC2-4F24-9622-8A268BF2F914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377" name="Line 3">
          <a:extLst>
            <a:ext uri="{FF2B5EF4-FFF2-40B4-BE49-F238E27FC236}">
              <a16:creationId xmlns:a16="http://schemas.microsoft.com/office/drawing/2014/main" id="{59F4D0C9-1195-4904-A488-082BC3289ABF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378" name="Line 5">
          <a:extLst>
            <a:ext uri="{FF2B5EF4-FFF2-40B4-BE49-F238E27FC236}">
              <a16:creationId xmlns:a16="http://schemas.microsoft.com/office/drawing/2014/main" id="{88B7697F-B62E-4899-8B43-3683A5CACC0C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79" name="Line 2">
          <a:extLst>
            <a:ext uri="{FF2B5EF4-FFF2-40B4-BE49-F238E27FC236}">
              <a16:creationId xmlns:a16="http://schemas.microsoft.com/office/drawing/2014/main" id="{8B1C85EE-46CD-4329-9F7B-A9F6FCA93262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80" name="Line 3">
          <a:extLst>
            <a:ext uri="{FF2B5EF4-FFF2-40B4-BE49-F238E27FC236}">
              <a16:creationId xmlns:a16="http://schemas.microsoft.com/office/drawing/2014/main" id="{A8083126-97B9-454D-9AE7-9DE998A33480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81" name="Line 4">
          <a:extLst>
            <a:ext uri="{FF2B5EF4-FFF2-40B4-BE49-F238E27FC236}">
              <a16:creationId xmlns:a16="http://schemas.microsoft.com/office/drawing/2014/main" id="{B4EB5234-D905-43A0-938F-C91F0B878394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382" name="Line 5">
          <a:extLst>
            <a:ext uri="{FF2B5EF4-FFF2-40B4-BE49-F238E27FC236}">
              <a16:creationId xmlns:a16="http://schemas.microsoft.com/office/drawing/2014/main" id="{C56DE9A8-DE28-45E7-B0FD-EE67EE89FC21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735</xdr:row>
      <xdr:rowOff>0</xdr:rowOff>
    </xdr:from>
    <xdr:to>
      <xdr:col>8</xdr:col>
      <xdr:colOff>180975</xdr:colOff>
      <xdr:row>735</xdr:row>
      <xdr:rowOff>0</xdr:rowOff>
    </xdr:to>
    <xdr:sp macro="" textlink="">
      <xdr:nvSpPr>
        <xdr:cNvPr id="1383" name="Line 7">
          <a:extLst>
            <a:ext uri="{FF2B5EF4-FFF2-40B4-BE49-F238E27FC236}">
              <a16:creationId xmlns:a16="http://schemas.microsoft.com/office/drawing/2014/main" id="{96094508-0ACC-44F9-B852-2746B24E1089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384" name="Line 2">
          <a:extLst>
            <a:ext uri="{FF2B5EF4-FFF2-40B4-BE49-F238E27FC236}">
              <a16:creationId xmlns:a16="http://schemas.microsoft.com/office/drawing/2014/main" id="{A73A0AF9-658A-4F94-900D-9D8E05435231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385" name="Line 3">
          <a:extLst>
            <a:ext uri="{FF2B5EF4-FFF2-40B4-BE49-F238E27FC236}">
              <a16:creationId xmlns:a16="http://schemas.microsoft.com/office/drawing/2014/main" id="{7A05B59B-C3FF-4419-967C-2C4DF7C15A5F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386" name="Line 4">
          <a:extLst>
            <a:ext uri="{FF2B5EF4-FFF2-40B4-BE49-F238E27FC236}">
              <a16:creationId xmlns:a16="http://schemas.microsoft.com/office/drawing/2014/main" id="{B7BAB6B7-D564-4653-ACB9-074DAA6A8DCD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387" name="Line 5">
          <a:extLst>
            <a:ext uri="{FF2B5EF4-FFF2-40B4-BE49-F238E27FC236}">
              <a16:creationId xmlns:a16="http://schemas.microsoft.com/office/drawing/2014/main" id="{A701D512-E19D-4848-AA4C-72736B6AF7C7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388" name="Line 2">
          <a:extLst>
            <a:ext uri="{FF2B5EF4-FFF2-40B4-BE49-F238E27FC236}">
              <a16:creationId xmlns:a16="http://schemas.microsoft.com/office/drawing/2014/main" id="{80B0E6E0-8B32-4373-B1A8-A434252F6BE6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389" name="Line 3">
          <a:extLst>
            <a:ext uri="{FF2B5EF4-FFF2-40B4-BE49-F238E27FC236}">
              <a16:creationId xmlns:a16="http://schemas.microsoft.com/office/drawing/2014/main" id="{DE76B8AF-F986-4001-9B89-040EDB7A646C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90" name="Line 4">
          <a:extLst>
            <a:ext uri="{FF2B5EF4-FFF2-40B4-BE49-F238E27FC236}">
              <a16:creationId xmlns:a16="http://schemas.microsoft.com/office/drawing/2014/main" id="{8C5EAEDD-4992-41DA-AEFA-BB5FD724BA08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391" name="Line 2">
          <a:extLst>
            <a:ext uri="{FF2B5EF4-FFF2-40B4-BE49-F238E27FC236}">
              <a16:creationId xmlns:a16="http://schemas.microsoft.com/office/drawing/2014/main" id="{FB0EDB7F-31E8-4B45-8B6D-A65615422B08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392" name="Line 3">
          <a:extLst>
            <a:ext uri="{FF2B5EF4-FFF2-40B4-BE49-F238E27FC236}">
              <a16:creationId xmlns:a16="http://schemas.microsoft.com/office/drawing/2014/main" id="{D2510A1E-FB39-479C-B3E2-80FEB22E0206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393" name="Line 4">
          <a:extLst>
            <a:ext uri="{FF2B5EF4-FFF2-40B4-BE49-F238E27FC236}">
              <a16:creationId xmlns:a16="http://schemas.microsoft.com/office/drawing/2014/main" id="{058FA4FA-E6C0-43D5-BCAB-B3BAE281FF4E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394" name="Line 2">
          <a:extLst>
            <a:ext uri="{FF2B5EF4-FFF2-40B4-BE49-F238E27FC236}">
              <a16:creationId xmlns:a16="http://schemas.microsoft.com/office/drawing/2014/main" id="{C221EDAE-1310-4C3B-BB86-264F3233625E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395" name="Line 3">
          <a:extLst>
            <a:ext uri="{FF2B5EF4-FFF2-40B4-BE49-F238E27FC236}">
              <a16:creationId xmlns:a16="http://schemas.microsoft.com/office/drawing/2014/main" id="{DD345FF9-ABA4-4A22-B1C3-E85DF74BE947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713</xdr:row>
      <xdr:rowOff>0</xdr:rowOff>
    </xdr:from>
    <xdr:to>
      <xdr:col>8</xdr:col>
      <xdr:colOff>180975</xdr:colOff>
      <xdr:row>713</xdr:row>
      <xdr:rowOff>0</xdr:rowOff>
    </xdr:to>
    <xdr:sp macro="" textlink="">
      <xdr:nvSpPr>
        <xdr:cNvPr id="1396" name="Line 4">
          <a:extLst>
            <a:ext uri="{FF2B5EF4-FFF2-40B4-BE49-F238E27FC236}">
              <a16:creationId xmlns:a16="http://schemas.microsoft.com/office/drawing/2014/main" id="{70454E5F-72ED-42C3-AEC0-2FC13883FAF9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</xdr:row>
      <xdr:rowOff>0</xdr:rowOff>
    </xdr:from>
    <xdr:to>
      <xdr:col>8</xdr:col>
      <xdr:colOff>180975</xdr:colOff>
      <xdr:row>55</xdr:row>
      <xdr:rowOff>0</xdr:rowOff>
    </xdr:to>
    <xdr:sp macro="" textlink="">
      <xdr:nvSpPr>
        <xdr:cNvPr id="1397" name="Line 2">
          <a:extLst>
            <a:ext uri="{FF2B5EF4-FFF2-40B4-BE49-F238E27FC236}">
              <a16:creationId xmlns:a16="http://schemas.microsoft.com/office/drawing/2014/main" id="{D94A9812-E179-46C3-905A-11387A7438BB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398" name="Line 3">
          <a:extLst>
            <a:ext uri="{FF2B5EF4-FFF2-40B4-BE49-F238E27FC236}">
              <a16:creationId xmlns:a16="http://schemas.microsoft.com/office/drawing/2014/main" id="{34AFD171-8AF9-426B-8939-2C0064D836DC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399" name="Line 5">
          <a:extLst>
            <a:ext uri="{FF2B5EF4-FFF2-40B4-BE49-F238E27FC236}">
              <a16:creationId xmlns:a16="http://schemas.microsoft.com/office/drawing/2014/main" id="{97FA6530-3897-4FF9-9972-CB4BD65A8AED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1400" name="Line 2">
          <a:extLst>
            <a:ext uri="{FF2B5EF4-FFF2-40B4-BE49-F238E27FC236}">
              <a16:creationId xmlns:a16="http://schemas.microsoft.com/office/drawing/2014/main" id="{3AB6B441-C027-4C1A-B342-32349DFAFB55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401" name="Line 3">
          <a:extLst>
            <a:ext uri="{FF2B5EF4-FFF2-40B4-BE49-F238E27FC236}">
              <a16:creationId xmlns:a16="http://schemas.microsoft.com/office/drawing/2014/main" id="{DDB6A591-4943-4F8D-8C69-E71CD00CB1ED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402" name="Line 5">
          <a:extLst>
            <a:ext uri="{FF2B5EF4-FFF2-40B4-BE49-F238E27FC236}">
              <a16:creationId xmlns:a16="http://schemas.microsoft.com/office/drawing/2014/main" id="{FE4A83EA-70BB-4E34-B666-43B43FD9C0DB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403" name="Line 2">
          <a:extLst>
            <a:ext uri="{FF2B5EF4-FFF2-40B4-BE49-F238E27FC236}">
              <a16:creationId xmlns:a16="http://schemas.microsoft.com/office/drawing/2014/main" id="{15D624B2-F9E8-4571-8328-9695A0129C47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404" name="Line 3">
          <a:extLst>
            <a:ext uri="{FF2B5EF4-FFF2-40B4-BE49-F238E27FC236}">
              <a16:creationId xmlns:a16="http://schemas.microsoft.com/office/drawing/2014/main" id="{08004CEB-8A38-402C-81AE-133C7A178CE3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405" name="Line 4">
          <a:extLst>
            <a:ext uri="{FF2B5EF4-FFF2-40B4-BE49-F238E27FC236}">
              <a16:creationId xmlns:a16="http://schemas.microsoft.com/office/drawing/2014/main" id="{EBFF859A-9DFD-4C0D-AC26-1DBD63C44030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105</xdr:row>
      <xdr:rowOff>0</xdr:rowOff>
    </xdr:from>
    <xdr:to>
      <xdr:col>8</xdr:col>
      <xdr:colOff>180975</xdr:colOff>
      <xdr:row>105</xdr:row>
      <xdr:rowOff>0</xdr:rowOff>
    </xdr:to>
    <xdr:sp macro="" textlink="">
      <xdr:nvSpPr>
        <xdr:cNvPr id="1406" name="Line 7">
          <a:extLst>
            <a:ext uri="{FF2B5EF4-FFF2-40B4-BE49-F238E27FC236}">
              <a16:creationId xmlns:a16="http://schemas.microsoft.com/office/drawing/2014/main" id="{A34360AA-10C8-44C9-A40B-C90E33788138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160</xdr:row>
      <xdr:rowOff>0</xdr:rowOff>
    </xdr:from>
    <xdr:to>
      <xdr:col>8</xdr:col>
      <xdr:colOff>180975</xdr:colOff>
      <xdr:row>160</xdr:row>
      <xdr:rowOff>0</xdr:rowOff>
    </xdr:to>
    <xdr:sp macro="" textlink="">
      <xdr:nvSpPr>
        <xdr:cNvPr id="1407" name="Line 2">
          <a:extLst>
            <a:ext uri="{FF2B5EF4-FFF2-40B4-BE49-F238E27FC236}">
              <a16:creationId xmlns:a16="http://schemas.microsoft.com/office/drawing/2014/main" id="{11FC6C1E-0B99-43E0-9CE1-7F7A9843D507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408" name="Line 3">
          <a:extLst>
            <a:ext uri="{FF2B5EF4-FFF2-40B4-BE49-F238E27FC236}">
              <a16:creationId xmlns:a16="http://schemas.microsoft.com/office/drawing/2014/main" id="{050EEA38-6916-4028-908A-AB4477D1D9F7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409" name="Line 5">
          <a:extLst>
            <a:ext uri="{FF2B5EF4-FFF2-40B4-BE49-F238E27FC236}">
              <a16:creationId xmlns:a16="http://schemas.microsoft.com/office/drawing/2014/main" id="{91520941-0D66-4404-B485-EE2F0E6574C8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410" name="Line 2">
          <a:extLst>
            <a:ext uri="{FF2B5EF4-FFF2-40B4-BE49-F238E27FC236}">
              <a16:creationId xmlns:a16="http://schemas.microsoft.com/office/drawing/2014/main" id="{19AE9463-C9BF-4481-B6C9-AADDC6B6D202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411" name="Line 3">
          <a:extLst>
            <a:ext uri="{FF2B5EF4-FFF2-40B4-BE49-F238E27FC236}">
              <a16:creationId xmlns:a16="http://schemas.microsoft.com/office/drawing/2014/main" id="{9DB548E0-3608-4871-8B34-9EF76EF2EC29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412" name="Line 4">
          <a:extLst>
            <a:ext uri="{FF2B5EF4-FFF2-40B4-BE49-F238E27FC236}">
              <a16:creationId xmlns:a16="http://schemas.microsoft.com/office/drawing/2014/main" id="{2C039F20-22EF-4D33-AC1C-BB19B51911FA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413" name="Line 5">
          <a:extLst>
            <a:ext uri="{FF2B5EF4-FFF2-40B4-BE49-F238E27FC236}">
              <a16:creationId xmlns:a16="http://schemas.microsoft.com/office/drawing/2014/main" id="{9965E586-382C-45A8-A2D1-BFB847A6D7AD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414" name="Line 2">
          <a:extLst>
            <a:ext uri="{FF2B5EF4-FFF2-40B4-BE49-F238E27FC236}">
              <a16:creationId xmlns:a16="http://schemas.microsoft.com/office/drawing/2014/main" id="{9F68F01B-7457-432C-A90A-9737B2E74276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415" name="Line 3">
          <a:extLst>
            <a:ext uri="{FF2B5EF4-FFF2-40B4-BE49-F238E27FC236}">
              <a16:creationId xmlns:a16="http://schemas.microsoft.com/office/drawing/2014/main" id="{9D05FAB2-2B37-4058-B30C-DB13DFE8DB99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416" name="Line 4">
          <a:extLst>
            <a:ext uri="{FF2B5EF4-FFF2-40B4-BE49-F238E27FC236}">
              <a16:creationId xmlns:a16="http://schemas.microsoft.com/office/drawing/2014/main" id="{D94D02D1-C3F9-4844-8F8C-340499424A4A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417" name="Line 5">
          <a:extLst>
            <a:ext uri="{FF2B5EF4-FFF2-40B4-BE49-F238E27FC236}">
              <a16:creationId xmlns:a16="http://schemas.microsoft.com/office/drawing/2014/main" id="{1D15EB9E-17D0-4B02-AEFA-A1F3AB128291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418" name="Line 2">
          <a:extLst>
            <a:ext uri="{FF2B5EF4-FFF2-40B4-BE49-F238E27FC236}">
              <a16:creationId xmlns:a16="http://schemas.microsoft.com/office/drawing/2014/main" id="{9B53BFA2-884D-45E0-B9D1-3F432B59A220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419" name="Line 3">
          <a:extLst>
            <a:ext uri="{FF2B5EF4-FFF2-40B4-BE49-F238E27FC236}">
              <a16:creationId xmlns:a16="http://schemas.microsoft.com/office/drawing/2014/main" id="{7B815AE0-2D4A-4665-A367-2DE86C5A1E72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420" name="Line 5">
          <a:extLst>
            <a:ext uri="{FF2B5EF4-FFF2-40B4-BE49-F238E27FC236}">
              <a16:creationId xmlns:a16="http://schemas.microsoft.com/office/drawing/2014/main" id="{EB71E992-A204-44F2-9278-4B7A599EF79C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21" name="Line 2">
          <a:extLst>
            <a:ext uri="{FF2B5EF4-FFF2-40B4-BE49-F238E27FC236}">
              <a16:creationId xmlns:a16="http://schemas.microsoft.com/office/drawing/2014/main" id="{CA5494B2-0592-4766-807D-C3C8591A7F03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22" name="Line 3">
          <a:extLst>
            <a:ext uri="{FF2B5EF4-FFF2-40B4-BE49-F238E27FC236}">
              <a16:creationId xmlns:a16="http://schemas.microsoft.com/office/drawing/2014/main" id="{A05D4886-5C6F-4D8E-ADFC-FAB97703EDED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23" name="Line 4">
          <a:extLst>
            <a:ext uri="{FF2B5EF4-FFF2-40B4-BE49-F238E27FC236}">
              <a16:creationId xmlns:a16="http://schemas.microsoft.com/office/drawing/2014/main" id="{D01F6B10-51C2-43A4-A13E-4B211974FC21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424" name="Line 5">
          <a:extLst>
            <a:ext uri="{FF2B5EF4-FFF2-40B4-BE49-F238E27FC236}">
              <a16:creationId xmlns:a16="http://schemas.microsoft.com/office/drawing/2014/main" id="{E5289220-236A-4F27-9313-3A1C9B0B2941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25" name="Line 2">
          <a:extLst>
            <a:ext uri="{FF2B5EF4-FFF2-40B4-BE49-F238E27FC236}">
              <a16:creationId xmlns:a16="http://schemas.microsoft.com/office/drawing/2014/main" id="{DE50B475-CA3C-4024-A861-AC28397B9BA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26" name="Line 3">
          <a:extLst>
            <a:ext uri="{FF2B5EF4-FFF2-40B4-BE49-F238E27FC236}">
              <a16:creationId xmlns:a16="http://schemas.microsoft.com/office/drawing/2014/main" id="{839284DA-B21B-4677-8298-8335D070F6AF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27" name="Line 4">
          <a:extLst>
            <a:ext uri="{FF2B5EF4-FFF2-40B4-BE49-F238E27FC236}">
              <a16:creationId xmlns:a16="http://schemas.microsoft.com/office/drawing/2014/main" id="{B519CB88-922B-49FA-B2B4-D4DE767A1D71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428" name="Line 5">
          <a:extLst>
            <a:ext uri="{FF2B5EF4-FFF2-40B4-BE49-F238E27FC236}">
              <a16:creationId xmlns:a16="http://schemas.microsoft.com/office/drawing/2014/main" id="{E8FEF38C-9110-4C95-9749-E51DBE5320FA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429" name="Line 2">
          <a:extLst>
            <a:ext uri="{FF2B5EF4-FFF2-40B4-BE49-F238E27FC236}">
              <a16:creationId xmlns:a16="http://schemas.microsoft.com/office/drawing/2014/main" id="{5293A22A-5175-47A2-9881-ED68B528D20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430" name="Line 3">
          <a:extLst>
            <a:ext uri="{FF2B5EF4-FFF2-40B4-BE49-F238E27FC236}">
              <a16:creationId xmlns:a16="http://schemas.microsoft.com/office/drawing/2014/main" id="{0BF6CA0A-8915-4B0B-BDB3-C4A7500A75D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431" name="Line 4">
          <a:extLst>
            <a:ext uri="{FF2B5EF4-FFF2-40B4-BE49-F238E27FC236}">
              <a16:creationId xmlns:a16="http://schemas.microsoft.com/office/drawing/2014/main" id="{1BAA2A48-11C5-41D9-8FE0-7F38E2F83B1A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432" name="Line 5">
          <a:extLst>
            <a:ext uri="{FF2B5EF4-FFF2-40B4-BE49-F238E27FC236}">
              <a16:creationId xmlns:a16="http://schemas.microsoft.com/office/drawing/2014/main" id="{CB80D851-1C70-4A66-94E1-EB086BBBBABA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433" name="Line 7">
          <a:extLst>
            <a:ext uri="{FF2B5EF4-FFF2-40B4-BE49-F238E27FC236}">
              <a16:creationId xmlns:a16="http://schemas.microsoft.com/office/drawing/2014/main" id="{5BA63B21-919C-446F-938C-3A7D91C4EC17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434" name="Line 8">
          <a:extLst>
            <a:ext uri="{FF2B5EF4-FFF2-40B4-BE49-F238E27FC236}">
              <a16:creationId xmlns:a16="http://schemas.microsoft.com/office/drawing/2014/main" id="{770C11C4-266D-43D9-A6D1-0F67C7960E71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435" name="Rectangle 7">
          <a:extLst>
            <a:ext uri="{FF2B5EF4-FFF2-40B4-BE49-F238E27FC236}">
              <a16:creationId xmlns:a16="http://schemas.microsoft.com/office/drawing/2014/main" id="{46EDD7D9-8017-468D-B92B-AB2923F16EC3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436" name="Rectangle 8">
          <a:extLst>
            <a:ext uri="{FF2B5EF4-FFF2-40B4-BE49-F238E27FC236}">
              <a16:creationId xmlns:a16="http://schemas.microsoft.com/office/drawing/2014/main" id="{D64B51AD-3918-4C35-BE49-9335EFF1CC64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437" name="Line 2">
          <a:extLst>
            <a:ext uri="{FF2B5EF4-FFF2-40B4-BE49-F238E27FC236}">
              <a16:creationId xmlns:a16="http://schemas.microsoft.com/office/drawing/2014/main" id="{7B46B033-43C2-44A5-85BF-242012C077A1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438" name="Line 3">
          <a:extLst>
            <a:ext uri="{FF2B5EF4-FFF2-40B4-BE49-F238E27FC236}">
              <a16:creationId xmlns:a16="http://schemas.microsoft.com/office/drawing/2014/main" id="{C0130EB1-E846-49B0-AD80-9DF945D8E203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439" name="Line 5">
          <a:extLst>
            <a:ext uri="{FF2B5EF4-FFF2-40B4-BE49-F238E27FC236}">
              <a16:creationId xmlns:a16="http://schemas.microsoft.com/office/drawing/2014/main" id="{ABB58C0D-DF72-424F-A47C-0594A5A02807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40" name="Line 2">
          <a:extLst>
            <a:ext uri="{FF2B5EF4-FFF2-40B4-BE49-F238E27FC236}">
              <a16:creationId xmlns:a16="http://schemas.microsoft.com/office/drawing/2014/main" id="{3DA128FB-1FB0-4965-8207-2678D074711C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41" name="Line 3">
          <a:extLst>
            <a:ext uri="{FF2B5EF4-FFF2-40B4-BE49-F238E27FC236}">
              <a16:creationId xmlns:a16="http://schemas.microsoft.com/office/drawing/2014/main" id="{27BA1EFE-78A9-42AD-A9FB-F39967F16C38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42" name="Line 4">
          <a:extLst>
            <a:ext uri="{FF2B5EF4-FFF2-40B4-BE49-F238E27FC236}">
              <a16:creationId xmlns:a16="http://schemas.microsoft.com/office/drawing/2014/main" id="{0EFEC579-D9C3-46C0-A62C-0685FBAEAAB0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443" name="Line 5">
          <a:extLst>
            <a:ext uri="{FF2B5EF4-FFF2-40B4-BE49-F238E27FC236}">
              <a16:creationId xmlns:a16="http://schemas.microsoft.com/office/drawing/2014/main" id="{FEC4E0D5-011B-4E39-8494-CD667FB9C67D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44" name="Line 2">
          <a:extLst>
            <a:ext uri="{FF2B5EF4-FFF2-40B4-BE49-F238E27FC236}">
              <a16:creationId xmlns:a16="http://schemas.microsoft.com/office/drawing/2014/main" id="{E9ED76FA-FA7F-4F97-8696-7A7C25C3042C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45" name="Line 3">
          <a:extLst>
            <a:ext uri="{FF2B5EF4-FFF2-40B4-BE49-F238E27FC236}">
              <a16:creationId xmlns:a16="http://schemas.microsoft.com/office/drawing/2014/main" id="{864DE7C2-6248-4A61-8F34-A1B34FC97439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46" name="Line 4">
          <a:extLst>
            <a:ext uri="{FF2B5EF4-FFF2-40B4-BE49-F238E27FC236}">
              <a16:creationId xmlns:a16="http://schemas.microsoft.com/office/drawing/2014/main" id="{76558B2C-E005-4853-BDBA-7B997D711D76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447" name="Line 5">
          <a:extLst>
            <a:ext uri="{FF2B5EF4-FFF2-40B4-BE49-F238E27FC236}">
              <a16:creationId xmlns:a16="http://schemas.microsoft.com/office/drawing/2014/main" id="{926866BB-A181-4650-ABA9-370D9445AB11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448" name="Line 2">
          <a:extLst>
            <a:ext uri="{FF2B5EF4-FFF2-40B4-BE49-F238E27FC236}">
              <a16:creationId xmlns:a16="http://schemas.microsoft.com/office/drawing/2014/main" id="{1D023CAA-F51E-4872-A275-6A4BAD4949FD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449" name="Line 3">
          <a:extLst>
            <a:ext uri="{FF2B5EF4-FFF2-40B4-BE49-F238E27FC236}">
              <a16:creationId xmlns:a16="http://schemas.microsoft.com/office/drawing/2014/main" id="{E9DF92EA-FBC8-422D-95AE-D2095469EDCE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450" name="Line 4">
          <a:extLst>
            <a:ext uri="{FF2B5EF4-FFF2-40B4-BE49-F238E27FC236}">
              <a16:creationId xmlns:a16="http://schemas.microsoft.com/office/drawing/2014/main" id="{F31762D4-9BF4-4FED-8693-BD863FA8196E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451" name="Line 5">
          <a:extLst>
            <a:ext uri="{FF2B5EF4-FFF2-40B4-BE49-F238E27FC236}">
              <a16:creationId xmlns:a16="http://schemas.microsoft.com/office/drawing/2014/main" id="{997B5494-155F-4051-B48F-D58F7E5AAC9D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452" name="Line 7">
          <a:extLst>
            <a:ext uri="{FF2B5EF4-FFF2-40B4-BE49-F238E27FC236}">
              <a16:creationId xmlns:a16="http://schemas.microsoft.com/office/drawing/2014/main" id="{ECF1CE4C-9305-48DA-9445-BF022F4B0EB3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453" name="Line 8">
          <a:extLst>
            <a:ext uri="{FF2B5EF4-FFF2-40B4-BE49-F238E27FC236}">
              <a16:creationId xmlns:a16="http://schemas.microsoft.com/office/drawing/2014/main" id="{CD3ECC3F-8DB3-4BB7-A22A-EE072F62B2BE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454" name="Rectangle 7">
          <a:extLst>
            <a:ext uri="{FF2B5EF4-FFF2-40B4-BE49-F238E27FC236}">
              <a16:creationId xmlns:a16="http://schemas.microsoft.com/office/drawing/2014/main" id="{47AC15A2-1D66-46CA-BFA3-19C38B35987F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455" name="Rectangle 8">
          <a:extLst>
            <a:ext uri="{FF2B5EF4-FFF2-40B4-BE49-F238E27FC236}">
              <a16:creationId xmlns:a16="http://schemas.microsoft.com/office/drawing/2014/main" id="{493038B2-65DE-46AB-BAF8-5A369505FC2F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456" name="Line 3">
          <a:extLst>
            <a:ext uri="{FF2B5EF4-FFF2-40B4-BE49-F238E27FC236}">
              <a16:creationId xmlns:a16="http://schemas.microsoft.com/office/drawing/2014/main" id="{3CE85EC0-8B98-4DBD-8A7B-DD8940D69A54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457" name="Line 5">
          <a:extLst>
            <a:ext uri="{FF2B5EF4-FFF2-40B4-BE49-F238E27FC236}">
              <a16:creationId xmlns:a16="http://schemas.microsoft.com/office/drawing/2014/main" id="{37880956-3A1C-4950-8D28-344BA204BA76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58" name="Line 2">
          <a:extLst>
            <a:ext uri="{FF2B5EF4-FFF2-40B4-BE49-F238E27FC236}">
              <a16:creationId xmlns:a16="http://schemas.microsoft.com/office/drawing/2014/main" id="{3A6B0D15-F6B8-414C-A792-F3739245125C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59" name="Line 3">
          <a:extLst>
            <a:ext uri="{FF2B5EF4-FFF2-40B4-BE49-F238E27FC236}">
              <a16:creationId xmlns:a16="http://schemas.microsoft.com/office/drawing/2014/main" id="{9420435D-3C15-442F-A078-A2D00B8A15BE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60" name="Line 4">
          <a:extLst>
            <a:ext uri="{FF2B5EF4-FFF2-40B4-BE49-F238E27FC236}">
              <a16:creationId xmlns:a16="http://schemas.microsoft.com/office/drawing/2014/main" id="{006BEDD3-27C7-4ACB-96BC-D944DFA5AA48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461" name="Line 5">
          <a:extLst>
            <a:ext uri="{FF2B5EF4-FFF2-40B4-BE49-F238E27FC236}">
              <a16:creationId xmlns:a16="http://schemas.microsoft.com/office/drawing/2014/main" id="{6A95B4D3-371A-4505-97C8-2D0A92C946A5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1462" name="Line 7">
          <a:extLst>
            <a:ext uri="{FF2B5EF4-FFF2-40B4-BE49-F238E27FC236}">
              <a16:creationId xmlns:a16="http://schemas.microsoft.com/office/drawing/2014/main" id="{585F2AFA-C8BC-4610-B9BE-9F3016250167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463" name="Line 2">
          <a:extLst>
            <a:ext uri="{FF2B5EF4-FFF2-40B4-BE49-F238E27FC236}">
              <a16:creationId xmlns:a16="http://schemas.microsoft.com/office/drawing/2014/main" id="{35ACC060-C9A3-4D27-9D2F-C27C32B6EBCC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464" name="Line 3">
          <a:extLst>
            <a:ext uri="{FF2B5EF4-FFF2-40B4-BE49-F238E27FC236}">
              <a16:creationId xmlns:a16="http://schemas.microsoft.com/office/drawing/2014/main" id="{A83BE177-FE41-4AE1-8555-EF2E5833F91F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465" name="Line 4">
          <a:extLst>
            <a:ext uri="{FF2B5EF4-FFF2-40B4-BE49-F238E27FC236}">
              <a16:creationId xmlns:a16="http://schemas.microsoft.com/office/drawing/2014/main" id="{63FEE936-1A38-4CC9-8C65-E659EA87FD5C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466" name="Line 5">
          <a:extLst>
            <a:ext uri="{FF2B5EF4-FFF2-40B4-BE49-F238E27FC236}">
              <a16:creationId xmlns:a16="http://schemas.microsoft.com/office/drawing/2014/main" id="{8B4D2D80-A55A-4CB3-9861-E8041728FCA6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467" name="Line 2">
          <a:extLst>
            <a:ext uri="{FF2B5EF4-FFF2-40B4-BE49-F238E27FC236}">
              <a16:creationId xmlns:a16="http://schemas.microsoft.com/office/drawing/2014/main" id="{E221ED6D-5ED9-4AEE-B388-B9EAB8E9B100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468" name="Line 3">
          <a:extLst>
            <a:ext uri="{FF2B5EF4-FFF2-40B4-BE49-F238E27FC236}">
              <a16:creationId xmlns:a16="http://schemas.microsoft.com/office/drawing/2014/main" id="{4F2AEAAC-5121-462B-B3BB-5282E475DE31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69" name="Line 4">
          <a:extLst>
            <a:ext uri="{FF2B5EF4-FFF2-40B4-BE49-F238E27FC236}">
              <a16:creationId xmlns:a16="http://schemas.microsoft.com/office/drawing/2014/main" id="{F93EFFFE-2BAE-45E2-B6E7-7540B6D3A406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379</xdr:row>
      <xdr:rowOff>0</xdr:rowOff>
    </xdr:from>
    <xdr:to>
      <xdr:col>8</xdr:col>
      <xdr:colOff>180975</xdr:colOff>
      <xdr:row>379</xdr:row>
      <xdr:rowOff>0</xdr:rowOff>
    </xdr:to>
    <xdr:sp macro="" textlink="">
      <xdr:nvSpPr>
        <xdr:cNvPr id="1470" name="Line 5">
          <a:extLst>
            <a:ext uri="{FF2B5EF4-FFF2-40B4-BE49-F238E27FC236}">
              <a16:creationId xmlns:a16="http://schemas.microsoft.com/office/drawing/2014/main" id="{7C32CB58-9819-48DA-9699-20D2199E31F9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367</xdr:row>
      <xdr:rowOff>0</xdr:rowOff>
    </xdr:from>
    <xdr:to>
      <xdr:col>8</xdr:col>
      <xdr:colOff>180975</xdr:colOff>
      <xdr:row>367</xdr:row>
      <xdr:rowOff>0</xdr:rowOff>
    </xdr:to>
    <xdr:sp macro="" textlink="">
      <xdr:nvSpPr>
        <xdr:cNvPr id="1471" name="Line 7">
          <a:extLst>
            <a:ext uri="{FF2B5EF4-FFF2-40B4-BE49-F238E27FC236}">
              <a16:creationId xmlns:a16="http://schemas.microsoft.com/office/drawing/2014/main" id="{5CC9BE6E-C897-45D1-A6DF-8EBFA29F5A7B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472" name="Line 3">
          <a:extLst>
            <a:ext uri="{FF2B5EF4-FFF2-40B4-BE49-F238E27FC236}">
              <a16:creationId xmlns:a16="http://schemas.microsoft.com/office/drawing/2014/main" id="{CF67781F-CE43-428B-A852-A784B5E7E1B8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473" name="Line 5">
          <a:extLst>
            <a:ext uri="{FF2B5EF4-FFF2-40B4-BE49-F238E27FC236}">
              <a16:creationId xmlns:a16="http://schemas.microsoft.com/office/drawing/2014/main" id="{D0930B95-674C-4D88-A039-AE214761D650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74" name="Line 2">
          <a:extLst>
            <a:ext uri="{FF2B5EF4-FFF2-40B4-BE49-F238E27FC236}">
              <a16:creationId xmlns:a16="http://schemas.microsoft.com/office/drawing/2014/main" id="{7FD7CD55-E756-4766-8394-5DDE69A092EB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75" name="Line 3">
          <a:extLst>
            <a:ext uri="{FF2B5EF4-FFF2-40B4-BE49-F238E27FC236}">
              <a16:creationId xmlns:a16="http://schemas.microsoft.com/office/drawing/2014/main" id="{B19E9103-25A1-4748-89F3-2B841070C963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76" name="Line 4">
          <a:extLst>
            <a:ext uri="{FF2B5EF4-FFF2-40B4-BE49-F238E27FC236}">
              <a16:creationId xmlns:a16="http://schemas.microsoft.com/office/drawing/2014/main" id="{35B8A848-8E6F-47B4-AC14-181CC72B8A16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477" name="Line 5">
          <a:extLst>
            <a:ext uri="{FF2B5EF4-FFF2-40B4-BE49-F238E27FC236}">
              <a16:creationId xmlns:a16="http://schemas.microsoft.com/office/drawing/2014/main" id="{EA670894-921A-481C-BF4B-5670E8290396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478" name="Line 2">
          <a:extLst>
            <a:ext uri="{FF2B5EF4-FFF2-40B4-BE49-F238E27FC236}">
              <a16:creationId xmlns:a16="http://schemas.microsoft.com/office/drawing/2014/main" id="{318D0CBF-D6A7-4E1E-86E8-8F8008B91539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479" name="Line 3">
          <a:extLst>
            <a:ext uri="{FF2B5EF4-FFF2-40B4-BE49-F238E27FC236}">
              <a16:creationId xmlns:a16="http://schemas.microsoft.com/office/drawing/2014/main" id="{DAE2E3A8-6F70-46F1-B7BA-324B661B3288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480" name="Line 4">
          <a:extLst>
            <a:ext uri="{FF2B5EF4-FFF2-40B4-BE49-F238E27FC236}">
              <a16:creationId xmlns:a16="http://schemas.microsoft.com/office/drawing/2014/main" id="{59B94575-FBFF-40DF-9EE5-A95FB0E4C564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481" name="Line 5">
          <a:extLst>
            <a:ext uri="{FF2B5EF4-FFF2-40B4-BE49-F238E27FC236}">
              <a16:creationId xmlns:a16="http://schemas.microsoft.com/office/drawing/2014/main" id="{5AA957C3-6C35-4626-89FE-FD8A1E2D5D1E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482" name="Line 2">
          <a:extLst>
            <a:ext uri="{FF2B5EF4-FFF2-40B4-BE49-F238E27FC236}">
              <a16:creationId xmlns:a16="http://schemas.microsoft.com/office/drawing/2014/main" id="{6E40A4DD-6A50-4194-9182-17A017DFD1C1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483" name="Line 3">
          <a:extLst>
            <a:ext uri="{FF2B5EF4-FFF2-40B4-BE49-F238E27FC236}">
              <a16:creationId xmlns:a16="http://schemas.microsoft.com/office/drawing/2014/main" id="{3C33AD23-1F4C-4315-A7A1-912BB20E0DAB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84" name="Line 4">
          <a:extLst>
            <a:ext uri="{FF2B5EF4-FFF2-40B4-BE49-F238E27FC236}">
              <a16:creationId xmlns:a16="http://schemas.microsoft.com/office/drawing/2014/main" id="{E52A342C-8F6D-43BA-8EF1-81D91CEEEE57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483</xdr:row>
      <xdr:rowOff>0</xdr:rowOff>
    </xdr:from>
    <xdr:to>
      <xdr:col>8</xdr:col>
      <xdr:colOff>180975</xdr:colOff>
      <xdr:row>483</xdr:row>
      <xdr:rowOff>0</xdr:rowOff>
    </xdr:to>
    <xdr:sp macro="" textlink="">
      <xdr:nvSpPr>
        <xdr:cNvPr id="1485" name="Line 5">
          <a:extLst>
            <a:ext uri="{FF2B5EF4-FFF2-40B4-BE49-F238E27FC236}">
              <a16:creationId xmlns:a16="http://schemas.microsoft.com/office/drawing/2014/main" id="{F2073F1B-6956-4FBC-AD27-0F30AC341CB8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486" name="Line 7">
          <a:extLst>
            <a:ext uri="{FF2B5EF4-FFF2-40B4-BE49-F238E27FC236}">
              <a16:creationId xmlns:a16="http://schemas.microsoft.com/office/drawing/2014/main" id="{C6755D27-C33B-4328-B5DF-A39068E50EA9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487" name="Line 2">
          <a:extLst>
            <a:ext uri="{FF2B5EF4-FFF2-40B4-BE49-F238E27FC236}">
              <a16:creationId xmlns:a16="http://schemas.microsoft.com/office/drawing/2014/main" id="{02C6780A-AE01-44E7-8280-E78734E7F8F3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488" name="Line 3">
          <a:extLst>
            <a:ext uri="{FF2B5EF4-FFF2-40B4-BE49-F238E27FC236}">
              <a16:creationId xmlns:a16="http://schemas.microsoft.com/office/drawing/2014/main" id="{9BFF70F3-B6E1-43E9-964C-A62C8DABC940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489" name="Line 4">
          <a:extLst>
            <a:ext uri="{FF2B5EF4-FFF2-40B4-BE49-F238E27FC236}">
              <a16:creationId xmlns:a16="http://schemas.microsoft.com/office/drawing/2014/main" id="{F571A648-8CEE-4114-AAD1-20B2075266D0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490" name="Line 3">
          <a:extLst>
            <a:ext uri="{FF2B5EF4-FFF2-40B4-BE49-F238E27FC236}">
              <a16:creationId xmlns:a16="http://schemas.microsoft.com/office/drawing/2014/main" id="{1C79570B-D149-4CB3-BB07-5FA5079F5B19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491" name="Line 5">
          <a:extLst>
            <a:ext uri="{FF2B5EF4-FFF2-40B4-BE49-F238E27FC236}">
              <a16:creationId xmlns:a16="http://schemas.microsoft.com/office/drawing/2014/main" id="{7BA1CAE3-20A7-42D5-A740-1365496E1D23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492" name="Line 2">
          <a:extLst>
            <a:ext uri="{FF2B5EF4-FFF2-40B4-BE49-F238E27FC236}">
              <a16:creationId xmlns:a16="http://schemas.microsoft.com/office/drawing/2014/main" id="{232DA7DA-5EBE-4373-A494-1C3D26D3F946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493" name="Line 3">
          <a:extLst>
            <a:ext uri="{FF2B5EF4-FFF2-40B4-BE49-F238E27FC236}">
              <a16:creationId xmlns:a16="http://schemas.microsoft.com/office/drawing/2014/main" id="{0C3C02B0-C554-48F1-ABBD-2DF728410125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494" name="Line 4">
          <a:extLst>
            <a:ext uri="{FF2B5EF4-FFF2-40B4-BE49-F238E27FC236}">
              <a16:creationId xmlns:a16="http://schemas.microsoft.com/office/drawing/2014/main" id="{3A813B8B-8137-4749-9964-E6ABF663E6E1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495" name="Line 5">
          <a:extLst>
            <a:ext uri="{FF2B5EF4-FFF2-40B4-BE49-F238E27FC236}">
              <a16:creationId xmlns:a16="http://schemas.microsoft.com/office/drawing/2014/main" id="{1EC0CE27-9C16-448E-B36B-F4A6AE8ABC12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496" name="Line 7">
          <a:extLst>
            <a:ext uri="{FF2B5EF4-FFF2-40B4-BE49-F238E27FC236}">
              <a16:creationId xmlns:a16="http://schemas.microsoft.com/office/drawing/2014/main" id="{B1530B3B-A7FF-4B20-ACC8-8960C2DEC57C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497" name="Line 2">
          <a:extLst>
            <a:ext uri="{FF2B5EF4-FFF2-40B4-BE49-F238E27FC236}">
              <a16:creationId xmlns:a16="http://schemas.microsoft.com/office/drawing/2014/main" id="{292C973F-717E-4301-95EA-1C36025F67B9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498" name="Line 3">
          <a:extLst>
            <a:ext uri="{FF2B5EF4-FFF2-40B4-BE49-F238E27FC236}">
              <a16:creationId xmlns:a16="http://schemas.microsoft.com/office/drawing/2014/main" id="{0621008D-7AE7-4EBA-B9C6-DA1F96BB19EA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499" name="Line 4">
          <a:extLst>
            <a:ext uri="{FF2B5EF4-FFF2-40B4-BE49-F238E27FC236}">
              <a16:creationId xmlns:a16="http://schemas.microsoft.com/office/drawing/2014/main" id="{D34D06D1-F3B8-4EE8-A110-F0B16B3C8801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500" name="Line 5">
          <a:extLst>
            <a:ext uri="{FF2B5EF4-FFF2-40B4-BE49-F238E27FC236}">
              <a16:creationId xmlns:a16="http://schemas.microsoft.com/office/drawing/2014/main" id="{E91AF28A-F928-4E18-AFD1-2CA368A04B4F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501" name="Line 2">
          <a:extLst>
            <a:ext uri="{FF2B5EF4-FFF2-40B4-BE49-F238E27FC236}">
              <a16:creationId xmlns:a16="http://schemas.microsoft.com/office/drawing/2014/main" id="{A7447C80-9C17-4DE1-A2B2-49B9F113A90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502" name="Line 3">
          <a:extLst>
            <a:ext uri="{FF2B5EF4-FFF2-40B4-BE49-F238E27FC236}">
              <a16:creationId xmlns:a16="http://schemas.microsoft.com/office/drawing/2014/main" id="{96EDA611-F75F-49CD-A221-44D16E5D534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503" name="Line 4">
          <a:extLst>
            <a:ext uri="{FF2B5EF4-FFF2-40B4-BE49-F238E27FC236}">
              <a16:creationId xmlns:a16="http://schemas.microsoft.com/office/drawing/2014/main" id="{19144ADA-9167-42B3-8E11-AF3465F307B8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504" name="Line 2">
          <a:extLst>
            <a:ext uri="{FF2B5EF4-FFF2-40B4-BE49-F238E27FC236}">
              <a16:creationId xmlns:a16="http://schemas.microsoft.com/office/drawing/2014/main" id="{C9B88D75-DF28-465A-996C-33A0AB0CA011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505" name="Line 3">
          <a:extLst>
            <a:ext uri="{FF2B5EF4-FFF2-40B4-BE49-F238E27FC236}">
              <a16:creationId xmlns:a16="http://schemas.microsoft.com/office/drawing/2014/main" id="{57827B6C-7A4B-4FED-B5AF-432E0241B154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506" name="Line 4">
          <a:extLst>
            <a:ext uri="{FF2B5EF4-FFF2-40B4-BE49-F238E27FC236}">
              <a16:creationId xmlns:a16="http://schemas.microsoft.com/office/drawing/2014/main" id="{F4EEC17E-25B5-4099-97AB-5D2493AFFD5D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507" name="Line 2">
          <a:extLst>
            <a:ext uri="{FF2B5EF4-FFF2-40B4-BE49-F238E27FC236}">
              <a16:creationId xmlns:a16="http://schemas.microsoft.com/office/drawing/2014/main" id="{2F90BA8C-2955-4FCE-8E9B-AD5C3C48ED81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508" name="Line 3">
          <a:extLst>
            <a:ext uri="{FF2B5EF4-FFF2-40B4-BE49-F238E27FC236}">
              <a16:creationId xmlns:a16="http://schemas.microsoft.com/office/drawing/2014/main" id="{97E2F779-654F-4A0D-A188-1DDC62CCBC8A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534</xdr:row>
      <xdr:rowOff>0</xdr:rowOff>
    </xdr:from>
    <xdr:to>
      <xdr:col>8</xdr:col>
      <xdr:colOff>180975</xdr:colOff>
      <xdr:row>534</xdr:row>
      <xdr:rowOff>0</xdr:rowOff>
    </xdr:to>
    <xdr:sp macro="" textlink="">
      <xdr:nvSpPr>
        <xdr:cNvPr id="1509" name="Line 4">
          <a:extLst>
            <a:ext uri="{FF2B5EF4-FFF2-40B4-BE49-F238E27FC236}">
              <a16:creationId xmlns:a16="http://schemas.microsoft.com/office/drawing/2014/main" id="{F2825437-2B33-430D-A671-1AFA0F8E823F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510" name="Line 3">
          <a:extLst>
            <a:ext uri="{FF2B5EF4-FFF2-40B4-BE49-F238E27FC236}">
              <a16:creationId xmlns:a16="http://schemas.microsoft.com/office/drawing/2014/main" id="{FD775D54-A8F2-4E6C-8D3C-46146B443460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511" name="Line 5">
          <a:extLst>
            <a:ext uri="{FF2B5EF4-FFF2-40B4-BE49-F238E27FC236}">
              <a16:creationId xmlns:a16="http://schemas.microsoft.com/office/drawing/2014/main" id="{60C31845-AED6-4F5F-938C-97E450C15D03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12" name="Line 2">
          <a:extLst>
            <a:ext uri="{FF2B5EF4-FFF2-40B4-BE49-F238E27FC236}">
              <a16:creationId xmlns:a16="http://schemas.microsoft.com/office/drawing/2014/main" id="{C3FE8B1F-EFAB-4734-A0FD-9E93471330CC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13" name="Line 3">
          <a:extLst>
            <a:ext uri="{FF2B5EF4-FFF2-40B4-BE49-F238E27FC236}">
              <a16:creationId xmlns:a16="http://schemas.microsoft.com/office/drawing/2014/main" id="{124A450F-5106-4F5C-96B9-0406AA20223A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14" name="Line 4">
          <a:extLst>
            <a:ext uri="{FF2B5EF4-FFF2-40B4-BE49-F238E27FC236}">
              <a16:creationId xmlns:a16="http://schemas.microsoft.com/office/drawing/2014/main" id="{36A1F728-E4E5-4841-B6D4-92775FE1A9E0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515" name="Line 5">
          <a:extLst>
            <a:ext uri="{FF2B5EF4-FFF2-40B4-BE49-F238E27FC236}">
              <a16:creationId xmlns:a16="http://schemas.microsoft.com/office/drawing/2014/main" id="{0E39241B-E04A-427F-B11D-ABA6EAE23D5D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618</xdr:row>
      <xdr:rowOff>0</xdr:rowOff>
    </xdr:from>
    <xdr:to>
      <xdr:col>8</xdr:col>
      <xdr:colOff>180975</xdr:colOff>
      <xdr:row>618</xdr:row>
      <xdr:rowOff>0</xdr:rowOff>
    </xdr:to>
    <xdr:sp macro="" textlink="">
      <xdr:nvSpPr>
        <xdr:cNvPr id="1516" name="Line 7">
          <a:extLst>
            <a:ext uri="{FF2B5EF4-FFF2-40B4-BE49-F238E27FC236}">
              <a16:creationId xmlns:a16="http://schemas.microsoft.com/office/drawing/2014/main" id="{A26AD29D-49D9-4A1B-9EF2-F98AF2550A69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517" name="Line 2">
          <a:extLst>
            <a:ext uri="{FF2B5EF4-FFF2-40B4-BE49-F238E27FC236}">
              <a16:creationId xmlns:a16="http://schemas.microsoft.com/office/drawing/2014/main" id="{63F74FC9-773F-419D-B7EA-FAEB6B5E793B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518" name="Line 3">
          <a:extLst>
            <a:ext uri="{FF2B5EF4-FFF2-40B4-BE49-F238E27FC236}">
              <a16:creationId xmlns:a16="http://schemas.microsoft.com/office/drawing/2014/main" id="{12C6BE61-285C-4D24-B3BF-163F07FE0314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519" name="Line 4">
          <a:extLst>
            <a:ext uri="{FF2B5EF4-FFF2-40B4-BE49-F238E27FC236}">
              <a16:creationId xmlns:a16="http://schemas.microsoft.com/office/drawing/2014/main" id="{B50D9F02-9802-4BE9-8F80-91247D002A70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520" name="Line 5">
          <a:extLst>
            <a:ext uri="{FF2B5EF4-FFF2-40B4-BE49-F238E27FC236}">
              <a16:creationId xmlns:a16="http://schemas.microsoft.com/office/drawing/2014/main" id="{4320B0EB-2E47-4ACC-9948-AB665E99B7D8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521" name="Line 2">
          <a:extLst>
            <a:ext uri="{FF2B5EF4-FFF2-40B4-BE49-F238E27FC236}">
              <a16:creationId xmlns:a16="http://schemas.microsoft.com/office/drawing/2014/main" id="{4643DA48-28B1-47D7-B14A-F55878DEEF4B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522" name="Line 3">
          <a:extLst>
            <a:ext uri="{FF2B5EF4-FFF2-40B4-BE49-F238E27FC236}">
              <a16:creationId xmlns:a16="http://schemas.microsoft.com/office/drawing/2014/main" id="{5AC29B51-D158-4408-B05E-FE95F78BBFF4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23" name="Line 4">
          <a:extLst>
            <a:ext uri="{FF2B5EF4-FFF2-40B4-BE49-F238E27FC236}">
              <a16:creationId xmlns:a16="http://schemas.microsoft.com/office/drawing/2014/main" id="{2C5F0A5D-92BC-4131-B46F-468CF70C307F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524" name="Line 2">
          <a:extLst>
            <a:ext uri="{FF2B5EF4-FFF2-40B4-BE49-F238E27FC236}">
              <a16:creationId xmlns:a16="http://schemas.microsoft.com/office/drawing/2014/main" id="{E6D4B6FE-75E4-4640-A15F-9B7F196E9215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525" name="Line 3">
          <a:extLst>
            <a:ext uri="{FF2B5EF4-FFF2-40B4-BE49-F238E27FC236}">
              <a16:creationId xmlns:a16="http://schemas.microsoft.com/office/drawing/2014/main" id="{08DC85FF-29F8-4B10-849D-4B5B4B4D7352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526" name="Line 4">
          <a:extLst>
            <a:ext uri="{FF2B5EF4-FFF2-40B4-BE49-F238E27FC236}">
              <a16:creationId xmlns:a16="http://schemas.microsoft.com/office/drawing/2014/main" id="{35D5361F-6966-4E39-B301-AC29433091E7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527" name="Line 2">
          <a:extLst>
            <a:ext uri="{FF2B5EF4-FFF2-40B4-BE49-F238E27FC236}">
              <a16:creationId xmlns:a16="http://schemas.microsoft.com/office/drawing/2014/main" id="{D3C088F6-BAA8-441A-A8A6-020187C073C4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528" name="Line 3">
          <a:extLst>
            <a:ext uri="{FF2B5EF4-FFF2-40B4-BE49-F238E27FC236}">
              <a16:creationId xmlns:a16="http://schemas.microsoft.com/office/drawing/2014/main" id="{A7FD2FFD-E445-4093-A750-49711E01F5D9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1529" name="Line 4">
          <a:extLst>
            <a:ext uri="{FF2B5EF4-FFF2-40B4-BE49-F238E27FC236}">
              <a16:creationId xmlns:a16="http://schemas.microsoft.com/office/drawing/2014/main" id="{978EBC8E-07B2-44F3-BE5E-4FA0EBD4F4C6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530" name="Line 3">
          <a:extLst>
            <a:ext uri="{FF2B5EF4-FFF2-40B4-BE49-F238E27FC236}">
              <a16:creationId xmlns:a16="http://schemas.microsoft.com/office/drawing/2014/main" id="{B095B2D9-4A42-4A99-AA24-023FB6CB3026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531" name="Line 5">
          <a:extLst>
            <a:ext uri="{FF2B5EF4-FFF2-40B4-BE49-F238E27FC236}">
              <a16:creationId xmlns:a16="http://schemas.microsoft.com/office/drawing/2014/main" id="{8F35FA1D-C2C6-421A-AD9C-BE68397679B5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32" name="Line 2">
          <a:extLst>
            <a:ext uri="{FF2B5EF4-FFF2-40B4-BE49-F238E27FC236}">
              <a16:creationId xmlns:a16="http://schemas.microsoft.com/office/drawing/2014/main" id="{55D9056B-8363-4C90-BE3A-14823BDA6EA5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33" name="Line 3">
          <a:extLst>
            <a:ext uri="{FF2B5EF4-FFF2-40B4-BE49-F238E27FC236}">
              <a16:creationId xmlns:a16="http://schemas.microsoft.com/office/drawing/2014/main" id="{B11B3D31-F6B6-443F-99FF-AFB73F2F3AB3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34" name="Line 4">
          <a:extLst>
            <a:ext uri="{FF2B5EF4-FFF2-40B4-BE49-F238E27FC236}">
              <a16:creationId xmlns:a16="http://schemas.microsoft.com/office/drawing/2014/main" id="{1918C9C1-1700-4776-8F4D-B8C132CCAD72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535" name="Line 5">
          <a:extLst>
            <a:ext uri="{FF2B5EF4-FFF2-40B4-BE49-F238E27FC236}">
              <a16:creationId xmlns:a16="http://schemas.microsoft.com/office/drawing/2014/main" id="{67D768E0-C75D-46DB-B0A2-410B8A65F414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677</xdr:row>
      <xdr:rowOff>0</xdr:rowOff>
    </xdr:from>
    <xdr:to>
      <xdr:col>8</xdr:col>
      <xdr:colOff>180975</xdr:colOff>
      <xdr:row>677</xdr:row>
      <xdr:rowOff>0</xdr:rowOff>
    </xdr:to>
    <xdr:sp macro="" textlink="">
      <xdr:nvSpPr>
        <xdr:cNvPr id="1536" name="Line 7">
          <a:extLst>
            <a:ext uri="{FF2B5EF4-FFF2-40B4-BE49-F238E27FC236}">
              <a16:creationId xmlns:a16="http://schemas.microsoft.com/office/drawing/2014/main" id="{0F6331CA-EC8A-4703-AD81-E1C6D391D0A4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537" name="Line 2">
          <a:extLst>
            <a:ext uri="{FF2B5EF4-FFF2-40B4-BE49-F238E27FC236}">
              <a16:creationId xmlns:a16="http://schemas.microsoft.com/office/drawing/2014/main" id="{E4C42729-26F7-43DF-9CE0-C87B0CD2CA0A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538" name="Line 3">
          <a:extLst>
            <a:ext uri="{FF2B5EF4-FFF2-40B4-BE49-F238E27FC236}">
              <a16:creationId xmlns:a16="http://schemas.microsoft.com/office/drawing/2014/main" id="{F3EFDD50-30F6-4E48-A074-6F708D4F675F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539" name="Line 4">
          <a:extLst>
            <a:ext uri="{FF2B5EF4-FFF2-40B4-BE49-F238E27FC236}">
              <a16:creationId xmlns:a16="http://schemas.microsoft.com/office/drawing/2014/main" id="{4409B708-458B-418C-B0CD-5D5913B4F042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540" name="Line 5">
          <a:extLst>
            <a:ext uri="{FF2B5EF4-FFF2-40B4-BE49-F238E27FC236}">
              <a16:creationId xmlns:a16="http://schemas.microsoft.com/office/drawing/2014/main" id="{89365BC7-7937-45D2-860A-AFE569C36D8A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541" name="Line 2">
          <a:extLst>
            <a:ext uri="{FF2B5EF4-FFF2-40B4-BE49-F238E27FC236}">
              <a16:creationId xmlns:a16="http://schemas.microsoft.com/office/drawing/2014/main" id="{EA4C33EB-9693-4D26-A0AA-E0B7AC172A44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542" name="Line 3">
          <a:extLst>
            <a:ext uri="{FF2B5EF4-FFF2-40B4-BE49-F238E27FC236}">
              <a16:creationId xmlns:a16="http://schemas.microsoft.com/office/drawing/2014/main" id="{44C3D089-282F-4459-B23E-1BD71D9DD963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43" name="Line 4">
          <a:extLst>
            <a:ext uri="{FF2B5EF4-FFF2-40B4-BE49-F238E27FC236}">
              <a16:creationId xmlns:a16="http://schemas.microsoft.com/office/drawing/2014/main" id="{AAFC977B-5A1C-455F-A5FE-73F68157CE1B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544" name="Line 2">
          <a:extLst>
            <a:ext uri="{FF2B5EF4-FFF2-40B4-BE49-F238E27FC236}">
              <a16:creationId xmlns:a16="http://schemas.microsoft.com/office/drawing/2014/main" id="{D4278729-C604-4D79-AA8C-CAB38167808E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545" name="Line 3">
          <a:extLst>
            <a:ext uri="{FF2B5EF4-FFF2-40B4-BE49-F238E27FC236}">
              <a16:creationId xmlns:a16="http://schemas.microsoft.com/office/drawing/2014/main" id="{D1D32A42-4257-42A1-A117-FA87CAB46870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546" name="Line 4">
          <a:extLst>
            <a:ext uri="{FF2B5EF4-FFF2-40B4-BE49-F238E27FC236}">
              <a16:creationId xmlns:a16="http://schemas.microsoft.com/office/drawing/2014/main" id="{EE116ED0-7E2C-44C9-9D85-2134D8A73D9A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547" name="Line 2">
          <a:extLst>
            <a:ext uri="{FF2B5EF4-FFF2-40B4-BE49-F238E27FC236}">
              <a16:creationId xmlns:a16="http://schemas.microsoft.com/office/drawing/2014/main" id="{45444E3D-80E0-40EC-B27C-76BE5A886A21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548" name="Line 3">
          <a:extLst>
            <a:ext uri="{FF2B5EF4-FFF2-40B4-BE49-F238E27FC236}">
              <a16:creationId xmlns:a16="http://schemas.microsoft.com/office/drawing/2014/main" id="{70BC3FEF-9635-4E2D-942E-6B0038D62CA8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656</xdr:row>
      <xdr:rowOff>0</xdr:rowOff>
    </xdr:from>
    <xdr:to>
      <xdr:col>8</xdr:col>
      <xdr:colOff>180975</xdr:colOff>
      <xdr:row>656</xdr:row>
      <xdr:rowOff>0</xdr:rowOff>
    </xdr:to>
    <xdr:sp macro="" textlink="">
      <xdr:nvSpPr>
        <xdr:cNvPr id="1549" name="Line 4">
          <a:extLst>
            <a:ext uri="{FF2B5EF4-FFF2-40B4-BE49-F238E27FC236}">
              <a16:creationId xmlns:a16="http://schemas.microsoft.com/office/drawing/2014/main" id="{4DBE9FA4-AF70-4A87-B9F0-BD5A2FFB18D6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550" name="Line 3">
          <a:extLst>
            <a:ext uri="{FF2B5EF4-FFF2-40B4-BE49-F238E27FC236}">
              <a16:creationId xmlns:a16="http://schemas.microsoft.com/office/drawing/2014/main" id="{A020DEA3-A07F-40F0-8AF6-1CE422284AF5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551" name="Line 5">
          <a:extLst>
            <a:ext uri="{FF2B5EF4-FFF2-40B4-BE49-F238E27FC236}">
              <a16:creationId xmlns:a16="http://schemas.microsoft.com/office/drawing/2014/main" id="{CFFB22F9-D179-423B-B117-A7C1C1393C97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52" name="Line 2">
          <a:extLst>
            <a:ext uri="{FF2B5EF4-FFF2-40B4-BE49-F238E27FC236}">
              <a16:creationId xmlns:a16="http://schemas.microsoft.com/office/drawing/2014/main" id="{9D48FE92-FEBB-437E-9157-32198DB8F13E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53" name="Line 3">
          <a:extLst>
            <a:ext uri="{FF2B5EF4-FFF2-40B4-BE49-F238E27FC236}">
              <a16:creationId xmlns:a16="http://schemas.microsoft.com/office/drawing/2014/main" id="{2FF331B6-6D1B-4B3C-B707-15005B8B27E0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54" name="Line 4">
          <a:extLst>
            <a:ext uri="{FF2B5EF4-FFF2-40B4-BE49-F238E27FC236}">
              <a16:creationId xmlns:a16="http://schemas.microsoft.com/office/drawing/2014/main" id="{B186F9E4-7B77-4269-8984-5A055E5362E6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555" name="Line 5">
          <a:extLst>
            <a:ext uri="{FF2B5EF4-FFF2-40B4-BE49-F238E27FC236}">
              <a16:creationId xmlns:a16="http://schemas.microsoft.com/office/drawing/2014/main" id="{25A78A8E-4FF3-47E5-952D-54F4BA783E9D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735</xdr:row>
      <xdr:rowOff>0</xdr:rowOff>
    </xdr:from>
    <xdr:to>
      <xdr:col>8</xdr:col>
      <xdr:colOff>180975</xdr:colOff>
      <xdr:row>735</xdr:row>
      <xdr:rowOff>0</xdr:rowOff>
    </xdr:to>
    <xdr:sp macro="" textlink="">
      <xdr:nvSpPr>
        <xdr:cNvPr id="1556" name="Line 7">
          <a:extLst>
            <a:ext uri="{FF2B5EF4-FFF2-40B4-BE49-F238E27FC236}">
              <a16:creationId xmlns:a16="http://schemas.microsoft.com/office/drawing/2014/main" id="{E7B6E1D3-BE56-4BDA-95E8-B302ADF19C03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557" name="Line 2">
          <a:extLst>
            <a:ext uri="{FF2B5EF4-FFF2-40B4-BE49-F238E27FC236}">
              <a16:creationId xmlns:a16="http://schemas.microsoft.com/office/drawing/2014/main" id="{96F3D70F-C5FA-4324-86F4-6CDBA47B05CB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558" name="Line 3">
          <a:extLst>
            <a:ext uri="{FF2B5EF4-FFF2-40B4-BE49-F238E27FC236}">
              <a16:creationId xmlns:a16="http://schemas.microsoft.com/office/drawing/2014/main" id="{4069E2ED-E84C-4E52-900E-63F32CCF4E9B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559" name="Line 4">
          <a:extLst>
            <a:ext uri="{FF2B5EF4-FFF2-40B4-BE49-F238E27FC236}">
              <a16:creationId xmlns:a16="http://schemas.microsoft.com/office/drawing/2014/main" id="{03E5FEF4-31EF-4256-B0DA-49115A665C9B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560" name="Line 5">
          <a:extLst>
            <a:ext uri="{FF2B5EF4-FFF2-40B4-BE49-F238E27FC236}">
              <a16:creationId xmlns:a16="http://schemas.microsoft.com/office/drawing/2014/main" id="{8481C7CF-D4D6-42B3-A485-7F7D7089C639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561" name="Line 2">
          <a:extLst>
            <a:ext uri="{FF2B5EF4-FFF2-40B4-BE49-F238E27FC236}">
              <a16:creationId xmlns:a16="http://schemas.microsoft.com/office/drawing/2014/main" id="{5E749BB4-7D15-4C08-AFA7-E3B9A9F4DC83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562" name="Line 3">
          <a:extLst>
            <a:ext uri="{FF2B5EF4-FFF2-40B4-BE49-F238E27FC236}">
              <a16:creationId xmlns:a16="http://schemas.microsoft.com/office/drawing/2014/main" id="{FB0379E4-EA14-4F19-A0C0-A5442C2519CB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63" name="Line 4">
          <a:extLst>
            <a:ext uri="{FF2B5EF4-FFF2-40B4-BE49-F238E27FC236}">
              <a16:creationId xmlns:a16="http://schemas.microsoft.com/office/drawing/2014/main" id="{8ED09C58-B360-47D2-8547-854010485B28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564" name="Line 2">
          <a:extLst>
            <a:ext uri="{FF2B5EF4-FFF2-40B4-BE49-F238E27FC236}">
              <a16:creationId xmlns:a16="http://schemas.microsoft.com/office/drawing/2014/main" id="{1A09E4A7-EB21-4A99-BB01-903E6C2BE6D6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565" name="Line 3">
          <a:extLst>
            <a:ext uri="{FF2B5EF4-FFF2-40B4-BE49-F238E27FC236}">
              <a16:creationId xmlns:a16="http://schemas.microsoft.com/office/drawing/2014/main" id="{52E17FD4-1777-4AE4-ABE8-BFF08E9DAD1C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566" name="Line 4">
          <a:extLst>
            <a:ext uri="{FF2B5EF4-FFF2-40B4-BE49-F238E27FC236}">
              <a16:creationId xmlns:a16="http://schemas.microsoft.com/office/drawing/2014/main" id="{AC0720B9-B895-4F2E-9688-97B49B0872FC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567" name="Line 2">
          <a:extLst>
            <a:ext uri="{FF2B5EF4-FFF2-40B4-BE49-F238E27FC236}">
              <a16:creationId xmlns:a16="http://schemas.microsoft.com/office/drawing/2014/main" id="{68CB11DE-9561-460A-8D97-482B51406521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568" name="Line 3">
          <a:extLst>
            <a:ext uri="{FF2B5EF4-FFF2-40B4-BE49-F238E27FC236}">
              <a16:creationId xmlns:a16="http://schemas.microsoft.com/office/drawing/2014/main" id="{5B732746-8856-488E-BC36-BB0756C98BBD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713</xdr:row>
      <xdr:rowOff>0</xdr:rowOff>
    </xdr:from>
    <xdr:to>
      <xdr:col>8</xdr:col>
      <xdr:colOff>180975</xdr:colOff>
      <xdr:row>713</xdr:row>
      <xdr:rowOff>0</xdr:rowOff>
    </xdr:to>
    <xdr:sp macro="" textlink="">
      <xdr:nvSpPr>
        <xdr:cNvPr id="1569" name="Line 4">
          <a:extLst>
            <a:ext uri="{FF2B5EF4-FFF2-40B4-BE49-F238E27FC236}">
              <a16:creationId xmlns:a16="http://schemas.microsoft.com/office/drawing/2014/main" id="{FF3F156E-6817-4B12-8B1F-B128C7C00FE0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</xdr:row>
      <xdr:rowOff>0</xdr:rowOff>
    </xdr:from>
    <xdr:to>
      <xdr:col>8</xdr:col>
      <xdr:colOff>180975</xdr:colOff>
      <xdr:row>55</xdr:row>
      <xdr:rowOff>0</xdr:rowOff>
    </xdr:to>
    <xdr:sp macro="" textlink="">
      <xdr:nvSpPr>
        <xdr:cNvPr id="1570" name="Line 2">
          <a:extLst>
            <a:ext uri="{FF2B5EF4-FFF2-40B4-BE49-F238E27FC236}">
              <a16:creationId xmlns:a16="http://schemas.microsoft.com/office/drawing/2014/main" id="{92A081A7-8E58-4BE1-BD77-E7734BCD8CB1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571" name="Line 3">
          <a:extLst>
            <a:ext uri="{FF2B5EF4-FFF2-40B4-BE49-F238E27FC236}">
              <a16:creationId xmlns:a16="http://schemas.microsoft.com/office/drawing/2014/main" id="{E6B4AA86-ED3A-41A9-8F63-6043067AEAB8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572" name="Line 5">
          <a:extLst>
            <a:ext uri="{FF2B5EF4-FFF2-40B4-BE49-F238E27FC236}">
              <a16:creationId xmlns:a16="http://schemas.microsoft.com/office/drawing/2014/main" id="{9568CE44-B247-44DE-A4E6-E7BF59FF953A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1573" name="Line 2">
          <a:extLst>
            <a:ext uri="{FF2B5EF4-FFF2-40B4-BE49-F238E27FC236}">
              <a16:creationId xmlns:a16="http://schemas.microsoft.com/office/drawing/2014/main" id="{C2A1D540-53AA-49B7-90C0-AC9087C413B7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574" name="Line 3">
          <a:extLst>
            <a:ext uri="{FF2B5EF4-FFF2-40B4-BE49-F238E27FC236}">
              <a16:creationId xmlns:a16="http://schemas.microsoft.com/office/drawing/2014/main" id="{80C86C67-C52D-4E27-A0BC-73C4B09CC212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575" name="Line 5">
          <a:extLst>
            <a:ext uri="{FF2B5EF4-FFF2-40B4-BE49-F238E27FC236}">
              <a16:creationId xmlns:a16="http://schemas.microsoft.com/office/drawing/2014/main" id="{871E51D3-C46D-4298-B871-26402C63CA67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576" name="Line 2">
          <a:extLst>
            <a:ext uri="{FF2B5EF4-FFF2-40B4-BE49-F238E27FC236}">
              <a16:creationId xmlns:a16="http://schemas.microsoft.com/office/drawing/2014/main" id="{7766E244-C98C-45ED-A521-D966FBD6B574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577" name="Line 3">
          <a:extLst>
            <a:ext uri="{FF2B5EF4-FFF2-40B4-BE49-F238E27FC236}">
              <a16:creationId xmlns:a16="http://schemas.microsoft.com/office/drawing/2014/main" id="{00C54787-7066-4CAD-BA5C-06B8E734CE20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578" name="Line 4">
          <a:extLst>
            <a:ext uri="{FF2B5EF4-FFF2-40B4-BE49-F238E27FC236}">
              <a16:creationId xmlns:a16="http://schemas.microsoft.com/office/drawing/2014/main" id="{04948E6C-FDA6-4BF4-AD5B-717AA4AB2E1B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105</xdr:row>
      <xdr:rowOff>0</xdr:rowOff>
    </xdr:from>
    <xdr:to>
      <xdr:col>8</xdr:col>
      <xdr:colOff>180975</xdr:colOff>
      <xdr:row>105</xdr:row>
      <xdr:rowOff>0</xdr:rowOff>
    </xdr:to>
    <xdr:sp macro="" textlink="">
      <xdr:nvSpPr>
        <xdr:cNvPr id="1579" name="Line 7">
          <a:extLst>
            <a:ext uri="{FF2B5EF4-FFF2-40B4-BE49-F238E27FC236}">
              <a16:creationId xmlns:a16="http://schemas.microsoft.com/office/drawing/2014/main" id="{C4E8CAEA-5977-4A9A-B112-9133C5324F4C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160</xdr:row>
      <xdr:rowOff>0</xdr:rowOff>
    </xdr:from>
    <xdr:to>
      <xdr:col>8</xdr:col>
      <xdr:colOff>180975</xdr:colOff>
      <xdr:row>160</xdr:row>
      <xdr:rowOff>0</xdr:rowOff>
    </xdr:to>
    <xdr:sp macro="" textlink="">
      <xdr:nvSpPr>
        <xdr:cNvPr id="1580" name="Line 2">
          <a:extLst>
            <a:ext uri="{FF2B5EF4-FFF2-40B4-BE49-F238E27FC236}">
              <a16:creationId xmlns:a16="http://schemas.microsoft.com/office/drawing/2014/main" id="{BAA36610-77E4-45E7-B369-435954B5F4FA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581" name="Line 3">
          <a:extLst>
            <a:ext uri="{FF2B5EF4-FFF2-40B4-BE49-F238E27FC236}">
              <a16:creationId xmlns:a16="http://schemas.microsoft.com/office/drawing/2014/main" id="{80E12E79-C92D-413E-BF5B-A876BC9AC534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582" name="Line 5">
          <a:extLst>
            <a:ext uri="{FF2B5EF4-FFF2-40B4-BE49-F238E27FC236}">
              <a16:creationId xmlns:a16="http://schemas.microsoft.com/office/drawing/2014/main" id="{FD05DAC4-4C8C-4204-B4A4-4610FFABF82D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583" name="Line 2">
          <a:extLst>
            <a:ext uri="{FF2B5EF4-FFF2-40B4-BE49-F238E27FC236}">
              <a16:creationId xmlns:a16="http://schemas.microsoft.com/office/drawing/2014/main" id="{5EB8183E-D0E6-4C44-B931-98D887807089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584" name="Line 3">
          <a:extLst>
            <a:ext uri="{FF2B5EF4-FFF2-40B4-BE49-F238E27FC236}">
              <a16:creationId xmlns:a16="http://schemas.microsoft.com/office/drawing/2014/main" id="{2CD94DE2-2D8D-4270-8B16-A8E8729CA59F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585" name="Line 4">
          <a:extLst>
            <a:ext uri="{FF2B5EF4-FFF2-40B4-BE49-F238E27FC236}">
              <a16:creationId xmlns:a16="http://schemas.microsoft.com/office/drawing/2014/main" id="{3CED0616-2415-4E6B-A01D-A225A2955209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586" name="Line 5">
          <a:extLst>
            <a:ext uri="{FF2B5EF4-FFF2-40B4-BE49-F238E27FC236}">
              <a16:creationId xmlns:a16="http://schemas.microsoft.com/office/drawing/2014/main" id="{F7841D96-3387-4604-99D2-10F83B40A35F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587" name="Line 2">
          <a:extLst>
            <a:ext uri="{FF2B5EF4-FFF2-40B4-BE49-F238E27FC236}">
              <a16:creationId xmlns:a16="http://schemas.microsoft.com/office/drawing/2014/main" id="{0460CE5A-98C0-4301-AFED-3CB201A587C1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588" name="Line 3">
          <a:extLst>
            <a:ext uri="{FF2B5EF4-FFF2-40B4-BE49-F238E27FC236}">
              <a16:creationId xmlns:a16="http://schemas.microsoft.com/office/drawing/2014/main" id="{6139F612-75C8-4272-A153-3A885FE17AFE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589" name="Line 4">
          <a:extLst>
            <a:ext uri="{FF2B5EF4-FFF2-40B4-BE49-F238E27FC236}">
              <a16:creationId xmlns:a16="http://schemas.microsoft.com/office/drawing/2014/main" id="{F6B5BEA8-3488-4D6F-97BD-383C4EA2B6C7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590" name="Line 5">
          <a:extLst>
            <a:ext uri="{FF2B5EF4-FFF2-40B4-BE49-F238E27FC236}">
              <a16:creationId xmlns:a16="http://schemas.microsoft.com/office/drawing/2014/main" id="{33C252A5-F8AF-45A3-8A02-A07D4762F726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591" name="Line 2">
          <a:extLst>
            <a:ext uri="{FF2B5EF4-FFF2-40B4-BE49-F238E27FC236}">
              <a16:creationId xmlns:a16="http://schemas.microsoft.com/office/drawing/2014/main" id="{1C237D98-1DB5-4D2E-B55C-8885AD65F985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592" name="Line 3">
          <a:extLst>
            <a:ext uri="{FF2B5EF4-FFF2-40B4-BE49-F238E27FC236}">
              <a16:creationId xmlns:a16="http://schemas.microsoft.com/office/drawing/2014/main" id="{368C6331-682E-45FF-A399-CD571A7E1278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593" name="Line 5">
          <a:extLst>
            <a:ext uri="{FF2B5EF4-FFF2-40B4-BE49-F238E27FC236}">
              <a16:creationId xmlns:a16="http://schemas.microsoft.com/office/drawing/2014/main" id="{68DC61CA-7344-4080-A1A1-642C0F061E51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594" name="Line 2">
          <a:extLst>
            <a:ext uri="{FF2B5EF4-FFF2-40B4-BE49-F238E27FC236}">
              <a16:creationId xmlns:a16="http://schemas.microsoft.com/office/drawing/2014/main" id="{A198D095-D81E-428B-A7C5-2F5E83C41210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595" name="Line 3">
          <a:extLst>
            <a:ext uri="{FF2B5EF4-FFF2-40B4-BE49-F238E27FC236}">
              <a16:creationId xmlns:a16="http://schemas.microsoft.com/office/drawing/2014/main" id="{F7EA1915-0CC0-4F5E-96F4-34EF8DC63512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596" name="Line 4">
          <a:extLst>
            <a:ext uri="{FF2B5EF4-FFF2-40B4-BE49-F238E27FC236}">
              <a16:creationId xmlns:a16="http://schemas.microsoft.com/office/drawing/2014/main" id="{F97B7444-34AE-46F5-9FE9-D18219E04645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597" name="Line 5">
          <a:extLst>
            <a:ext uri="{FF2B5EF4-FFF2-40B4-BE49-F238E27FC236}">
              <a16:creationId xmlns:a16="http://schemas.microsoft.com/office/drawing/2014/main" id="{C3B54835-3C31-4CD6-AA35-E855B8BE1A53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598" name="Line 2">
          <a:extLst>
            <a:ext uri="{FF2B5EF4-FFF2-40B4-BE49-F238E27FC236}">
              <a16:creationId xmlns:a16="http://schemas.microsoft.com/office/drawing/2014/main" id="{40794E64-B600-4FA6-82A5-26A78C6B7A37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599" name="Line 3">
          <a:extLst>
            <a:ext uri="{FF2B5EF4-FFF2-40B4-BE49-F238E27FC236}">
              <a16:creationId xmlns:a16="http://schemas.microsoft.com/office/drawing/2014/main" id="{2A4387AB-2960-4FD7-B393-0F7ED80FF4B6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00" name="Line 4">
          <a:extLst>
            <a:ext uri="{FF2B5EF4-FFF2-40B4-BE49-F238E27FC236}">
              <a16:creationId xmlns:a16="http://schemas.microsoft.com/office/drawing/2014/main" id="{390C391E-FA76-47A3-94DE-7264F1944778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601" name="Line 5">
          <a:extLst>
            <a:ext uri="{FF2B5EF4-FFF2-40B4-BE49-F238E27FC236}">
              <a16:creationId xmlns:a16="http://schemas.microsoft.com/office/drawing/2014/main" id="{460E0E26-0642-467C-AB8E-B9A543869DDF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602" name="Line 2">
          <a:extLst>
            <a:ext uri="{FF2B5EF4-FFF2-40B4-BE49-F238E27FC236}">
              <a16:creationId xmlns:a16="http://schemas.microsoft.com/office/drawing/2014/main" id="{276A4291-0F03-486B-9311-26A253B47AB0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603" name="Line 3">
          <a:extLst>
            <a:ext uri="{FF2B5EF4-FFF2-40B4-BE49-F238E27FC236}">
              <a16:creationId xmlns:a16="http://schemas.microsoft.com/office/drawing/2014/main" id="{9DA73FE2-80D1-401F-A76B-D038719DF0BE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604" name="Line 4">
          <a:extLst>
            <a:ext uri="{FF2B5EF4-FFF2-40B4-BE49-F238E27FC236}">
              <a16:creationId xmlns:a16="http://schemas.microsoft.com/office/drawing/2014/main" id="{4C07ECCD-CADE-4652-8738-87C3ECDE23BA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605" name="Line 5">
          <a:extLst>
            <a:ext uri="{FF2B5EF4-FFF2-40B4-BE49-F238E27FC236}">
              <a16:creationId xmlns:a16="http://schemas.microsoft.com/office/drawing/2014/main" id="{1D17C212-14BB-42DD-99C5-6558422B47EE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606" name="Line 7">
          <a:extLst>
            <a:ext uri="{FF2B5EF4-FFF2-40B4-BE49-F238E27FC236}">
              <a16:creationId xmlns:a16="http://schemas.microsoft.com/office/drawing/2014/main" id="{CF1FEC16-73E7-493F-A152-5A06BB91D7F8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607" name="Line 8">
          <a:extLst>
            <a:ext uri="{FF2B5EF4-FFF2-40B4-BE49-F238E27FC236}">
              <a16:creationId xmlns:a16="http://schemas.microsoft.com/office/drawing/2014/main" id="{3599F084-7A10-41F8-B050-F467B36DA7D4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608" name="Rectangle 7">
          <a:extLst>
            <a:ext uri="{FF2B5EF4-FFF2-40B4-BE49-F238E27FC236}">
              <a16:creationId xmlns:a16="http://schemas.microsoft.com/office/drawing/2014/main" id="{8599A43B-7516-4054-8692-9595D89B2AEC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609" name="Rectangle 8">
          <a:extLst>
            <a:ext uri="{FF2B5EF4-FFF2-40B4-BE49-F238E27FC236}">
              <a16:creationId xmlns:a16="http://schemas.microsoft.com/office/drawing/2014/main" id="{677D69F2-D301-49D5-9BF2-F8850E0B7B23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610" name="Line 2">
          <a:extLst>
            <a:ext uri="{FF2B5EF4-FFF2-40B4-BE49-F238E27FC236}">
              <a16:creationId xmlns:a16="http://schemas.microsoft.com/office/drawing/2014/main" id="{493DED41-D40E-4458-914E-B4B19F53EBF8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611" name="Line 3">
          <a:extLst>
            <a:ext uri="{FF2B5EF4-FFF2-40B4-BE49-F238E27FC236}">
              <a16:creationId xmlns:a16="http://schemas.microsoft.com/office/drawing/2014/main" id="{6E36F3DA-BBF9-4C02-9A3D-0C0A9C621F8F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612" name="Line 5">
          <a:extLst>
            <a:ext uri="{FF2B5EF4-FFF2-40B4-BE49-F238E27FC236}">
              <a16:creationId xmlns:a16="http://schemas.microsoft.com/office/drawing/2014/main" id="{22D7924D-E452-4E21-85B8-6ED7A2D15D70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613" name="Line 2">
          <a:extLst>
            <a:ext uri="{FF2B5EF4-FFF2-40B4-BE49-F238E27FC236}">
              <a16:creationId xmlns:a16="http://schemas.microsoft.com/office/drawing/2014/main" id="{6D40FD0E-5D30-450A-8CE4-BA08B0E5B872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614" name="Line 3">
          <a:extLst>
            <a:ext uri="{FF2B5EF4-FFF2-40B4-BE49-F238E27FC236}">
              <a16:creationId xmlns:a16="http://schemas.microsoft.com/office/drawing/2014/main" id="{B0FF9A3A-5331-4D91-9EB8-532BC8F88A9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615" name="Line 4">
          <a:extLst>
            <a:ext uri="{FF2B5EF4-FFF2-40B4-BE49-F238E27FC236}">
              <a16:creationId xmlns:a16="http://schemas.microsoft.com/office/drawing/2014/main" id="{DBF59362-12C9-4047-AC86-98CC02E749F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616" name="Line 5">
          <a:extLst>
            <a:ext uri="{FF2B5EF4-FFF2-40B4-BE49-F238E27FC236}">
              <a16:creationId xmlns:a16="http://schemas.microsoft.com/office/drawing/2014/main" id="{F0831D4D-4973-49B9-BF9C-51D346FE89F1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17" name="Line 2">
          <a:extLst>
            <a:ext uri="{FF2B5EF4-FFF2-40B4-BE49-F238E27FC236}">
              <a16:creationId xmlns:a16="http://schemas.microsoft.com/office/drawing/2014/main" id="{6E72569A-962E-4032-9A96-92BB942C82E9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18" name="Line 3">
          <a:extLst>
            <a:ext uri="{FF2B5EF4-FFF2-40B4-BE49-F238E27FC236}">
              <a16:creationId xmlns:a16="http://schemas.microsoft.com/office/drawing/2014/main" id="{EE2A414E-3A6D-4FF1-940C-8D3069F424D2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19" name="Line 4">
          <a:extLst>
            <a:ext uri="{FF2B5EF4-FFF2-40B4-BE49-F238E27FC236}">
              <a16:creationId xmlns:a16="http://schemas.microsoft.com/office/drawing/2014/main" id="{E810B4E8-A858-4367-A2EA-F7DCB40C8A7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620" name="Line 5">
          <a:extLst>
            <a:ext uri="{FF2B5EF4-FFF2-40B4-BE49-F238E27FC236}">
              <a16:creationId xmlns:a16="http://schemas.microsoft.com/office/drawing/2014/main" id="{491160B3-09C8-4974-B73F-42FF5471456D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621" name="Line 2">
          <a:extLst>
            <a:ext uri="{FF2B5EF4-FFF2-40B4-BE49-F238E27FC236}">
              <a16:creationId xmlns:a16="http://schemas.microsoft.com/office/drawing/2014/main" id="{0711BBE2-0532-4F6A-B327-A933FF53F763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622" name="Line 3">
          <a:extLst>
            <a:ext uri="{FF2B5EF4-FFF2-40B4-BE49-F238E27FC236}">
              <a16:creationId xmlns:a16="http://schemas.microsoft.com/office/drawing/2014/main" id="{1A4F6D31-D464-411B-A604-84246710657D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623" name="Line 4">
          <a:extLst>
            <a:ext uri="{FF2B5EF4-FFF2-40B4-BE49-F238E27FC236}">
              <a16:creationId xmlns:a16="http://schemas.microsoft.com/office/drawing/2014/main" id="{B1951B9B-5CB3-492B-8520-75BACC9D88D9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624" name="Line 5">
          <a:extLst>
            <a:ext uri="{FF2B5EF4-FFF2-40B4-BE49-F238E27FC236}">
              <a16:creationId xmlns:a16="http://schemas.microsoft.com/office/drawing/2014/main" id="{CDD25C29-5BFF-4A52-84D4-8170A5AA5D51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625" name="Line 7">
          <a:extLst>
            <a:ext uri="{FF2B5EF4-FFF2-40B4-BE49-F238E27FC236}">
              <a16:creationId xmlns:a16="http://schemas.microsoft.com/office/drawing/2014/main" id="{2EB2D0DE-710E-4780-99F8-00AE51598614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626" name="Line 8">
          <a:extLst>
            <a:ext uri="{FF2B5EF4-FFF2-40B4-BE49-F238E27FC236}">
              <a16:creationId xmlns:a16="http://schemas.microsoft.com/office/drawing/2014/main" id="{68A51695-54E3-4D2A-8C5D-F26AB287E42C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627" name="Rectangle 7">
          <a:extLst>
            <a:ext uri="{FF2B5EF4-FFF2-40B4-BE49-F238E27FC236}">
              <a16:creationId xmlns:a16="http://schemas.microsoft.com/office/drawing/2014/main" id="{FF4AAD7B-1957-481F-B550-D3797AB8C593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0500" cy="933450"/>
    <xdr:sp macro="" textlink="">
      <xdr:nvSpPr>
        <xdr:cNvPr id="1628" name="Rectangle 8">
          <a:extLst>
            <a:ext uri="{FF2B5EF4-FFF2-40B4-BE49-F238E27FC236}">
              <a16:creationId xmlns:a16="http://schemas.microsoft.com/office/drawing/2014/main" id="{822B80C4-68A7-4EDC-943C-4F5C7FB41692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629" name="Line 3">
          <a:extLst>
            <a:ext uri="{FF2B5EF4-FFF2-40B4-BE49-F238E27FC236}">
              <a16:creationId xmlns:a16="http://schemas.microsoft.com/office/drawing/2014/main" id="{CF1C70B3-20D1-4569-87E9-1EDEA5DA5511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630" name="Line 5">
          <a:extLst>
            <a:ext uri="{FF2B5EF4-FFF2-40B4-BE49-F238E27FC236}">
              <a16:creationId xmlns:a16="http://schemas.microsoft.com/office/drawing/2014/main" id="{6E32451F-DDD6-4046-8133-A79E4659A9DE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31" name="Line 2">
          <a:extLst>
            <a:ext uri="{FF2B5EF4-FFF2-40B4-BE49-F238E27FC236}">
              <a16:creationId xmlns:a16="http://schemas.microsoft.com/office/drawing/2014/main" id="{DEC6CF5E-0572-418D-AAB8-A530A4D38418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32" name="Line 3">
          <a:extLst>
            <a:ext uri="{FF2B5EF4-FFF2-40B4-BE49-F238E27FC236}">
              <a16:creationId xmlns:a16="http://schemas.microsoft.com/office/drawing/2014/main" id="{951DEA45-1872-472F-9666-8770AA6B158B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33" name="Line 4">
          <a:extLst>
            <a:ext uri="{FF2B5EF4-FFF2-40B4-BE49-F238E27FC236}">
              <a16:creationId xmlns:a16="http://schemas.microsoft.com/office/drawing/2014/main" id="{5F520028-FAB9-43CF-BA4B-BC4A064630F6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634" name="Line 5">
          <a:extLst>
            <a:ext uri="{FF2B5EF4-FFF2-40B4-BE49-F238E27FC236}">
              <a16:creationId xmlns:a16="http://schemas.microsoft.com/office/drawing/2014/main" id="{9458A1D4-D53A-4FCC-80D0-C63C9896CDDD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1635" name="Line 7">
          <a:extLst>
            <a:ext uri="{FF2B5EF4-FFF2-40B4-BE49-F238E27FC236}">
              <a16:creationId xmlns:a16="http://schemas.microsoft.com/office/drawing/2014/main" id="{0AC6CD48-7EC1-4C0A-9899-6CC711B418DD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636" name="Line 2">
          <a:extLst>
            <a:ext uri="{FF2B5EF4-FFF2-40B4-BE49-F238E27FC236}">
              <a16:creationId xmlns:a16="http://schemas.microsoft.com/office/drawing/2014/main" id="{28CA98F7-6F52-40AB-BE61-52BC657F725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637" name="Line 3">
          <a:extLst>
            <a:ext uri="{FF2B5EF4-FFF2-40B4-BE49-F238E27FC236}">
              <a16:creationId xmlns:a16="http://schemas.microsoft.com/office/drawing/2014/main" id="{3EE5CB06-59D1-4573-8870-D1B63A262D48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638" name="Line 4">
          <a:extLst>
            <a:ext uri="{FF2B5EF4-FFF2-40B4-BE49-F238E27FC236}">
              <a16:creationId xmlns:a16="http://schemas.microsoft.com/office/drawing/2014/main" id="{678E7EF6-D20B-4BE1-AC7B-76DB74B5F497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639" name="Line 5">
          <a:extLst>
            <a:ext uri="{FF2B5EF4-FFF2-40B4-BE49-F238E27FC236}">
              <a16:creationId xmlns:a16="http://schemas.microsoft.com/office/drawing/2014/main" id="{40101C55-3AE1-41C2-AADB-BADC459A8139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640" name="Line 2">
          <a:extLst>
            <a:ext uri="{FF2B5EF4-FFF2-40B4-BE49-F238E27FC236}">
              <a16:creationId xmlns:a16="http://schemas.microsoft.com/office/drawing/2014/main" id="{BFD8CB5F-CD93-46A7-A449-7B5A8F1FCCD6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641" name="Line 3">
          <a:extLst>
            <a:ext uri="{FF2B5EF4-FFF2-40B4-BE49-F238E27FC236}">
              <a16:creationId xmlns:a16="http://schemas.microsoft.com/office/drawing/2014/main" id="{90F9EC70-8B41-4BF2-9DDA-8D8364D2A57A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42" name="Line 4">
          <a:extLst>
            <a:ext uri="{FF2B5EF4-FFF2-40B4-BE49-F238E27FC236}">
              <a16:creationId xmlns:a16="http://schemas.microsoft.com/office/drawing/2014/main" id="{FA7CAC74-95CD-4D6D-911F-65234CFB3030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379</xdr:row>
      <xdr:rowOff>0</xdr:rowOff>
    </xdr:from>
    <xdr:to>
      <xdr:col>8</xdr:col>
      <xdr:colOff>180975</xdr:colOff>
      <xdr:row>379</xdr:row>
      <xdr:rowOff>0</xdr:rowOff>
    </xdr:to>
    <xdr:sp macro="" textlink="">
      <xdr:nvSpPr>
        <xdr:cNvPr id="1643" name="Line 5">
          <a:extLst>
            <a:ext uri="{FF2B5EF4-FFF2-40B4-BE49-F238E27FC236}">
              <a16:creationId xmlns:a16="http://schemas.microsoft.com/office/drawing/2014/main" id="{EE227755-2A98-4687-80F8-65C342BAF3F5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367</xdr:row>
      <xdr:rowOff>0</xdr:rowOff>
    </xdr:from>
    <xdr:to>
      <xdr:col>8</xdr:col>
      <xdr:colOff>180975</xdr:colOff>
      <xdr:row>367</xdr:row>
      <xdr:rowOff>0</xdr:rowOff>
    </xdr:to>
    <xdr:sp macro="" textlink="">
      <xdr:nvSpPr>
        <xdr:cNvPr id="1644" name="Line 7">
          <a:extLst>
            <a:ext uri="{FF2B5EF4-FFF2-40B4-BE49-F238E27FC236}">
              <a16:creationId xmlns:a16="http://schemas.microsoft.com/office/drawing/2014/main" id="{8BA4779E-EA1B-4F6C-896F-9815E75C006D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645" name="Line 3">
          <a:extLst>
            <a:ext uri="{FF2B5EF4-FFF2-40B4-BE49-F238E27FC236}">
              <a16:creationId xmlns:a16="http://schemas.microsoft.com/office/drawing/2014/main" id="{FCBD1CBF-2285-4324-A032-036BBE64695B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646" name="Line 5">
          <a:extLst>
            <a:ext uri="{FF2B5EF4-FFF2-40B4-BE49-F238E27FC236}">
              <a16:creationId xmlns:a16="http://schemas.microsoft.com/office/drawing/2014/main" id="{2A198EB6-A818-4685-9D04-5CB3E75EAC9D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47" name="Line 2">
          <a:extLst>
            <a:ext uri="{FF2B5EF4-FFF2-40B4-BE49-F238E27FC236}">
              <a16:creationId xmlns:a16="http://schemas.microsoft.com/office/drawing/2014/main" id="{F9F86E98-334A-49A7-B49D-9E6B7481E7FF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48" name="Line 3">
          <a:extLst>
            <a:ext uri="{FF2B5EF4-FFF2-40B4-BE49-F238E27FC236}">
              <a16:creationId xmlns:a16="http://schemas.microsoft.com/office/drawing/2014/main" id="{0D33FACC-2AD3-4264-B53F-BFC14B34B1E8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49" name="Line 4">
          <a:extLst>
            <a:ext uri="{FF2B5EF4-FFF2-40B4-BE49-F238E27FC236}">
              <a16:creationId xmlns:a16="http://schemas.microsoft.com/office/drawing/2014/main" id="{EC09E086-4B59-46FA-987E-30187DFDEEFD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650" name="Line 5">
          <a:extLst>
            <a:ext uri="{FF2B5EF4-FFF2-40B4-BE49-F238E27FC236}">
              <a16:creationId xmlns:a16="http://schemas.microsoft.com/office/drawing/2014/main" id="{E2268DF5-1DBD-474B-9193-32AF1D4B3398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651" name="Line 2">
          <a:extLst>
            <a:ext uri="{FF2B5EF4-FFF2-40B4-BE49-F238E27FC236}">
              <a16:creationId xmlns:a16="http://schemas.microsoft.com/office/drawing/2014/main" id="{1F89041D-BC99-4379-AD7A-9C364A10E05C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652" name="Line 3">
          <a:extLst>
            <a:ext uri="{FF2B5EF4-FFF2-40B4-BE49-F238E27FC236}">
              <a16:creationId xmlns:a16="http://schemas.microsoft.com/office/drawing/2014/main" id="{105FAADD-B5C5-4EC7-9232-D7B41E7E4BA2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653" name="Line 4">
          <a:extLst>
            <a:ext uri="{FF2B5EF4-FFF2-40B4-BE49-F238E27FC236}">
              <a16:creationId xmlns:a16="http://schemas.microsoft.com/office/drawing/2014/main" id="{CBB69F34-D31E-4471-BAB0-1D6F4C681921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654" name="Line 5">
          <a:extLst>
            <a:ext uri="{FF2B5EF4-FFF2-40B4-BE49-F238E27FC236}">
              <a16:creationId xmlns:a16="http://schemas.microsoft.com/office/drawing/2014/main" id="{F57A4FC7-88B4-46F4-B244-EA4D83114DDC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655" name="Line 2">
          <a:extLst>
            <a:ext uri="{FF2B5EF4-FFF2-40B4-BE49-F238E27FC236}">
              <a16:creationId xmlns:a16="http://schemas.microsoft.com/office/drawing/2014/main" id="{A554B090-9B69-4919-9619-DA7326D316E2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656" name="Line 3">
          <a:extLst>
            <a:ext uri="{FF2B5EF4-FFF2-40B4-BE49-F238E27FC236}">
              <a16:creationId xmlns:a16="http://schemas.microsoft.com/office/drawing/2014/main" id="{5B05C241-D7E3-480B-AE29-68187BAF93CA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57" name="Line 4">
          <a:extLst>
            <a:ext uri="{FF2B5EF4-FFF2-40B4-BE49-F238E27FC236}">
              <a16:creationId xmlns:a16="http://schemas.microsoft.com/office/drawing/2014/main" id="{1B6E891D-5C51-424E-9342-0A6EE077DACD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483</xdr:row>
      <xdr:rowOff>0</xdr:rowOff>
    </xdr:from>
    <xdr:to>
      <xdr:col>8</xdr:col>
      <xdr:colOff>180975</xdr:colOff>
      <xdr:row>483</xdr:row>
      <xdr:rowOff>0</xdr:rowOff>
    </xdr:to>
    <xdr:sp macro="" textlink="">
      <xdr:nvSpPr>
        <xdr:cNvPr id="1658" name="Line 5">
          <a:extLst>
            <a:ext uri="{FF2B5EF4-FFF2-40B4-BE49-F238E27FC236}">
              <a16:creationId xmlns:a16="http://schemas.microsoft.com/office/drawing/2014/main" id="{4DFB87FB-34EB-41DE-8ADC-0A7A0B758C1B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659" name="Line 7">
          <a:extLst>
            <a:ext uri="{FF2B5EF4-FFF2-40B4-BE49-F238E27FC236}">
              <a16:creationId xmlns:a16="http://schemas.microsoft.com/office/drawing/2014/main" id="{B9E32CA7-D43D-427B-B9B9-6EE8FCB2D663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660" name="Line 2">
          <a:extLst>
            <a:ext uri="{FF2B5EF4-FFF2-40B4-BE49-F238E27FC236}">
              <a16:creationId xmlns:a16="http://schemas.microsoft.com/office/drawing/2014/main" id="{171DB1ED-28D3-4405-8EEA-EBD3B5D4CCDD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661" name="Line 3">
          <a:extLst>
            <a:ext uri="{FF2B5EF4-FFF2-40B4-BE49-F238E27FC236}">
              <a16:creationId xmlns:a16="http://schemas.microsoft.com/office/drawing/2014/main" id="{2572C50A-B3CA-4DCA-93B0-9658F58D4E3B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662" name="Line 4">
          <a:extLst>
            <a:ext uri="{FF2B5EF4-FFF2-40B4-BE49-F238E27FC236}">
              <a16:creationId xmlns:a16="http://schemas.microsoft.com/office/drawing/2014/main" id="{5F7D7595-0AF6-42DC-8B57-1F3A3D4D78C4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663" name="Line 3">
          <a:extLst>
            <a:ext uri="{FF2B5EF4-FFF2-40B4-BE49-F238E27FC236}">
              <a16:creationId xmlns:a16="http://schemas.microsoft.com/office/drawing/2014/main" id="{86A898E3-8CBD-42AF-8991-6B4FD3F812A6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664" name="Line 5">
          <a:extLst>
            <a:ext uri="{FF2B5EF4-FFF2-40B4-BE49-F238E27FC236}">
              <a16:creationId xmlns:a16="http://schemas.microsoft.com/office/drawing/2014/main" id="{E2C30EDF-6BA9-41E5-84AF-1597FCC14629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65" name="Line 2">
          <a:extLst>
            <a:ext uri="{FF2B5EF4-FFF2-40B4-BE49-F238E27FC236}">
              <a16:creationId xmlns:a16="http://schemas.microsoft.com/office/drawing/2014/main" id="{AF44C640-10BF-4EBA-A5B2-7B31350F6236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66" name="Line 3">
          <a:extLst>
            <a:ext uri="{FF2B5EF4-FFF2-40B4-BE49-F238E27FC236}">
              <a16:creationId xmlns:a16="http://schemas.microsoft.com/office/drawing/2014/main" id="{246CD3CB-653F-4468-B827-017436E0A488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67" name="Line 4">
          <a:extLst>
            <a:ext uri="{FF2B5EF4-FFF2-40B4-BE49-F238E27FC236}">
              <a16:creationId xmlns:a16="http://schemas.microsoft.com/office/drawing/2014/main" id="{607BBF51-1578-4260-9631-9B8BC929E09E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668" name="Line 5">
          <a:extLst>
            <a:ext uri="{FF2B5EF4-FFF2-40B4-BE49-F238E27FC236}">
              <a16:creationId xmlns:a16="http://schemas.microsoft.com/office/drawing/2014/main" id="{A064221D-3EC8-4091-A2C2-C0B4AEA77EFE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669" name="Line 7">
          <a:extLst>
            <a:ext uri="{FF2B5EF4-FFF2-40B4-BE49-F238E27FC236}">
              <a16:creationId xmlns:a16="http://schemas.microsoft.com/office/drawing/2014/main" id="{6C48A252-4AB8-4743-AC59-910E8ED72E6B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670" name="Line 2">
          <a:extLst>
            <a:ext uri="{FF2B5EF4-FFF2-40B4-BE49-F238E27FC236}">
              <a16:creationId xmlns:a16="http://schemas.microsoft.com/office/drawing/2014/main" id="{8A048449-2A52-44C8-82DB-1C82579A295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671" name="Line 3">
          <a:extLst>
            <a:ext uri="{FF2B5EF4-FFF2-40B4-BE49-F238E27FC236}">
              <a16:creationId xmlns:a16="http://schemas.microsoft.com/office/drawing/2014/main" id="{D7A6E99D-0DC1-4943-B324-91F3479DA4B6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672" name="Line 4">
          <a:extLst>
            <a:ext uri="{FF2B5EF4-FFF2-40B4-BE49-F238E27FC236}">
              <a16:creationId xmlns:a16="http://schemas.microsoft.com/office/drawing/2014/main" id="{86E51780-2542-4B04-B61A-91DD3A27A59B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673" name="Line 5">
          <a:extLst>
            <a:ext uri="{FF2B5EF4-FFF2-40B4-BE49-F238E27FC236}">
              <a16:creationId xmlns:a16="http://schemas.microsoft.com/office/drawing/2014/main" id="{4638C8EB-CAD1-4716-AE0F-14B40D2FFBBB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674" name="Line 2">
          <a:extLst>
            <a:ext uri="{FF2B5EF4-FFF2-40B4-BE49-F238E27FC236}">
              <a16:creationId xmlns:a16="http://schemas.microsoft.com/office/drawing/2014/main" id="{7BFAB328-98F8-4DE7-8323-719840E6547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675" name="Line 3">
          <a:extLst>
            <a:ext uri="{FF2B5EF4-FFF2-40B4-BE49-F238E27FC236}">
              <a16:creationId xmlns:a16="http://schemas.microsoft.com/office/drawing/2014/main" id="{4E5BC54B-4339-4AD7-85EF-DBC16EA25EB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76" name="Line 4">
          <a:extLst>
            <a:ext uri="{FF2B5EF4-FFF2-40B4-BE49-F238E27FC236}">
              <a16:creationId xmlns:a16="http://schemas.microsoft.com/office/drawing/2014/main" id="{4D1818AA-D0E9-4B33-AA63-8A5E05352F5C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677" name="Line 2">
          <a:extLst>
            <a:ext uri="{FF2B5EF4-FFF2-40B4-BE49-F238E27FC236}">
              <a16:creationId xmlns:a16="http://schemas.microsoft.com/office/drawing/2014/main" id="{E9F7CC8D-199C-491B-AF52-D6F936E830FE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678" name="Line 3">
          <a:extLst>
            <a:ext uri="{FF2B5EF4-FFF2-40B4-BE49-F238E27FC236}">
              <a16:creationId xmlns:a16="http://schemas.microsoft.com/office/drawing/2014/main" id="{5B5B773B-4802-4830-BF78-AC966A1864D5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679" name="Line 4">
          <a:extLst>
            <a:ext uri="{FF2B5EF4-FFF2-40B4-BE49-F238E27FC236}">
              <a16:creationId xmlns:a16="http://schemas.microsoft.com/office/drawing/2014/main" id="{1020B64F-2CCD-496E-A1CE-7D834CA007FC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680" name="Line 2">
          <a:extLst>
            <a:ext uri="{FF2B5EF4-FFF2-40B4-BE49-F238E27FC236}">
              <a16:creationId xmlns:a16="http://schemas.microsoft.com/office/drawing/2014/main" id="{3BAFB0A1-4EA0-49CE-9FEE-514A669A2374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681" name="Line 3">
          <a:extLst>
            <a:ext uri="{FF2B5EF4-FFF2-40B4-BE49-F238E27FC236}">
              <a16:creationId xmlns:a16="http://schemas.microsoft.com/office/drawing/2014/main" id="{DD2353F4-7F62-4B78-B279-9E65DBCF908F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534</xdr:row>
      <xdr:rowOff>0</xdr:rowOff>
    </xdr:from>
    <xdr:to>
      <xdr:col>8</xdr:col>
      <xdr:colOff>180975</xdr:colOff>
      <xdr:row>534</xdr:row>
      <xdr:rowOff>0</xdr:rowOff>
    </xdr:to>
    <xdr:sp macro="" textlink="">
      <xdr:nvSpPr>
        <xdr:cNvPr id="1682" name="Line 4">
          <a:extLst>
            <a:ext uri="{FF2B5EF4-FFF2-40B4-BE49-F238E27FC236}">
              <a16:creationId xmlns:a16="http://schemas.microsoft.com/office/drawing/2014/main" id="{D6DD3988-A018-44A3-9316-CC9535B10423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683" name="Line 3">
          <a:extLst>
            <a:ext uri="{FF2B5EF4-FFF2-40B4-BE49-F238E27FC236}">
              <a16:creationId xmlns:a16="http://schemas.microsoft.com/office/drawing/2014/main" id="{EDCECDAC-72D2-4DF6-ACED-68F90C4EE78B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684" name="Line 5">
          <a:extLst>
            <a:ext uri="{FF2B5EF4-FFF2-40B4-BE49-F238E27FC236}">
              <a16:creationId xmlns:a16="http://schemas.microsoft.com/office/drawing/2014/main" id="{6C70F3C2-F75A-4C1C-A6DC-5122C7161D26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85" name="Line 2">
          <a:extLst>
            <a:ext uri="{FF2B5EF4-FFF2-40B4-BE49-F238E27FC236}">
              <a16:creationId xmlns:a16="http://schemas.microsoft.com/office/drawing/2014/main" id="{3D4B37D8-BE4F-4870-A778-128639346178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86" name="Line 3">
          <a:extLst>
            <a:ext uri="{FF2B5EF4-FFF2-40B4-BE49-F238E27FC236}">
              <a16:creationId xmlns:a16="http://schemas.microsoft.com/office/drawing/2014/main" id="{A2DA5283-CECA-41CF-9C65-BCEB58B7A737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87" name="Line 4">
          <a:extLst>
            <a:ext uri="{FF2B5EF4-FFF2-40B4-BE49-F238E27FC236}">
              <a16:creationId xmlns:a16="http://schemas.microsoft.com/office/drawing/2014/main" id="{00473CC0-EA1A-4D61-8A35-3BA77683ECC6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688" name="Line 5">
          <a:extLst>
            <a:ext uri="{FF2B5EF4-FFF2-40B4-BE49-F238E27FC236}">
              <a16:creationId xmlns:a16="http://schemas.microsoft.com/office/drawing/2014/main" id="{BEB2459B-E964-49BF-AAF6-17CE445C5FE0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618</xdr:row>
      <xdr:rowOff>0</xdr:rowOff>
    </xdr:from>
    <xdr:to>
      <xdr:col>8</xdr:col>
      <xdr:colOff>180975</xdr:colOff>
      <xdr:row>618</xdr:row>
      <xdr:rowOff>0</xdr:rowOff>
    </xdr:to>
    <xdr:sp macro="" textlink="">
      <xdr:nvSpPr>
        <xdr:cNvPr id="1689" name="Line 7">
          <a:extLst>
            <a:ext uri="{FF2B5EF4-FFF2-40B4-BE49-F238E27FC236}">
              <a16:creationId xmlns:a16="http://schemas.microsoft.com/office/drawing/2014/main" id="{3CFDF8A6-C4A1-438B-A5FA-1DD7D45D9B43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690" name="Line 2">
          <a:extLst>
            <a:ext uri="{FF2B5EF4-FFF2-40B4-BE49-F238E27FC236}">
              <a16:creationId xmlns:a16="http://schemas.microsoft.com/office/drawing/2014/main" id="{A6904EB6-985E-4FAE-BEC3-7FBAEF28625C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691" name="Line 3">
          <a:extLst>
            <a:ext uri="{FF2B5EF4-FFF2-40B4-BE49-F238E27FC236}">
              <a16:creationId xmlns:a16="http://schemas.microsoft.com/office/drawing/2014/main" id="{A82663D8-955A-485D-8E98-3DF3AF1B8AE6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692" name="Line 4">
          <a:extLst>
            <a:ext uri="{FF2B5EF4-FFF2-40B4-BE49-F238E27FC236}">
              <a16:creationId xmlns:a16="http://schemas.microsoft.com/office/drawing/2014/main" id="{CABF4BB3-BD3F-4381-958C-FD6D67DF1FDD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693" name="Line 5">
          <a:extLst>
            <a:ext uri="{FF2B5EF4-FFF2-40B4-BE49-F238E27FC236}">
              <a16:creationId xmlns:a16="http://schemas.microsoft.com/office/drawing/2014/main" id="{D7D6F183-AD68-460C-AE65-26AB2C3BA1EB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694" name="Line 2">
          <a:extLst>
            <a:ext uri="{FF2B5EF4-FFF2-40B4-BE49-F238E27FC236}">
              <a16:creationId xmlns:a16="http://schemas.microsoft.com/office/drawing/2014/main" id="{74B0462A-9933-4A26-8AEF-D7FBC0190787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695" name="Line 3">
          <a:extLst>
            <a:ext uri="{FF2B5EF4-FFF2-40B4-BE49-F238E27FC236}">
              <a16:creationId xmlns:a16="http://schemas.microsoft.com/office/drawing/2014/main" id="{0869C7F6-BC65-4ABC-9A30-7324E3B356C7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96" name="Line 4">
          <a:extLst>
            <a:ext uri="{FF2B5EF4-FFF2-40B4-BE49-F238E27FC236}">
              <a16:creationId xmlns:a16="http://schemas.microsoft.com/office/drawing/2014/main" id="{3F77B344-BD29-42D6-B193-CBF184ACCAFC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697" name="Line 2">
          <a:extLst>
            <a:ext uri="{FF2B5EF4-FFF2-40B4-BE49-F238E27FC236}">
              <a16:creationId xmlns:a16="http://schemas.microsoft.com/office/drawing/2014/main" id="{B863E026-2D32-4F33-8CA6-F0439DE7D87E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698" name="Line 3">
          <a:extLst>
            <a:ext uri="{FF2B5EF4-FFF2-40B4-BE49-F238E27FC236}">
              <a16:creationId xmlns:a16="http://schemas.microsoft.com/office/drawing/2014/main" id="{F2F9C92F-5852-407C-BA72-41EA96FD11B0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699" name="Line 4">
          <a:extLst>
            <a:ext uri="{FF2B5EF4-FFF2-40B4-BE49-F238E27FC236}">
              <a16:creationId xmlns:a16="http://schemas.microsoft.com/office/drawing/2014/main" id="{927C18D4-2E41-466D-8F9F-C18CB76B73D3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700" name="Line 2">
          <a:extLst>
            <a:ext uri="{FF2B5EF4-FFF2-40B4-BE49-F238E27FC236}">
              <a16:creationId xmlns:a16="http://schemas.microsoft.com/office/drawing/2014/main" id="{450EED86-9142-4F6A-A676-B315CC38FE40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701" name="Line 3">
          <a:extLst>
            <a:ext uri="{FF2B5EF4-FFF2-40B4-BE49-F238E27FC236}">
              <a16:creationId xmlns:a16="http://schemas.microsoft.com/office/drawing/2014/main" id="{6E08D316-DBC9-4D74-B4C4-8AEEB3FFBEE7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1702" name="Line 4">
          <a:extLst>
            <a:ext uri="{FF2B5EF4-FFF2-40B4-BE49-F238E27FC236}">
              <a16:creationId xmlns:a16="http://schemas.microsoft.com/office/drawing/2014/main" id="{6F802E6B-B234-43AB-BCDE-094C2A7C1E4E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703" name="Line 3">
          <a:extLst>
            <a:ext uri="{FF2B5EF4-FFF2-40B4-BE49-F238E27FC236}">
              <a16:creationId xmlns:a16="http://schemas.microsoft.com/office/drawing/2014/main" id="{AD83B63E-2DF1-45EB-A786-FFEDB04ACB49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704" name="Line 5">
          <a:extLst>
            <a:ext uri="{FF2B5EF4-FFF2-40B4-BE49-F238E27FC236}">
              <a16:creationId xmlns:a16="http://schemas.microsoft.com/office/drawing/2014/main" id="{1608E038-9E0E-4AFA-B244-777ACEEAC2A7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05" name="Line 2">
          <a:extLst>
            <a:ext uri="{FF2B5EF4-FFF2-40B4-BE49-F238E27FC236}">
              <a16:creationId xmlns:a16="http://schemas.microsoft.com/office/drawing/2014/main" id="{E2E76786-F2BC-4055-BE4D-643EF8D36A58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06" name="Line 3">
          <a:extLst>
            <a:ext uri="{FF2B5EF4-FFF2-40B4-BE49-F238E27FC236}">
              <a16:creationId xmlns:a16="http://schemas.microsoft.com/office/drawing/2014/main" id="{A1F28291-9E32-4F7B-A104-13DA2E6E2861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07" name="Line 4">
          <a:extLst>
            <a:ext uri="{FF2B5EF4-FFF2-40B4-BE49-F238E27FC236}">
              <a16:creationId xmlns:a16="http://schemas.microsoft.com/office/drawing/2014/main" id="{B49DAADC-0445-41A7-9307-4D4EBDD5B248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708" name="Line 5">
          <a:extLst>
            <a:ext uri="{FF2B5EF4-FFF2-40B4-BE49-F238E27FC236}">
              <a16:creationId xmlns:a16="http://schemas.microsoft.com/office/drawing/2014/main" id="{6DF87ACE-7BFC-4D6D-BA6A-C80F6E059AFC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677</xdr:row>
      <xdr:rowOff>0</xdr:rowOff>
    </xdr:from>
    <xdr:to>
      <xdr:col>8</xdr:col>
      <xdr:colOff>180975</xdr:colOff>
      <xdr:row>677</xdr:row>
      <xdr:rowOff>0</xdr:rowOff>
    </xdr:to>
    <xdr:sp macro="" textlink="">
      <xdr:nvSpPr>
        <xdr:cNvPr id="1709" name="Line 7">
          <a:extLst>
            <a:ext uri="{FF2B5EF4-FFF2-40B4-BE49-F238E27FC236}">
              <a16:creationId xmlns:a16="http://schemas.microsoft.com/office/drawing/2014/main" id="{67878A52-42C6-4BF5-9334-41E3B1AD2DF0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710" name="Line 2">
          <a:extLst>
            <a:ext uri="{FF2B5EF4-FFF2-40B4-BE49-F238E27FC236}">
              <a16:creationId xmlns:a16="http://schemas.microsoft.com/office/drawing/2014/main" id="{7100A8CA-EF39-4668-8F98-742F1D2FBF1D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711" name="Line 3">
          <a:extLst>
            <a:ext uri="{FF2B5EF4-FFF2-40B4-BE49-F238E27FC236}">
              <a16:creationId xmlns:a16="http://schemas.microsoft.com/office/drawing/2014/main" id="{7CBC812C-6AC8-4431-9BE7-412AB81EBE12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712" name="Line 4">
          <a:extLst>
            <a:ext uri="{FF2B5EF4-FFF2-40B4-BE49-F238E27FC236}">
              <a16:creationId xmlns:a16="http://schemas.microsoft.com/office/drawing/2014/main" id="{4685939B-AB26-4571-A470-7FEBA2AC3871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713" name="Line 5">
          <a:extLst>
            <a:ext uri="{FF2B5EF4-FFF2-40B4-BE49-F238E27FC236}">
              <a16:creationId xmlns:a16="http://schemas.microsoft.com/office/drawing/2014/main" id="{0393BE13-18A9-45A6-9434-76969899E8FC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714" name="Line 2">
          <a:extLst>
            <a:ext uri="{FF2B5EF4-FFF2-40B4-BE49-F238E27FC236}">
              <a16:creationId xmlns:a16="http://schemas.microsoft.com/office/drawing/2014/main" id="{5CF4C005-B790-40FD-89EC-7AE5EEF3450C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715" name="Line 3">
          <a:extLst>
            <a:ext uri="{FF2B5EF4-FFF2-40B4-BE49-F238E27FC236}">
              <a16:creationId xmlns:a16="http://schemas.microsoft.com/office/drawing/2014/main" id="{079D770B-F0CA-4B87-A2FA-4F983401DF69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16" name="Line 4">
          <a:extLst>
            <a:ext uri="{FF2B5EF4-FFF2-40B4-BE49-F238E27FC236}">
              <a16:creationId xmlns:a16="http://schemas.microsoft.com/office/drawing/2014/main" id="{7A129489-494E-46CF-B567-4159B9244A84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717" name="Line 2">
          <a:extLst>
            <a:ext uri="{FF2B5EF4-FFF2-40B4-BE49-F238E27FC236}">
              <a16:creationId xmlns:a16="http://schemas.microsoft.com/office/drawing/2014/main" id="{2FC6583A-BD30-4437-A8C7-57FE3F6FFAA4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718" name="Line 3">
          <a:extLst>
            <a:ext uri="{FF2B5EF4-FFF2-40B4-BE49-F238E27FC236}">
              <a16:creationId xmlns:a16="http://schemas.microsoft.com/office/drawing/2014/main" id="{28F53DFB-F10D-4258-99D5-849F3F40972F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719" name="Line 4">
          <a:extLst>
            <a:ext uri="{FF2B5EF4-FFF2-40B4-BE49-F238E27FC236}">
              <a16:creationId xmlns:a16="http://schemas.microsoft.com/office/drawing/2014/main" id="{CA065135-1B6D-44CC-B447-0B6D5EB2FBFB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720" name="Line 2">
          <a:extLst>
            <a:ext uri="{FF2B5EF4-FFF2-40B4-BE49-F238E27FC236}">
              <a16:creationId xmlns:a16="http://schemas.microsoft.com/office/drawing/2014/main" id="{14897BC6-6CE2-4655-99AB-56DF2719E630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721" name="Line 3">
          <a:extLst>
            <a:ext uri="{FF2B5EF4-FFF2-40B4-BE49-F238E27FC236}">
              <a16:creationId xmlns:a16="http://schemas.microsoft.com/office/drawing/2014/main" id="{C875A74B-B8A6-4587-B20E-D38371AE161F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656</xdr:row>
      <xdr:rowOff>0</xdr:rowOff>
    </xdr:from>
    <xdr:to>
      <xdr:col>8</xdr:col>
      <xdr:colOff>180975</xdr:colOff>
      <xdr:row>656</xdr:row>
      <xdr:rowOff>0</xdr:rowOff>
    </xdr:to>
    <xdr:sp macro="" textlink="">
      <xdr:nvSpPr>
        <xdr:cNvPr id="1722" name="Line 4">
          <a:extLst>
            <a:ext uri="{FF2B5EF4-FFF2-40B4-BE49-F238E27FC236}">
              <a16:creationId xmlns:a16="http://schemas.microsoft.com/office/drawing/2014/main" id="{2B316D28-AB08-4715-817B-A80E1B6EC75A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723" name="Line 3">
          <a:extLst>
            <a:ext uri="{FF2B5EF4-FFF2-40B4-BE49-F238E27FC236}">
              <a16:creationId xmlns:a16="http://schemas.microsoft.com/office/drawing/2014/main" id="{0B695B52-CEAC-4715-B3F8-DBE33C5D3DCC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724" name="Line 5">
          <a:extLst>
            <a:ext uri="{FF2B5EF4-FFF2-40B4-BE49-F238E27FC236}">
              <a16:creationId xmlns:a16="http://schemas.microsoft.com/office/drawing/2014/main" id="{DC2888BB-3511-4566-A6E8-D85F438C4BAD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25" name="Line 2">
          <a:extLst>
            <a:ext uri="{FF2B5EF4-FFF2-40B4-BE49-F238E27FC236}">
              <a16:creationId xmlns:a16="http://schemas.microsoft.com/office/drawing/2014/main" id="{543CD03B-7DC1-4BF4-A0F6-1823B6227562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26" name="Line 3">
          <a:extLst>
            <a:ext uri="{FF2B5EF4-FFF2-40B4-BE49-F238E27FC236}">
              <a16:creationId xmlns:a16="http://schemas.microsoft.com/office/drawing/2014/main" id="{029CBC67-4CC9-4204-9A2B-C120530A9C7C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27" name="Line 4">
          <a:extLst>
            <a:ext uri="{FF2B5EF4-FFF2-40B4-BE49-F238E27FC236}">
              <a16:creationId xmlns:a16="http://schemas.microsoft.com/office/drawing/2014/main" id="{AC1B2E89-E718-44D1-8FFF-7515D1EBA9C0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728" name="Line 5">
          <a:extLst>
            <a:ext uri="{FF2B5EF4-FFF2-40B4-BE49-F238E27FC236}">
              <a16:creationId xmlns:a16="http://schemas.microsoft.com/office/drawing/2014/main" id="{3ADD85C1-CA1B-45CF-A3BD-8ABCC83633C9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735</xdr:row>
      <xdr:rowOff>0</xdr:rowOff>
    </xdr:from>
    <xdr:to>
      <xdr:col>8</xdr:col>
      <xdr:colOff>180975</xdr:colOff>
      <xdr:row>735</xdr:row>
      <xdr:rowOff>0</xdr:rowOff>
    </xdr:to>
    <xdr:sp macro="" textlink="">
      <xdr:nvSpPr>
        <xdr:cNvPr id="1729" name="Line 7">
          <a:extLst>
            <a:ext uri="{FF2B5EF4-FFF2-40B4-BE49-F238E27FC236}">
              <a16:creationId xmlns:a16="http://schemas.microsoft.com/office/drawing/2014/main" id="{1EC68B65-98F7-427C-A7DF-60A1C894D67E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730" name="Line 2">
          <a:extLst>
            <a:ext uri="{FF2B5EF4-FFF2-40B4-BE49-F238E27FC236}">
              <a16:creationId xmlns:a16="http://schemas.microsoft.com/office/drawing/2014/main" id="{28F3EBC4-1163-4B53-A442-8DE14D3E6F32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731" name="Line 3">
          <a:extLst>
            <a:ext uri="{FF2B5EF4-FFF2-40B4-BE49-F238E27FC236}">
              <a16:creationId xmlns:a16="http://schemas.microsoft.com/office/drawing/2014/main" id="{45476DC1-B61F-4707-BABA-E2964DA22FA9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732" name="Line 4">
          <a:extLst>
            <a:ext uri="{FF2B5EF4-FFF2-40B4-BE49-F238E27FC236}">
              <a16:creationId xmlns:a16="http://schemas.microsoft.com/office/drawing/2014/main" id="{52219FE4-2E7D-42C9-A2B0-36F92CCC99D0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733" name="Line 5">
          <a:extLst>
            <a:ext uri="{FF2B5EF4-FFF2-40B4-BE49-F238E27FC236}">
              <a16:creationId xmlns:a16="http://schemas.microsoft.com/office/drawing/2014/main" id="{70444E00-653E-476D-9DE3-70CD3B361CCA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734" name="Line 2">
          <a:extLst>
            <a:ext uri="{FF2B5EF4-FFF2-40B4-BE49-F238E27FC236}">
              <a16:creationId xmlns:a16="http://schemas.microsoft.com/office/drawing/2014/main" id="{DFF103C8-A3AF-4D5C-A131-00028F28FB7A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735" name="Line 3">
          <a:extLst>
            <a:ext uri="{FF2B5EF4-FFF2-40B4-BE49-F238E27FC236}">
              <a16:creationId xmlns:a16="http://schemas.microsoft.com/office/drawing/2014/main" id="{640279F7-2F8B-4544-834C-9DA23AA07477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36" name="Line 4">
          <a:extLst>
            <a:ext uri="{FF2B5EF4-FFF2-40B4-BE49-F238E27FC236}">
              <a16:creationId xmlns:a16="http://schemas.microsoft.com/office/drawing/2014/main" id="{4E903508-6A4C-4C7F-98FB-F2CD2407A6FE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737" name="Line 2">
          <a:extLst>
            <a:ext uri="{FF2B5EF4-FFF2-40B4-BE49-F238E27FC236}">
              <a16:creationId xmlns:a16="http://schemas.microsoft.com/office/drawing/2014/main" id="{1986CA5D-B9C2-4BAE-8068-23A8D73FD7E8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738" name="Line 3">
          <a:extLst>
            <a:ext uri="{FF2B5EF4-FFF2-40B4-BE49-F238E27FC236}">
              <a16:creationId xmlns:a16="http://schemas.microsoft.com/office/drawing/2014/main" id="{40ABAAC0-2439-41EF-85AA-3B481E01E482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739" name="Line 4">
          <a:extLst>
            <a:ext uri="{FF2B5EF4-FFF2-40B4-BE49-F238E27FC236}">
              <a16:creationId xmlns:a16="http://schemas.microsoft.com/office/drawing/2014/main" id="{89A00D2E-5EFD-473C-8BBB-C012CBC9D183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740" name="Line 2">
          <a:extLst>
            <a:ext uri="{FF2B5EF4-FFF2-40B4-BE49-F238E27FC236}">
              <a16:creationId xmlns:a16="http://schemas.microsoft.com/office/drawing/2014/main" id="{1D43FAD9-0B9B-4FCC-9E98-FAA51B7C96A9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741" name="Line 3">
          <a:extLst>
            <a:ext uri="{FF2B5EF4-FFF2-40B4-BE49-F238E27FC236}">
              <a16:creationId xmlns:a16="http://schemas.microsoft.com/office/drawing/2014/main" id="{A745BD9C-302E-45A0-AA44-901CB9E47D04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713</xdr:row>
      <xdr:rowOff>0</xdr:rowOff>
    </xdr:from>
    <xdr:to>
      <xdr:col>8</xdr:col>
      <xdr:colOff>180975</xdr:colOff>
      <xdr:row>713</xdr:row>
      <xdr:rowOff>0</xdr:rowOff>
    </xdr:to>
    <xdr:sp macro="" textlink="">
      <xdr:nvSpPr>
        <xdr:cNvPr id="1742" name="Line 4">
          <a:extLst>
            <a:ext uri="{FF2B5EF4-FFF2-40B4-BE49-F238E27FC236}">
              <a16:creationId xmlns:a16="http://schemas.microsoft.com/office/drawing/2014/main" id="{327EDD3A-57B5-48E7-BACF-766C27B9D7CD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</xdr:row>
      <xdr:rowOff>0</xdr:rowOff>
    </xdr:from>
    <xdr:to>
      <xdr:col>8</xdr:col>
      <xdr:colOff>180975</xdr:colOff>
      <xdr:row>55</xdr:row>
      <xdr:rowOff>0</xdr:rowOff>
    </xdr:to>
    <xdr:sp macro="" textlink="">
      <xdr:nvSpPr>
        <xdr:cNvPr id="1743" name="Line 2">
          <a:extLst>
            <a:ext uri="{FF2B5EF4-FFF2-40B4-BE49-F238E27FC236}">
              <a16:creationId xmlns:a16="http://schemas.microsoft.com/office/drawing/2014/main" id="{CB0F8F14-7054-45DD-8C37-0851EFF37598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744" name="Line 3">
          <a:extLst>
            <a:ext uri="{FF2B5EF4-FFF2-40B4-BE49-F238E27FC236}">
              <a16:creationId xmlns:a16="http://schemas.microsoft.com/office/drawing/2014/main" id="{1CFC9EB3-08A1-41B1-BF15-FBC9003ED5F3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745" name="Line 5">
          <a:extLst>
            <a:ext uri="{FF2B5EF4-FFF2-40B4-BE49-F238E27FC236}">
              <a16:creationId xmlns:a16="http://schemas.microsoft.com/office/drawing/2014/main" id="{6A21EE96-A224-47D3-85FD-8776C96DAB12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1746" name="Line 2">
          <a:extLst>
            <a:ext uri="{FF2B5EF4-FFF2-40B4-BE49-F238E27FC236}">
              <a16:creationId xmlns:a16="http://schemas.microsoft.com/office/drawing/2014/main" id="{114DF0ED-D83B-4D1A-8BB4-C06A6B2516FF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747" name="Line 3">
          <a:extLst>
            <a:ext uri="{FF2B5EF4-FFF2-40B4-BE49-F238E27FC236}">
              <a16:creationId xmlns:a16="http://schemas.microsoft.com/office/drawing/2014/main" id="{0B37C406-E1B3-4A42-95DF-4BE2ADB40D59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748" name="Line 5">
          <a:extLst>
            <a:ext uri="{FF2B5EF4-FFF2-40B4-BE49-F238E27FC236}">
              <a16:creationId xmlns:a16="http://schemas.microsoft.com/office/drawing/2014/main" id="{453EDAAE-B908-4940-ACA9-DAF00F2238E1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749" name="Line 2">
          <a:extLst>
            <a:ext uri="{FF2B5EF4-FFF2-40B4-BE49-F238E27FC236}">
              <a16:creationId xmlns:a16="http://schemas.microsoft.com/office/drawing/2014/main" id="{BC753BD3-1CBD-463A-9038-5DC3755954C5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750" name="Line 3">
          <a:extLst>
            <a:ext uri="{FF2B5EF4-FFF2-40B4-BE49-F238E27FC236}">
              <a16:creationId xmlns:a16="http://schemas.microsoft.com/office/drawing/2014/main" id="{6887DADE-A326-4145-A254-AE9B191B93A9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751" name="Line 4">
          <a:extLst>
            <a:ext uri="{FF2B5EF4-FFF2-40B4-BE49-F238E27FC236}">
              <a16:creationId xmlns:a16="http://schemas.microsoft.com/office/drawing/2014/main" id="{9ECDA748-5836-4829-89C9-6509FFE933F7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105</xdr:row>
      <xdr:rowOff>0</xdr:rowOff>
    </xdr:from>
    <xdr:to>
      <xdr:col>8</xdr:col>
      <xdr:colOff>180975</xdr:colOff>
      <xdr:row>105</xdr:row>
      <xdr:rowOff>0</xdr:rowOff>
    </xdr:to>
    <xdr:sp macro="" textlink="">
      <xdr:nvSpPr>
        <xdr:cNvPr id="1752" name="Line 7">
          <a:extLst>
            <a:ext uri="{FF2B5EF4-FFF2-40B4-BE49-F238E27FC236}">
              <a16:creationId xmlns:a16="http://schemas.microsoft.com/office/drawing/2014/main" id="{8FA129D4-8DF4-4929-ABA7-70DF8550FC3E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160</xdr:row>
      <xdr:rowOff>0</xdr:rowOff>
    </xdr:from>
    <xdr:to>
      <xdr:col>8</xdr:col>
      <xdr:colOff>180975</xdr:colOff>
      <xdr:row>160</xdr:row>
      <xdr:rowOff>0</xdr:rowOff>
    </xdr:to>
    <xdr:sp macro="" textlink="">
      <xdr:nvSpPr>
        <xdr:cNvPr id="1753" name="Line 2">
          <a:extLst>
            <a:ext uri="{FF2B5EF4-FFF2-40B4-BE49-F238E27FC236}">
              <a16:creationId xmlns:a16="http://schemas.microsoft.com/office/drawing/2014/main" id="{EAF8C749-8EBA-4F18-AEC4-BA01386764F0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754" name="Line 3">
          <a:extLst>
            <a:ext uri="{FF2B5EF4-FFF2-40B4-BE49-F238E27FC236}">
              <a16:creationId xmlns:a16="http://schemas.microsoft.com/office/drawing/2014/main" id="{747F591E-46C2-4992-9BFE-DFED35E6C6C5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755" name="Line 5">
          <a:extLst>
            <a:ext uri="{FF2B5EF4-FFF2-40B4-BE49-F238E27FC236}">
              <a16:creationId xmlns:a16="http://schemas.microsoft.com/office/drawing/2014/main" id="{ABF57788-4E04-4E92-9FC0-6A7E27E6323E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756" name="Line 2">
          <a:extLst>
            <a:ext uri="{FF2B5EF4-FFF2-40B4-BE49-F238E27FC236}">
              <a16:creationId xmlns:a16="http://schemas.microsoft.com/office/drawing/2014/main" id="{AADE48AC-BA98-440D-A0D6-3E83EE91407E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757" name="Line 3">
          <a:extLst>
            <a:ext uri="{FF2B5EF4-FFF2-40B4-BE49-F238E27FC236}">
              <a16:creationId xmlns:a16="http://schemas.microsoft.com/office/drawing/2014/main" id="{B90D995E-6D9B-42DF-86B0-DECAAEE36DAA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758" name="Line 4">
          <a:extLst>
            <a:ext uri="{FF2B5EF4-FFF2-40B4-BE49-F238E27FC236}">
              <a16:creationId xmlns:a16="http://schemas.microsoft.com/office/drawing/2014/main" id="{91A1148B-2143-4031-9A3F-C7982608F04E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759" name="Line 5">
          <a:extLst>
            <a:ext uri="{FF2B5EF4-FFF2-40B4-BE49-F238E27FC236}">
              <a16:creationId xmlns:a16="http://schemas.microsoft.com/office/drawing/2014/main" id="{97510A4D-DE7F-4712-A54E-2702FE693FF2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760" name="Line 2">
          <a:extLst>
            <a:ext uri="{FF2B5EF4-FFF2-40B4-BE49-F238E27FC236}">
              <a16:creationId xmlns:a16="http://schemas.microsoft.com/office/drawing/2014/main" id="{A8D1E5E1-DE7A-4A96-B48E-F747CFF8BD60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761" name="Line 3">
          <a:extLst>
            <a:ext uri="{FF2B5EF4-FFF2-40B4-BE49-F238E27FC236}">
              <a16:creationId xmlns:a16="http://schemas.microsoft.com/office/drawing/2014/main" id="{C6141491-70F7-4AA9-81F9-D3BC9B4F3975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762" name="Line 4">
          <a:extLst>
            <a:ext uri="{FF2B5EF4-FFF2-40B4-BE49-F238E27FC236}">
              <a16:creationId xmlns:a16="http://schemas.microsoft.com/office/drawing/2014/main" id="{D90D6AA9-369F-422C-8CD3-843B378493DC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763" name="Line 5">
          <a:extLst>
            <a:ext uri="{FF2B5EF4-FFF2-40B4-BE49-F238E27FC236}">
              <a16:creationId xmlns:a16="http://schemas.microsoft.com/office/drawing/2014/main" id="{EDF59786-50CD-4A4F-A716-4B65F1DD2B80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764" name="Line 2">
          <a:extLst>
            <a:ext uri="{FF2B5EF4-FFF2-40B4-BE49-F238E27FC236}">
              <a16:creationId xmlns:a16="http://schemas.microsoft.com/office/drawing/2014/main" id="{7189FEDB-74E7-4124-B267-3DCC748F578F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765" name="Line 3">
          <a:extLst>
            <a:ext uri="{FF2B5EF4-FFF2-40B4-BE49-F238E27FC236}">
              <a16:creationId xmlns:a16="http://schemas.microsoft.com/office/drawing/2014/main" id="{57A26B58-0B82-47D3-B3CF-A960930ACC7E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766" name="Line 5">
          <a:extLst>
            <a:ext uri="{FF2B5EF4-FFF2-40B4-BE49-F238E27FC236}">
              <a16:creationId xmlns:a16="http://schemas.microsoft.com/office/drawing/2014/main" id="{AAA311F1-8547-45E1-8DB8-1FC985CC3C68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67" name="Line 2">
          <a:extLst>
            <a:ext uri="{FF2B5EF4-FFF2-40B4-BE49-F238E27FC236}">
              <a16:creationId xmlns:a16="http://schemas.microsoft.com/office/drawing/2014/main" id="{84AD7069-AB58-45B3-A6BA-53FBC887DC74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68" name="Line 3">
          <a:extLst>
            <a:ext uri="{FF2B5EF4-FFF2-40B4-BE49-F238E27FC236}">
              <a16:creationId xmlns:a16="http://schemas.microsoft.com/office/drawing/2014/main" id="{0A50F6D2-029F-486C-8BEE-F8074EECB96F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69" name="Line 4">
          <a:extLst>
            <a:ext uri="{FF2B5EF4-FFF2-40B4-BE49-F238E27FC236}">
              <a16:creationId xmlns:a16="http://schemas.microsoft.com/office/drawing/2014/main" id="{31255C50-4F40-43D1-830B-3C8AE6235432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770" name="Line 5">
          <a:extLst>
            <a:ext uri="{FF2B5EF4-FFF2-40B4-BE49-F238E27FC236}">
              <a16:creationId xmlns:a16="http://schemas.microsoft.com/office/drawing/2014/main" id="{13562596-F74A-400F-9586-8EF803C24903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71" name="Line 2">
          <a:extLst>
            <a:ext uri="{FF2B5EF4-FFF2-40B4-BE49-F238E27FC236}">
              <a16:creationId xmlns:a16="http://schemas.microsoft.com/office/drawing/2014/main" id="{5B12F1C5-24F6-4242-9810-BDDBA8427329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72" name="Line 3">
          <a:extLst>
            <a:ext uri="{FF2B5EF4-FFF2-40B4-BE49-F238E27FC236}">
              <a16:creationId xmlns:a16="http://schemas.microsoft.com/office/drawing/2014/main" id="{575DEB7F-10A0-45ED-BE1C-D4D7412E0C0B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73" name="Line 4">
          <a:extLst>
            <a:ext uri="{FF2B5EF4-FFF2-40B4-BE49-F238E27FC236}">
              <a16:creationId xmlns:a16="http://schemas.microsoft.com/office/drawing/2014/main" id="{73D38CC2-A904-40E2-9A45-1452A5E74656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774" name="Line 5">
          <a:extLst>
            <a:ext uri="{FF2B5EF4-FFF2-40B4-BE49-F238E27FC236}">
              <a16:creationId xmlns:a16="http://schemas.microsoft.com/office/drawing/2014/main" id="{CBC2830A-4CE9-43D4-A25B-681BBB14F6CD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775" name="Line 2">
          <a:extLst>
            <a:ext uri="{FF2B5EF4-FFF2-40B4-BE49-F238E27FC236}">
              <a16:creationId xmlns:a16="http://schemas.microsoft.com/office/drawing/2014/main" id="{9BCE6735-B358-4983-9522-D9CC0E73754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776" name="Line 3">
          <a:extLst>
            <a:ext uri="{FF2B5EF4-FFF2-40B4-BE49-F238E27FC236}">
              <a16:creationId xmlns:a16="http://schemas.microsoft.com/office/drawing/2014/main" id="{2FF7EDDA-FED7-443B-909A-D4D36722A8F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777" name="Line 4">
          <a:extLst>
            <a:ext uri="{FF2B5EF4-FFF2-40B4-BE49-F238E27FC236}">
              <a16:creationId xmlns:a16="http://schemas.microsoft.com/office/drawing/2014/main" id="{A2BEEAFA-F6DB-4BB2-BFAC-5C6CB2B4BC7A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778" name="Line 5">
          <a:extLst>
            <a:ext uri="{FF2B5EF4-FFF2-40B4-BE49-F238E27FC236}">
              <a16:creationId xmlns:a16="http://schemas.microsoft.com/office/drawing/2014/main" id="{FAB910E2-92D5-4F94-9C37-E9F2B7896F9D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779" name="Line 7">
          <a:extLst>
            <a:ext uri="{FF2B5EF4-FFF2-40B4-BE49-F238E27FC236}">
              <a16:creationId xmlns:a16="http://schemas.microsoft.com/office/drawing/2014/main" id="{53800251-1F0E-4111-B9B8-4947A85E38E3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780" name="Line 8">
          <a:extLst>
            <a:ext uri="{FF2B5EF4-FFF2-40B4-BE49-F238E27FC236}">
              <a16:creationId xmlns:a16="http://schemas.microsoft.com/office/drawing/2014/main" id="{904B7804-0AA8-4B82-879C-6049C335C69D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781" name="Rectangle 7">
          <a:extLst>
            <a:ext uri="{FF2B5EF4-FFF2-40B4-BE49-F238E27FC236}">
              <a16:creationId xmlns:a16="http://schemas.microsoft.com/office/drawing/2014/main" id="{98A7451D-81A6-432D-BE2D-C80F8F2321B5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38100</xdr:colOff>
      <xdr:row>239</xdr:row>
      <xdr:rowOff>0</xdr:rowOff>
    </xdr:from>
    <xdr:ext cx="190500" cy="933450"/>
    <xdr:sp macro="" textlink="">
      <xdr:nvSpPr>
        <xdr:cNvPr id="1782" name="Rectangle 8">
          <a:extLst>
            <a:ext uri="{FF2B5EF4-FFF2-40B4-BE49-F238E27FC236}">
              <a16:creationId xmlns:a16="http://schemas.microsoft.com/office/drawing/2014/main" id="{AF41019D-60E8-48AD-A675-51BF46A95B95}"/>
            </a:ext>
          </a:extLst>
        </xdr:cNvPr>
        <xdr:cNvSpPr>
          <a:spLocks noChangeArrowheads="1"/>
        </xdr:cNvSpPr>
      </xdr:nvSpPr>
      <xdr:spPr bwMode="auto">
        <a:xfrm>
          <a:off x="53625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783" name="Line 2">
          <a:extLst>
            <a:ext uri="{FF2B5EF4-FFF2-40B4-BE49-F238E27FC236}">
              <a16:creationId xmlns:a16="http://schemas.microsoft.com/office/drawing/2014/main" id="{D43AC004-98D1-45A9-AD96-66F3C6B8E0AE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784" name="Line 3">
          <a:extLst>
            <a:ext uri="{FF2B5EF4-FFF2-40B4-BE49-F238E27FC236}">
              <a16:creationId xmlns:a16="http://schemas.microsoft.com/office/drawing/2014/main" id="{2DC996BF-6487-49BF-B088-0E4D7DB7CD59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785" name="Line 5">
          <a:extLst>
            <a:ext uri="{FF2B5EF4-FFF2-40B4-BE49-F238E27FC236}">
              <a16:creationId xmlns:a16="http://schemas.microsoft.com/office/drawing/2014/main" id="{6C4B0286-D256-4DC2-8C51-E9EBF4223021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86" name="Line 2">
          <a:extLst>
            <a:ext uri="{FF2B5EF4-FFF2-40B4-BE49-F238E27FC236}">
              <a16:creationId xmlns:a16="http://schemas.microsoft.com/office/drawing/2014/main" id="{8960575B-DD60-4E6A-BE94-14B8CF548270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87" name="Line 3">
          <a:extLst>
            <a:ext uri="{FF2B5EF4-FFF2-40B4-BE49-F238E27FC236}">
              <a16:creationId xmlns:a16="http://schemas.microsoft.com/office/drawing/2014/main" id="{6C24E89E-07F1-4623-85A2-D73C0B8CE44B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88" name="Line 4">
          <a:extLst>
            <a:ext uri="{FF2B5EF4-FFF2-40B4-BE49-F238E27FC236}">
              <a16:creationId xmlns:a16="http://schemas.microsoft.com/office/drawing/2014/main" id="{B88F5A7C-3F1D-404B-B6BA-A9C3178E50BB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789" name="Line 5">
          <a:extLst>
            <a:ext uri="{FF2B5EF4-FFF2-40B4-BE49-F238E27FC236}">
              <a16:creationId xmlns:a16="http://schemas.microsoft.com/office/drawing/2014/main" id="{678A2FED-03B4-4C36-A5F9-80F24CA7EEAE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90" name="Line 2">
          <a:extLst>
            <a:ext uri="{FF2B5EF4-FFF2-40B4-BE49-F238E27FC236}">
              <a16:creationId xmlns:a16="http://schemas.microsoft.com/office/drawing/2014/main" id="{F7AB38BF-E26D-49D0-A7E7-0B13DC8BD67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91" name="Line 3">
          <a:extLst>
            <a:ext uri="{FF2B5EF4-FFF2-40B4-BE49-F238E27FC236}">
              <a16:creationId xmlns:a16="http://schemas.microsoft.com/office/drawing/2014/main" id="{A946BF51-64C4-4B3D-98F7-B82D095B779A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92" name="Line 4">
          <a:extLst>
            <a:ext uri="{FF2B5EF4-FFF2-40B4-BE49-F238E27FC236}">
              <a16:creationId xmlns:a16="http://schemas.microsoft.com/office/drawing/2014/main" id="{9FBAEA2C-9A0E-4B9C-BC95-834E43E7DCF3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793" name="Line 5">
          <a:extLst>
            <a:ext uri="{FF2B5EF4-FFF2-40B4-BE49-F238E27FC236}">
              <a16:creationId xmlns:a16="http://schemas.microsoft.com/office/drawing/2014/main" id="{F182F513-9FB4-4C62-A01A-9399D6904369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794" name="Line 2">
          <a:extLst>
            <a:ext uri="{FF2B5EF4-FFF2-40B4-BE49-F238E27FC236}">
              <a16:creationId xmlns:a16="http://schemas.microsoft.com/office/drawing/2014/main" id="{B4DD1078-01DA-4BF4-A3E7-1DF250116686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795" name="Line 3">
          <a:extLst>
            <a:ext uri="{FF2B5EF4-FFF2-40B4-BE49-F238E27FC236}">
              <a16:creationId xmlns:a16="http://schemas.microsoft.com/office/drawing/2014/main" id="{B6913A77-E12C-48CF-B537-C03D749F743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796" name="Line 4">
          <a:extLst>
            <a:ext uri="{FF2B5EF4-FFF2-40B4-BE49-F238E27FC236}">
              <a16:creationId xmlns:a16="http://schemas.microsoft.com/office/drawing/2014/main" id="{E5C0D3A8-1B42-461E-9636-15DCFA5CA12F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797" name="Line 5">
          <a:extLst>
            <a:ext uri="{FF2B5EF4-FFF2-40B4-BE49-F238E27FC236}">
              <a16:creationId xmlns:a16="http://schemas.microsoft.com/office/drawing/2014/main" id="{5B3D1848-392A-42CD-9C0E-E2D0FD0897B4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798" name="Line 7">
          <a:extLst>
            <a:ext uri="{FF2B5EF4-FFF2-40B4-BE49-F238E27FC236}">
              <a16:creationId xmlns:a16="http://schemas.microsoft.com/office/drawing/2014/main" id="{C0ACC773-A6D1-48B3-A007-145023D41631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799" name="Line 8">
          <a:extLst>
            <a:ext uri="{FF2B5EF4-FFF2-40B4-BE49-F238E27FC236}">
              <a16:creationId xmlns:a16="http://schemas.microsoft.com/office/drawing/2014/main" id="{742C84FC-F9AD-4DB0-A4F0-D1680440440C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800" name="Rectangle 7">
          <a:extLst>
            <a:ext uri="{FF2B5EF4-FFF2-40B4-BE49-F238E27FC236}">
              <a16:creationId xmlns:a16="http://schemas.microsoft.com/office/drawing/2014/main" id="{10954641-B9BD-47EB-AE57-E23958AA427B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801" name="Line 3">
          <a:extLst>
            <a:ext uri="{FF2B5EF4-FFF2-40B4-BE49-F238E27FC236}">
              <a16:creationId xmlns:a16="http://schemas.microsoft.com/office/drawing/2014/main" id="{AC873186-3FEE-46DB-8780-D85B8E53B74F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802" name="Line 5">
          <a:extLst>
            <a:ext uri="{FF2B5EF4-FFF2-40B4-BE49-F238E27FC236}">
              <a16:creationId xmlns:a16="http://schemas.microsoft.com/office/drawing/2014/main" id="{E8BFBA01-186E-41D5-90E3-B2421B39AB1A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03" name="Line 2">
          <a:extLst>
            <a:ext uri="{FF2B5EF4-FFF2-40B4-BE49-F238E27FC236}">
              <a16:creationId xmlns:a16="http://schemas.microsoft.com/office/drawing/2014/main" id="{145DA065-629F-42CD-AF92-6F786F31E7EF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04" name="Line 3">
          <a:extLst>
            <a:ext uri="{FF2B5EF4-FFF2-40B4-BE49-F238E27FC236}">
              <a16:creationId xmlns:a16="http://schemas.microsoft.com/office/drawing/2014/main" id="{256471BC-8743-4629-A38E-ED7484128D9C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05" name="Line 4">
          <a:extLst>
            <a:ext uri="{FF2B5EF4-FFF2-40B4-BE49-F238E27FC236}">
              <a16:creationId xmlns:a16="http://schemas.microsoft.com/office/drawing/2014/main" id="{0CB0FF09-DAC3-4E91-ADD8-8300F6FA6EDD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806" name="Line 5">
          <a:extLst>
            <a:ext uri="{FF2B5EF4-FFF2-40B4-BE49-F238E27FC236}">
              <a16:creationId xmlns:a16="http://schemas.microsoft.com/office/drawing/2014/main" id="{A9E8A4E2-BA67-4423-9883-ED36196EF92A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1807" name="Line 7">
          <a:extLst>
            <a:ext uri="{FF2B5EF4-FFF2-40B4-BE49-F238E27FC236}">
              <a16:creationId xmlns:a16="http://schemas.microsoft.com/office/drawing/2014/main" id="{92DAB544-A6C7-4F2C-A7CB-AA4469F57DFA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808" name="Line 2">
          <a:extLst>
            <a:ext uri="{FF2B5EF4-FFF2-40B4-BE49-F238E27FC236}">
              <a16:creationId xmlns:a16="http://schemas.microsoft.com/office/drawing/2014/main" id="{027543BA-A954-4031-B005-79C2EA7599AE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809" name="Line 3">
          <a:extLst>
            <a:ext uri="{FF2B5EF4-FFF2-40B4-BE49-F238E27FC236}">
              <a16:creationId xmlns:a16="http://schemas.microsoft.com/office/drawing/2014/main" id="{48C87AAD-C67F-44B1-9B9C-F75881A03B8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810" name="Line 4">
          <a:extLst>
            <a:ext uri="{FF2B5EF4-FFF2-40B4-BE49-F238E27FC236}">
              <a16:creationId xmlns:a16="http://schemas.microsoft.com/office/drawing/2014/main" id="{4A891969-5C5F-44B5-9925-491721CC768A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811" name="Line 5">
          <a:extLst>
            <a:ext uri="{FF2B5EF4-FFF2-40B4-BE49-F238E27FC236}">
              <a16:creationId xmlns:a16="http://schemas.microsoft.com/office/drawing/2014/main" id="{33A1A8E7-EC45-48AE-AB94-821A93451CA6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812" name="Line 2">
          <a:extLst>
            <a:ext uri="{FF2B5EF4-FFF2-40B4-BE49-F238E27FC236}">
              <a16:creationId xmlns:a16="http://schemas.microsoft.com/office/drawing/2014/main" id="{95E720C7-FBE4-4594-BD8D-CFD789A3276B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813" name="Line 3">
          <a:extLst>
            <a:ext uri="{FF2B5EF4-FFF2-40B4-BE49-F238E27FC236}">
              <a16:creationId xmlns:a16="http://schemas.microsoft.com/office/drawing/2014/main" id="{C4E289B4-BF65-4035-ABBA-381FA0690DCB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14" name="Line 4">
          <a:extLst>
            <a:ext uri="{FF2B5EF4-FFF2-40B4-BE49-F238E27FC236}">
              <a16:creationId xmlns:a16="http://schemas.microsoft.com/office/drawing/2014/main" id="{5FAD0509-F042-449B-89E7-0255C74AFF0B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379</xdr:row>
      <xdr:rowOff>0</xdr:rowOff>
    </xdr:from>
    <xdr:to>
      <xdr:col>8</xdr:col>
      <xdr:colOff>180975</xdr:colOff>
      <xdr:row>379</xdr:row>
      <xdr:rowOff>0</xdr:rowOff>
    </xdr:to>
    <xdr:sp macro="" textlink="">
      <xdr:nvSpPr>
        <xdr:cNvPr id="1815" name="Line 5">
          <a:extLst>
            <a:ext uri="{FF2B5EF4-FFF2-40B4-BE49-F238E27FC236}">
              <a16:creationId xmlns:a16="http://schemas.microsoft.com/office/drawing/2014/main" id="{A934182A-E97A-4B4A-AE2D-D69211D84470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367</xdr:row>
      <xdr:rowOff>0</xdr:rowOff>
    </xdr:from>
    <xdr:to>
      <xdr:col>8</xdr:col>
      <xdr:colOff>180975</xdr:colOff>
      <xdr:row>367</xdr:row>
      <xdr:rowOff>0</xdr:rowOff>
    </xdr:to>
    <xdr:sp macro="" textlink="">
      <xdr:nvSpPr>
        <xdr:cNvPr id="1816" name="Line 7">
          <a:extLst>
            <a:ext uri="{FF2B5EF4-FFF2-40B4-BE49-F238E27FC236}">
              <a16:creationId xmlns:a16="http://schemas.microsoft.com/office/drawing/2014/main" id="{F7B4C243-B4CF-48CA-96D9-0C338BBE2667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817" name="Line 3">
          <a:extLst>
            <a:ext uri="{FF2B5EF4-FFF2-40B4-BE49-F238E27FC236}">
              <a16:creationId xmlns:a16="http://schemas.microsoft.com/office/drawing/2014/main" id="{9C6D965B-279A-4743-93F9-ED7EB831027A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818" name="Line 5">
          <a:extLst>
            <a:ext uri="{FF2B5EF4-FFF2-40B4-BE49-F238E27FC236}">
              <a16:creationId xmlns:a16="http://schemas.microsoft.com/office/drawing/2014/main" id="{FDF92131-E722-4968-8FE9-51542208B3E6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19" name="Line 2">
          <a:extLst>
            <a:ext uri="{FF2B5EF4-FFF2-40B4-BE49-F238E27FC236}">
              <a16:creationId xmlns:a16="http://schemas.microsoft.com/office/drawing/2014/main" id="{CB84C166-13C4-4393-A921-3C29AF8C1CBF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0" name="Line 3">
          <a:extLst>
            <a:ext uri="{FF2B5EF4-FFF2-40B4-BE49-F238E27FC236}">
              <a16:creationId xmlns:a16="http://schemas.microsoft.com/office/drawing/2014/main" id="{77C159FB-465A-41EF-B914-87530AEE9127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1" name="Line 4">
          <a:extLst>
            <a:ext uri="{FF2B5EF4-FFF2-40B4-BE49-F238E27FC236}">
              <a16:creationId xmlns:a16="http://schemas.microsoft.com/office/drawing/2014/main" id="{276E2026-4F09-4C35-BDF7-BAB9D7420559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822" name="Line 5">
          <a:extLst>
            <a:ext uri="{FF2B5EF4-FFF2-40B4-BE49-F238E27FC236}">
              <a16:creationId xmlns:a16="http://schemas.microsoft.com/office/drawing/2014/main" id="{A70E595A-D7F0-4371-8B1C-4966A7F45966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823" name="Line 2">
          <a:extLst>
            <a:ext uri="{FF2B5EF4-FFF2-40B4-BE49-F238E27FC236}">
              <a16:creationId xmlns:a16="http://schemas.microsoft.com/office/drawing/2014/main" id="{210084BA-32E8-4712-819A-7D20D2FA52F8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824" name="Line 3">
          <a:extLst>
            <a:ext uri="{FF2B5EF4-FFF2-40B4-BE49-F238E27FC236}">
              <a16:creationId xmlns:a16="http://schemas.microsoft.com/office/drawing/2014/main" id="{F5B345B7-6C65-4ECB-BDD8-CA153B066DF8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825" name="Line 4">
          <a:extLst>
            <a:ext uri="{FF2B5EF4-FFF2-40B4-BE49-F238E27FC236}">
              <a16:creationId xmlns:a16="http://schemas.microsoft.com/office/drawing/2014/main" id="{00D28739-A451-4E02-BFF5-794E7959D781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826" name="Line 5">
          <a:extLst>
            <a:ext uri="{FF2B5EF4-FFF2-40B4-BE49-F238E27FC236}">
              <a16:creationId xmlns:a16="http://schemas.microsoft.com/office/drawing/2014/main" id="{DBE25B7E-07C0-4120-8DDA-DB056FB08FB6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827" name="Line 2">
          <a:extLst>
            <a:ext uri="{FF2B5EF4-FFF2-40B4-BE49-F238E27FC236}">
              <a16:creationId xmlns:a16="http://schemas.microsoft.com/office/drawing/2014/main" id="{6EBAC5AF-94D3-4952-88ED-E2F38F72B17D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828" name="Line 3">
          <a:extLst>
            <a:ext uri="{FF2B5EF4-FFF2-40B4-BE49-F238E27FC236}">
              <a16:creationId xmlns:a16="http://schemas.microsoft.com/office/drawing/2014/main" id="{CAE39348-BC06-4D42-9CDB-240CA7725CB3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9" name="Line 4">
          <a:extLst>
            <a:ext uri="{FF2B5EF4-FFF2-40B4-BE49-F238E27FC236}">
              <a16:creationId xmlns:a16="http://schemas.microsoft.com/office/drawing/2014/main" id="{FFF776FD-15E3-40DF-823B-DF1A229A21D7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483</xdr:row>
      <xdr:rowOff>0</xdr:rowOff>
    </xdr:from>
    <xdr:to>
      <xdr:col>8</xdr:col>
      <xdr:colOff>180975</xdr:colOff>
      <xdr:row>483</xdr:row>
      <xdr:rowOff>0</xdr:rowOff>
    </xdr:to>
    <xdr:sp macro="" textlink="">
      <xdr:nvSpPr>
        <xdr:cNvPr id="1830" name="Line 5">
          <a:extLst>
            <a:ext uri="{FF2B5EF4-FFF2-40B4-BE49-F238E27FC236}">
              <a16:creationId xmlns:a16="http://schemas.microsoft.com/office/drawing/2014/main" id="{E858F894-ACFE-431F-9ED0-7C9F149352AB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831" name="Line 7">
          <a:extLst>
            <a:ext uri="{FF2B5EF4-FFF2-40B4-BE49-F238E27FC236}">
              <a16:creationId xmlns:a16="http://schemas.microsoft.com/office/drawing/2014/main" id="{A83F7860-84F1-4D46-861F-4769AAF98C3C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832" name="Line 2">
          <a:extLst>
            <a:ext uri="{FF2B5EF4-FFF2-40B4-BE49-F238E27FC236}">
              <a16:creationId xmlns:a16="http://schemas.microsoft.com/office/drawing/2014/main" id="{A4034D3D-9C35-461D-851E-6CB6A4921FBF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1833" name="Line 3">
          <a:extLst>
            <a:ext uri="{FF2B5EF4-FFF2-40B4-BE49-F238E27FC236}">
              <a16:creationId xmlns:a16="http://schemas.microsoft.com/office/drawing/2014/main" id="{038ABA06-2783-4FCB-8BA6-C0A108BFBBA9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834" name="Line 4">
          <a:extLst>
            <a:ext uri="{FF2B5EF4-FFF2-40B4-BE49-F238E27FC236}">
              <a16:creationId xmlns:a16="http://schemas.microsoft.com/office/drawing/2014/main" id="{92AA074E-944D-4C13-8944-E663B9CC2908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835" name="Line 3">
          <a:extLst>
            <a:ext uri="{FF2B5EF4-FFF2-40B4-BE49-F238E27FC236}">
              <a16:creationId xmlns:a16="http://schemas.microsoft.com/office/drawing/2014/main" id="{20079365-C20B-4343-AA9C-51308F7A09EB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1836" name="Line 5">
          <a:extLst>
            <a:ext uri="{FF2B5EF4-FFF2-40B4-BE49-F238E27FC236}">
              <a16:creationId xmlns:a16="http://schemas.microsoft.com/office/drawing/2014/main" id="{E3FED2A8-B324-49E3-87D0-71BB652EBC50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37" name="Line 2">
          <a:extLst>
            <a:ext uri="{FF2B5EF4-FFF2-40B4-BE49-F238E27FC236}">
              <a16:creationId xmlns:a16="http://schemas.microsoft.com/office/drawing/2014/main" id="{DC27EDDF-CDC2-44EB-AA48-8C736FDFB4A7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38" name="Line 3">
          <a:extLst>
            <a:ext uri="{FF2B5EF4-FFF2-40B4-BE49-F238E27FC236}">
              <a16:creationId xmlns:a16="http://schemas.microsoft.com/office/drawing/2014/main" id="{CA8FFCD3-F8B6-4710-8547-E57B154008CC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39" name="Line 4">
          <a:extLst>
            <a:ext uri="{FF2B5EF4-FFF2-40B4-BE49-F238E27FC236}">
              <a16:creationId xmlns:a16="http://schemas.microsoft.com/office/drawing/2014/main" id="{CF2B94BA-38CB-47F5-9990-01155A9C7348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840" name="Line 5">
          <a:extLst>
            <a:ext uri="{FF2B5EF4-FFF2-40B4-BE49-F238E27FC236}">
              <a16:creationId xmlns:a16="http://schemas.microsoft.com/office/drawing/2014/main" id="{A1036066-641A-4BBF-A0B8-A9F04BBF8C68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841" name="Line 7">
          <a:extLst>
            <a:ext uri="{FF2B5EF4-FFF2-40B4-BE49-F238E27FC236}">
              <a16:creationId xmlns:a16="http://schemas.microsoft.com/office/drawing/2014/main" id="{40346B2E-E4DF-4A4A-B1EF-ECF02A39CCAF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842" name="Line 2">
          <a:extLst>
            <a:ext uri="{FF2B5EF4-FFF2-40B4-BE49-F238E27FC236}">
              <a16:creationId xmlns:a16="http://schemas.microsoft.com/office/drawing/2014/main" id="{F5C7C7EB-4215-4F15-B751-19DB1AC5B0B6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843" name="Line 3">
          <a:extLst>
            <a:ext uri="{FF2B5EF4-FFF2-40B4-BE49-F238E27FC236}">
              <a16:creationId xmlns:a16="http://schemas.microsoft.com/office/drawing/2014/main" id="{42FAA6DA-FFD8-4A31-A815-0B5868D8B4A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844" name="Line 4">
          <a:extLst>
            <a:ext uri="{FF2B5EF4-FFF2-40B4-BE49-F238E27FC236}">
              <a16:creationId xmlns:a16="http://schemas.microsoft.com/office/drawing/2014/main" id="{58515078-C0D9-4363-BAE1-20D54546A2D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845" name="Line 5">
          <a:extLst>
            <a:ext uri="{FF2B5EF4-FFF2-40B4-BE49-F238E27FC236}">
              <a16:creationId xmlns:a16="http://schemas.microsoft.com/office/drawing/2014/main" id="{534C64FA-111A-44DF-A07F-07AB7C623CB7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846" name="Line 2">
          <a:extLst>
            <a:ext uri="{FF2B5EF4-FFF2-40B4-BE49-F238E27FC236}">
              <a16:creationId xmlns:a16="http://schemas.microsoft.com/office/drawing/2014/main" id="{00151A14-0F68-4861-AD09-FE89699A79C2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1847" name="Line 3">
          <a:extLst>
            <a:ext uri="{FF2B5EF4-FFF2-40B4-BE49-F238E27FC236}">
              <a16:creationId xmlns:a16="http://schemas.microsoft.com/office/drawing/2014/main" id="{6630D059-7D38-43EE-9C11-61302109FECB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48" name="Line 4">
          <a:extLst>
            <a:ext uri="{FF2B5EF4-FFF2-40B4-BE49-F238E27FC236}">
              <a16:creationId xmlns:a16="http://schemas.microsoft.com/office/drawing/2014/main" id="{625F1BDE-213B-4452-A889-D8284C5A589C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849" name="Line 2">
          <a:extLst>
            <a:ext uri="{FF2B5EF4-FFF2-40B4-BE49-F238E27FC236}">
              <a16:creationId xmlns:a16="http://schemas.microsoft.com/office/drawing/2014/main" id="{F109B927-FC51-4606-AC72-374233E3DA74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850" name="Line 3">
          <a:extLst>
            <a:ext uri="{FF2B5EF4-FFF2-40B4-BE49-F238E27FC236}">
              <a16:creationId xmlns:a16="http://schemas.microsoft.com/office/drawing/2014/main" id="{DB9B3E9E-0913-499E-B4B7-313DABAE2EAF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851" name="Line 4">
          <a:extLst>
            <a:ext uri="{FF2B5EF4-FFF2-40B4-BE49-F238E27FC236}">
              <a16:creationId xmlns:a16="http://schemas.microsoft.com/office/drawing/2014/main" id="{D0F6FD94-E017-4A56-9866-60479BD55B98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852" name="Line 2">
          <a:extLst>
            <a:ext uri="{FF2B5EF4-FFF2-40B4-BE49-F238E27FC236}">
              <a16:creationId xmlns:a16="http://schemas.microsoft.com/office/drawing/2014/main" id="{B47FF36B-4849-4717-BBFA-8A8C32E2DD8E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1853" name="Line 3">
          <a:extLst>
            <a:ext uri="{FF2B5EF4-FFF2-40B4-BE49-F238E27FC236}">
              <a16:creationId xmlns:a16="http://schemas.microsoft.com/office/drawing/2014/main" id="{55022F3B-4FA4-4E5C-8213-9C30E13918A2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534</xdr:row>
      <xdr:rowOff>0</xdr:rowOff>
    </xdr:from>
    <xdr:to>
      <xdr:col>8</xdr:col>
      <xdr:colOff>180975</xdr:colOff>
      <xdr:row>534</xdr:row>
      <xdr:rowOff>0</xdr:rowOff>
    </xdr:to>
    <xdr:sp macro="" textlink="">
      <xdr:nvSpPr>
        <xdr:cNvPr id="1854" name="Line 4">
          <a:extLst>
            <a:ext uri="{FF2B5EF4-FFF2-40B4-BE49-F238E27FC236}">
              <a16:creationId xmlns:a16="http://schemas.microsoft.com/office/drawing/2014/main" id="{3B320321-4013-4FCB-84D8-F17A8258308A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855" name="Line 3">
          <a:extLst>
            <a:ext uri="{FF2B5EF4-FFF2-40B4-BE49-F238E27FC236}">
              <a16:creationId xmlns:a16="http://schemas.microsoft.com/office/drawing/2014/main" id="{72193724-BC2A-4E09-8F67-D29D8AB89F06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856" name="Line 5">
          <a:extLst>
            <a:ext uri="{FF2B5EF4-FFF2-40B4-BE49-F238E27FC236}">
              <a16:creationId xmlns:a16="http://schemas.microsoft.com/office/drawing/2014/main" id="{88BA7CAD-A40F-42D5-A082-D521EA34889A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57" name="Line 2">
          <a:extLst>
            <a:ext uri="{FF2B5EF4-FFF2-40B4-BE49-F238E27FC236}">
              <a16:creationId xmlns:a16="http://schemas.microsoft.com/office/drawing/2014/main" id="{AECB0935-FA73-46D6-991B-684EC4675189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58" name="Line 3">
          <a:extLst>
            <a:ext uri="{FF2B5EF4-FFF2-40B4-BE49-F238E27FC236}">
              <a16:creationId xmlns:a16="http://schemas.microsoft.com/office/drawing/2014/main" id="{8AF607FD-8188-4366-9059-B8EDEDA84FFD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59" name="Line 4">
          <a:extLst>
            <a:ext uri="{FF2B5EF4-FFF2-40B4-BE49-F238E27FC236}">
              <a16:creationId xmlns:a16="http://schemas.microsoft.com/office/drawing/2014/main" id="{CD474F41-317B-47C9-9CBA-B929CB182B3B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860" name="Line 5">
          <a:extLst>
            <a:ext uri="{FF2B5EF4-FFF2-40B4-BE49-F238E27FC236}">
              <a16:creationId xmlns:a16="http://schemas.microsoft.com/office/drawing/2014/main" id="{9AFB80BC-4975-40D5-B0A3-0FE76574725A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618</xdr:row>
      <xdr:rowOff>0</xdr:rowOff>
    </xdr:from>
    <xdr:to>
      <xdr:col>8</xdr:col>
      <xdr:colOff>180975</xdr:colOff>
      <xdr:row>618</xdr:row>
      <xdr:rowOff>0</xdr:rowOff>
    </xdr:to>
    <xdr:sp macro="" textlink="">
      <xdr:nvSpPr>
        <xdr:cNvPr id="1861" name="Line 7">
          <a:extLst>
            <a:ext uri="{FF2B5EF4-FFF2-40B4-BE49-F238E27FC236}">
              <a16:creationId xmlns:a16="http://schemas.microsoft.com/office/drawing/2014/main" id="{237468D4-95C5-4D19-A85B-95C88221216D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862" name="Line 2">
          <a:extLst>
            <a:ext uri="{FF2B5EF4-FFF2-40B4-BE49-F238E27FC236}">
              <a16:creationId xmlns:a16="http://schemas.microsoft.com/office/drawing/2014/main" id="{68B542BC-57B6-4CB5-94A4-F5D466668DF2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863" name="Line 3">
          <a:extLst>
            <a:ext uri="{FF2B5EF4-FFF2-40B4-BE49-F238E27FC236}">
              <a16:creationId xmlns:a16="http://schemas.microsoft.com/office/drawing/2014/main" id="{860A6D0F-FE86-4C86-B45B-D556EAA8376F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864" name="Line 4">
          <a:extLst>
            <a:ext uri="{FF2B5EF4-FFF2-40B4-BE49-F238E27FC236}">
              <a16:creationId xmlns:a16="http://schemas.microsoft.com/office/drawing/2014/main" id="{CE45FFC4-5E63-4ECF-B01D-7421C552FCEA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1865" name="Line 5">
          <a:extLst>
            <a:ext uri="{FF2B5EF4-FFF2-40B4-BE49-F238E27FC236}">
              <a16:creationId xmlns:a16="http://schemas.microsoft.com/office/drawing/2014/main" id="{BFB91EAF-8126-4437-A757-20CD5AB041A8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866" name="Line 2">
          <a:extLst>
            <a:ext uri="{FF2B5EF4-FFF2-40B4-BE49-F238E27FC236}">
              <a16:creationId xmlns:a16="http://schemas.microsoft.com/office/drawing/2014/main" id="{2BA42FD6-C2D9-4519-B214-520F2096DD9F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1867" name="Line 3">
          <a:extLst>
            <a:ext uri="{FF2B5EF4-FFF2-40B4-BE49-F238E27FC236}">
              <a16:creationId xmlns:a16="http://schemas.microsoft.com/office/drawing/2014/main" id="{63615B1C-6CE1-4E2B-B7A5-B05101D76C3C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68" name="Line 4">
          <a:extLst>
            <a:ext uri="{FF2B5EF4-FFF2-40B4-BE49-F238E27FC236}">
              <a16:creationId xmlns:a16="http://schemas.microsoft.com/office/drawing/2014/main" id="{644AEBB0-74B9-4B41-8034-BB25A88C959F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869" name="Line 2">
          <a:extLst>
            <a:ext uri="{FF2B5EF4-FFF2-40B4-BE49-F238E27FC236}">
              <a16:creationId xmlns:a16="http://schemas.microsoft.com/office/drawing/2014/main" id="{9EBC080F-37FE-49E5-9C1D-FDB7C786F7F7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870" name="Line 3">
          <a:extLst>
            <a:ext uri="{FF2B5EF4-FFF2-40B4-BE49-F238E27FC236}">
              <a16:creationId xmlns:a16="http://schemas.microsoft.com/office/drawing/2014/main" id="{C6400887-9BC8-4E34-AC51-F45171B735D2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871" name="Line 4">
          <a:extLst>
            <a:ext uri="{FF2B5EF4-FFF2-40B4-BE49-F238E27FC236}">
              <a16:creationId xmlns:a16="http://schemas.microsoft.com/office/drawing/2014/main" id="{B2EA7F29-BAB5-49A9-8C97-56F7884A8886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872" name="Line 2">
          <a:extLst>
            <a:ext uri="{FF2B5EF4-FFF2-40B4-BE49-F238E27FC236}">
              <a16:creationId xmlns:a16="http://schemas.microsoft.com/office/drawing/2014/main" id="{2CF41B18-CE05-4B82-B724-DA6FD4F4B0FA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873" name="Line 3">
          <a:extLst>
            <a:ext uri="{FF2B5EF4-FFF2-40B4-BE49-F238E27FC236}">
              <a16:creationId xmlns:a16="http://schemas.microsoft.com/office/drawing/2014/main" id="{12858B45-C765-4C32-A483-F572179CD5DE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1874" name="Line 4">
          <a:extLst>
            <a:ext uri="{FF2B5EF4-FFF2-40B4-BE49-F238E27FC236}">
              <a16:creationId xmlns:a16="http://schemas.microsoft.com/office/drawing/2014/main" id="{88925E96-46EF-4D97-B688-A66C95A66837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875" name="Line 3">
          <a:extLst>
            <a:ext uri="{FF2B5EF4-FFF2-40B4-BE49-F238E27FC236}">
              <a16:creationId xmlns:a16="http://schemas.microsoft.com/office/drawing/2014/main" id="{2BF09DBE-9BC1-49BC-BDB4-7FD692BC8A2E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1876" name="Line 5">
          <a:extLst>
            <a:ext uri="{FF2B5EF4-FFF2-40B4-BE49-F238E27FC236}">
              <a16:creationId xmlns:a16="http://schemas.microsoft.com/office/drawing/2014/main" id="{24412D31-27CE-4E4F-ACA9-24212FA05F67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77" name="Line 2">
          <a:extLst>
            <a:ext uri="{FF2B5EF4-FFF2-40B4-BE49-F238E27FC236}">
              <a16:creationId xmlns:a16="http://schemas.microsoft.com/office/drawing/2014/main" id="{9738C78C-C92B-4572-8080-A39C7026DE66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78" name="Line 3">
          <a:extLst>
            <a:ext uri="{FF2B5EF4-FFF2-40B4-BE49-F238E27FC236}">
              <a16:creationId xmlns:a16="http://schemas.microsoft.com/office/drawing/2014/main" id="{10A60667-47FA-4E63-8091-B2DD91404DC8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79" name="Line 4">
          <a:extLst>
            <a:ext uri="{FF2B5EF4-FFF2-40B4-BE49-F238E27FC236}">
              <a16:creationId xmlns:a16="http://schemas.microsoft.com/office/drawing/2014/main" id="{536A0CF2-C3E4-479C-B68A-40A39E3017A3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880" name="Line 5">
          <a:extLst>
            <a:ext uri="{FF2B5EF4-FFF2-40B4-BE49-F238E27FC236}">
              <a16:creationId xmlns:a16="http://schemas.microsoft.com/office/drawing/2014/main" id="{ECB6C8F5-582C-467F-B7D8-EEDC9F9F2330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677</xdr:row>
      <xdr:rowOff>0</xdr:rowOff>
    </xdr:from>
    <xdr:to>
      <xdr:col>8</xdr:col>
      <xdr:colOff>180975</xdr:colOff>
      <xdr:row>677</xdr:row>
      <xdr:rowOff>0</xdr:rowOff>
    </xdr:to>
    <xdr:sp macro="" textlink="">
      <xdr:nvSpPr>
        <xdr:cNvPr id="1881" name="Line 7">
          <a:extLst>
            <a:ext uri="{FF2B5EF4-FFF2-40B4-BE49-F238E27FC236}">
              <a16:creationId xmlns:a16="http://schemas.microsoft.com/office/drawing/2014/main" id="{D96D9C6F-A51A-41CB-8B88-B64FF1E08BA5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882" name="Line 2">
          <a:extLst>
            <a:ext uri="{FF2B5EF4-FFF2-40B4-BE49-F238E27FC236}">
              <a16:creationId xmlns:a16="http://schemas.microsoft.com/office/drawing/2014/main" id="{CC603429-0AB6-4A79-B058-06C5FCF588DE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883" name="Line 3">
          <a:extLst>
            <a:ext uri="{FF2B5EF4-FFF2-40B4-BE49-F238E27FC236}">
              <a16:creationId xmlns:a16="http://schemas.microsoft.com/office/drawing/2014/main" id="{D82238A0-F50A-49FF-8929-E1CD7B157C9E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884" name="Line 4">
          <a:extLst>
            <a:ext uri="{FF2B5EF4-FFF2-40B4-BE49-F238E27FC236}">
              <a16:creationId xmlns:a16="http://schemas.microsoft.com/office/drawing/2014/main" id="{B5F4B5AE-852A-4564-948E-3E3B8D02270C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1885" name="Line 5">
          <a:extLst>
            <a:ext uri="{FF2B5EF4-FFF2-40B4-BE49-F238E27FC236}">
              <a16:creationId xmlns:a16="http://schemas.microsoft.com/office/drawing/2014/main" id="{BC7D3784-2E17-4F01-BDED-B6C355A6AD71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886" name="Line 2">
          <a:extLst>
            <a:ext uri="{FF2B5EF4-FFF2-40B4-BE49-F238E27FC236}">
              <a16:creationId xmlns:a16="http://schemas.microsoft.com/office/drawing/2014/main" id="{A33DFC5B-1BFA-4D34-9202-8AE6F7CD2516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1887" name="Line 3">
          <a:extLst>
            <a:ext uri="{FF2B5EF4-FFF2-40B4-BE49-F238E27FC236}">
              <a16:creationId xmlns:a16="http://schemas.microsoft.com/office/drawing/2014/main" id="{60E1E90C-16DA-46C1-85A7-A470C14D864D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88" name="Line 4">
          <a:extLst>
            <a:ext uri="{FF2B5EF4-FFF2-40B4-BE49-F238E27FC236}">
              <a16:creationId xmlns:a16="http://schemas.microsoft.com/office/drawing/2014/main" id="{9E3CE9A3-7BFC-416E-8A8E-0F00C7185D64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889" name="Line 2">
          <a:extLst>
            <a:ext uri="{FF2B5EF4-FFF2-40B4-BE49-F238E27FC236}">
              <a16:creationId xmlns:a16="http://schemas.microsoft.com/office/drawing/2014/main" id="{10044CE2-B932-4165-B25E-5DF91954A15F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890" name="Line 3">
          <a:extLst>
            <a:ext uri="{FF2B5EF4-FFF2-40B4-BE49-F238E27FC236}">
              <a16:creationId xmlns:a16="http://schemas.microsoft.com/office/drawing/2014/main" id="{F45CFCBD-3C7A-4AC7-A659-BB05D689DFE5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891" name="Line 4">
          <a:extLst>
            <a:ext uri="{FF2B5EF4-FFF2-40B4-BE49-F238E27FC236}">
              <a16:creationId xmlns:a16="http://schemas.microsoft.com/office/drawing/2014/main" id="{D612D368-64B3-4B64-A8B0-A1CA1276307F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892" name="Line 2">
          <a:extLst>
            <a:ext uri="{FF2B5EF4-FFF2-40B4-BE49-F238E27FC236}">
              <a16:creationId xmlns:a16="http://schemas.microsoft.com/office/drawing/2014/main" id="{A6DDE7FF-6F38-4899-8FF7-B610364A6301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1893" name="Line 3">
          <a:extLst>
            <a:ext uri="{FF2B5EF4-FFF2-40B4-BE49-F238E27FC236}">
              <a16:creationId xmlns:a16="http://schemas.microsoft.com/office/drawing/2014/main" id="{9BFD4129-B423-46F8-B30F-E0B9BC0D332B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656</xdr:row>
      <xdr:rowOff>0</xdr:rowOff>
    </xdr:from>
    <xdr:to>
      <xdr:col>8</xdr:col>
      <xdr:colOff>180975</xdr:colOff>
      <xdr:row>656</xdr:row>
      <xdr:rowOff>0</xdr:rowOff>
    </xdr:to>
    <xdr:sp macro="" textlink="">
      <xdr:nvSpPr>
        <xdr:cNvPr id="1894" name="Line 4">
          <a:extLst>
            <a:ext uri="{FF2B5EF4-FFF2-40B4-BE49-F238E27FC236}">
              <a16:creationId xmlns:a16="http://schemas.microsoft.com/office/drawing/2014/main" id="{0C08F924-BC02-472D-AD99-463E7D7FC568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895" name="Line 3">
          <a:extLst>
            <a:ext uri="{FF2B5EF4-FFF2-40B4-BE49-F238E27FC236}">
              <a16:creationId xmlns:a16="http://schemas.microsoft.com/office/drawing/2014/main" id="{CFD4A009-9766-4086-9491-C67E541BD35E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1896" name="Line 5">
          <a:extLst>
            <a:ext uri="{FF2B5EF4-FFF2-40B4-BE49-F238E27FC236}">
              <a16:creationId xmlns:a16="http://schemas.microsoft.com/office/drawing/2014/main" id="{45F34EBF-5C36-438C-9F76-0D5986A073F6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897" name="Line 2">
          <a:extLst>
            <a:ext uri="{FF2B5EF4-FFF2-40B4-BE49-F238E27FC236}">
              <a16:creationId xmlns:a16="http://schemas.microsoft.com/office/drawing/2014/main" id="{799AFF1D-9CA5-40AF-9FEA-B6D6E6BD4FF0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898" name="Line 3">
          <a:extLst>
            <a:ext uri="{FF2B5EF4-FFF2-40B4-BE49-F238E27FC236}">
              <a16:creationId xmlns:a16="http://schemas.microsoft.com/office/drawing/2014/main" id="{93F23DA8-91E5-478B-B583-09852DA57F06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899" name="Line 4">
          <a:extLst>
            <a:ext uri="{FF2B5EF4-FFF2-40B4-BE49-F238E27FC236}">
              <a16:creationId xmlns:a16="http://schemas.microsoft.com/office/drawing/2014/main" id="{68599730-B0A2-4B02-8134-53C921D94275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900" name="Line 5">
          <a:extLst>
            <a:ext uri="{FF2B5EF4-FFF2-40B4-BE49-F238E27FC236}">
              <a16:creationId xmlns:a16="http://schemas.microsoft.com/office/drawing/2014/main" id="{8F001D30-F236-4F2C-B61B-491A73DD98EF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735</xdr:row>
      <xdr:rowOff>0</xdr:rowOff>
    </xdr:from>
    <xdr:to>
      <xdr:col>8</xdr:col>
      <xdr:colOff>180975</xdr:colOff>
      <xdr:row>735</xdr:row>
      <xdr:rowOff>0</xdr:rowOff>
    </xdr:to>
    <xdr:sp macro="" textlink="">
      <xdr:nvSpPr>
        <xdr:cNvPr id="1901" name="Line 7">
          <a:extLst>
            <a:ext uri="{FF2B5EF4-FFF2-40B4-BE49-F238E27FC236}">
              <a16:creationId xmlns:a16="http://schemas.microsoft.com/office/drawing/2014/main" id="{00E73468-AD98-4AFF-9D86-10DCCC9813BD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902" name="Line 2">
          <a:extLst>
            <a:ext uri="{FF2B5EF4-FFF2-40B4-BE49-F238E27FC236}">
              <a16:creationId xmlns:a16="http://schemas.microsoft.com/office/drawing/2014/main" id="{251A1C15-BFBB-4F20-B60C-AFC66DE7A555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903" name="Line 3">
          <a:extLst>
            <a:ext uri="{FF2B5EF4-FFF2-40B4-BE49-F238E27FC236}">
              <a16:creationId xmlns:a16="http://schemas.microsoft.com/office/drawing/2014/main" id="{A425D286-2DA5-4020-88F5-A752F3C4DE08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904" name="Line 4">
          <a:extLst>
            <a:ext uri="{FF2B5EF4-FFF2-40B4-BE49-F238E27FC236}">
              <a16:creationId xmlns:a16="http://schemas.microsoft.com/office/drawing/2014/main" id="{0110C8DD-C4F8-45AB-B2B5-D6FBDF195144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1905" name="Line 5">
          <a:extLst>
            <a:ext uri="{FF2B5EF4-FFF2-40B4-BE49-F238E27FC236}">
              <a16:creationId xmlns:a16="http://schemas.microsoft.com/office/drawing/2014/main" id="{BFE552C1-57B9-4D5C-8A4B-35D0DB798872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906" name="Line 2">
          <a:extLst>
            <a:ext uri="{FF2B5EF4-FFF2-40B4-BE49-F238E27FC236}">
              <a16:creationId xmlns:a16="http://schemas.microsoft.com/office/drawing/2014/main" id="{3573214E-DDC3-43FF-BED2-106647251CC1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1907" name="Line 3">
          <a:extLst>
            <a:ext uri="{FF2B5EF4-FFF2-40B4-BE49-F238E27FC236}">
              <a16:creationId xmlns:a16="http://schemas.microsoft.com/office/drawing/2014/main" id="{ED57751E-A2F1-4D22-8DE2-F30DB56E0F31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908" name="Line 4">
          <a:extLst>
            <a:ext uri="{FF2B5EF4-FFF2-40B4-BE49-F238E27FC236}">
              <a16:creationId xmlns:a16="http://schemas.microsoft.com/office/drawing/2014/main" id="{2F7F7313-5177-4EFF-AFF7-D3702C7563B4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909" name="Line 2">
          <a:extLst>
            <a:ext uri="{FF2B5EF4-FFF2-40B4-BE49-F238E27FC236}">
              <a16:creationId xmlns:a16="http://schemas.microsoft.com/office/drawing/2014/main" id="{0C54BAE6-D7FF-4F4C-9AB3-5D50E039C927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910" name="Line 3">
          <a:extLst>
            <a:ext uri="{FF2B5EF4-FFF2-40B4-BE49-F238E27FC236}">
              <a16:creationId xmlns:a16="http://schemas.microsoft.com/office/drawing/2014/main" id="{9B80F384-7D0E-441D-BD84-586EFE674F19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911" name="Line 4">
          <a:extLst>
            <a:ext uri="{FF2B5EF4-FFF2-40B4-BE49-F238E27FC236}">
              <a16:creationId xmlns:a16="http://schemas.microsoft.com/office/drawing/2014/main" id="{B2B8C026-DBC4-4A71-B3A1-DFD92059F020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912" name="Line 2">
          <a:extLst>
            <a:ext uri="{FF2B5EF4-FFF2-40B4-BE49-F238E27FC236}">
              <a16:creationId xmlns:a16="http://schemas.microsoft.com/office/drawing/2014/main" id="{C6669644-F719-45E4-A03A-E5949BE669C5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1913" name="Line 3">
          <a:extLst>
            <a:ext uri="{FF2B5EF4-FFF2-40B4-BE49-F238E27FC236}">
              <a16:creationId xmlns:a16="http://schemas.microsoft.com/office/drawing/2014/main" id="{579E9F48-0F1B-4782-987C-93F43BF295A0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713</xdr:row>
      <xdr:rowOff>0</xdr:rowOff>
    </xdr:from>
    <xdr:to>
      <xdr:col>8</xdr:col>
      <xdr:colOff>180975</xdr:colOff>
      <xdr:row>713</xdr:row>
      <xdr:rowOff>0</xdr:rowOff>
    </xdr:to>
    <xdr:sp macro="" textlink="">
      <xdr:nvSpPr>
        <xdr:cNvPr id="1914" name="Line 4">
          <a:extLst>
            <a:ext uri="{FF2B5EF4-FFF2-40B4-BE49-F238E27FC236}">
              <a16:creationId xmlns:a16="http://schemas.microsoft.com/office/drawing/2014/main" id="{B9D0B649-8F85-40BC-B7EC-02A332409D40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</xdr:row>
      <xdr:rowOff>0</xdr:rowOff>
    </xdr:from>
    <xdr:to>
      <xdr:col>8</xdr:col>
      <xdr:colOff>180975</xdr:colOff>
      <xdr:row>55</xdr:row>
      <xdr:rowOff>0</xdr:rowOff>
    </xdr:to>
    <xdr:sp macro="" textlink="">
      <xdr:nvSpPr>
        <xdr:cNvPr id="1915" name="Line 2">
          <a:extLst>
            <a:ext uri="{FF2B5EF4-FFF2-40B4-BE49-F238E27FC236}">
              <a16:creationId xmlns:a16="http://schemas.microsoft.com/office/drawing/2014/main" id="{40FF6C43-9460-4D05-8377-8A1A171D5AD2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916" name="Line 3">
          <a:extLst>
            <a:ext uri="{FF2B5EF4-FFF2-40B4-BE49-F238E27FC236}">
              <a16:creationId xmlns:a16="http://schemas.microsoft.com/office/drawing/2014/main" id="{A1D8A6EA-C21E-424A-8309-86FBE2BFD9F8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917" name="Line 5">
          <a:extLst>
            <a:ext uri="{FF2B5EF4-FFF2-40B4-BE49-F238E27FC236}">
              <a16:creationId xmlns:a16="http://schemas.microsoft.com/office/drawing/2014/main" id="{4C797DC4-10B2-41AA-B7DE-C9B49A04A5CF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1918" name="Line 2">
          <a:extLst>
            <a:ext uri="{FF2B5EF4-FFF2-40B4-BE49-F238E27FC236}">
              <a16:creationId xmlns:a16="http://schemas.microsoft.com/office/drawing/2014/main" id="{0C7FD9BC-C57F-4F23-83F0-12E59A952782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919" name="Line 3">
          <a:extLst>
            <a:ext uri="{FF2B5EF4-FFF2-40B4-BE49-F238E27FC236}">
              <a16:creationId xmlns:a16="http://schemas.microsoft.com/office/drawing/2014/main" id="{5B72397B-4303-409E-8E78-786EE7D3B4E7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92</xdr:row>
      <xdr:rowOff>0</xdr:rowOff>
    </xdr:from>
    <xdr:to>
      <xdr:col>8</xdr:col>
      <xdr:colOff>180975</xdr:colOff>
      <xdr:row>92</xdr:row>
      <xdr:rowOff>0</xdr:rowOff>
    </xdr:to>
    <xdr:sp macro="" textlink="">
      <xdr:nvSpPr>
        <xdr:cNvPr id="1920" name="Line 5">
          <a:extLst>
            <a:ext uri="{FF2B5EF4-FFF2-40B4-BE49-F238E27FC236}">
              <a16:creationId xmlns:a16="http://schemas.microsoft.com/office/drawing/2014/main" id="{FD8822E9-1852-4425-8EE0-D3E2908E1F65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921" name="Line 2">
          <a:extLst>
            <a:ext uri="{FF2B5EF4-FFF2-40B4-BE49-F238E27FC236}">
              <a16:creationId xmlns:a16="http://schemas.microsoft.com/office/drawing/2014/main" id="{61EC1F6A-FBC2-4F19-932D-7B1C8C65E930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922" name="Line 3">
          <a:extLst>
            <a:ext uri="{FF2B5EF4-FFF2-40B4-BE49-F238E27FC236}">
              <a16:creationId xmlns:a16="http://schemas.microsoft.com/office/drawing/2014/main" id="{E8FDC0D7-66CB-43D1-903B-363C5B7B589D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79</xdr:row>
      <xdr:rowOff>0</xdr:rowOff>
    </xdr:from>
    <xdr:to>
      <xdr:col>8</xdr:col>
      <xdr:colOff>180975</xdr:colOff>
      <xdr:row>79</xdr:row>
      <xdr:rowOff>0</xdr:rowOff>
    </xdr:to>
    <xdr:sp macro="" textlink="">
      <xdr:nvSpPr>
        <xdr:cNvPr id="1923" name="Line 4">
          <a:extLst>
            <a:ext uri="{FF2B5EF4-FFF2-40B4-BE49-F238E27FC236}">
              <a16:creationId xmlns:a16="http://schemas.microsoft.com/office/drawing/2014/main" id="{76433191-8D77-4370-B3B9-DCFA93358E9A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105</xdr:row>
      <xdr:rowOff>0</xdr:rowOff>
    </xdr:from>
    <xdr:to>
      <xdr:col>8</xdr:col>
      <xdr:colOff>180975</xdr:colOff>
      <xdr:row>105</xdr:row>
      <xdr:rowOff>0</xdr:rowOff>
    </xdr:to>
    <xdr:sp macro="" textlink="">
      <xdr:nvSpPr>
        <xdr:cNvPr id="1924" name="Line 7">
          <a:extLst>
            <a:ext uri="{FF2B5EF4-FFF2-40B4-BE49-F238E27FC236}">
              <a16:creationId xmlns:a16="http://schemas.microsoft.com/office/drawing/2014/main" id="{357A1139-20A0-4EC7-9220-F8DB1C0F6E16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160</xdr:row>
      <xdr:rowOff>0</xdr:rowOff>
    </xdr:from>
    <xdr:to>
      <xdr:col>8</xdr:col>
      <xdr:colOff>180975</xdr:colOff>
      <xdr:row>160</xdr:row>
      <xdr:rowOff>0</xdr:rowOff>
    </xdr:to>
    <xdr:sp macro="" textlink="">
      <xdr:nvSpPr>
        <xdr:cNvPr id="1925" name="Line 2">
          <a:extLst>
            <a:ext uri="{FF2B5EF4-FFF2-40B4-BE49-F238E27FC236}">
              <a16:creationId xmlns:a16="http://schemas.microsoft.com/office/drawing/2014/main" id="{E40D2E64-B488-4516-8510-F74551E833C1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926" name="Line 3">
          <a:extLst>
            <a:ext uri="{FF2B5EF4-FFF2-40B4-BE49-F238E27FC236}">
              <a16:creationId xmlns:a16="http://schemas.microsoft.com/office/drawing/2014/main" id="{2D3992CF-B8AD-437C-8655-D766199967CD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1927" name="Line 5">
          <a:extLst>
            <a:ext uri="{FF2B5EF4-FFF2-40B4-BE49-F238E27FC236}">
              <a16:creationId xmlns:a16="http://schemas.microsoft.com/office/drawing/2014/main" id="{F981DC1B-942D-4CFE-A790-E7E6219E3897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928" name="Line 2">
          <a:extLst>
            <a:ext uri="{FF2B5EF4-FFF2-40B4-BE49-F238E27FC236}">
              <a16:creationId xmlns:a16="http://schemas.microsoft.com/office/drawing/2014/main" id="{62EC2B08-CD7C-44BA-B38D-CD33F774502C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929" name="Line 3">
          <a:extLst>
            <a:ext uri="{FF2B5EF4-FFF2-40B4-BE49-F238E27FC236}">
              <a16:creationId xmlns:a16="http://schemas.microsoft.com/office/drawing/2014/main" id="{3F664D7A-B527-4312-B951-A0E2DF279366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930" name="Line 4">
          <a:extLst>
            <a:ext uri="{FF2B5EF4-FFF2-40B4-BE49-F238E27FC236}">
              <a16:creationId xmlns:a16="http://schemas.microsoft.com/office/drawing/2014/main" id="{319CA5F0-AC43-4341-B5F3-16C0D6B39491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931" name="Line 5">
          <a:extLst>
            <a:ext uri="{FF2B5EF4-FFF2-40B4-BE49-F238E27FC236}">
              <a16:creationId xmlns:a16="http://schemas.microsoft.com/office/drawing/2014/main" id="{98C417D3-87C7-4505-85CB-34E285F75DC0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932" name="Line 2">
          <a:extLst>
            <a:ext uri="{FF2B5EF4-FFF2-40B4-BE49-F238E27FC236}">
              <a16:creationId xmlns:a16="http://schemas.microsoft.com/office/drawing/2014/main" id="{B038906E-2DAA-4BD9-9C46-91AA3F91C73A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933" name="Line 3">
          <a:extLst>
            <a:ext uri="{FF2B5EF4-FFF2-40B4-BE49-F238E27FC236}">
              <a16:creationId xmlns:a16="http://schemas.microsoft.com/office/drawing/2014/main" id="{AE034633-2046-4021-91A7-C212B39CD389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140</xdr:row>
      <xdr:rowOff>0</xdr:rowOff>
    </xdr:from>
    <xdr:to>
      <xdr:col>8</xdr:col>
      <xdr:colOff>180975</xdr:colOff>
      <xdr:row>140</xdr:row>
      <xdr:rowOff>0</xdr:rowOff>
    </xdr:to>
    <xdr:sp macro="" textlink="">
      <xdr:nvSpPr>
        <xdr:cNvPr id="1934" name="Line 4">
          <a:extLst>
            <a:ext uri="{FF2B5EF4-FFF2-40B4-BE49-F238E27FC236}">
              <a16:creationId xmlns:a16="http://schemas.microsoft.com/office/drawing/2014/main" id="{40962FD5-894A-4A18-A706-93BA3AC336E7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935" name="Line 5">
          <a:extLst>
            <a:ext uri="{FF2B5EF4-FFF2-40B4-BE49-F238E27FC236}">
              <a16:creationId xmlns:a16="http://schemas.microsoft.com/office/drawing/2014/main" id="{886EBEE7-10FA-451C-8C45-1276109ED2F4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936" name="Line 2">
          <a:extLst>
            <a:ext uri="{FF2B5EF4-FFF2-40B4-BE49-F238E27FC236}">
              <a16:creationId xmlns:a16="http://schemas.microsoft.com/office/drawing/2014/main" id="{7759BEB7-8A23-4D0D-9C78-09CBE1B8D28D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937" name="Line 3">
          <a:extLst>
            <a:ext uri="{FF2B5EF4-FFF2-40B4-BE49-F238E27FC236}">
              <a16:creationId xmlns:a16="http://schemas.microsoft.com/office/drawing/2014/main" id="{00E467F3-6E46-4392-A9B9-1625C8F65161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938" name="Line 5">
          <a:extLst>
            <a:ext uri="{FF2B5EF4-FFF2-40B4-BE49-F238E27FC236}">
              <a16:creationId xmlns:a16="http://schemas.microsoft.com/office/drawing/2014/main" id="{F93F68FE-0B30-4F7F-8249-7508CB8E0554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39" name="Line 2">
          <a:extLst>
            <a:ext uri="{FF2B5EF4-FFF2-40B4-BE49-F238E27FC236}">
              <a16:creationId xmlns:a16="http://schemas.microsoft.com/office/drawing/2014/main" id="{49BC5AB3-648D-4DAF-9B4E-A0B928C8024C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40" name="Line 3">
          <a:extLst>
            <a:ext uri="{FF2B5EF4-FFF2-40B4-BE49-F238E27FC236}">
              <a16:creationId xmlns:a16="http://schemas.microsoft.com/office/drawing/2014/main" id="{481C4854-604C-4F36-8F08-4E39567E57C8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41" name="Line 4">
          <a:extLst>
            <a:ext uri="{FF2B5EF4-FFF2-40B4-BE49-F238E27FC236}">
              <a16:creationId xmlns:a16="http://schemas.microsoft.com/office/drawing/2014/main" id="{E83B99BA-6BF8-41A0-905E-79B9F874666B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942" name="Line 5">
          <a:extLst>
            <a:ext uri="{FF2B5EF4-FFF2-40B4-BE49-F238E27FC236}">
              <a16:creationId xmlns:a16="http://schemas.microsoft.com/office/drawing/2014/main" id="{CB5BFC4B-AEEA-4F00-8025-0DCB6E2D5F93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43" name="Line 2">
          <a:extLst>
            <a:ext uri="{FF2B5EF4-FFF2-40B4-BE49-F238E27FC236}">
              <a16:creationId xmlns:a16="http://schemas.microsoft.com/office/drawing/2014/main" id="{72EDA7DB-FF20-409E-924C-2BCC6DA2A9F3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44" name="Line 3">
          <a:extLst>
            <a:ext uri="{FF2B5EF4-FFF2-40B4-BE49-F238E27FC236}">
              <a16:creationId xmlns:a16="http://schemas.microsoft.com/office/drawing/2014/main" id="{2EAA2C5B-DA1F-40CB-A34A-5CAEA47417AB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45" name="Line 4">
          <a:extLst>
            <a:ext uri="{FF2B5EF4-FFF2-40B4-BE49-F238E27FC236}">
              <a16:creationId xmlns:a16="http://schemas.microsoft.com/office/drawing/2014/main" id="{0DD4E0EE-E808-4882-8988-5C615586C944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946" name="Line 5">
          <a:extLst>
            <a:ext uri="{FF2B5EF4-FFF2-40B4-BE49-F238E27FC236}">
              <a16:creationId xmlns:a16="http://schemas.microsoft.com/office/drawing/2014/main" id="{CC326366-F262-49B0-B38E-97F977305568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947" name="Line 2">
          <a:extLst>
            <a:ext uri="{FF2B5EF4-FFF2-40B4-BE49-F238E27FC236}">
              <a16:creationId xmlns:a16="http://schemas.microsoft.com/office/drawing/2014/main" id="{321581CE-34F0-466E-9D05-508DB22EA9CD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948" name="Line 3">
          <a:extLst>
            <a:ext uri="{FF2B5EF4-FFF2-40B4-BE49-F238E27FC236}">
              <a16:creationId xmlns:a16="http://schemas.microsoft.com/office/drawing/2014/main" id="{45B554D6-6C60-44CC-919E-152F2B03BAC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949" name="Line 4">
          <a:extLst>
            <a:ext uri="{FF2B5EF4-FFF2-40B4-BE49-F238E27FC236}">
              <a16:creationId xmlns:a16="http://schemas.microsoft.com/office/drawing/2014/main" id="{86F276BB-7B77-46DB-BF0B-CBB8014AB4CF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950" name="Line 5">
          <a:extLst>
            <a:ext uri="{FF2B5EF4-FFF2-40B4-BE49-F238E27FC236}">
              <a16:creationId xmlns:a16="http://schemas.microsoft.com/office/drawing/2014/main" id="{E71F1496-D32E-4259-BE8F-6E5B861BAC8D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951" name="Line 7">
          <a:extLst>
            <a:ext uri="{FF2B5EF4-FFF2-40B4-BE49-F238E27FC236}">
              <a16:creationId xmlns:a16="http://schemas.microsoft.com/office/drawing/2014/main" id="{B99AD48C-E00B-4E96-A2EC-7E86B54F578C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952" name="Line 8">
          <a:extLst>
            <a:ext uri="{FF2B5EF4-FFF2-40B4-BE49-F238E27FC236}">
              <a16:creationId xmlns:a16="http://schemas.microsoft.com/office/drawing/2014/main" id="{80EDBE9B-E5F0-4C9F-AA9B-9E53391721B6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953" name="Rectangle 7">
          <a:extLst>
            <a:ext uri="{FF2B5EF4-FFF2-40B4-BE49-F238E27FC236}">
              <a16:creationId xmlns:a16="http://schemas.microsoft.com/office/drawing/2014/main" id="{A04CD42B-4F19-4FDC-A498-3D48FE49776A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216</xdr:row>
      <xdr:rowOff>0</xdr:rowOff>
    </xdr:from>
    <xdr:to>
      <xdr:col>8</xdr:col>
      <xdr:colOff>180975</xdr:colOff>
      <xdr:row>216</xdr:row>
      <xdr:rowOff>0</xdr:rowOff>
    </xdr:to>
    <xdr:sp macro="" textlink="">
      <xdr:nvSpPr>
        <xdr:cNvPr id="1954" name="Line 2">
          <a:extLst>
            <a:ext uri="{FF2B5EF4-FFF2-40B4-BE49-F238E27FC236}">
              <a16:creationId xmlns:a16="http://schemas.microsoft.com/office/drawing/2014/main" id="{C16A7B2C-BC5D-4205-AD66-B3DE37EAEB13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955" name="Line 3">
          <a:extLst>
            <a:ext uri="{FF2B5EF4-FFF2-40B4-BE49-F238E27FC236}">
              <a16:creationId xmlns:a16="http://schemas.microsoft.com/office/drawing/2014/main" id="{B19FE96E-E0B0-4ACF-B4DD-9B6A7D90599D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192</xdr:row>
      <xdr:rowOff>0</xdr:rowOff>
    </xdr:from>
    <xdr:to>
      <xdr:col>8</xdr:col>
      <xdr:colOff>180975</xdr:colOff>
      <xdr:row>192</xdr:row>
      <xdr:rowOff>0</xdr:rowOff>
    </xdr:to>
    <xdr:sp macro="" textlink="">
      <xdr:nvSpPr>
        <xdr:cNvPr id="1956" name="Line 5">
          <a:extLst>
            <a:ext uri="{FF2B5EF4-FFF2-40B4-BE49-F238E27FC236}">
              <a16:creationId xmlns:a16="http://schemas.microsoft.com/office/drawing/2014/main" id="{2B77BCA8-D682-419B-8479-055D8A32D416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57" name="Line 2">
          <a:extLst>
            <a:ext uri="{FF2B5EF4-FFF2-40B4-BE49-F238E27FC236}">
              <a16:creationId xmlns:a16="http://schemas.microsoft.com/office/drawing/2014/main" id="{01BB7A80-FC5B-4348-B5BE-685EA3F6F461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58" name="Line 3">
          <a:extLst>
            <a:ext uri="{FF2B5EF4-FFF2-40B4-BE49-F238E27FC236}">
              <a16:creationId xmlns:a16="http://schemas.microsoft.com/office/drawing/2014/main" id="{D37D5AF3-674C-4094-8108-04C839349DF5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59" name="Line 4">
          <a:extLst>
            <a:ext uri="{FF2B5EF4-FFF2-40B4-BE49-F238E27FC236}">
              <a16:creationId xmlns:a16="http://schemas.microsoft.com/office/drawing/2014/main" id="{BF397C7E-DF3F-4DB5-9121-AE8E8B817536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960" name="Line 5">
          <a:extLst>
            <a:ext uri="{FF2B5EF4-FFF2-40B4-BE49-F238E27FC236}">
              <a16:creationId xmlns:a16="http://schemas.microsoft.com/office/drawing/2014/main" id="{BD61FB24-0BB4-402F-A1AA-C3AB16E0A618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61" name="Line 2">
          <a:extLst>
            <a:ext uri="{FF2B5EF4-FFF2-40B4-BE49-F238E27FC236}">
              <a16:creationId xmlns:a16="http://schemas.microsoft.com/office/drawing/2014/main" id="{71634DF3-330A-4507-9266-6F093E33DC49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62" name="Line 3">
          <a:extLst>
            <a:ext uri="{FF2B5EF4-FFF2-40B4-BE49-F238E27FC236}">
              <a16:creationId xmlns:a16="http://schemas.microsoft.com/office/drawing/2014/main" id="{B5F07C86-1D3E-4253-9484-711FB9DDAF73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63" name="Line 4">
          <a:extLst>
            <a:ext uri="{FF2B5EF4-FFF2-40B4-BE49-F238E27FC236}">
              <a16:creationId xmlns:a16="http://schemas.microsoft.com/office/drawing/2014/main" id="{D6131A43-AB9B-4136-A313-FDA38C3C4E0A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1964" name="Line 5">
          <a:extLst>
            <a:ext uri="{FF2B5EF4-FFF2-40B4-BE49-F238E27FC236}">
              <a16:creationId xmlns:a16="http://schemas.microsoft.com/office/drawing/2014/main" id="{F07F16D7-35BC-4875-A43D-2577683A1701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965" name="Line 2">
          <a:extLst>
            <a:ext uri="{FF2B5EF4-FFF2-40B4-BE49-F238E27FC236}">
              <a16:creationId xmlns:a16="http://schemas.microsoft.com/office/drawing/2014/main" id="{BEF8B65C-F9EC-485C-A7A9-5898323BA74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1966" name="Line 3">
          <a:extLst>
            <a:ext uri="{FF2B5EF4-FFF2-40B4-BE49-F238E27FC236}">
              <a16:creationId xmlns:a16="http://schemas.microsoft.com/office/drawing/2014/main" id="{84EA537E-2251-418F-ACF6-CF3AB05CB6C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967" name="Line 4">
          <a:extLst>
            <a:ext uri="{FF2B5EF4-FFF2-40B4-BE49-F238E27FC236}">
              <a16:creationId xmlns:a16="http://schemas.microsoft.com/office/drawing/2014/main" id="{4F7D7EE9-D4A3-4D8B-97D6-F9268CC4F215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264</xdr:row>
      <xdr:rowOff>0</xdr:rowOff>
    </xdr:from>
    <xdr:to>
      <xdr:col>8</xdr:col>
      <xdr:colOff>180975</xdr:colOff>
      <xdr:row>264</xdr:row>
      <xdr:rowOff>0</xdr:rowOff>
    </xdr:to>
    <xdr:sp macro="" textlink="">
      <xdr:nvSpPr>
        <xdr:cNvPr id="1968" name="Line 5">
          <a:extLst>
            <a:ext uri="{FF2B5EF4-FFF2-40B4-BE49-F238E27FC236}">
              <a16:creationId xmlns:a16="http://schemas.microsoft.com/office/drawing/2014/main" id="{87A6BE10-6CFA-4896-BB2C-EE6368B11D47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251</xdr:row>
      <xdr:rowOff>0</xdr:rowOff>
    </xdr:from>
    <xdr:to>
      <xdr:col>8</xdr:col>
      <xdr:colOff>180975</xdr:colOff>
      <xdr:row>251</xdr:row>
      <xdr:rowOff>0</xdr:rowOff>
    </xdr:to>
    <xdr:sp macro="" textlink="">
      <xdr:nvSpPr>
        <xdr:cNvPr id="1969" name="Line 7">
          <a:extLst>
            <a:ext uri="{FF2B5EF4-FFF2-40B4-BE49-F238E27FC236}">
              <a16:creationId xmlns:a16="http://schemas.microsoft.com/office/drawing/2014/main" id="{607AE033-1A42-4D1A-A424-D36D9867118B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254</xdr:row>
      <xdr:rowOff>0</xdr:rowOff>
    </xdr:from>
    <xdr:to>
      <xdr:col>8</xdr:col>
      <xdr:colOff>180975</xdr:colOff>
      <xdr:row>254</xdr:row>
      <xdr:rowOff>0</xdr:rowOff>
    </xdr:to>
    <xdr:sp macro="" textlink="">
      <xdr:nvSpPr>
        <xdr:cNvPr id="1970" name="Line 8">
          <a:extLst>
            <a:ext uri="{FF2B5EF4-FFF2-40B4-BE49-F238E27FC236}">
              <a16:creationId xmlns:a16="http://schemas.microsoft.com/office/drawing/2014/main" id="{89D224D9-F531-406C-A91C-13EF1F5934D8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178</xdr:row>
      <xdr:rowOff>38100</xdr:rowOff>
    </xdr:from>
    <xdr:ext cx="180975" cy="933450"/>
    <xdr:sp macro="" textlink="">
      <xdr:nvSpPr>
        <xdr:cNvPr id="1971" name="Rectangle 7">
          <a:extLst>
            <a:ext uri="{FF2B5EF4-FFF2-40B4-BE49-F238E27FC236}">
              <a16:creationId xmlns:a16="http://schemas.microsoft.com/office/drawing/2014/main" id="{B3614BF8-B574-4C70-B253-012B8C5E60DA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973" name="Line 3">
          <a:extLst>
            <a:ext uri="{FF2B5EF4-FFF2-40B4-BE49-F238E27FC236}">
              <a16:creationId xmlns:a16="http://schemas.microsoft.com/office/drawing/2014/main" id="{7CC2601C-913B-467E-AB11-3A09FDB51103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309</xdr:row>
      <xdr:rowOff>0</xdr:rowOff>
    </xdr:from>
    <xdr:to>
      <xdr:col>8</xdr:col>
      <xdr:colOff>180975</xdr:colOff>
      <xdr:row>309</xdr:row>
      <xdr:rowOff>0</xdr:rowOff>
    </xdr:to>
    <xdr:sp macro="" textlink="">
      <xdr:nvSpPr>
        <xdr:cNvPr id="1974" name="Line 5">
          <a:extLst>
            <a:ext uri="{FF2B5EF4-FFF2-40B4-BE49-F238E27FC236}">
              <a16:creationId xmlns:a16="http://schemas.microsoft.com/office/drawing/2014/main" id="{AF5B25C3-62DB-482B-B061-E728829C8006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75" name="Line 2">
          <a:extLst>
            <a:ext uri="{FF2B5EF4-FFF2-40B4-BE49-F238E27FC236}">
              <a16:creationId xmlns:a16="http://schemas.microsoft.com/office/drawing/2014/main" id="{A53F4BE1-C58B-4489-A541-A795BE1E42D1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76" name="Line 3">
          <a:extLst>
            <a:ext uri="{FF2B5EF4-FFF2-40B4-BE49-F238E27FC236}">
              <a16:creationId xmlns:a16="http://schemas.microsoft.com/office/drawing/2014/main" id="{A7609312-1467-4F62-9F50-3FD20121F1FC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77" name="Line 4">
          <a:extLst>
            <a:ext uri="{FF2B5EF4-FFF2-40B4-BE49-F238E27FC236}">
              <a16:creationId xmlns:a16="http://schemas.microsoft.com/office/drawing/2014/main" id="{E9F81EB3-121C-4032-ADDE-C8799F55DC5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978" name="Line 5">
          <a:extLst>
            <a:ext uri="{FF2B5EF4-FFF2-40B4-BE49-F238E27FC236}">
              <a16:creationId xmlns:a16="http://schemas.microsoft.com/office/drawing/2014/main" id="{9524AC17-CDAA-46BE-A8A3-4C5569920161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328</xdr:row>
      <xdr:rowOff>0</xdr:rowOff>
    </xdr:from>
    <xdr:to>
      <xdr:col>8</xdr:col>
      <xdr:colOff>180975</xdr:colOff>
      <xdr:row>328</xdr:row>
      <xdr:rowOff>0</xdr:rowOff>
    </xdr:to>
    <xdr:sp macro="" textlink="">
      <xdr:nvSpPr>
        <xdr:cNvPr id="1979" name="Line 7">
          <a:extLst>
            <a:ext uri="{FF2B5EF4-FFF2-40B4-BE49-F238E27FC236}">
              <a16:creationId xmlns:a16="http://schemas.microsoft.com/office/drawing/2014/main" id="{ED99B6C0-3AA2-427E-A7E1-E9E2A3222872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980" name="Line 2">
          <a:extLst>
            <a:ext uri="{FF2B5EF4-FFF2-40B4-BE49-F238E27FC236}">
              <a16:creationId xmlns:a16="http://schemas.microsoft.com/office/drawing/2014/main" id="{B5DBD893-20C0-4776-9D39-856B4A87EE6D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981" name="Line 3">
          <a:extLst>
            <a:ext uri="{FF2B5EF4-FFF2-40B4-BE49-F238E27FC236}">
              <a16:creationId xmlns:a16="http://schemas.microsoft.com/office/drawing/2014/main" id="{6F9CB1F1-41F1-4670-BDD9-544241F9B88E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982" name="Line 4">
          <a:extLst>
            <a:ext uri="{FF2B5EF4-FFF2-40B4-BE49-F238E27FC236}">
              <a16:creationId xmlns:a16="http://schemas.microsoft.com/office/drawing/2014/main" id="{65DBC51F-FF5E-4795-9CD5-17FF7A30A8FD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301</xdr:row>
      <xdr:rowOff>0</xdr:rowOff>
    </xdr:from>
    <xdr:to>
      <xdr:col>8</xdr:col>
      <xdr:colOff>180975</xdr:colOff>
      <xdr:row>301</xdr:row>
      <xdr:rowOff>0</xdr:rowOff>
    </xdr:to>
    <xdr:sp macro="" textlink="">
      <xdr:nvSpPr>
        <xdr:cNvPr id="1983" name="Line 5">
          <a:extLst>
            <a:ext uri="{FF2B5EF4-FFF2-40B4-BE49-F238E27FC236}">
              <a16:creationId xmlns:a16="http://schemas.microsoft.com/office/drawing/2014/main" id="{9FFFC059-9954-4631-87D5-14799A7CDE46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984" name="Line 2">
          <a:extLst>
            <a:ext uri="{FF2B5EF4-FFF2-40B4-BE49-F238E27FC236}">
              <a16:creationId xmlns:a16="http://schemas.microsoft.com/office/drawing/2014/main" id="{54F82DD5-3040-44BB-AA0A-52B7D3022D3A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294</xdr:row>
      <xdr:rowOff>0</xdr:rowOff>
    </xdr:from>
    <xdr:to>
      <xdr:col>8</xdr:col>
      <xdr:colOff>180975</xdr:colOff>
      <xdr:row>294</xdr:row>
      <xdr:rowOff>0</xdr:rowOff>
    </xdr:to>
    <xdr:sp macro="" textlink="">
      <xdr:nvSpPr>
        <xdr:cNvPr id="1985" name="Line 3">
          <a:extLst>
            <a:ext uri="{FF2B5EF4-FFF2-40B4-BE49-F238E27FC236}">
              <a16:creationId xmlns:a16="http://schemas.microsoft.com/office/drawing/2014/main" id="{CA6AC71E-CE25-4FCD-BF10-C8EACEE3F4B8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86" name="Line 4">
          <a:extLst>
            <a:ext uri="{FF2B5EF4-FFF2-40B4-BE49-F238E27FC236}">
              <a16:creationId xmlns:a16="http://schemas.microsoft.com/office/drawing/2014/main" id="{CCCFAF38-7F0C-4759-92F7-E613302F06C5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379</xdr:row>
      <xdr:rowOff>0</xdr:rowOff>
    </xdr:from>
    <xdr:to>
      <xdr:col>8</xdr:col>
      <xdr:colOff>180975</xdr:colOff>
      <xdr:row>379</xdr:row>
      <xdr:rowOff>0</xdr:rowOff>
    </xdr:to>
    <xdr:sp macro="" textlink="">
      <xdr:nvSpPr>
        <xdr:cNvPr id="1987" name="Line 5">
          <a:extLst>
            <a:ext uri="{FF2B5EF4-FFF2-40B4-BE49-F238E27FC236}">
              <a16:creationId xmlns:a16="http://schemas.microsoft.com/office/drawing/2014/main" id="{54464A80-CA55-43A2-A0E8-48768EC2F0F8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367</xdr:row>
      <xdr:rowOff>0</xdr:rowOff>
    </xdr:from>
    <xdr:to>
      <xdr:col>8</xdr:col>
      <xdr:colOff>180975</xdr:colOff>
      <xdr:row>367</xdr:row>
      <xdr:rowOff>0</xdr:rowOff>
    </xdr:to>
    <xdr:sp macro="" textlink="">
      <xdr:nvSpPr>
        <xdr:cNvPr id="1988" name="Line 7">
          <a:extLst>
            <a:ext uri="{FF2B5EF4-FFF2-40B4-BE49-F238E27FC236}">
              <a16:creationId xmlns:a16="http://schemas.microsoft.com/office/drawing/2014/main" id="{6EA5AC34-7882-4552-9D14-06626E0031AB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989" name="Line 3">
          <a:extLst>
            <a:ext uri="{FF2B5EF4-FFF2-40B4-BE49-F238E27FC236}">
              <a16:creationId xmlns:a16="http://schemas.microsoft.com/office/drawing/2014/main" id="{722DBCCE-FA3D-4761-ADF4-37C0709344DC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425</xdr:row>
      <xdr:rowOff>0</xdr:rowOff>
    </xdr:from>
    <xdr:to>
      <xdr:col>8</xdr:col>
      <xdr:colOff>180975</xdr:colOff>
      <xdr:row>425</xdr:row>
      <xdr:rowOff>0</xdr:rowOff>
    </xdr:to>
    <xdr:sp macro="" textlink="">
      <xdr:nvSpPr>
        <xdr:cNvPr id="1990" name="Line 5">
          <a:extLst>
            <a:ext uri="{FF2B5EF4-FFF2-40B4-BE49-F238E27FC236}">
              <a16:creationId xmlns:a16="http://schemas.microsoft.com/office/drawing/2014/main" id="{4CA69FF8-C79C-4762-8F92-C3B9F37223B2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991" name="Line 2">
          <a:extLst>
            <a:ext uri="{FF2B5EF4-FFF2-40B4-BE49-F238E27FC236}">
              <a16:creationId xmlns:a16="http://schemas.microsoft.com/office/drawing/2014/main" id="{6D71DCF0-9DFD-4D01-8BE9-F494BCF82370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992" name="Line 3">
          <a:extLst>
            <a:ext uri="{FF2B5EF4-FFF2-40B4-BE49-F238E27FC236}">
              <a16:creationId xmlns:a16="http://schemas.microsoft.com/office/drawing/2014/main" id="{CF486F24-CFF5-4E05-87A9-39313AE01EC0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993" name="Line 4">
          <a:extLst>
            <a:ext uri="{FF2B5EF4-FFF2-40B4-BE49-F238E27FC236}">
              <a16:creationId xmlns:a16="http://schemas.microsoft.com/office/drawing/2014/main" id="{0426D6DD-8CBF-4633-9725-90FF45985586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994" name="Line 5">
          <a:extLst>
            <a:ext uri="{FF2B5EF4-FFF2-40B4-BE49-F238E27FC236}">
              <a16:creationId xmlns:a16="http://schemas.microsoft.com/office/drawing/2014/main" id="{08D91BAF-25E0-42F1-A7BA-D12C6B5EC754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995" name="Line 2">
          <a:extLst>
            <a:ext uri="{FF2B5EF4-FFF2-40B4-BE49-F238E27FC236}">
              <a16:creationId xmlns:a16="http://schemas.microsoft.com/office/drawing/2014/main" id="{BE39DA88-4CE3-4484-91A5-4CD9E7C1A752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996" name="Line 3">
          <a:extLst>
            <a:ext uri="{FF2B5EF4-FFF2-40B4-BE49-F238E27FC236}">
              <a16:creationId xmlns:a16="http://schemas.microsoft.com/office/drawing/2014/main" id="{0E7ED033-19BD-4CF4-9759-92914B604802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997" name="Line 4">
          <a:extLst>
            <a:ext uri="{FF2B5EF4-FFF2-40B4-BE49-F238E27FC236}">
              <a16:creationId xmlns:a16="http://schemas.microsoft.com/office/drawing/2014/main" id="{715AA9FA-6F5B-4AED-A678-9BF0F7626C26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1998" name="Line 5">
          <a:extLst>
            <a:ext uri="{FF2B5EF4-FFF2-40B4-BE49-F238E27FC236}">
              <a16:creationId xmlns:a16="http://schemas.microsoft.com/office/drawing/2014/main" id="{FE0FF5DE-EAC8-497C-B9B6-7E7D98DBBEEE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1999" name="Line 2">
          <a:extLst>
            <a:ext uri="{FF2B5EF4-FFF2-40B4-BE49-F238E27FC236}">
              <a16:creationId xmlns:a16="http://schemas.microsoft.com/office/drawing/2014/main" id="{C2E7B632-A7A5-46E7-907A-6F858870B980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408</xdr:row>
      <xdr:rowOff>0</xdr:rowOff>
    </xdr:from>
    <xdr:to>
      <xdr:col>8</xdr:col>
      <xdr:colOff>180975</xdr:colOff>
      <xdr:row>408</xdr:row>
      <xdr:rowOff>0</xdr:rowOff>
    </xdr:to>
    <xdr:sp macro="" textlink="">
      <xdr:nvSpPr>
        <xdr:cNvPr id="2000" name="Line 3">
          <a:extLst>
            <a:ext uri="{FF2B5EF4-FFF2-40B4-BE49-F238E27FC236}">
              <a16:creationId xmlns:a16="http://schemas.microsoft.com/office/drawing/2014/main" id="{258252AA-3562-41F7-93B9-35042B3F2B4C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2001" name="Line 4">
          <a:extLst>
            <a:ext uri="{FF2B5EF4-FFF2-40B4-BE49-F238E27FC236}">
              <a16:creationId xmlns:a16="http://schemas.microsoft.com/office/drawing/2014/main" id="{85986EB2-171C-460D-9F4B-7CFF755D07AB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483</xdr:row>
      <xdr:rowOff>0</xdr:rowOff>
    </xdr:from>
    <xdr:to>
      <xdr:col>8</xdr:col>
      <xdr:colOff>180975</xdr:colOff>
      <xdr:row>483</xdr:row>
      <xdr:rowOff>0</xdr:rowOff>
    </xdr:to>
    <xdr:sp macro="" textlink="">
      <xdr:nvSpPr>
        <xdr:cNvPr id="2002" name="Line 5">
          <a:extLst>
            <a:ext uri="{FF2B5EF4-FFF2-40B4-BE49-F238E27FC236}">
              <a16:creationId xmlns:a16="http://schemas.microsoft.com/office/drawing/2014/main" id="{65E35524-9813-4BFC-8012-C4904F6DD83B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2003" name="Line 7">
          <a:extLst>
            <a:ext uri="{FF2B5EF4-FFF2-40B4-BE49-F238E27FC236}">
              <a16:creationId xmlns:a16="http://schemas.microsoft.com/office/drawing/2014/main" id="{3B0C0125-9104-4BAB-933C-61B8C08CA8B0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2004" name="Line 2">
          <a:extLst>
            <a:ext uri="{FF2B5EF4-FFF2-40B4-BE49-F238E27FC236}">
              <a16:creationId xmlns:a16="http://schemas.microsoft.com/office/drawing/2014/main" id="{D336012C-9415-4BE3-BB6E-894401B97B9C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409</xdr:row>
      <xdr:rowOff>0</xdr:rowOff>
    </xdr:from>
    <xdr:to>
      <xdr:col>8</xdr:col>
      <xdr:colOff>180975</xdr:colOff>
      <xdr:row>409</xdr:row>
      <xdr:rowOff>0</xdr:rowOff>
    </xdr:to>
    <xdr:sp macro="" textlink="">
      <xdr:nvSpPr>
        <xdr:cNvPr id="2005" name="Line 3">
          <a:extLst>
            <a:ext uri="{FF2B5EF4-FFF2-40B4-BE49-F238E27FC236}">
              <a16:creationId xmlns:a16="http://schemas.microsoft.com/office/drawing/2014/main" id="{85D88B9E-2204-4D29-9BAF-66243333C90A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006" name="Line 4">
          <a:extLst>
            <a:ext uri="{FF2B5EF4-FFF2-40B4-BE49-F238E27FC236}">
              <a16:creationId xmlns:a16="http://schemas.microsoft.com/office/drawing/2014/main" id="{C15BF1F4-D4E6-4DEF-9A60-0A36364EBD39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2007" name="Line 3">
          <a:extLst>
            <a:ext uri="{FF2B5EF4-FFF2-40B4-BE49-F238E27FC236}">
              <a16:creationId xmlns:a16="http://schemas.microsoft.com/office/drawing/2014/main" id="{A059FCC9-2B7D-4392-87E0-2D168107D4E7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546</xdr:row>
      <xdr:rowOff>0</xdr:rowOff>
    </xdr:from>
    <xdr:to>
      <xdr:col>8</xdr:col>
      <xdr:colOff>180975</xdr:colOff>
      <xdr:row>546</xdr:row>
      <xdr:rowOff>0</xdr:rowOff>
    </xdr:to>
    <xdr:sp macro="" textlink="">
      <xdr:nvSpPr>
        <xdr:cNvPr id="2008" name="Line 5">
          <a:extLst>
            <a:ext uri="{FF2B5EF4-FFF2-40B4-BE49-F238E27FC236}">
              <a16:creationId xmlns:a16="http://schemas.microsoft.com/office/drawing/2014/main" id="{A13CBE21-4215-49AA-B3EB-D9DC6FA1A36F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09" name="Line 2">
          <a:extLst>
            <a:ext uri="{FF2B5EF4-FFF2-40B4-BE49-F238E27FC236}">
              <a16:creationId xmlns:a16="http://schemas.microsoft.com/office/drawing/2014/main" id="{9E113E2A-5F57-4277-BC3C-E2C31FA74EE9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10" name="Line 3">
          <a:extLst>
            <a:ext uri="{FF2B5EF4-FFF2-40B4-BE49-F238E27FC236}">
              <a16:creationId xmlns:a16="http://schemas.microsoft.com/office/drawing/2014/main" id="{E2D8B1FF-EEAF-4052-9B64-528A290623BC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11" name="Line 4">
          <a:extLst>
            <a:ext uri="{FF2B5EF4-FFF2-40B4-BE49-F238E27FC236}">
              <a16:creationId xmlns:a16="http://schemas.microsoft.com/office/drawing/2014/main" id="{4DF1832F-C8D3-47F2-A7B1-9D53615E9301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2012" name="Line 5">
          <a:extLst>
            <a:ext uri="{FF2B5EF4-FFF2-40B4-BE49-F238E27FC236}">
              <a16:creationId xmlns:a16="http://schemas.microsoft.com/office/drawing/2014/main" id="{0F022A09-6D23-42A7-AD09-44EBD314CDC8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2013" name="Line 7">
          <a:extLst>
            <a:ext uri="{FF2B5EF4-FFF2-40B4-BE49-F238E27FC236}">
              <a16:creationId xmlns:a16="http://schemas.microsoft.com/office/drawing/2014/main" id="{331E823C-70F4-47C1-878F-2C4AC53A9309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2014" name="Line 2">
          <a:extLst>
            <a:ext uri="{FF2B5EF4-FFF2-40B4-BE49-F238E27FC236}">
              <a16:creationId xmlns:a16="http://schemas.microsoft.com/office/drawing/2014/main" id="{DEF85D08-0D15-4836-81B0-0C81280B4523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2015" name="Line 3">
          <a:extLst>
            <a:ext uri="{FF2B5EF4-FFF2-40B4-BE49-F238E27FC236}">
              <a16:creationId xmlns:a16="http://schemas.microsoft.com/office/drawing/2014/main" id="{59149BB4-B557-45D7-8463-08B5475F3175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2016" name="Line 4">
          <a:extLst>
            <a:ext uri="{FF2B5EF4-FFF2-40B4-BE49-F238E27FC236}">
              <a16:creationId xmlns:a16="http://schemas.microsoft.com/office/drawing/2014/main" id="{0AE7C99F-0DB8-428A-99A5-D46F9AB2D782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2017" name="Line 5">
          <a:extLst>
            <a:ext uri="{FF2B5EF4-FFF2-40B4-BE49-F238E27FC236}">
              <a16:creationId xmlns:a16="http://schemas.microsoft.com/office/drawing/2014/main" id="{0C47C887-229D-4EDC-9C87-C625911F30F4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2018" name="Line 2">
          <a:extLst>
            <a:ext uri="{FF2B5EF4-FFF2-40B4-BE49-F238E27FC236}">
              <a16:creationId xmlns:a16="http://schemas.microsoft.com/office/drawing/2014/main" id="{A1399197-8F8C-4099-8907-2EE6058468CF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528</xdr:row>
      <xdr:rowOff>0</xdr:rowOff>
    </xdr:from>
    <xdr:to>
      <xdr:col>8</xdr:col>
      <xdr:colOff>180975</xdr:colOff>
      <xdr:row>528</xdr:row>
      <xdr:rowOff>0</xdr:rowOff>
    </xdr:to>
    <xdr:sp macro="" textlink="">
      <xdr:nvSpPr>
        <xdr:cNvPr id="2019" name="Line 3">
          <a:extLst>
            <a:ext uri="{FF2B5EF4-FFF2-40B4-BE49-F238E27FC236}">
              <a16:creationId xmlns:a16="http://schemas.microsoft.com/office/drawing/2014/main" id="{E64059E8-B5F6-4FFF-98F2-24BDA1856602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20" name="Line 4">
          <a:extLst>
            <a:ext uri="{FF2B5EF4-FFF2-40B4-BE49-F238E27FC236}">
              <a16:creationId xmlns:a16="http://schemas.microsoft.com/office/drawing/2014/main" id="{C048BEC0-9FEB-48D1-8277-F3C71966515B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2021" name="Line 2">
          <a:extLst>
            <a:ext uri="{FF2B5EF4-FFF2-40B4-BE49-F238E27FC236}">
              <a16:creationId xmlns:a16="http://schemas.microsoft.com/office/drawing/2014/main" id="{B6B611F1-24B5-4AD5-A05C-6A1CA1BAA02E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2022" name="Line 3">
          <a:extLst>
            <a:ext uri="{FF2B5EF4-FFF2-40B4-BE49-F238E27FC236}">
              <a16:creationId xmlns:a16="http://schemas.microsoft.com/office/drawing/2014/main" id="{0ED7994B-7534-4CB2-A916-B83B737B5E4E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2023" name="Line 4">
          <a:extLst>
            <a:ext uri="{FF2B5EF4-FFF2-40B4-BE49-F238E27FC236}">
              <a16:creationId xmlns:a16="http://schemas.microsoft.com/office/drawing/2014/main" id="{A179B344-1BFA-4DBB-960D-F895FFF62A36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2024" name="Line 2">
          <a:extLst>
            <a:ext uri="{FF2B5EF4-FFF2-40B4-BE49-F238E27FC236}">
              <a16:creationId xmlns:a16="http://schemas.microsoft.com/office/drawing/2014/main" id="{C2277538-6A7D-4298-A7DB-7818DA5AAA66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529</xdr:row>
      <xdr:rowOff>0</xdr:rowOff>
    </xdr:from>
    <xdr:to>
      <xdr:col>8</xdr:col>
      <xdr:colOff>180975</xdr:colOff>
      <xdr:row>529</xdr:row>
      <xdr:rowOff>0</xdr:rowOff>
    </xdr:to>
    <xdr:sp macro="" textlink="">
      <xdr:nvSpPr>
        <xdr:cNvPr id="2025" name="Line 3">
          <a:extLst>
            <a:ext uri="{FF2B5EF4-FFF2-40B4-BE49-F238E27FC236}">
              <a16:creationId xmlns:a16="http://schemas.microsoft.com/office/drawing/2014/main" id="{3E81C4EA-9492-4BCE-85EF-3B7C96694AD2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534</xdr:row>
      <xdr:rowOff>0</xdr:rowOff>
    </xdr:from>
    <xdr:to>
      <xdr:col>8</xdr:col>
      <xdr:colOff>180975</xdr:colOff>
      <xdr:row>534</xdr:row>
      <xdr:rowOff>0</xdr:rowOff>
    </xdr:to>
    <xdr:sp macro="" textlink="">
      <xdr:nvSpPr>
        <xdr:cNvPr id="2026" name="Line 4">
          <a:extLst>
            <a:ext uri="{FF2B5EF4-FFF2-40B4-BE49-F238E27FC236}">
              <a16:creationId xmlns:a16="http://schemas.microsoft.com/office/drawing/2014/main" id="{FB489D7E-2645-4EB0-B175-149FE64D6320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2027" name="Line 3">
          <a:extLst>
            <a:ext uri="{FF2B5EF4-FFF2-40B4-BE49-F238E27FC236}">
              <a16:creationId xmlns:a16="http://schemas.microsoft.com/office/drawing/2014/main" id="{DEFDF52F-4708-4C2F-ACE9-93BA49A00906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2028" name="Line 5">
          <a:extLst>
            <a:ext uri="{FF2B5EF4-FFF2-40B4-BE49-F238E27FC236}">
              <a16:creationId xmlns:a16="http://schemas.microsoft.com/office/drawing/2014/main" id="{19897296-1A99-4240-84BD-3A22E52569D8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29" name="Line 2">
          <a:extLst>
            <a:ext uri="{FF2B5EF4-FFF2-40B4-BE49-F238E27FC236}">
              <a16:creationId xmlns:a16="http://schemas.microsoft.com/office/drawing/2014/main" id="{52B67BF2-1D37-4013-B469-19D72281F28D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30" name="Line 3">
          <a:extLst>
            <a:ext uri="{FF2B5EF4-FFF2-40B4-BE49-F238E27FC236}">
              <a16:creationId xmlns:a16="http://schemas.microsoft.com/office/drawing/2014/main" id="{4DB147E8-E956-4827-A4BF-9CC7BE132244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31" name="Line 4">
          <a:extLst>
            <a:ext uri="{FF2B5EF4-FFF2-40B4-BE49-F238E27FC236}">
              <a16:creationId xmlns:a16="http://schemas.microsoft.com/office/drawing/2014/main" id="{EB4866BD-B51B-4B30-B2F9-F69C1949F028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2032" name="Line 5">
          <a:extLst>
            <a:ext uri="{FF2B5EF4-FFF2-40B4-BE49-F238E27FC236}">
              <a16:creationId xmlns:a16="http://schemas.microsoft.com/office/drawing/2014/main" id="{A0E1CFE2-9119-454F-B9B4-8DF936268976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618</xdr:row>
      <xdr:rowOff>0</xdr:rowOff>
    </xdr:from>
    <xdr:to>
      <xdr:col>8</xdr:col>
      <xdr:colOff>180975</xdr:colOff>
      <xdr:row>618</xdr:row>
      <xdr:rowOff>0</xdr:rowOff>
    </xdr:to>
    <xdr:sp macro="" textlink="">
      <xdr:nvSpPr>
        <xdr:cNvPr id="2033" name="Line 7">
          <a:extLst>
            <a:ext uri="{FF2B5EF4-FFF2-40B4-BE49-F238E27FC236}">
              <a16:creationId xmlns:a16="http://schemas.microsoft.com/office/drawing/2014/main" id="{24AA8E9E-D336-49C4-B931-2845F68865BC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2034" name="Line 2">
          <a:extLst>
            <a:ext uri="{FF2B5EF4-FFF2-40B4-BE49-F238E27FC236}">
              <a16:creationId xmlns:a16="http://schemas.microsoft.com/office/drawing/2014/main" id="{FE37ED2C-EEE5-48EE-9867-D76066685CE0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2035" name="Line 3">
          <a:extLst>
            <a:ext uri="{FF2B5EF4-FFF2-40B4-BE49-F238E27FC236}">
              <a16:creationId xmlns:a16="http://schemas.microsoft.com/office/drawing/2014/main" id="{CC0F7AB5-0358-4FEE-B551-3DB0B5ACFBF7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2036" name="Line 4">
          <a:extLst>
            <a:ext uri="{FF2B5EF4-FFF2-40B4-BE49-F238E27FC236}">
              <a16:creationId xmlns:a16="http://schemas.microsoft.com/office/drawing/2014/main" id="{AABA4DBA-0DCF-4858-9D65-E28C43693558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597</xdr:row>
      <xdr:rowOff>0</xdr:rowOff>
    </xdr:from>
    <xdr:to>
      <xdr:col>8</xdr:col>
      <xdr:colOff>180975</xdr:colOff>
      <xdr:row>597</xdr:row>
      <xdr:rowOff>0</xdr:rowOff>
    </xdr:to>
    <xdr:sp macro="" textlink="">
      <xdr:nvSpPr>
        <xdr:cNvPr id="2037" name="Line 5">
          <a:extLst>
            <a:ext uri="{FF2B5EF4-FFF2-40B4-BE49-F238E27FC236}">
              <a16:creationId xmlns:a16="http://schemas.microsoft.com/office/drawing/2014/main" id="{CD264DE5-2528-4C48-A03C-03D973BA65ED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2038" name="Line 2">
          <a:extLst>
            <a:ext uri="{FF2B5EF4-FFF2-40B4-BE49-F238E27FC236}">
              <a16:creationId xmlns:a16="http://schemas.microsoft.com/office/drawing/2014/main" id="{9DFB6963-E1E2-4276-826F-DEC5F7DE4C71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590</xdr:row>
      <xdr:rowOff>0</xdr:rowOff>
    </xdr:from>
    <xdr:to>
      <xdr:col>8</xdr:col>
      <xdr:colOff>180975</xdr:colOff>
      <xdr:row>590</xdr:row>
      <xdr:rowOff>0</xdr:rowOff>
    </xdr:to>
    <xdr:sp macro="" textlink="">
      <xdr:nvSpPr>
        <xdr:cNvPr id="2039" name="Line 3">
          <a:extLst>
            <a:ext uri="{FF2B5EF4-FFF2-40B4-BE49-F238E27FC236}">
              <a16:creationId xmlns:a16="http://schemas.microsoft.com/office/drawing/2014/main" id="{E7441E62-829E-4DAD-BCCF-E3E34AD21BD3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40" name="Line 4">
          <a:extLst>
            <a:ext uri="{FF2B5EF4-FFF2-40B4-BE49-F238E27FC236}">
              <a16:creationId xmlns:a16="http://schemas.microsoft.com/office/drawing/2014/main" id="{7D18FD31-9B20-4C45-9C8F-FA52E495ADF5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2041" name="Line 2">
          <a:extLst>
            <a:ext uri="{FF2B5EF4-FFF2-40B4-BE49-F238E27FC236}">
              <a16:creationId xmlns:a16="http://schemas.microsoft.com/office/drawing/2014/main" id="{AA722632-2AAB-4A91-B812-E39EF25FBD4A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2042" name="Line 3">
          <a:extLst>
            <a:ext uri="{FF2B5EF4-FFF2-40B4-BE49-F238E27FC236}">
              <a16:creationId xmlns:a16="http://schemas.microsoft.com/office/drawing/2014/main" id="{3EFDF4CC-4FBE-46A1-BD92-8B8DC926C188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2043" name="Line 4">
          <a:extLst>
            <a:ext uri="{FF2B5EF4-FFF2-40B4-BE49-F238E27FC236}">
              <a16:creationId xmlns:a16="http://schemas.microsoft.com/office/drawing/2014/main" id="{B843B59D-F9A5-4B2B-82F0-B98926D5A765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2044" name="Line 2">
          <a:extLst>
            <a:ext uri="{FF2B5EF4-FFF2-40B4-BE49-F238E27FC236}">
              <a16:creationId xmlns:a16="http://schemas.microsoft.com/office/drawing/2014/main" id="{7781D6AC-E6E8-43B2-80F9-740DCC62674B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2045" name="Line 3">
          <a:extLst>
            <a:ext uri="{FF2B5EF4-FFF2-40B4-BE49-F238E27FC236}">
              <a16:creationId xmlns:a16="http://schemas.microsoft.com/office/drawing/2014/main" id="{66530059-7420-4B82-8CC0-FD55946440F8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596</xdr:row>
      <xdr:rowOff>0</xdr:rowOff>
    </xdr:from>
    <xdr:to>
      <xdr:col>8</xdr:col>
      <xdr:colOff>180975</xdr:colOff>
      <xdr:row>596</xdr:row>
      <xdr:rowOff>0</xdr:rowOff>
    </xdr:to>
    <xdr:sp macro="" textlink="">
      <xdr:nvSpPr>
        <xdr:cNvPr id="2046" name="Line 4">
          <a:extLst>
            <a:ext uri="{FF2B5EF4-FFF2-40B4-BE49-F238E27FC236}">
              <a16:creationId xmlns:a16="http://schemas.microsoft.com/office/drawing/2014/main" id="{F2C4DFDF-3D0D-4D25-922C-0B803F5AB534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2047" name="Line 3">
          <a:extLst>
            <a:ext uri="{FF2B5EF4-FFF2-40B4-BE49-F238E27FC236}">
              <a16:creationId xmlns:a16="http://schemas.microsoft.com/office/drawing/2014/main" id="{D9079F97-976D-4DC9-9ED1-9B2DA3506D5B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667</xdr:row>
      <xdr:rowOff>0</xdr:rowOff>
    </xdr:from>
    <xdr:to>
      <xdr:col>8</xdr:col>
      <xdr:colOff>180975</xdr:colOff>
      <xdr:row>667</xdr:row>
      <xdr:rowOff>0</xdr:rowOff>
    </xdr:to>
    <xdr:sp macro="" textlink="">
      <xdr:nvSpPr>
        <xdr:cNvPr id="2048" name="Line 5">
          <a:extLst>
            <a:ext uri="{FF2B5EF4-FFF2-40B4-BE49-F238E27FC236}">
              <a16:creationId xmlns:a16="http://schemas.microsoft.com/office/drawing/2014/main" id="{AC31FFF2-DF90-409E-8075-A2214562E7E8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49" name="Line 2">
          <a:extLst>
            <a:ext uri="{FF2B5EF4-FFF2-40B4-BE49-F238E27FC236}">
              <a16:creationId xmlns:a16="http://schemas.microsoft.com/office/drawing/2014/main" id="{0AF07D39-5ECB-4140-9790-CB9F27C25B69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50" name="Line 3">
          <a:extLst>
            <a:ext uri="{FF2B5EF4-FFF2-40B4-BE49-F238E27FC236}">
              <a16:creationId xmlns:a16="http://schemas.microsoft.com/office/drawing/2014/main" id="{B07E3B0D-2480-44CC-8395-D87A1F028C7C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51" name="Line 4">
          <a:extLst>
            <a:ext uri="{FF2B5EF4-FFF2-40B4-BE49-F238E27FC236}">
              <a16:creationId xmlns:a16="http://schemas.microsoft.com/office/drawing/2014/main" id="{187D0B6F-BCF2-4788-8405-C0686FE3570F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2052" name="Line 5">
          <a:extLst>
            <a:ext uri="{FF2B5EF4-FFF2-40B4-BE49-F238E27FC236}">
              <a16:creationId xmlns:a16="http://schemas.microsoft.com/office/drawing/2014/main" id="{623EEC94-57A4-4E12-8DC1-35DF6BEABD2E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677</xdr:row>
      <xdr:rowOff>0</xdr:rowOff>
    </xdr:from>
    <xdr:to>
      <xdr:col>8</xdr:col>
      <xdr:colOff>180975</xdr:colOff>
      <xdr:row>677</xdr:row>
      <xdr:rowOff>0</xdr:rowOff>
    </xdr:to>
    <xdr:sp macro="" textlink="">
      <xdr:nvSpPr>
        <xdr:cNvPr id="2053" name="Line 7">
          <a:extLst>
            <a:ext uri="{FF2B5EF4-FFF2-40B4-BE49-F238E27FC236}">
              <a16:creationId xmlns:a16="http://schemas.microsoft.com/office/drawing/2014/main" id="{8C5DF5E2-A4B5-4E31-B2F3-BC78F5F3EC44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2054" name="Line 2">
          <a:extLst>
            <a:ext uri="{FF2B5EF4-FFF2-40B4-BE49-F238E27FC236}">
              <a16:creationId xmlns:a16="http://schemas.microsoft.com/office/drawing/2014/main" id="{8D8E21F9-FA48-4078-BFA1-CA2D95F47E83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2055" name="Line 3">
          <a:extLst>
            <a:ext uri="{FF2B5EF4-FFF2-40B4-BE49-F238E27FC236}">
              <a16:creationId xmlns:a16="http://schemas.microsoft.com/office/drawing/2014/main" id="{C6AFD5BC-1689-4C20-A9EF-6F292D880C85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2056" name="Line 4">
          <a:extLst>
            <a:ext uri="{FF2B5EF4-FFF2-40B4-BE49-F238E27FC236}">
              <a16:creationId xmlns:a16="http://schemas.microsoft.com/office/drawing/2014/main" id="{009DE589-489E-4D6E-8BA3-AFB462EA9667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657</xdr:row>
      <xdr:rowOff>0</xdr:rowOff>
    </xdr:from>
    <xdr:to>
      <xdr:col>8</xdr:col>
      <xdr:colOff>180975</xdr:colOff>
      <xdr:row>657</xdr:row>
      <xdr:rowOff>0</xdr:rowOff>
    </xdr:to>
    <xdr:sp macro="" textlink="">
      <xdr:nvSpPr>
        <xdr:cNvPr id="2057" name="Line 5">
          <a:extLst>
            <a:ext uri="{FF2B5EF4-FFF2-40B4-BE49-F238E27FC236}">
              <a16:creationId xmlns:a16="http://schemas.microsoft.com/office/drawing/2014/main" id="{9FB33A7C-ACA6-47B4-9442-43C3728E87A2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2058" name="Line 2">
          <a:extLst>
            <a:ext uri="{FF2B5EF4-FFF2-40B4-BE49-F238E27FC236}">
              <a16:creationId xmlns:a16="http://schemas.microsoft.com/office/drawing/2014/main" id="{943B1C5B-7519-408B-A6F5-E50CBCCD1F82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649</xdr:row>
      <xdr:rowOff>0</xdr:rowOff>
    </xdr:from>
    <xdr:to>
      <xdr:col>8</xdr:col>
      <xdr:colOff>180975</xdr:colOff>
      <xdr:row>649</xdr:row>
      <xdr:rowOff>0</xdr:rowOff>
    </xdr:to>
    <xdr:sp macro="" textlink="">
      <xdr:nvSpPr>
        <xdr:cNvPr id="2059" name="Line 3">
          <a:extLst>
            <a:ext uri="{FF2B5EF4-FFF2-40B4-BE49-F238E27FC236}">
              <a16:creationId xmlns:a16="http://schemas.microsoft.com/office/drawing/2014/main" id="{5651BB60-ED8F-43B0-80EA-4F50BA200231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60" name="Line 4">
          <a:extLst>
            <a:ext uri="{FF2B5EF4-FFF2-40B4-BE49-F238E27FC236}">
              <a16:creationId xmlns:a16="http://schemas.microsoft.com/office/drawing/2014/main" id="{20F6357C-2EBB-4281-A3BF-B4706DE2B4A0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2061" name="Line 2">
          <a:extLst>
            <a:ext uri="{FF2B5EF4-FFF2-40B4-BE49-F238E27FC236}">
              <a16:creationId xmlns:a16="http://schemas.microsoft.com/office/drawing/2014/main" id="{6459B93C-48B6-4B72-9C25-458E7BECA385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2062" name="Line 3">
          <a:extLst>
            <a:ext uri="{FF2B5EF4-FFF2-40B4-BE49-F238E27FC236}">
              <a16:creationId xmlns:a16="http://schemas.microsoft.com/office/drawing/2014/main" id="{AA8012A9-4A7F-4A49-B0A2-DBDD1380F7D4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2063" name="Line 4">
          <a:extLst>
            <a:ext uri="{FF2B5EF4-FFF2-40B4-BE49-F238E27FC236}">
              <a16:creationId xmlns:a16="http://schemas.microsoft.com/office/drawing/2014/main" id="{B9B54C21-D8C5-41E4-9516-8CA94EFFF94A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2064" name="Line 2">
          <a:extLst>
            <a:ext uri="{FF2B5EF4-FFF2-40B4-BE49-F238E27FC236}">
              <a16:creationId xmlns:a16="http://schemas.microsoft.com/office/drawing/2014/main" id="{9072EF55-24F9-46AE-8875-ABC10B5306A9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650</xdr:row>
      <xdr:rowOff>0</xdr:rowOff>
    </xdr:from>
    <xdr:to>
      <xdr:col>8</xdr:col>
      <xdr:colOff>180975</xdr:colOff>
      <xdr:row>650</xdr:row>
      <xdr:rowOff>0</xdr:rowOff>
    </xdr:to>
    <xdr:sp macro="" textlink="">
      <xdr:nvSpPr>
        <xdr:cNvPr id="2065" name="Line 3">
          <a:extLst>
            <a:ext uri="{FF2B5EF4-FFF2-40B4-BE49-F238E27FC236}">
              <a16:creationId xmlns:a16="http://schemas.microsoft.com/office/drawing/2014/main" id="{A77F69C4-9943-4B78-AB9B-864BA2E36A0D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656</xdr:row>
      <xdr:rowOff>0</xdr:rowOff>
    </xdr:from>
    <xdr:to>
      <xdr:col>8</xdr:col>
      <xdr:colOff>180975</xdr:colOff>
      <xdr:row>656</xdr:row>
      <xdr:rowOff>0</xdr:rowOff>
    </xdr:to>
    <xdr:sp macro="" textlink="">
      <xdr:nvSpPr>
        <xdr:cNvPr id="2066" name="Line 4">
          <a:extLst>
            <a:ext uri="{FF2B5EF4-FFF2-40B4-BE49-F238E27FC236}">
              <a16:creationId xmlns:a16="http://schemas.microsoft.com/office/drawing/2014/main" id="{971C009A-B96E-40F6-8E10-E2779E331150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2067" name="Line 3">
          <a:extLst>
            <a:ext uri="{FF2B5EF4-FFF2-40B4-BE49-F238E27FC236}">
              <a16:creationId xmlns:a16="http://schemas.microsoft.com/office/drawing/2014/main" id="{46DF5C93-EC8F-412B-9BFA-0FEE89FB9653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724</xdr:row>
      <xdr:rowOff>0</xdr:rowOff>
    </xdr:from>
    <xdr:to>
      <xdr:col>8</xdr:col>
      <xdr:colOff>180975</xdr:colOff>
      <xdr:row>724</xdr:row>
      <xdr:rowOff>0</xdr:rowOff>
    </xdr:to>
    <xdr:sp macro="" textlink="">
      <xdr:nvSpPr>
        <xdr:cNvPr id="2068" name="Line 5">
          <a:extLst>
            <a:ext uri="{FF2B5EF4-FFF2-40B4-BE49-F238E27FC236}">
              <a16:creationId xmlns:a16="http://schemas.microsoft.com/office/drawing/2014/main" id="{BE580F8C-C368-40E2-B5D2-7EF6C6874C43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69" name="Line 2">
          <a:extLst>
            <a:ext uri="{FF2B5EF4-FFF2-40B4-BE49-F238E27FC236}">
              <a16:creationId xmlns:a16="http://schemas.microsoft.com/office/drawing/2014/main" id="{71D9CF89-ED9A-4390-998F-1B243B4491B0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70" name="Line 3">
          <a:extLst>
            <a:ext uri="{FF2B5EF4-FFF2-40B4-BE49-F238E27FC236}">
              <a16:creationId xmlns:a16="http://schemas.microsoft.com/office/drawing/2014/main" id="{3F864921-CC05-469D-9AC5-87E5D4CD2A41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71" name="Line 4">
          <a:extLst>
            <a:ext uri="{FF2B5EF4-FFF2-40B4-BE49-F238E27FC236}">
              <a16:creationId xmlns:a16="http://schemas.microsoft.com/office/drawing/2014/main" id="{85B84B7E-78A6-4F69-8E13-7FC14C31D13B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2072" name="Line 5">
          <a:extLst>
            <a:ext uri="{FF2B5EF4-FFF2-40B4-BE49-F238E27FC236}">
              <a16:creationId xmlns:a16="http://schemas.microsoft.com/office/drawing/2014/main" id="{AF529859-EA5A-4223-98DC-F06374AC3DB8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735</xdr:row>
      <xdr:rowOff>0</xdr:rowOff>
    </xdr:from>
    <xdr:to>
      <xdr:col>8</xdr:col>
      <xdr:colOff>180975</xdr:colOff>
      <xdr:row>735</xdr:row>
      <xdr:rowOff>0</xdr:rowOff>
    </xdr:to>
    <xdr:sp macro="" textlink="">
      <xdr:nvSpPr>
        <xdr:cNvPr id="2073" name="Line 7">
          <a:extLst>
            <a:ext uri="{FF2B5EF4-FFF2-40B4-BE49-F238E27FC236}">
              <a16:creationId xmlns:a16="http://schemas.microsoft.com/office/drawing/2014/main" id="{362C5335-73C1-4A1B-9C35-B976743B4984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2074" name="Line 2">
          <a:extLst>
            <a:ext uri="{FF2B5EF4-FFF2-40B4-BE49-F238E27FC236}">
              <a16:creationId xmlns:a16="http://schemas.microsoft.com/office/drawing/2014/main" id="{A07FAF9E-A1F9-4503-AB81-840B2ABCB668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2075" name="Line 3">
          <a:extLst>
            <a:ext uri="{FF2B5EF4-FFF2-40B4-BE49-F238E27FC236}">
              <a16:creationId xmlns:a16="http://schemas.microsoft.com/office/drawing/2014/main" id="{5F25A8BF-C299-4B39-B305-E075C4D29539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2076" name="Line 4">
          <a:extLst>
            <a:ext uri="{FF2B5EF4-FFF2-40B4-BE49-F238E27FC236}">
              <a16:creationId xmlns:a16="http://schemas.microsoft.com/office/drawing/2014/main" id="{987AF17A-C747-473A-BDB2-BCA9EC5F1E17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714</xdr:row>
      <xdr:rowOff>0</xdr:rowOff>
    </xdr:from>
    <xdr:to>
      <xdr:col>8</xdr:col>
      <xdr:colOff>180975</xdr:colOff>
      <xdr:row>714</xdr:row>
      <xdr:rowOff>0</xdr:rowOff>
    </xdr:to>
    <xdr:sp macro="" textlink="">
      <xdr:nvSpPr>
        <xdr:cNvPr id="2077" name="Line 5">
          <a:extLst>
            <a:ext uri="{FF2B5EF4-FFF2-40B4-BE49-F238E27FC236}">
              <a16:creationId xmlns:a16="http://schemas.microsoft.com/office/drawing/2014/main" id="{7585A7F0-B075-45EB-82C8-43DF59773386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2078" name="Line 2">
          <a:extLst>
            <a:ext uri="{FF2B5EF4-FFF2-40B4-BE49-F238E27FC236}">
              <a16:creationId xmlns:a16="http://schemas.microsoft.com/office/drawing/2014/main" id="{BBD7D51F-9B0C-44FB-8B1F-8DC02D0FAD1E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707</xdr:row>
      <xdr:rowOff>0</xdr:rowOff>
    </xdr:from>
    <xdr:to>
      <xdr:col>8</xdr:col>
      <xdr:colOff>180975</xdr:colOff>
      <xdr:row>707</xdr:row>
      <xdr:rowOff>0</xdr:rowOff>
    </xdr:to>
    <xdr:sp macro="" textlink="">
      <xdr:nvSpPr>
        <xdr:cNvPr id="2079" name="Line 3">
          <a:extLst>
            <a:ext uri="{FF2B5EF4-FFF2-40B4-BE49-F238E27FC236}">
              <a16:creationId xmlns:a16="http://schemas.microsoft.com/office/drawing/2014/main" id="{7FC217B5-B7FE-485F-9166-2DD7BDBC758D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80" name="Line 4">
          <a:extLst>
            <a:ext uri="{FF2B5EF4-FFF2-40B4-BE49-F238E27FC236}">
              <a16:creationId xmlns:a16="http://schemas.microsoft.com/office/drawing/2014/main" id="{6CFBB19E-E6E1-4E0B-8126-EC0B6C6DCAA5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2081" name="Line 2">
          <a:extLst>
            <a:ext uri="{FF2B5EF4-FFF2-40B4-BE49-F238E27FC236}">
              <a16:creationId xmlns:a16="http://schemas.microsoft.com/office/drawing/2014/main" id="{983188FB-EC28-4409-9DCE-E54AD32AE294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2082" name="Line 3">
          <a:extLst>
            <a:ext uri="{FF2B5EF4-FFF2-40B4-BE49-F238E27FC236}">
              <a16:creationId xmlns:a16="http://schemas.microsoft.com/office/drawing/2014/main" id="{2B5E10C6-0E54-4AEC-A439-B683B48AA0C6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2083" name="Line 4">
          <a:extLst>
            <a:ext uri="{FF2B5EF4-FFF2-40B4-BE49-F238E27FC236}">
              <a16:creationId xmlns:a16="http://schemas.microsoft.com/office/drawing/2014/main" id="{8C0FE1F2-F3EE-4218-B9A3-3DE3802C0B8C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2084" name="Line 2">
          <a:extLst>
            <a:ext uri="{FF2B5EF4-FFF2-40B4-BE49-F238E27FC236}">
              <a16:creationId xmlns:a16="http://schemas.microsoft.com/office/drawing/2014/main" id="{B9B9CE0C-6925-4492-B5E5-1141C556729B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708</xdr:row>
      <xdr:rowOff>0</xdr:rowOff>
    </xdr:from>
    <xdr:to>
      <xdr:col>8</xdr:col>
      <xdr:colOff>180975</xdr:colOff>
      <xdr:row>708</xdr:row>
      <xdr:rowOff>0</xdr:rowOff>
    </xdr:to>
    <xdr:sp macro="" textlink="">
      <xdr:nvSpPr>
        <xdr:cNvPr id="2085" name="Line 3">
          <a:extLst>
            <a:ext uri="{FF2B5EF4-FFF2-40B4-BE49-F238E27FC236}">
              <a16:creationId xmlns:a16="http://schemas.microsoft.com/office/drawing/2014/main" id="{32593CF2-FA11-4414-9561-E7780F15BEE6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713</xdr:row>
      <xdr:rowOff>0</xdr:rowOff>
    </xdr:from>
    <xdr:to>
      <xdr:col>8</xdr:col>
      <xdr:colOff>180975</xdr:colOff>
      <xdr:row>713</xdr:row>
      <xdr:rowOff>0</xdr:rowOff>
    </xdr:to>
    <xdr:sp macro="" textlink="">
      <xdr:nvSpPr>
        <xdr:cNvPr id="2086" name="Line 4">
          <a:extLst>
            <a:ext uri="{FF2B5EF4-FFF2-40B4-BE49-F238E27FC236}">
              <a16:creationId xmlns:a16="http://schemas.microsoft.com/office/drawing/2014/main" id="{AE15444B-ED32-427D-967E-2F9CD65B84F4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114</xdr:row>
      <xdr:rowOff>0</xdr:rowOff>
    </xdr:from>
    <xdr:to>
      <xdr:col>8</xdr:col>
      <xdr:colOff>180975</xdr:colOff>
      <xdr:row>114</xdr:row>
      <xdr:rowOff>0</xdr:rowOff>
    </xdr:to>
    <xdr:sp macro="" textlink="">
      <xdr:nvSpPr>
        <xdr:cNvPr id="2087" name="Line 2">
          <a:extLst>
            <a:ext uri="{FF2B5EF4-FFF2-40B4-BE49-F238E27FC236}">
              <a16:creationId xmlns:a16="http://schemas.microsoft.com/office/drawing/2014/main" id="{F2B4112C-0111-4ECE-9B03-650C28CFE657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114</xdr:row>
      <xdr:rowOff>0</xdr:rowOff>
    </xdr:from>
    <xdr:to>
      <xdr:col>8</xdr:col>
      <xdr:colOff>180975</xdr:colOff>
      <xdr:row>114</xdr:row>
      <xdr:rowOff>0</xdr:rowOff>
    </xdr:to>
    <xdr:sp macro="" textlink="">
      <xdr:nvSpPr>
        <xdr:cNvPr id="2088" name="Line 2">
          <a:extLst>
            <a:ext uri="{FF2B5EF4-FFF2-40B4-BE49-F238E27FC236}">
              <a16:creationId xmlns:a16="http://schemas.microsoft.com/office/drawing/2014/main" id="{31282E17-5947-49D1-A0E5-2E535184D8CB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114</xdr:row>
      <xdr:rowOff>0</xdr:rowOff>
    </xdr:from>
    <xdr:to>
      <xdr:col>8</xdr:col>
      <xdr:colOff>180975</xdr:colOff>
      <xdr:row>114</xdr:row>
      <xdr:rowOff>0</xdr:rowOff>
    </xdr:to>
    <xdr:sp macro="" textlink="">
      <xdr:nvSpPr>
        <xdr:cNvPr id="2089" name="Line 2">
          <a:extLst>
            <a:ext uri="{FF2B5EF4-FFF2-40B4-BE49-F238E27FC236}">
              <a16:creationId xmlns:a16="http://schemas.microsoft.com/office/drawing/2014/main" id="{09290B0A-4DE1-4C9D-8412-1EF02B049857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114</xdr:row>
      <xdr:rowOff>0</xdr:rowOff>
    </xdr:from>
    <xdr:to>
      <xdr:col>8</xdr:col>
      <xdr:colOff>180975</xdr:colOff>
      <xdr:row>114</xdr:row>
      <xdr:rowOff>0</xdr:rowOff>
    </xdr:to>
    <xdr:sp macro="" textlink="">
      <xdr:nvSpPr>
        <xdr:cNvPr id="2090" name="Line 2">
          <a:extLst>
            <a:ext uri="{FF2B5EF4-FFF2-40B4-BE49-F238E27FC236}">
              <a16:creationId xmlns:a16="http://schemas.microsoft.com/office/drawing/2014/main" id="{720E4C66-FD71-445E-9280-93EE2ABC2786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114</xdr:row>
      <xdr:rowOff>0</xdr:rowOff>
    </xdr:from>
    <xdr:to>
      <xdr:col>8</xdr:col>
      <xdr:colOff>180975</xdr:colOff>
      <xdr:row>114</xdr:row>
      <xdr:rowOff>0</xdr:rowOff>
    </xdr:to>
    <xdr:sp macro="" textlink="">
      <xdr:nvSpPr>
        <xdr:cNvPr id="2091" name="Line 2">
          <a:extLst>
            <a:ext uri="{FF2B5EF4-FFF2-40B4-BE49-F238E27FC236}">
              <a16:creationId xmlns:a16="http://schemas.microsoft.com/office/drawing/2014/main" id="{32A54FA1-A09A-4F00-B441-C73866955632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114</xdr:row>
      <xdr:rowOff>0</xdr:rowOff>
    </xdr:from>
    <xdr:to>
      <xdr:col>8</xdr:col>
      <xdr:colOff>180975</xdr:colOff>
      <xdr:row>114</xdr:row>
      <xdr:rowOff>0</xdr:rowOff>
    </xdr:to>
    <xdr:sp macro="" textlink="">
      <xdr:nvSpPr>
        <xdr:cNvPr id="2092" name="Line 2">
          <a:extLst>
            <a:ext uri="{FF2B5EF4-FFF2-40B4-BE49-F238E27FC236}">
              <a16:creationId xmlns:a16="http://schemas.microsoft.com/office/drawing/2014/main" id="{0335365E-FDD2-4F45-A6D4-ACF3D42A7D6B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118</xdr:row>
      <xdr:rowOff>0</xdr:rowOff>
    </xdr:from>
    <xdr:to>
      <xdr:col>8</xdr:col>
      <xdr:colOff>180975</xdr:colOff>
      <xdr:row>118</xdr:row>
      <xdr:rowOff>0</xdr:rowOff>
    </xdr:to>
    <xdr:sp macro="" textlink="">
      <xdr:nvSpPr>
        <xdr:cNvPr id="2093" name="Line 2">
          <a:extLst>
            <a:ext uri="{FF2B5EF4-FFF2-40B4-BE49-F238E27FC236}">
              <a16:creationId xmlns:a16="http://schemas.microsoft.com/office/drawing/2014/main" id="{4F20BA9E-55BC-4CDD-8F28-C20EE7A92736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118</xdr:row>
      <xdr:rowOff>0</xdr:rowOff>
    </xdr:from>
    <xdr:to>
      <xdr:col>8</xdr:col>
      <xdr:colOff>180975</xdr:colOff>
      <xdr:row>118</xdr:row>
      <xdr:rowOff>0</xdr:rowOff>
    </xdr:to>
    <xdr:sp macro="" textlink="">
      <xdr:nvSpPr>
        <xdr:cNvPr id="2094" name="Line 2">
          <a:extLst>
            <a:ext uri="{FF2B5EF4-FFF2-40B4-BE49-F238E27FC236}">
              <a16:creationId xmlns:a16="http://schemas.microsoft.com/office/drawing/2014/main" id="{9FDA5176-40FB-4823-9181-E59948BC28CF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118</xdr:row>
      <xdr:rowOff>0</xdr:rowOff>
    </xdr:from>
    <xdr:to>
      <xdr:col>8</xdr:col>
      <xdr:colOff>180975</xdr:colOff>
      <xdr:row>118</xdr:row>
      <xdr:rowOff>0</xdr:rowOff>
    </xdr:to>
    <xdr:sp macro="" textlink="">
      <xdr:nvSpPr>
        <xdr:cNvPr id="2095" name="Line 2">
          <a:extLst>
            <a:ext uri="{FF2B5EF4-FFF2-40B4-BE49-F238E27FC236}">
              <a16:creationId xmlns:a16="http://schemas.microsoft.com/office/drawing/2014/main" id="{0E82F42C-EA7F-452A-94E8-592DF7BBC762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118</xdr:row>
      <xdr:rowOff>0</xdr:rowOff>
    </xdr:from>
    <xdr:to>
      <xdr:col>8</xdr:col>
      <xdr:colOff>180975</xdr:colOff>
      <xdr:row>118</xdr:row>
      <xdr:rowOff>0</xdr:rowOff>
    </xdr:to>
    <xdr:sp macro="" textlink="">
      <xdr:nvSpPr>
        <xdr:cNvPr id="2096" name="Line 2">
          <a:extLst>
            <a:ext uri="{FF2B5EF4-FFF2-40B4-BE49-F238E27FC236}">
              <a16:creationId xmlns:a16="http://schemas.microsoft.com/office/drawing/2014/main" id="{022220A8-7F2B-4A4E-B439-6ADF5486072B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118</xdr:row>
      <xdr:rowOff>0</xdr:rowOff>
    </xdr:from>
    <xdr:to>
      <xdr:col>8</xdr:col>
      <xdr:colOff>180975</xdr:colOff>
      <xdr:row>118</xdr:row>
      <xdr:rowOff>0</xdr:rowOff>
    </xdr:to>
    <xdr:sp macro="" textlink="">
      <xdr:nvSpPr>
        <xdr:cNvPr id="2097" name="Line 2">
          <a:extLst>
            <a:ext uri="{FF2B5EF4-FFF2-40B4-BE49-F238E27FC236}">
              <a16:creationId xmlns:a16="http://schemas.microsoft.com/office/drawing/2014/main" id="{E7560A32-F7D1-4B9A-9EDC-2B3070B242B2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118</xdr:row>
      <xdr:rowOff>0</xdr:rowOff>
    </xdr:from>
    <xdr:to>
      <xdr:col>8</xdr:col>
      <xdr:colOff>180975</xdr:colOff>
      <xdr:row>118</xdr:row>
      <xdr:rowOff>0</xdr:rowOff>
    </xdr:to>
    <xdr:sp macro="" textlink="">
      <xdr:nvSpPr>
        <xdr:cNvPr id="2098" name="Line 2">
          <a:extLst>
            <a:ext uri="{FF2B5EF4-FFF2-40B4-BE49-F238E27FC236}">
              <a16:creationId xmlns:a16="http://schemas.microsoft.com/office/drawing/2014/main" id="{664214BC-E8A7-46C6-993B-FCB47ABA184D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153</xdr:row>
      <xdr:rowOff>0</xdr:rowOff>
    </xdr:from>
    <xdr:to>
      <xdr:col>8</xdr:col>
      <xdr:colOff>180975</xdr:colOff>
      <xdr:row>153</xdr:row>
      <xdr:rowOff>0</xdr:rowOff>
    </xdr:to>
    <xdr:sp macro="" textlink="">
      <xdr:nvSpPr>
        <xdr:cNvPr id="2099" name="Line 2">
          <a:extLst>
            <a:ext uri="{FF2B5EF4-FFF2-40B4-BE49-F238E27FC236}">
              <a16:creationId xmlns:a16="http://schemas.microsoft.com/office/drawing/2014/main" id="{480CCD1E-5E48-4EAB-B8F5-2712893824AE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153</xdr:row>
      <xdr:rowOff>0</xdr:rowOff>
    </xdr:from>
    <xdr:to>
      <xdr:col>8</xdr:col>
      <xdr:colOff>180975</xdr:colOff>
      <xdr:row>153</xdr:row>
      <xdr:rowOff>0</xdr:rowOff>
    </xdr:to>
    <xdr:sp macro="" textlink="">
      <xdr:nvSpPr>
        <xdr:cNvPr id="2100" name="Line 2">
          <a:extLst>
            <a:ext uri="{FF2B5EF4-FFF2-40B4-BE49-F238E27FC236}">
              <a16:creationId xmlns:a16="http://schemas.microsoft.com/office/drawing/2014/main" id="{B18CC4B0-8E21-49C4-962A-F5F087F26534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153</xdr:row>
      <xdr:rowOff>0</xdr:rowOff>
    </xdr:from>
    <xdr:to>
      <xdr:col>8</xdr:col>
      <xdr:colOff>180975</xdr:colOff>
      <xdr:row>153</xdr:row>
      <xdr:rowOff>0</xdr:rowOff>
    </xdr:to>
    <xdr:sp macro="" textlink="">
      <xdr:nvSpPr>
        <xdr:cNvPr id="2101" name="Line 2">
          <a:extLst>
            <a:ext uri="{FF2B5EF4-FFF2-40B4-BE49-F238E27FC236}">
              <a16:creationId xmlns:a16="http://schemas.microsoft.com/office/drawing/2014/main" id="{30376D2B-3157-4005-B7AC-116ED9AFCFC4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153</xdr:row>
      <xdr:rowOff>0</xdr:rowOff>
    </xdr:from>
    <xdr:to>
      <xdr:col>8</xdr:col>
      <xdr:colOff>180975</xdr:colOff>
      <xdr:row>153</xdr:row>
      <xdr:rowOff>0</xdr:rowOff>
    </xdr:to>
    <xdr:sp macro="" textlink="">
      <xdr:nvSpPr>
        <xdr:cNvPr id="2102" name="Line 2">
          <a:extLst>
            <a:ext uri="{FF2B5EF4-FFF2-40B4-BE49-F238E27FC236}">
              <a16:creationId xmlns:a16="http://schemas.microsoft.com/office/drawing/2014/main" id="{85862C9B-CBE7-4FB0-BFAD-1AB96DC46B86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153</xdr:row>
      <xdr:rowOff>0</xdr:rowOff>
    </xdr:from>
    <xdr:to>
      <xdr:col>8</xdr:col>
      <xdr:colOff>180975</xdr:colOff>
      <xdr:row>153</xdr:row>
      <xdr:rowOff>0</xdr:rowOff>
    </xdr:to>
    <xdr:sp macro="" textlink="">
      <xdr:nvSpPr>
        <xdr:cNvPr id="2103" name="Line 2">
          <a:extLst>
            <a:ext uri="{FF2B5EF4-FFF2-40B4-BE49-F238E27FC236}">
              <a16:creationId xmlns:a16="http://schemas.microsoft.com/office/drawing/2014/main" id="{EAB62B4B-A689-4009-9F83-AB516839602C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153</xdr:row>
      <xdr:rowOff>0</xdr:rowOff>
    </xdr:from>
    <xdr:to>
      <xdr:col>8</xdr:col>
      <xdr:colOff>180975</xdr:colOff>
      <xdr:row>153</xdr:row>
      <xdr:rowOff>0</xdr:rowOff>
    </xdr:to>
    <xdr:sp macro="" textlink="">
      <xdr:nvSpPr>
        <xdr:cNvPr id="2104" name="Line 2">
          <a:extLst>
            <a:ext uri="{FF2B5EF4-FFF2-40B4-BE49-F238E27FC236}">
              <a16:creationId xmlns:a16="http://schemas.microsoft.com/office/drawing/2014/main" id="{E7884886-3B4B-4CE4-A6B0-537C83EF5681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2105" name="Line 2">
          <a:extLst>
            <a:ext uri="{FF2B5EF4-FFF2-40B4-BE49-F238E27FC236}">
              <a16:creationId xmlns:a16="http://schemas.microsoft.com/office/drawing/2014/main" id="{11699F91-B9C3-4A9A-A9A0-9821CD15FBAB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2106" name="Line 2">
          <a:extLst>
            <a:ext uri="{FF2B5EF4-FFF2-40B4-BE49-F238E27FC236}">
              <a16:creationId xmlns:a16="http://schemas.microsoft.com/office/drawing/2014/main" id="{48A39C61-24E5-49FD-866D-D863F9038DEC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2107" name="Line 2">
          <a:extLst>
            <a:ext uri="{FF2B5EF4-FFF2-40B4-BE49-F238E27FC236}">
              <a16:creationId xmlns:a16="http://schemas.microsoft.com/office/drawing/2014/main" id="{A9CEFD84-76E1-4589-AB0A-B92466E41549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2108" name="Line 2">
          <a:extLst>
            <a:ext uri="{FF2B5EF4-FFF2-40B4-BE49-F238E27FC236}">
              <a16:creationId xmlns:a16="http://schemas.microsoft.com/office/drawing/2014/main" id="{64384689-6387-4B7D-B86D-A36A51866F87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2109" name="Line 2">
          <a:extLst>
            <a:ext uri="{FF2B5EF4-FFF2-40B4-BE49-F238E27FC236}">
              <a16:creationId xmlns:a16="http://schemas.microsoft.com/office/drawing/2014/main" id="{1C6B4AE4-DF75-46C7-A767-10E2568FBCA6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157</xdr:row>
      <xdr:rowOff>0</xdr:rowOff>
    </xdr:from>
    <xdr:to>
      <xdr:col>8</xdr:col>
      <xdr:colOff>180975</xdr:colOff>
      <xdr:row>157</xdr:row>
      <xdr:rowOff>0</xdr:rowOff>
    </xdr:to>
    <xdr:sp macro="" textlink="">
      <xdr:nvSpPr>
        <xdr:cNvPr id="2110" name="Line 2">
          <a:extLst>
            <a:ext uri="{FF2B5EF4-FFF2-40B4-BE49-F238E27FC236}">
              <a16:creationId xmlns:a16="http://schemas.microsoft.com/office/drawing/2014/main" id="{2868053A-A664-47BF-A9D7-8D2B9F571F82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190500</xdr:colOff>
      <xdr:row>53</xdr:row>
      <xdr:rowOff>0</xdr:rowOff>
    </xdr:from>
    <xdr:to>
      <xdr:col>8</xdr:col>
      <xdr:colOff>180975</xdr:colOff>
      <xdr:row>53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DB16AB09-6854-469A-940A-B46325C0314A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502A90C7-F3F1-482A-8F40-297D9F8F9FF1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4" name="Line 5">
          <a:extLst>
            <a:ext uri="{FF2B5EF4-FFF2-40B4-BE49-F238E27FC236}">
              <a16:creationId xmlns:a16="http://schemas.microsoft.com/office/drawing/2014/main" id="{39066908-1027-4C84-AD22-B4BBC8D8EE06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5" name="Line 3">
          <a:extLst>
            <a:ext uri="{FF2B5EF4-FFF2-40B4-BE49-F238E27FC236}">
              <a16:creationId xmlns:a16="http://schemas.microsoft.com/office/drawing/2014/main" id="{69805563-08BD-4B2C-9606-24B66DF205BD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82D69A39-6553-43D7-943A-37ECE45FBBD0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7" name="Line 2">
          <a:extLst>
            <a:ext uri="{FF2B5EF4-FFF2-40B4-BE49-F238E27FC236}">
              <a16:creationId xmlns:a16="http://schemas.microsoft.com/office/drawing/2014/main" id="{9C267B98-87D3-4629-8979-37C1DDA01BF1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8" name="Line 3">
          <a:extLst>
            <a:ext uri="{FF2B5EF4-FFF2-40B4-BE49-F238E27FC236}">
              <a16:creationId xmlns:a16="http://schemas.microsoft.com/office/drawing/2014/main" id="{B1665BD2-87EC-4652-B2E9-2720961AF9F6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9" name="Line 4">
          <a:extLst>
            <a:ext uri="{FF2B5EF4-FFF2-40B4-BE49-F238E27FC236}">
              <a16:creationId xmlns:a16="http://schemas.microsoft.com/office/drawing/2014/main" id="{090BD58E-7A2E-4403-BA25-88AA41731C31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10" name="Line 5">
          <a:extLst>
            <a:ext uri="{FF2B5EF4-FFF2-40B4-BE49-F238E27FC236}">
              <a16:creationId xmlns:a16="http://schemas.microsoft.com/office/drawing/2014/main" id="{5496A1AE-329F-47F4-A79B-BCF427B6B92B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104</xdr:row>
      <xdr:rowOff>0</xdr:rowOff>
    </xdr:from>
    <xdr:to>
      <xdr:col>8</xdr:col>
      <xdr:colOff>180975</xdr:colOff>
      <xdr:row>104</xdr:row>
      <xdr:rowOff>0</xdr:rowOff>
    </xdr:to>
    <xdr:sp macro="" textlink="">
      <xdr:nvSpPr>
        <xdr:cNvPr id="11" name="Line 7">
          <a:extLst>
            <a:ext uri="{FF2B5EF4-FFF2-40B4-BE49-F238E27FC236}">
              <a16:creationId xmlns:a16="http://schemas.microsoft.com/office/drawing/2014/main" id="{13102A5C-03D9-44DA-B044-BD23DA5E89FE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12" name="Line 3">
          <a:extLst>
            <a:ext uri="{FF2B5EF4-FFF2-40B4-BE49-F238E27FC236}">
              <a16:creationId xmlns:a16="http://schemas.microsoft.com/office/drawing/2014/main" id="{9B101C9C-EE39-407C-87E9-EBAA11BC9C7B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13" name="Line 5">
          <a:extLst>
            <a:ext uri="{FF2B5EF4-FFF2-40B4-BE49-F238E27FC236}">
              <a16:creationId xmlns:a16="http://schemas.microsoft.com/office/drawing/2014/main" id="{55B56BE9-597F-4D8C-BC86-72F75B2864D8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446E38AE-4807-4ECB-8BCA-6AF881AB3257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15" name="Line 3">
          <a:extLst>
            <a:ext uri="{FF2B5EF4-FFF2-40B4-BE49-F238E27FC236}">
              <a16:creationId xmlns:a16="http://schemas.microsoft.com/office/drawing/2014/main" id="{D24CBA01-7053-4F0D-A821-730B0FA9E71E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16" name="Line 4">
          <a:extLst>
            <a:ext uri="{FF2B5EF4-FFF2-40B4-BE49-F238E27FC236}">
              <a16:creationId xmlns:a16="http://schemas.microsoft.com/office/drawing/2014/main" id="{2E35E81B-7B1B-497F-A6F7-485C272D0005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17" name="Line 5">
          <a:extLst>
            <a:ext uri="{FF2B5EF4-FFF2-40B4-BE49-F238E27FC236}">
              <a16:creationId xmlns:a16="http://schemas.microsoft.com/office/drawing/2014/main" id="{6D4E149A-4242-41F0-B7E7-B697959FD68B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9EA1625-F3D1-4F63-BF98-DC2818225C04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775F8D6-BFB8-46EC-BA8A-73FE4D5B2421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20" name="Line 4">
          <a:extLst>
            <a:ext uri="{FF2B5EF4-FFF2-40B4-BE49-F238E27FC236}">
              <a16:creationId xmlns:a16="http://schemas.microsoft.com/office/drawing/2014/main" id="{F1DF653E-EECC-4F36-B3A5-4B7A31E26B68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21" name="Line 5">
          <a:extLst>
            <a:ext uri="{FF2B5EF4-FFF2-40B4-BE49-F238E27FC236}">
              <a16:creationId xmlns:a16="http://schemas.microsoft.com/office/drawing/2014/main" id="{516D2A59-683D-4023-B2C5-CBE7096FAA6A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22" name="Line 2">
          <a:extLst>
            <a:ext uri="{FF2B5EF4-FFF2-40B4-BE49-F238E27FC236}">
              <a16:creationId xmlns:a16="http://schemas.microsoft.com/office/drawing/2014/main" id="{1E21BB61-5AD0-4213-80BC-486CE123C406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23" name="Line 3">
          <a:extLst>
            <a:ext uri="{FF2B5EF4-FFF2-40B4-BE49-F238E27FC236}">
              <a16:creationId xmlns:a16="http://schemas.microsoft.com/office/drawing/2014/main" id="{68BC4959-A44B-441A-8464-A2E4968CC7C7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24" name="Line 5">
          <a:extLst>
            <a:ext uri="{FF2B5EF4-FFF2-40B4-BE49-F238E27FC236}">
              <a16:creationId xmlns:a16="http://schemas.microsoft.com/office/drawing/2014/main" id="{CD296335-A664-4992-803D-6A5364C81274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7CA980FB-39E0-4FB9-889C-8346A79DF3A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6" name="Line 3">
          <a:extLst>
            <a:ext uri="{FF2B5EF4-FFF2-40B4-BE49-F238E27FC236}">
              <a16:creationId xmlns:a16="http://schemas.microsoft.com/office/drawing/2014/main" id="{9851C757-1EDD-477D-A0E9-E9AA6D7741D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7" name="Line 4">
          <a:extLst>
            <a:ext uri="{FF2B5EF4-FFF2-40B4-BE49-F238E27FC236}">
              <a16:creationId xmlns:a16="http://schemas.microsoft.com/office/drawing/2014/main" id="{CC533D1F-C81D-4499-B9D0-A704EB47085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28" name="Line 5">
          <a:extLst>
            <a:ext uri="{FF2B5EF4-FFF2-40B4-BE49-F238E27FC236}">
              <a16:creationId xmlns:a16="http://schemas.microsoft.com/office/drawing/2014/main" id="{DCE1A77C-931C-4025-A070-EF4561F84C17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29" name="Line 7">
          <a:extLst>
            <a:ext uri="{FF2B5EF4-FFF2-40B4-BE49-F238E27FC236}">
              <a16:creationId xmlns:a16="http://schemas.microsoft.com/office/drawing/2014/main" id="{0A35CA2F-5F62-4C75-852E-9DAEA7F3C1EB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8AA63537-B1C7-4278-996B-2153AE88C41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F0236A4F-6607-4B6A-B487-61588F45E5C6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2" name="Line 4">
          <a:extLst>
            <a:ext uri="{FF2B5EF4-FFF2-40B4-BE49-F238E27FC236}">
              <a16:creationId xmlns:a16="http://schemas.microsoft.com/office/drawing/2014/main" id="{E6868EBD-6AB1-4C4E-85B4-EAA7D9F862C0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33" name="Line 5">
          <a:extLst>
            <a:ext uri="{FF2B5EF4-FFF2-40B4-BE49-F238E27FC236}">
              <a16:creationId xmlns:a16="http://schemas.microsoft.com/office/drawing/2014/main" id="{060C6158-D86C-4C06-876C-2AF3E9D42ED0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85F7C763-34C1-4A8F-BB17-F67D88E4D2BC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35" name="Line 3">
          <a:extLst>
            <a:ext uri="{FF2B5EF4-FFF2-40B4-BE49-F238E27FC236}">
              <a16:creationId xmlns:a16="http://schemas.microsoft.com/office/drawing/2014/main" id="{A5D20412-29E9-4808-880B-FBA3D87CFD65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36" name="Line 4">
          <a:extLst>
            <a:ext uri="{FF2B5EF4-FFF2-40B4-BE49-F238E27FC236}">
              <a16:creationId xmlns:a16="http://schemas.microsoft.com/office/drawing/2014/main" id="{86588EBA-5F8A-4C4A-8D00-2F3B565B323E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37" name="Line 5">
          <a:extLst>
            <a:ext uri="{FF2B5EF4-FFF2-40B4-BE49-F238E27FC236}">
              <a16:creationId xmlns:a16="http://schemas.microsoft.com/office/drawing/2014/main" id="{64D73CBA-AFAE-4187-A4B1-B2809A94B689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38" name="Line 7">
          <a:extLst>
            <a:ext uri="{FF2B5EF4-FFF2-40B4-BE49-F238E27FC236}">
              <a16:creationId xmlns:a16="http://schemas.microsoft.com/office/drawing/2014/main" id="{3FB00156-7E2E-4030-943C-3F1AB5F9929E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39" name="Line 8">
          <a:extLst>
            <a:ext uri="{FF2B5EF4-FFF2-40B4-BE49-F238E27FC236}">
              <a16:creationId xmlns:a16="http://schemas.microsoft.com/office/drawing/2014/main" id="{D55AD6D7-98CD-40C1-87E1-715ACE845292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40" name="Rectangle 7">
          <a:extLst>
            <a:ext uri="{FF2B5EF4-FFF2-40B4-BE49-F238E27FC236}">
              <a16:creationId xmlns:a16="http://schemas.microsoft.com/office/drawing/2014/main" id="{50F71E83-3B9C-4E7F-B362-289E62A5ABCB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41" name="Rectangle 8">
          <a:extLst>
            <a:ext uri="{FF2B5EF4-FFF2-40B4-BE49-F238E27FC236}">
              <a16:creationId xmlns:a16="http://schemas.microsoft.com/office/drawing/2014/main" id="{2EDA7EE6-D5BD-4302-B686-F53C7C57D303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D8BE3DC1-D250-4B46-86D9-078FA227D289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300D905-AAA6-4DCD-ABD8-B61EE8CC60C5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44" name="Line 5">
          <a:extLst>
            <a:ext uri="{FF2B5EF4-FFF2-40B4-BE49-F238E27FC236}">
              <a16:creationId xmlns:a16="http://schemas.microsoft.com/office/drawing/2014/main" id="{A9F322CE-AA15-436A-A949-5E29083E20E1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E60FA09-607E-4F2D-B6D8-03182324B71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2657117-64D7-42BC-AB01-CE918277AC4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47" name="Line 4">
          <a:extLst>
            <a:ext uri="{FF2B5EF4-FFF2-40B4-BE49-F238E27FC236}">
              <a16:creationId xmlns:a16="http://schemas.microsoft.com/office/drawing/2014/main" id="{10E4F64C-637E-4648-9F89-5DE22B33262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48" name="Line 5">
          <a:extLst>
            <a:ext uri="{FF2B5EF4-FFF2-40B4-BE49-F238E27FC236}">
              <a16:creationId xmlns:a16="http://schemas.microsoft.com/office/drawing/2014/main" id="{BB0C0B0F-3B1B-4562-8BA5-18034812D60D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49" name="Line 7">
          <a:extLst>
            <a:ext uri="{FF2B5EF4-FFF2-40B4-BE49-F238E27FC236}">
              <a16:creationId xmlns:a16="http://schemas.microsoft.com/office/drawing/2014/main" id="{442651AD-F6E6-4493-9E91-8FB1431D3FD0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0" name="Line 2">
          <a:extLst>
            <a:ext uri="{FF2B5EF4-FFF2-40B4-BE49-F238E27FC236}">
              <a16:creationId xmlns:a16="http://schemas.microsoft.com/office/drawing/2014/main" id="{532C00A1-EA6A-4F94-B25D-5C1B284C9880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1" name="Line 3">
          <a:extLst>
            <a:ext uri="{FF2B5EF4-FFF2-40B4-BE49-F238E27FC236}">
              <a16:creationId xmlns:a16="http://schemas.microsoft.com/office/drawing/2014/main" id="{1B3AA3E3-47CE-4ECD-ACFD-F0101C5BE6C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2" name="Line 4">
          <a:extLst>
            <a:ext uri="{FF2B5EF4-FFF2-40B4-BE49-F238E27FC236}">
              <a16:creationId xmlns:a16="http://schemas.microsoft.com/office/drawing/2014/main" id="{A24F5026-5A47-4269-B430-32F6C7E7EE49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53" name="Line 5">
          <a:extLst>
            <a:ext uri="{FF2B5EF4-FFF2-40B4-BE49-F238E27FC236}">
              <a16:creationId xmlns:a16="http://schemas.microsoft.com/office/drawing/2014/main" id="{43A32027-AC9D-4F9C-A99B-41FEBA6AA1F4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F1EC786-B9E2-4352-8910-A3D068251C8B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92139DAF-2DA0-44CF-B13D-34BE9CB1CC3F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56" name="Line 4">
          <a:extLst>
            <a:ext uri="{FF2B5EF4-FFF2-40B4-BE49-F238E27FC236}">
              <a16:creationId xmlns:a16="http://schemas.microsoft.com/office/drawing/2014/main" id="{706FD4BF-611B-4A9E-A230-C39CFD56D909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57" name="Line 5">
          <a:extLst>
            <a:ext uri="{FF2B5EF4-FFF2-40B4-BE49-F238E27FC236}">
              <a16:creationId xmlns:a16="http://schemas.microsoft.com/office/drawing/2014/main" id="{674C870F-7392-4CE6-BC1B-0696D35CB285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58" name="Line 7">
          <a:extLst>
            <a:ext uri="{FF2B5EF4-FFF2-40B4-BE49-F238E27FC236}">
              <a16:creationId xmlns:a16="http://schemas.microsoft.com/office/drawing/2014/main" id="{B9439F9B-0F39-4B01-802B-8F8712C25621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59" name="Line 8">
          <a:extLst>
            <a:ext uri="{FF2B5EF4-FFF2-40B4-BE49-F238E27FC236}">
              <a16:creationId xmlns:a16="http://schemas.microsoft.com/office/drawing/2014/main" id="{AAA13D8C-7CC7-407F-8276-4E0E5BCC4037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60" name="Rectangle 7">
          <a:extLst>
            <a:ext uri="{FF2B5EF4-FFF2-40B4-BE49-F238E27FC236}">
              <a16:creationId xmlns:a16="http://schemas.microsoft.com/office/drawing/2014/main" id="{4429EFD9-1BB0-4D78-B842-5ACE48972183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61" name="Rectangle 8">
          <a:extLst>
            <a:ext uri="{FF2B5EF4-FFF2-40B4-BE49-F238E27FC236}">
              <a16:creationId xmlns:a16="http://schemas.microsoft.com/office/drawing/2014/main" id="{9FDFA71A-46A8-4DA6-8E0F-8A065AEC4A85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62" name="Line 3">
          <a:extLst>
            <a:ext uri="{FF2B5EF4-FFF2-40B4-BE49-F238E27FC236}">
              <a16:creationId xmlns:a16="http://schemas.microsoft.com/office/drawing/2014/main" id="{551F5A8A-86DD-4B0F-9FB8-01A8E8B523BA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63" name="Line 5">
          <a:extLst>
            <a:ext uri="{FF2B5EF4-FFF2-40B4-BE49-F238E27FC236}">
              <a16:creationId xmlns:a16="http://schemas.microsoft.com/office/drawing/2014/main" id="{717543AE-C8EC-478B-899E-D1C774768B1B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64" name="Line 2">
          <a:extLst>
            <a:ext uri="{FF2B5EF4-FFF2-40B4-BE49-F238E27FC236}">
              <a16:creationId xmlns:a16="http://schemas.microsoft.com/office/drawing/2014/main" id="{D3683154-A639-46DB-B7EA-B143C08E6B9A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65" name="Line 3">
          <a:extLst>
            <a:ext uri="{FF2B5EF4-FFF2-40B4-BE49-F238E27FC236}">
              <a16:creationId xmlns:a16="http://schemas.microsoft.com/office/drawing/2014/main" id="{D0BC3519-3603-47D8-9DC0-6025CDC1CDE3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66" name="Line 4">
          <a:extLst>
            <a:ext uri="{FF2B5EF4-FFF2-40B4-BE49-F238E27FC236}">
              <a16:creationId xmlns:a16="http://schemas.microsoft.com/office/drawing/2014/main" id="{7F329F8D-B7E9-4BDF-9F67-559E8A81A3D0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67" name="Line 5">
          <a:extLst>
            <a:ext uri="{FF2B5EF4-FFF2-40B4-BE49-F238E27FC236}">
              <a16:creationId xmlns:a16="http://schemas.microsoft.com/office/drawing/2014/main" id="{F1A46F10-CB9A-4598-9EFC-9C9BFD609AE9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68" name="Line 7">
          <a:extLst>
            <a:ext uri="{FF2B5EF4-FFF2-40B4-BE49-F238E27FC236}">
              <a16:creationId xmlns:a16="http://schemas.microsoft.com/office/drawing/2014/main" id="{5473B800-0574-4FF2-B5D3-47DC4F38757D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840048A9-5DF8-489F-8ABF-1E0325C3E4FB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87253A9-48CD-462A-93AD-F87F66CA8E7A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1" name="Line 4">
          <a:extLst>
            <a:ext uri="{FF2B5EF4-FFF2-40B4-BE49-F238E27FC236}">
              <a16:creationId xmlns:a16="http://schemas.microsoft.com/office/drawing/2014/main" id="{D319B9AD-2D7B-448D-BF51-969499F48560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72" name="Line 5">
          <a:extLst>
            <a:ext uri="{FF2B5EF4-FFF2-40B4-BE49-F238E27FC236}">
              <a16:creationId xmlns:a16="http://schemas.microsoft.com/office/drawing/2014/main" id="{7EE5A82C-3959-4856-93D1-33C011B922C3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3" name="Line 2">
          <a:extLst>
            <a:ext uri="{FF2B5EF4-FFF2-40B4-BE49-F238E27FC236}">
              <a16:creationId xmlns:a16="http://schemas.microsoft.com/office/drawing/2014/main" id="{09FF4226-70FD-44E0-86DD-DCDBDE13C59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4" name="Line 3">
          <a:extLst>
            <a:ext uri="{FF2B5EF4-FFF2-40B4-BE49-F238E27FC236}">
              <a16:creationId xmlns:a16="http://schemas.microsoft.com/office/drawing/2014/main" id="{60C32EAB-B30D-42DA-B07C-EFB80EB244C4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75" name="Line 4">
          <a:extLst>
            <a:ext uri="{FF2B5EF4-FFF2-40B4-BE49-F238E27FC236}">
              <a16:creationId xmlns:a16="http://schemas.microsoft.com/office/drawing/2014/main" id="{397895BD-522A-4DDE-A09C-93F2AA741F9E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384</xdr:row>
      <xdr:rowOff>0</xdr:rowOff>
    </xdr:from>
    <xdr:to>
      <xdr:col>8</xdr:col>
      <xdr:colOff>180975</xdr:colOff>
      <xdr:row>384</xdr:row>
      <xdr:rowOff>0</xdr:rowOff>
    </xdr:to>
    <xdr:sp macro="" textlink="">
      <xdr:nvSpPr>
        <xdr:cNvPr id="76" name="Line 5">
          <a:extLst>
            <a:ext uri="{FF2B5EF4-FFF2-40B4-BE49-F238E27FC236}">
              <a16:creationId xmlns:a16="http://schemas.microsoft.com/office/drawing/2014/main" id="{F8DB8E87-8C37-44BE-9528-5D7C2FC5BD09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77" name="Line 7">
          <a:extLst>
            <a:ext uri="{FF2B5EF4-FFF2-40B4-BE49-F238E27FC236}">
              <a16:creationId xmlns:a16="http://schemas.microsoft.com/office/drawing/2014/main" id="{871C828C-4BCD-4387-8260-58647BB410C9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78" name="Line 3">
          <a:extLst>
            <a:ext uri="{FF2B5EF4-FFF2-40B4-BE49-F238E27FC236}">
              <a16:creationId xmlns:a16="http://schemas.microsoft.com/office/drawing/2014/main" id="{65ABE5E2-C590-46A1-B7BA-B5077CCC3E43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79" name="Line 5">
          <a:extLst>
            <a:ext uri="{FF2B5EF4-FFF2-40B4-BE49-F238E27FC236}">
              <a16:creationId xmlns:a16="http://schemas.microsoft.com/office/drawing/2014/main" id="{CF642EC4-2370-496B-ADAE-AAF357F47EC8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80" name="Line 2">
          <a:extLst>
            <a:ext uri="{FF2B5EF4-FFF2-40B4-BE49-F238E27FC236}">
              <a16:creationId xmlns:a16="http://schemas.microsoft.com/office/drawing/2014/main" id="{1B2854F9-E233-4A31-8D66-6B56D099544E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81" name="Line 3">
          <a:extLst>
            <a:ext uri="{FF2B5EF4-FFF2-40B4-BE49-F238E27FC236}">
              <a16:creationId xmlns:a16="http://schemas.microsoft.com/office/drawing/2014/main" id="{EFA7405F-130C-408A-9146-FDD092A9C007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82" name="Line 4">
          <a:extLst>
            <a:ext uri="{FF2B5EF4-FFF2-40B4-BE49-F238E27FC236}">
              <a16:creationId xmlns:a16="http://schemas.microsoft.com/office/drawing/2014/main" id="{52D714D8-E3C6-419B-AFC4-877ADDCFD7A4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83" name="Line 5">
          <a:extLst>
            <a:ext uri="{FF2B5EF4-FFF2-40B4-BE49-F238E27FC236}">
              <a16:creationId xmlns:a16="http://schemas.microsoft.com/office/drawing/2014/main" id="{AF262EEF-0B6F-4402-920E-6E02CE5B16CB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460</xdr:row>
      <xdr:rowOff>0</xdr:rowOff>
    </xdr:from>
    <xdr:to>
      <xdr:col>8</xdr:col>
      <xdr:colOff>180975</xdr:colOff>
      <xdr:row>460</xdr:row>
      <xdr:rowOff>0</xdr:rowOff>
    </xdr:to>
    <xdr:sp macro="" textlink="">
      <xdr:nvSpPr>
        <xdr:cNvPr id="84" name="Line 7">
          <a:extLst>
            <a:ext uri="{FF2B5EF4-FFF2-40B4-BE49-F238E27FC236}">
              <a16:creationId xmlns:a16="http://schemas.microsoft.com/office/drawing/2014/main" id="{A0332DD2-4484-42AC-AF8A-8C89E0F891CA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85" name="Line 2">
          <a:extLst>
            <a:ext uri="{FF2B5EF4-FFF2-40B4-BE49-F238E27FC236}">
              <a16:creationId xmlns:a16="http://schemas.microsoft.com/office/drawing/2014/main" id="{37EAB951-0BFD-4D97-8C3C-7EB36D775C7E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86" name="Line 3">
          <a:extLst>
            <a:ext uri="{FF2B5EF4-FFF2-40B4-BE49-F238E27FC236}">
              <a16:creationId xmlns:a16="http://schemas.microsoft.com/office/drawing/2014/main" id="{761C354C-44F1-4CD8-95F0-A25814DBE1AF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87" name="Line 4">
          <a:extLst>
            <a:ext uri="{FF2B5EF4-FFF2-40B4-BE49-F238E27FC236}">
              <a16:creationId xmlns:a16="http://schemas.microsoft.com/office/drawing/2014/main" id="{077315A9-BE18-47F5-8665-666FBD557E8E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88" name="Line 5">
          <a:extLst>
            <a:ext uri="{FF2B5EF4-FFF2-40B4-BE49-F238E27FC236}">
              <a16:creationId xmlns:a16="http://schemas.microsoft.com/office/drawing/2014/main" id="{AE1D30A4-E868-4722-A629-9557A0AFE00A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89" name="Line 2">
          <a:extLst>
            <a:ext uri="{FF2B5EF4-FFF2-40B4-BE49-F238E27FC236}">
              <a16:creationId xmlns:a16="http://schemas.microsoft.com/office/drawing/2014/main" id="{5CB1512C-0B06-480C-A7DB-1B5A852EAA93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0" name="Line 3">
          <a:extLst>
            <a:ext uri="{FF2B5EF4-FFF2-40B4-BE49-F238E27FC236}">
              <a16:creationId xmlns:a16="http://schemas.microsoft.com/office/drawing/2014/main" id="{75FA9F32-D358-40A9-AF8A-C62F26D15178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91" name="Line 4">
          <a:extLst>
            <a:ext uri="{FF2B5EF4-FFF2-40B4-BE49-F238E27FC236}">
              <a16:creationId xmlns:a16="http://schemas.microsoft.com/office/drawing/2014/main" id="{CCC42099-287D-47CC-8DCC-C25247F5A408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92" name="Line 5">
          <a:extLst>
            <a:ext uri="{FF2B5EF4-FFF2-40B4-BE49-F238E27FC236}">
              <a16:creationId xmlns:a16="http://schemas.microsoft.com/office/drawing/2014/main" id="{3D08CDF5-0695-4C1F-8D51-0237901ED726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93" name="Line 7">
          <a:extLst>
            <a:ext uri="{FF2B5EF4-FFF2-40B4-BE49-F238E27FC236}">
              <a16:creationId xmlns:a16="http://schemas.microsoft.com/office/drawing/2014/main" id="{ECF8670B-5A70-4218-8046-89815411901E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94" name="Line 2">
          <a:extLst>
            <a:ext uri="{FF2B5EF4-FFF2-40B4-BE49-F238E27FC236}">
              <a16:creationId xmlns:a16="http://schemas.microsoft.com/office/drawing/2014/main" id="{90604BF6-5F7A-43A7-A0FD-99CAB341C66B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95" name="Line 3">
          <a:extLst>
            <a:ext uri="{FF2B5EF4-FFF2-40B4-BE49-F238E27FC236}">
              <a16:creationId xmlns:a16="http://schemas.microsoft.com/office/drawing/2014/main" id="{152100AD-EB48-434C-AF94-2C0C8363CC26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416</xdr:row>
      <xdr:rowOff>0</xdr:rowOff>
    </xdr:from>
    <xdr:to>
      <xdr:col>8</xdr:col>
      <xdr:colOff>180975</xdr:colOff>
      <xdr:row>416</xdr:row>
      <xdr:rowOff>0</xdr:rowOff>
    </xdr:to>
    <xdr:sp macro="" textlink="">
      <xdr:nvSpPr>
        <xdr:cNvPr id="96" name="Line 4">
          <a:extLst>
            <a:ext uri="{FF2B5EF4-FFF2-40B4-BE49-F238E27FC236}">
              <a16:creationId xmlns:a16="http://schemas.microsoft.com/office/drawing/2014/main" id="{EBB5E853-C6D0-4E13-9EE5-B6FB41DF858A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781C23A-CE24-43B6-BC5B-72B9C653B6FA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98" name="Line 5">
          <a:extLst>
            <a:ext uri="{FF2B5EF4-FFF2-40B4-BE49-F238E27FC236}">
              <a16:creationId xmlns:a16="http://schemas.microsoft.com/office/drawing/2014/main" id="{4A34F0D6-87C8-42FD-9872-70D49B728045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47EB4A91-051F-437E-B8A6-5FF007992D7B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2F0B4A3-E240-493F-9A7C-0DCE3DDA4428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101" name="Line 4">
          <a:extLst>
            <a:ext uri="{FF2B5EF4-FFF2-40B4-BE49-F238E27FC236}">
              <a16:creationId xmlns:a16="http://schemas.microsoft.com/office/drawing/2014/main" id="{7C234E19-9688-41F1-A790-FE43249AED67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102" name="Line 5">
          <a:extLst>
            <a:ext uri="{FF2B5EF4-FFF2-40B4-BE49-F238E27FC236}">
              <a16:creationId xmlns:a16="http://schemas.microsoft.com/office/drawing/2014/main" id="{46AF5D31-7F5A-47A1-939E-7E618B23CFA1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103" name="Line 7">
          <a:extLst>
            <a:ext uri="{FF2B5EF4-FFF2-40B4-BE49-F238E27FC236}">
              <a16:creationId xmlns:a16="http://schemas.microsoft.com/office/drawing/2014/main" id="{499735CA-1113-4A10-A475-2CEE50DB3FA6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04" name="Line 2">
          <a:extLst>
            <a:ext uri="{FF2B5EF4-FFF2-40B4-BE49-F238E27FC236}">
              <a16:creationId xmlns:a16="http://schemas.microsoft.com/office/drawing/2014/main" id="{EBA7E5FC-1F93-4CF1-910D-51C4EB91428A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05" name="Line 3">
          <a:extLst>
            <a:ext uri="{FF2B5EF4-FFF2-40B4-BE49-F238E27FC236}">
              <a16:creationId xmlns:a16="http://schemas.microsoft.com/office/drawing/2014/main" id="{6FAE6BB9-EB00-4257-ABE0-A2C357F6E861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06" name="Line 4">
          <a:extLst>
            <a:ext uri="{FF2B5EF4-FFF2-40B4-BE49-F238E27FC236}">
              <a16:creationId xmlns:a16="http://schemas.microsoft.com/office/drawing/2014/main" id="{EBC10F35-AC9A-4784-A4A0-A88EFC6A7DB2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107" name="Line 5">
          <a:extLst>
            <a:ext uri="{FF2B5EF4-FFF2-40B4-BE49-F238E27FC236}">
              <a16:creationId xmlns:a16="http://schemas.microsoft.com/office/drawing/2014/main" id="{6DEF0934-B6EC-4099-AFC9-93E8B9DF522D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03400D36-71B4-4B4A-8DAB-764CCC735893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7DC6064C-698E-4A0B-B616-6ED0AE0B9B1D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110" name="Line 4">
          <a:extLst>
            <a:ext uri="{FF2B5EF4-FFF2-40B4-BE49-F238E27FC236}">
              <a16:creationId xmlns:a16="http://schemas.microsoft.com/office/drawing/2014/main" id="{CB9B1B7B-7F22-4DAE-8A1F-D54BAA3C9F62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B10A271-5CE6-4167-9B8F-9216EDD13A73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87F6DFD8-2C26-4A87-8919-54C24F177376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13" name="Line 4">
          <a:extLst>
            <a:ext uri="{FF2B5EF4-FFF2-40B4-BE49-F238E27FC236}">
              <a16:creationId xmlns:a16="http://schemas.microsoft.com/office/drawing/2014/main" id="{E7FD488B-1F8B-4527-9AFE-4C4E161A2B1D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7F912D93-94FA-48F3-8C63-0B8A12171EAA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4477EE88-0D3C-4414-BA6E-1B09B398043D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576</xdr:row>
      <xdr:rowOff>0</xdr:rowOff>
    </xdr:from>
    <xdr:to>
      <xdr:col>8</xdr:col>
      <xdr:colOff>180975</xdr:colOff>
      <xdr:row>576</xdr:row>
      <xdr:rowOff>0</xdr:rowOff>
    </xdr:to>
    <xdr:sp macro="" textlink="">
      <xdr:nvSpPr>
        <xdr:cNvPr id="116" name="Line 4">
          <a:extLst>
            <a:ext uri="{FF2B5EF4-FFF2-40B4-BE49-F238E27FC236}">
              <a16:creationId xmlns:a16="http://schemas.microsoft.com/office/drawing/2014/main" id="{57C943DB-EC4F-4E04-B7CD-44DC0FF7CF0F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117" name="Line 3">
          <a:extLst>
            <a:ext uri="{FF2B5EF4-FFF2-40B4-BE49-F238E27FC236}">
              <a16:creationId xmlns:a16="http://schemas.microsoft.com/office/drawing/2014/main" id="{1D99F2F2-6A1B-4006-98D0-2FFAE0303DF1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118" name="Line 5">
          <a:extLst>
            <a:ext uri="{FF2B5EF4-FFF2-40B4-BE49-F238E27FC236}">
              <a16:creationId xmlns:a16="http://schemas.microsoft.com/office/drawing/2014/main" id="{64E062EA-2005-4489-80F0-D45002A2B70C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119" name="Line 2">
          <a:extLst>
            <a:ext uri="{FF2B5EF4-FFF2-40B4-BE49-F238E27FC236}">
              <a16:creationId xmlns:a16="http://schemas.microsoft.com/office/drawing/2014/main" id="{79EE4133-7620-49A4-9AC1-5D103E574328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120" name="Line 3">
          <a:extLst>
            <a:ext uri="{FF2B5EF4-FFF2-40B4-BE49-F238E27FC236}">
              <a16:creationId xmlns:a16="http://schemas.microsoft.com/office/drawing/2014/main" id="{1B88E456-2249-45F4-B03B-C71ABD6E365D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121" name="Line 4">
          <a:extLst>
            <a:ext uri="{FF2B5EF4-FFF2-40B4-BE49-F238E27FC236}">
              <a16:creationId xmlns:a16="http://schemas.microsoft.com/office/drawing/2014/main" id="{AC6EB25C-122D-496A-BB24-2445BF8BCFB7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22" name="Line 5">
          <a:extLst>
            <a:ext uri="{FF2B5EF4-FFF2-40B4-BE49-F238E27FC236}">
              <a16:creationId xmlns:a16="http://schemas.microsoft.com/office/drawing/2014/main" id="{DF06FDA6-4A19-439B-BEDD-252C75D9D033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23" name="Line 7">
          <a:extLst>
            <a:ext uri="{FF2B5EF4-FFF2-40B4-BE49-F238E27FC236}">
              <a16:creationId xmlns:a16="http://schemas.microsoft.com/office/drawing/2014/main" id="{0363F091-5AB5-435A-80BA-925F7816CD07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24" name="Line 2">
          <a:extLst>
            <a:ext uri="{FF2B5EF4-FFF2-40B4-BE49-F238E27FC236}">
              <a16:creationId xmlns:a16="http://schemas.microsoft.com/office/drawing/2014/main" id="{1CC0CDD3-6933-4019-9BFF-B48E5E511DE9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25" name="Line 3">
          <a:extLst>
            <a:ext uri="{FF2B5EF4-FFF2-40B4-BE49-F238E27FC236}">
              <a16:creationId xmlns:a16="http://schemas.microsoft.com/office/drawing/2014/main" id="{61A58BC5-597C-44E3-B1E2-6D852D5E5B7C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26" name="Line 4">
          <a:extLst>
            <a:ext uri="{FF2B5EF4-FFF2-40B4-BE49-F238E27FC236}">
              <a16:creationId xmlns:a16="http://schemas.microsoft.com/office/drawing/2014/main" id="{A4FC3A92-220F-48A9-B799-0029B795EF98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27" name="Line 5">
          <a:extLst>
            <a:ext uri="{FF2B5EF4-FFF2-40B4-BE49-F238E27FC236}">
              <a16:creationId xmlns:a16="http://schemas.microsoft.com/office/drawing/2014/main" id="{DF1481C6-AE82-4ED2-8A69-CCD0531BCD55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28" name="Line 2">
          <a:extLst>
            <a:ext uri="{FF2B5EF4-FFF2-40B4-BE49-F238E27FC236}">
              <a16:creationId xmlns:a16="http://schemas.microsoft.com/office/drawing/2014/main" id="{52581336-870C-4BAF-8E7E-A7AC0950F03D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29" name="Line 3">
          <a:extLst>
            <a:ext uri="{FF2B5EF4-FFF2-40B4-BE49-F238E27FC236}">
              <a16:creationId xmlns:a16="http://schemas.microsoft.com/office/drawing/2014/main" id="{3CCD14EC-38A8-4E5B-B56A-82010424247B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130" name="Line 4">
          <a:extLst>
            <a:ext uri="{FF2B5EF4-FFF2-40B4-BE49-F238E27FC236}">
              <a16:creationId xmlns:a16="http://schemas.microsoft.com/office/drawing/2014/main" id="{35D3DAB4-EF65-46B0-B3E6-F0DA78527248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31" name="Line 2">
          <a:extLst>
            <a:ext uri="{FF2B5EF4-FFF2-40B4-BE49-F238E27FC236}">
              <a16:creationId xmlns:a16="http://schemas.microsoft.com/office/drawing/2014/main" id="{9DB3D84F-310E-40A4-9D01-2F3359FCD274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32" name="Line 3">
          <a:extLst>
            <a:ext uri="{FF2B5EF4-FFF2-40B4-BE49-F238E27FC236}">
              <a16:creationId xmlns:a16="http://schemas.microsoft.com/office/drawing/2014/main" id="{7AFB2563-24CB-4D8D-98A1-690DBB8E8E81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133" name="Line 4">
          <a:extLst>
            <a:ext uri="{FF2B5EF4-FFF2-40B4-BE49-F238E27FC236}">
              <a16:creationId xmlns:a16="http://schemas.microsoft.com/office/drawing/2014/main" id="{467397FA-8B74-4CC1-9612-3DB88EB570B6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34" name="Line 2">
          <a:extLst>
            <a:ext uri="{FF2B5EF4-FFF2-40B4-BE49-F238E27FC236}">
              <a16:creationId xmlns:a16="http://schemas.microsoft.com/office/drawing/2014/main" id="{6499052A-7FA2-4C6B-8B4C-673620F6CF80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35" name="Line 3">
          <a:extLst>
            <a:ext uri="{FF2B5EF4-FFF2-40B4-BE49-F238E27FC236}">
              <a16:creationId xmlns:a16="http://schemas.microsoft.com/office/drawing/2014/main" id="{A72DAB2B-AB3A-44CC-8254-F83CCBA08B25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36" name="Line 4">
          <a:extLst>
            <a:ext uri="{FF2B5EF4-FFF2-40B4-BE49-F238E27FC236}">
              <a16:creationId xmlns:a16="http://schemas.microsoft.com/office/drawing/2014/main" id="{52673A8A-56ED-4210-BED5-DE99CE79283B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137" name="Line 3">
          <a:extLst>
            <a:ext uri="{FF2B5EF4-FFF2-40B4-BE49-F238E27FC236}">
              <a16:creationId xmlns:a16="http://schemas.microsoft.com/office/drawing/2014/main" id="{4F1FA8EE-5C87-4040-AC08-37ECE8922F0F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138" name="Line 5">
          <a:extLst>
            <a:ext uri="{FF2B5EF4-FFF2-40B4-BE49-F238E27FC236}">
              <a16:creationId xmlns:a16="http://schemas.microsoft.com/office/drawing/2014/main" id="{432CA893-0C35-4F99-A89D-575BF2CFE11C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39" name="Line 2">
          <a:extLst>
            <a:ext uri="{FF2B5EF4-FFF2-40B4-BE49-F238E27FC236}">
              <a16:creationId xmlns:a16="http://schemas.microsoft.com/office/drawing/2014/main" id="{30CE1744-35FA-4A5E-BE17-879D8D1080F9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40" name="Line 3">
          <a:extLst>
            <a:ext uri="{FF2B5EF4-FFF2-40B4-BE49-F238E27FC236}">
              <a16:creationId xmlns:a16="http://schemas.microsoft.com/office/drawing/2014/main" id="{496AB7E6-AC5A-48F5-A857-645FAAA6FD57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41" name="Line 4">
          <a:extLst>
            <a:ext uri="{FF2B5EF4-FFF2-40B4-BE49-F238E27FC236}">
              <a16:creationId xmlns:a16="http://schemas.microsoft.com/office/drawing/2014/main" id="{C54800E8-113B-4B62-BBCD-03ED52334CB2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142" name="Line 5">
          <a:extLst>
            <a:ext uri="{FF2B5EF4-FFF2-40B4-BE49-F238E27FC236}">
              <a16:creationId xmlns:a16="http://schemas.microsoft.com/office/drawing/2014/main" id="{840EE67B-6780-4DC1-A192-E1FB4D937B6F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43" name="Line 7">
          <a:extLst>
            <a:ext uri="{FF2B5EF4-FFF2-40B4-BE49-F238E27FC236}">
              <a16:creationId xmlns:a16="http://schemas.microsoft.com/office/drawing/2014/main" id="{3484346E-773B-48B4-B98A-BD9255392A28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6AE646B-DA8B-4B7B-B75C-9B00583100FA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FC37CFF7-8606-4F41-A20E-5D88795A7194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46" name="Line 4">
          <a:extLst>
            <a:ext uri="{FF2B5EF4-FFF2-40B4-BE49-F238E27FC236}">
              <a16:creationId xmlns:a16="http://schemas.microsoft.com/office/drawing/2014/main" id="{AAEA1BBE-564F-4900-AFD4-72C934B38D90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147" name="Line 5">
          <a:extLst>
            <a:ext uri="{FF2B5EF4-FFF2-40B4-BE49-F238E27FC236}">
              <a16:creationId xmlns:a16="http://schemas.microsoft.com/office/drawing/2014/main" id="{B6BD2C29-8B67-429E-881A-2BBCC21454EF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48" name="Line 2">
          <a:extLst>
            <a:ext uri="{FF2B5EF4-FFF2-40B4-BE49-F238E27FC236}">
              <a16:creationId xmlns:a16="http://schemas.microsoft.com/office/drawing/2014/main" id="{7295422C-7FC5-4773-9308-485BDA2AEE11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49" name="Line 3">
          <a:extLst>
            <a:ext uri="{FF2B5EF4-FFF2-40B4-BE49-F238E27FC236}">
              <a16:creationId xmlns:a16="http://schemas.microsoft.com/office/drawing/2014/main" id="{504E65A5-7048-48CA-8306-970104029392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50" name="Line 4">
          <a:extLst>
            <a:ext uri="{FF2B5EF4-FFF2-40B4-BE49-F238E27FC236}">
              <a16:creationId xmlns:a16="http://schemas.microsoft.com/office/drawing/2014/main" id="{79F98ED1-AA5A-4EBC-A5EC-8EA5AA64A9EC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51" name="Line 2">
          <a:extLst>
            <a:ext uri="{FF2B5EF4-FFF2-40B4-BE49-F238E27FC236}">
              <a16:creationId xmlns:a16="http://schemas.microsoft.com/office/drawing/2014/main" id="{B40A0922-B269-4AF3-BC5E-DB90A414C2EC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52" name="Line 3">
          <a:extLst>
            <a:ext uri="{FF2B5EF4-FFF2-40B4-BE49-F238E27FC236}">
              <a16:creationId xmlns:a16="http://schemas.microsoft.com/office/drawing/2014/main" id="{E1235DEA-A555-4A5F-AC6E-FD1A893297A2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691</xdr:row>
      <xdr:rowOff>0</xdr:rowOff>
    </xdr:from>
    <xdr:to>
      <xdr:col>8</xdr:col>
      <xdr:colOff>180975</xdr:colOff>
      <xdr:row>691</xdr:row>
      <xdr:rowOff>0</xdr:rowOff>
    </xdr:to>
    <xdr:sp macro="" textlink="">
      <xdr:nvSpPr>
        <xdr:cNvPr id="153" name="Line 4">
          <a:extLst>
            <a:ext uri="{FF2B5EF4-FFF2-40B4-BE49-F238E27FC236}">
              <a16:creationId xmlns:a16="http://schemas.microsoft.com/office/drawing/2014/main" id="{4A8D06CD-FCA9-4152-882D-F1C9B2BE9D93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54" name="Line 2">
          <a:extLst>
            <a:ext uri="{FF2B5EF4-FFF2-40B4-BE49-F238E27FC236}">
              <a16:creationId xmlns:a16="http://schemas.microsoft.com/office/drawing/2014/main" id="{4BD8F1A3-DDBB-49F5-AF1B-69415B4B7100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55" name="Line 3">
          <a:extLst>
            <a:ext uri="{FF2B5EF4-FFF2-40B4-BE49-F238E27FC236}">
              <a16:creationId xmlns:a16="http://schemas.microsoft.com/office/drawing/2014/main" id="{72F4FF04-FF15-41A1-A5BF-2E3D685D1303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694</xdr:row>
      <xdr:rowOff>0</xdr:rowOff>
    </xdr:from>
    <xdr:to>
      <xdr:col>8</xdr:col>
      <xdr:colOff>180975</xdr:colOff>
      <xdr:row>694</xdr:row>
      <xdr:rowOff>0</xdr:rowOff>
    </xdr:to>
    <xdr:sp macro="" textlink="">
      <xdr:nvSpPr>
        <xdr:cNvPr id="156" name="Line 4">
          <a:extLst>
            <a:ext uri="{FF2B5EF4-FFF2-40B4-BE49-F238E27FC236}">
              <a16:creationId xmlns:a16="http://schemas.microsoft.com/office/drawing/2014/main" id="{1CB775EB-CFDF-4297-8F46-5CB881DEC0EC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49F2A5C-F854-45FA-B43A-539993605BB1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158" name="Line 5">
          <a:extLst>
            <a:ext uri="{FF2B5EF4-FFF2-40B4-BE49-F238E27FC236}">
              <a16:creationId xmlns:a16="http://schemas.microsoft.com/office/drawing/2014/main" id="{37D152E8-E13B-4DDC-91D2-E4E8B99F9CFE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4678873-22C7-4377-9B1C-BDF89D031FC5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5E957F0-D60D-4FC3-95F1-639D0648C306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61" name="Line 4">
          <a:extLst>
            <a:ext uri="{FF2B5EF4-FFF2-40B4-BE49-F238E27FC236}">
              <a16:creationId xmlns:a16="http://schemas.microsoft.com/office/drawing/2014/main" id="{F7AAEBE7-9AB2-4D48-B6A9-B54ABE26890B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162" name="Line 5">
          <a:extLst>
            <a:ext uri="{FF2B5EF4-FFF2-40B4-BE49-F238E27FC236}">
              <a16:creationId xmlns:a16="http://schemas.microsoft.com/office/drawing/2014/main" id="{EFC4C7F2-5B8B-4CC5-9EFF-5FFF55E29FAE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776</xdr:row>
      <xdr:rowOff>0</xdr:rowOff>
    </xdr:from>
    <xdr:to>
      <xdr:col>8</xdr:col>
      <xdr:colOff>180975</xdr:colOff>
      <xdr:row>776</xdr:row>
      <xdr:rowOff>0</xdr:rowOff>
    </xdr:to>
    <xdr:sp macro="" textlink="">
      <xdr:nvSpPr>
        <xdr:cNvPr id="163" name="Line 7">
          <a:extLst>
            <a:ext uri="{FF2B5EF4-FFF2-40B4-BE49-F238E27FC236}">
              <a16:creationId xmlns:a16="http://schemas.microsoft.com/office/drawing/2014/main" id="{CEF0C1EC-9A00-484A-82DE-1BF649DA805A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64" name="Line 2">
          <a:extLst>
            <a:ext uri="{FF2B5EF4-FFF2-40B4-BE49-F238E27FC236}">
              <a16:creationId xmlns:a16="http://schemas.microsoft.com/office/drawing/2014/main" id="{DA3EB343-FB80-413C-9ABA-71AD7607015F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65" name="Line 3">
          <a:extLst>
            <a:ext uri="{FF2B5EF4-FFF2-40B4-BE49-F238E27FC236}">
              <a16:creationId xmlns:a16="http://schemas.microsoft.com/office/drawing/2014/main" id="{0D9ACC44-7F90-45EB-B270-358C04EA8968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66" name="Line 4">
          <a:extLst>
            <a:ext uri="{FF2B5EF4-FFF2-40B4-BE49-F238E27FC236}">
              <a16:creationId xmlns:a16="http://schemas.microsoft.com/office/drawing/2014/main" id="{B5C70583-F169-4997-8B7F-C55B5BA69C7B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167" name="Line 5">
          <a:extLst>
            <a:ext uri="{FF2B5EF4-FFF2-40B4-BE49-F238E27FC236}">
              <a16:creationId xmlns:a16="http://schemas.microsoft.com/office/drawing/2014/main" id="{76105B9B-F654-4446-A26A-1AA2A3EC21D0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9EE99D1-2069-428C-80F8-6506D287353E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6227E8D6-EE40-4D4A-AE98-34C95392EF7C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70" name="Line 4">
          <a:extLst>
            <a:ext uri="{FF2B5EF4-FFF2-40B4-BE49-F238E27FC236}">
              <a16:creationId xmlns:a16="http://schemas.microsoft.com/office/drawing/2014/main" id="{8F41C112-9B40-4A20-A776-D4616D0110DE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018A8B1-C10A-4C1A-890D-060CB0C64283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A67DBF1-DA1C-46B6-AE74-CDBE29EF2924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751</xdr:row>
      <xdr:rowOff>0</xdr:rowOff>
    </xdr:from>
    <xdr:to>
      <xdr:col>8</xdr:col>
      <xdr:colOff>180975</xdr:colOff>
      <xdr:row>751</xdr:row>
      <xdr:rowOff>0</xdr:rowOff>
    </xdr:to>
    <xdr:sp macro="" textlink="">
      <xdr:nvSpPr>
        <xdr:cNvPr id="173" name="Line 4">
          <a:extLst>
            <a:ext uri="{FF2B5EF4-FFF2-40B4-BE49-F238E27FC236}">
              <a16:creationId xmlns:a16="http://schemas.microsoft.com/office/drawing/2014/main" id="{D47AA2DD-7DE0-4F38-98F6-D4E75A993756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F935E730-C3FA-4861-8212-0271DC2AC42B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A8ABC49-A3A1-44A6-82DA-94C71470D950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754</xdr:row>
      <xdr:rowOff>0</xdr:rowOff>
    </xdr:from>
    <xdr:to>
      <xdr:col>8</xdr:col>
      <xdr:colOff>180975</xdr:colOff>
      <xdr:row>754</xdr:row>
      <xdr:rowOff>0</xdr:rowOff>
    </xdr:to>
    <xdr:sp macro="" textlink="">
      <xdr:nvSpPr>
        <xdr:cNvPr id="176" name="Line 4">
          <a:extLst>
            <a:ext uri="{FF2B5EF4-FFF2-40B4-BE49-F238E27FC236}">
              <a16:creationId xmlns:a16="http://schemas.microsoft.com/office/drawing/2014/main" id="{8904BA45-D600-468D-8E9C-18A97E1CA5E5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</xdr:row>
      <xdr:rowOff>0</xdr:rowOff>
    </xdr:from>
    <xdr:to>
      <xdr:col>8</xdr:col>
      <xdr:colOff>180975</xdr:colOff>
      <xdr:row>53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6F74CE6-1030-4A34-B73B-C2AAE8AB0261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0AD61026-628F-4443-868C-780485BE2601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179" name="Line 5">
          <a:extLst>
            <a:ext uri="{FF2B5EF4-FFF2-40B4-BE49-F238E27FC236}">
              <a16:creationId xmlns:a16="http://schemas.microsoft.com/office/drawing/2014/main" id="{96E2326F-6D16-4E62-B549-759DC6B3469C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180" name="Line 3">
          <a:extLst>
            <a:ext uri="{FF2B5EF4-FFF2-40B4-BE49-F238E27FC236}">
              <a16:creationId xmlns:a16="http://schemas.microsoft.com/office/drawing/2014/main" id="{37CAC6F3-15BF-4503-AD0C-FEAC7559A569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181" name="Line 5">
          <a:extLst>
            <a:ext uri="{FF2B5EF4-FFF2-40B4-BE49-F238E27FC236}">
              <a16:creationId xmlns:a16="http://schemas.microsoft.com/office/drawing/2014/main" id="{1B1BFC74-F6A0-4D4E-8578-2C3D2E559C00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182" name="Line 2">
          <a:extLst>
            <a:ext uri="{FF2B5EF4-FFF2-40B4-BE49-F238E27FC236}">
              <a16:creationId xmlns:a16="http://schemas.microsoft.com/office/drawing/2014/main" id="{F854C191-F0FC-4181-9607-C07908282372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13090E0C-0C24-4122-92C1-7E9FABCA197A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184" name="Line 4">
          <a:extLst>
            <a:ext uri="{FF2B5EF4-FFF2-40B4-BE49-F238E27FC236}">
              <a16:creationId xmlns:a16="http://schemas.microsoft.com/office/drawing/2014/main" id="{C9B07FAC-8600-4D6C-BAB6-7E5B75ADCFA5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185" name="Line 5">
          <a:extLst>
            <a:ext uri="{FF2B5EF4-FFF2-40B4-BE49-F238E27FC236}">
              <a16:creationId xmlns:a16="http://schemas.microsoft.com/office/drawing/2014/main" id="{ABC4E21E-620F-47C6-91DC-C86DB76247F7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104</xdr:row>
      <xdr:rowOff>0</xdr:rowOff>
    </xdr:from>
    <xdr:to>
      <xdr:col>8</xdr:col>
      <xdr:colOff>180975</xdr:colOff>
      <xdr:row>104</xdr:row>
      <xdr:rowOff>0</xdr:rowOff>
    </xdr:to>
    <xdr:sp macro="" textlink="">
      <xdr:nvSpPr>
        <xdr:cNvPr id="186" name="Line 7">
          <a:extLst>
            <a:ext uri="{FF2B5EF4-FFF2-40B4-BE49-F238E27FC236}">
              <a16:creationId xmlns:a16="http://schemas.microsoft.com/office/drawing/2014/main" id="{64F3C6BC-EBD2-490E-A232-5626D973EEB1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2079046-F8EC-4582-96CE-8C6AE5DA0E05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188" name="Line 5">
          <a:extLst>
            <a:ext uri="{FF2B5EF4-FFF2-40B4-BE49-F238E27FC236}">
              <a16:creationId xmlns:a16="http://schemas.microsoft.com/office/drawing/2014/main" id="{05EB942E-689D-491A-A8ED-A6CA529ED1C0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87E0861D-C431-418D-9E75-012064F8B868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2D7D199-F83F-4E13-9793-B970B6C9FC01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191" name="Line 4">
          <a:extLst>
            <a:ext uri="{FF2B5EF4-FFF2-40B4-BE49-F238E27FC236}">
              <a16:creationId xmlns:a16="http://schemas.microsoft.com/office/drawing/2014/main" id="{58A0ABAD-90C0-4658-878F-8EB85FC3D5A5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192" name="Line 5">
          <a:extLst>
            <a:ext uri="{FF2B5EF4-FFF2-40B4-BE49-F238E27FC236}">
              <a16:creationId xmlns:a16="http://schemas.microsoft.com/office/drawing/2014/main" id="{C45B8E6E-89DA-4F4E-8E0B-7F2B5A41DAA9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3" name="Line 2">
          <a:extLst>
            <a:ext uri="{FF2B5EF4-FFF2-40B4-BE49-F238E27FC236}">
              <a16:creationId xmlns:a16="http://schemas.microsoft.com/office/drawing/2014/main" id="{E56ADB93-0AD9-4F1F-818E-0393A3FCC08F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4" name="Line 3">
          <a:extLst>
            <a:ext uri="{FF2B5EF4-FFF2-40B4-BE49-F238E27FC236}">
              <a16:creationId xmlns:a16="http://schemas.microsoft.com/office/drawing/2014/main" id="{A216A29D-BD72-4871-9154-8D763D113AAA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5" name="Line 4">
          <a:extLst>
            <a:ext uri="{FF2B5EF4-FFF2-40B4-BE49-F238E27FC236}">
              <a16:creationId xmlns:a16="http://schemas.microsoft.com/office/drawing/2014/main" id="{0EE174ED-34AB-4D85-9743-22C56BC685BF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196" name="Line 5">
          <a:extLst>
            <a:ext uri="{FF2B5EF4-FFF2-40B4-BE49-F238E27FC236}">
              <a16:creationId xmlns:a16="http://schemas.microsoft.com/office/drawing/2014/main" id="{DB231C53-B799-47A0-8D11-3736CDC92D51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197" name="Line 2">
          <a:extLst>
            <a:ext uri="{FF2B5EF4-FFF2-40B4-BE49-F238E27FC236}">
              <a16:creationId xmlns:a16="http://schemas.microsoft.com/office/drawing/2014/main" id="{D9A453B5-8C37-4247-B14E-EF41ABE24108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198" name="Line 3">
          <a:extLst>
            <a:ext uri="{FF2B5EF4-FFF2-40B4-BE49-F238E27FC236}">
              <a16:creationId xmlns:a16="http://schemas.microsoft.com/office/drawing/2014/main" id="{D69632FE-E773-47B2-83C0-AF68094ED9EF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199" name="Line 5">
          <a:extLst>
            <a:ext uri="{FF2B5EF4-FFF2-40B4-BE49-F238E27FC236}">
              <a16:creationId xmlns:a16="http://schemas.microsoft.com/office/drawing/2014/main" id="{AC5DFD07-155C-43B1-B918-193DECAF340E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00" name="Line 2">
          <a:extLst>
            <a:ext uri="{FF2B5EF4-FFF2-40B4-BE49-F238E27FC236}">
              <a16:creationId xmlns:a16="http://schemas.microsoft.com/office/drawing/2014/main" id="{C41BC3A7-B615-4460-9B5D-C531A1F6E10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0DA79D63-FB2B-419C-96D6-74BB2C757B2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02" name="Line 4">
          <a:extLst>
            <a:ext uri="{FF2B5EF4-FFF2-40B4-BE49-F238E27FC236}">
              <a16:creationId xmlns:a16="http://schemas.microsoft.com/office/drawing/2014/main" id="{A81E3817-1D26-44FB-B673-A5F59797CAB0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203" name="Line 5">
          <a:extLst>
            <a:ext uri="{FF2B5EF4-FFF2-40B4-BE49-F238E27FC236}">
              <a16:creationId xmlns:a16="http://schemas.microsoft.com/office/drawing/2014/main" id="{D1F8E34F-C7B7-482C-B182-9C31CA2181DA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204" name="Line 7">
          <a:extLst>
            <a:ext uri="{FF2B5EF4-FFF2-40B4-BE49-F238E27FC236}">
              <a16:creationId xmlns:a16="http://schemas.microsoft.com/office/drawing/2014/main" id="{72053EB8-473A-45F3-9EF2-5539563A4F7E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05" name="Line 2">
          <a:extLst>
            <a:ext uri="{FF2B5EF4-FFF2-40B4-BE49-F238E27FC236}">
              <a16:creationId xmlns:a16="http://schemas.microsoft.com/office/drawing/2014/main" id="{94636B0D-F90D-42CE-BE1C-78498D1687A9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06" name="Line 3">
          <a:extLst>
            <a:ext uri="{FF2B5EF4-FFF2-40B4-BE49-F238E27FC236}">
              <a16:creationId xmlns:a16="http://schemas.microsoft.com/office/drawing/2014/main" id="{95209872-F296-42A2-AAF3-089D37B9ADE6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07" name="Line 4">
          <a:extLst>
            <a:ext uri="{FF2B5EF4-FFF2-40B4-BE49-F238E27FC236}">
              <a16:creationId xmlns:a16="http://schemas.microsoft.com/office/drawing/2014/main" id="{D144D6C1-05DA-415E-908E-5C1F13030365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208" name="Line 5">
          <a:extLst>
            <a:ext uri="{FF2B5EF4-FFF2-40B4-BE49-F238E27FC236}">
              <a16:creationId xmlns:a16="http://schemas.microsoft.com/office/drawing/2014/main" id="{CEE383CD-22AC-4CAB-933F-9EA3E0EE6FA2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209" name="Line 2">
          <a:extLst>
            <a:ext uri="{FF2B5EF4-FFF2-40B4-BE49-F238E27FC236}">
              <a16:creationId xmlns:a16="http://schemas.microsoft.com/office/drawing/2014/main" id="{FCE256F0-A3E3-4EA2-A869-613B129372D1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210" name="Line 3">
          <a:extLst>
            <a:ext uri="{FF2B5EF4-FFF2-40B4-BE49-F238E27FC236}">
              <a16:creationId xmlns:a16="http://schemas.microsoft.com/office/drawing/2014/main" id="{19703144-5459-4306-8280-BB0A0448A4B4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211" name="Line 4">
          <a:extLst>
            <a:ext uri="{FF2B5EF4-FFF2-40B4-BE49-F238E27FC236}">
              <a16:creationId xmlns:a16="http://schemas.microsoft.com/office/drawing/2014/main" id="{C1DF977B-12DF-48A4-A47F-62FC2A33C442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212" name="Line 5">
          <a:extLst>
            <a:ext uri="{FF2B5EF4-FFF2-40B4-BE49-F238E27FC236}">
              <a16:creationId xmlns:a16="http://schemas.microsoft.com/office/drawing/2014/main" id="{8B0ADB10-6624-4381-B7CB-F1E56F069568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213" name="Line 7">
          <a:extLst>
            <a:ext uri="{FF2B5EF4-FFF2-40B4-BE49-F238E27FC236}">
              <a16:creationId xmlns:a16="http://schemas.microsoft.com/office/drawing/2014/main" id="{22C91C2A-C032-463C-AFC8-86510BF18E41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214" name="Line 8">
          <a:extLst>
            <a:ext uri="{FF2B5EF4-FFF2-40B4-BE49-F238E27FC236}">
              <a16:creationId xmlns:a16="http://schemas.microsoft.com/office/drawing/2014/main" id="{B4A267E0-EE56-476F-B237-6985BC6EF4F2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215" name="Rectangle 7">
          <a:extLst>
            <a:ext uri="{FF2B5EF4-FFF2-40B4-BE49-F238E27FC236}">
              <a16:creationId xmlns:a16="http://schemas.microsoft.com/office/drawing/2014/main" id="{05EC1294-C7A3-44AF-B4DD-07B8CCD0AB6C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216" name="Rectangle 8">
          <a:extLst>
            <a:ext uri="{FF2B5EF4-FFF2-40B4-BE49-F238E27FC236}">
              <a16:creationId xmlns:a16="http://schemas.microsoft.com/office/drawing/2014/main" id="{8D4EB437-F549-483F-8657-F35BC9D47E28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217" name="Line 2">
          <a:extLst>
            <a:ext uri="{FF2B5EF4-FFF2-40B4-BE49-F238E27FC236}">
              <a16:creationId xmlns:a16="http://schemas.microsoft.com/office/drawing/2014/main" id="{73E2203B-FDCD-4D68-8D71-E940F1A1B76E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218" name="Line 3">
          <a:extLst>
            <a:ext uri="{FF2B5EF4-FFF2-40B4-BE49-F238E27FC236}">
              <a16:creationId xmlns:a16="http://schemas.microsoft.com/office/drawing/2014/main" id="{0C0CAAD9-8EDB-408B-A607-B9E2D8958A09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219" name="Line 5">
          <a:extLst>
            <a:ext uri="{FF2B5EF4-FFF2-40B4-BE49-F238E27FC236}">
              <a16:creationId xmlns:a16="http://schemas.microsoft.com/office/drawing/2014/main" id="{87943CCD-4703-49F3-B25A-59FEC2965453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20" name="Line 2">
          <a:extLst>
            <a:ext uri="{FF2B5EF4-FFF2-40B4-BE49-F238E27FC236}">
              <a16:creationId xmlns:a16="http://schemas.microsoft.com/office/drawing/2014/main" id="{3059A876-403D-4F14-B593-F641BF9B711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E961149E-396E-4731-8D89-D6745B7CF239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222" name="Line 4">
          <a:extLst>
            <a:ext uri="{FF2B5EF4-FFF2-40B4-BE49-F238E27FC236}">
              <a16:creationId xmlns:a16="http://schemas.microsoft.com/office/drawing/2014/main" id="{6F55825F-8597-489C-ABD7-28E6E2FAAD90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223" name="Line 5">
          <a:extLst>
            <a:ext uri="{FF2B5EF4-FFF2-40B4-BE49-F238E27FC236}">
              <a16:creationId xmlns:a16="http://schemas.microsoft.com/office/drawing/2014/main" id="{2C74B4ED-4379-48AB-94BF-76DC4CAB2524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224" name="Line 7">
          <a:extLst>
            <a:ext uri="{FF2B5EF4-FFF2-40B4-BE49-F238E27FC236}">
              <a16:creationId xmlns:a16="http://schemas.microsoft.com/office/drawing/2014/main" id="{670700EC-24B9-495B-B5F3-789A695B7754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BD9E38C4-AF3E-459F-8588-5E65F0ACFD0E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E7E1B90E-6486-488D-938B-FD2893CCCEE4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227" name="Line 4">
          <a:extLst>
            <a:ext uri="{FF2B5EF4-FFF2-40B4-BE49-F238E27FC236}">
              <a16:creationId xmlns:a16="http://schemas.microsoft.com/office/drawing/2014/main" id="{F9348507-44F7-4846-A1B4-DFF0570F03E8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228" name="Line 5">
          <a:extLst>
            <a:ext uri="{FF2B5EF4-FFF2-40B4-BE49-F238E27FC236}">
              <a16:creationId xmlns:a16="http://schemas.microsoft.com/office/drawing/2014/main" id="{92C283AA-6785-4265-9A8C-DF5EC91EF158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229" name="Line 2">
          <a:extLst>
            <a:ext uri="{FF2B5EF4-FFF2-40B4-BE49-F238E27FC236}">
              <a16:creationId xmlns:a16="http://schemas.microsoft.com/office/drawing/2014/main" id="{240256DC-B62B-4722-9981-AC895B5A0601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230" name="Line 3">
          <a:extLst>
            <a:ext uri="{FF2B5EF4-FFF2-40B4-BE49-F238E27FC236}">
              <a16:creationId xmlns:a16="http://schemas.microsoft.com/office/drawing/2014/main" id="{412B850B-C88E-4934-A0DA-859C8ED7DF05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231" name="Line 4">
          <a:extLst>
            <a:ext uri="{FF2B5EF4-FFF2-40B4-BE49-F238E27FC236}">
              <a16:creationId xmlns:a16="http://schemas.microsoft.com/office/drawing/2014/main" id="{6CE5A4B8-E3EC-4E1D-A485-139D0EDD3420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232" name="Line 5">
          <a:extLst>
            <a:ext uri="{FF2B5EF4-FFF2-40B4-BE49-F238E27FC236}">
              <a16:creationId xmlns:a16="http://schemas.microsoft.com/office/drawing/2014/main" id="{9A948A07-3D7C-4640-82ED-4A28CFC7CEE0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233" name="Line 7">
          <a:extLst>
            <a:ext uri="{FF2B5EF4-FFF2-40B4-BE49-F238E27FC236}">
              <a16:creationId xmlns:a16="http://schemas.microsoft.com/office/drawing/2014/main" id="{930D8424-B32E-4E7B-96C5-73BBD85DC30D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234" name="Line 8">
          <a:extLst>
            <a:ext uri="{FF2B5EF4-FFF2-40B4-BE49-F238E27FC236}">
              <a16:creationId xmlns:a16="http://schemas.microsoft.com/office/drawing/2014/main" id="{A0C1F6AB-DDA5-4C5E-A2C0-1CCB2F0596BD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235" name="Rectangle 7">
          <a:extLst>
            <a:ext uri="{FF2B5EF4-FFF2-40B4-BE49-F238E27FC236}">
              <a16:creationId xmlns:a16="http://schemas.microsoft.com/office/drawing/2014/main" id="{60FE49DB-814E-444E-ABAA-BD89C0396508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236" name="Rectangle 8">
          <a:extLst>
            <a:ext uri="{FF2B5EF4-FFF2-40B4-BE49-F238E27FC236}">
              <a16:creationId xmlns:a16="http://schemas.microsoft.com/office/drawing/2014/main" id="{F61014DB-829D-4EEC-8279-A041754304B1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F23AFD76-0824-480A-BDF9-F52266E80C88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238" name="Line 5">
          <a:extLst>
            <a:ext uri="{FF2B5EF4-FFF2-40B4-BE49-F238E27FC236}">
              <a16:creationId xmlns:a16="http://schemas.microsoft.com/office/drawing/2014/main" id="{A8C9E623-88FE-43F8-8E03-2055FA892671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239" name="Line 2">
          <a:extLst>
            <a:ext uri="{FF2B5EF4-FFF2-40B4-BE49-F238E27FC236}">
              <a16:creationId xmlns:a16="http://schemas.microsoft.com/office/drawing/2014/main" id="{19D68D75-13BD-4117-8DDB-48CD45C59A4C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240" name="Line 3">
          <a:extLst>
            <a:ext uri="{FF2B5EF4-FFF2-40B4-BE49-F238E27FC236}">
              <a16:creationId xmlns:a16="http://schemas.microsoft.com/office/drawing/2014/main" id="{DBD053A0-8C52-493E-A067-D924623F50D7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241" name="Line 4">
          <a:extLst>
            <a:ext uri="{FF2B5EF4-FFF2-40B4-BE49-F238E27FC236}">
              <a16:creationId xmlns:a16="http://schemas.microsoft.com/office/drawing/2014/main" id="{4CD49431-CFBB-4B02-AD2D-E8FAED62BECF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242" name="Line 5">
          <a:extLst>
            <a:ext uri="{FF2B5EF4-FFF2-40B4-BE49-F238E27FC236}">
              <a16:creationId xmlns:a16="http://schemas.microsoft.com/office/drawing/2014/main" id="{D620D8A9-927C-4117-AC89-A3FCB594B757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243" name="Line 7">
          <a:extLst>
            <a:ext uri="{FF2B5EF4-FFF2-40B4-BE49-F238E27FC236}">
              <a16:creationId xmlns:a16="http://schemas.microsoft.com/office/drawing/2014/main" id="{7E09925D-9D09-4401-882A-2154CBA085CE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44" name="Line 2">
          <a:extLst>
            <a:ext uri="{FF2B5EF4-FFF2-40B4-BE49-F238E27FC236}">
              <a16:creationId xmlns:a16="http://schemas.microsoft.com/office/drawing/2014/main" id="{0366B4BB-3016-41EE-87AB-0A853C3CF771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2910AF80-3E15-48EB-890F-EBB666C05DC8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46" name="Line 4">
          <a:extLst>
            <a:ext uri="{FF2B5EF4-FFF2-40B4-BE49-F238E27FC236}">
              <a16:creationId xmlns:a16="http://schemas.microsoft.com/office/drawing/2014/main" id="{EA86A4BC-E727-4EF3-8364-92F1FA38345C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247" name="Line 5">
          <a:extLst>
            <a:ext uri="{FF2B5EF4-FFF2-40B4-BE49-F238E27FC236}">
              <a16:creationId xmlns:a16="http://schemas.microsoft.com/office/drawing/2014/main" id="{4884230C-C99F-4277-B6D8-EC728A0B765F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48" name="Line 2">
          <a:extLst>
            <a:ext uri="{FF2B5EF4-FFF2-40B4-BE49-F238E27FC236}">
              <a16:creationId xmlns:a16="http://schemas.microsoft.com/office/drawing/2014/main" id="{B74F3D26-E17B-492C-A923-AB24121BC56D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B901B55C-C17C-4B38-9304-0AEDDDB74AAE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250" name="Line 4">
          <a:extLst>
            <a:ext uri="{FF2B5EF4-FFF2-40B4-BE49-F238E27FC236}">
              <a16:creationId xmlns:a16="http://schemas.microsoft.com/office/drawing/2014/main" id="{2B9624F3-F0F9-4755-ACBA-AE3D40A2D26D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384</xdr:row>
      <xdr:rowOff>0</xdr:rowOff>
    </xdr:from>
    <xdr:to>
      <xdr:col>8</xdr:col>
      <xdr:colOff>180975</xdr:colOff>
      <xdr:row>384</xdr:row>
      <xdr:rowOff>0</xdr:rowOff>
    </xdr:to>
    <xdr:sp macro="" textlink="">
      <xdr:nvSpPr>
        <xdr:cNvPr id="251" name="Line 5">
          <a:extLst>
            <a:ext uri="{FF2B5EF4-FFF2-40B4-BE49-F238E27FC236}">
              <a16:creationId xmlns:a16="http://schemas.microsoft.com/office/drawing/2014/main" id="{74EFDC42-EE96-4E3C-99C9-3EDF9EA54BF2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252" name="Line 7">
          <a:extLst>
            <a:ext uri="{FF2B5EF4-FFF2-40B4-BE49-F238E27FC236}">
              <a16:creationId xmlns:a16="http://schemas.microsoft.com/office/drawing/2014/main" id="{AA475041-01C0-4E8F-A0E6-B4644737B3D6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3410034B-9482-48AE-99CF-27884B997F94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254" name="Line 5">
          <a:extLst>
            <a:ext uri="{FF2B5EF4-FFF2-40B4-BE49-F238E27FC236}">
              <a16:creationId xmlns:a16="http://schemas.microsoft.com/office/drawing/2014/main" id="{9D7D89AC-CAE1-4064-BD85-DE0249D4227B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722BFB9-E377-4FF0-AF07-5E77D1AF7111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ED9B9B8F-E630-4F4A-99EF-5AECC8F8C88A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257" name="Line 4">
          <a:extLst>
            <a:ext uri="{FF2B5EF4-FFF2-40B4-BE49-F238E27FC236}">
              <a16:creationId xmlns:a16="http://schemas.microsoft.com/office/drawing/2014/main" id="{8BD5BB72-64EA-417D-814B-28556B6EEC62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258" name="Line 5">
          <a:extLst>
            <a:ext uri="{FF2B5EF4-FFF2-40B4-BE49-F238E27FC236}">
              <a16:creationId xmlns:a16="http://schemas.microsoft.com/office/drawing/2014/main" id="{44954052-2E72-4127-A579-2CD38CC47C73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460</xdr:row>
      <xdr:rowOff>0</xdr:rowOff>
    </xdr:from>
    <xdr:to>
      <xdr:col>8</xdr:col>
      <xdr:colOff>180975</xdr:colOff>
      <xdr:row>460</xdr:row>
      <xdr:rowOff>0</xdr:rowOff>
    </xdr:to>
    <xdr:sp macro="" textlink="">
      <xdr:nvSpPr>
        <xdr:cNvPr id="259" name="Line 7">
          <a:extLst>
            <a:ext uri="{FF2B5EF4-FFF2-40B4-BE49-F238E27FC236}">
              <a16:creationId xmlns:a16="http://schemas.microsoft.com/office/drawing/2014/main" id="{5EB57610-20CB-4EF7-A68F-720EF4CDDA2C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60" name="Line 2">
          <a:extLst>
            <a:ext uri="{FF2B5EF4-FFF2-40B4-BE49-F238E27FC236}">
              <a16:creationId xmlns:a16="http://schemas.microsoft.com/office/drawing/2014/main" id="{59CD5CB0-5AAF-42BC-821C-20CC83ABEFA4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61" name="Line 3">
          <a:extLst>
            <a:ext uri="{FF2B5EF4-FFF2-40B4-BE49-F238E27FC236}">
              <a16:creationId xmlns:a16="http://schemas.microsoft.com/office/drawing/2014/main" id="{D736AB26-28CB-49E2-9767-ABE0A7CD563E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62" name="Line 4">
          <a:extLst>
            <a:ext uri="{FF2B5EF4-FFF2-40B4-BE49-F238E27FC236}">
              <a16:creationId xmlns:a16="http://schemas.microsoft.com/office/drawing/2014/main" id="{9AFBDEC7-18A7-4A1D-AFF3-1EC5E1F774EE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263" name="Line 5">
          <a:extLst>
            <a:ext uri="{FF2B5EF4-FFF2-40B4-BE49-F238E27FC236}">
              <a16:creationId xmlns:a16="http://schemas.microsoft.com/office/drawing/2014/main" id="{C669C9B5-E8C8-404F-96EE-EBC2B372B732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866F42E1-9352-4C7A-A0DA-D4570BB8D3FC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7F5587C8-3731-41AA-A993-31C8624E155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266" name="Line 4">
          <a:extLst>
            <a:ext uri="{FF2B5EF4-FFF2-40B4-BE49-F238E27FC236}">
              <a16:creationId xmlns:a16="http://schemas.microsoft.com/office/drawing/2014/main" id="{73CC1FBA-ADAB-48A7-B2D2-2C9506E73281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267" name="Line 5">
          <a:extLst>
            <a:ext uri="{FF2B5EF4-FFF2-40B4-BE49-F238E27FC236}">
              <a16:creationId xmlns:a16="http://schemas.microsoft.com/office/drawing/2014/main" id="{3060E079-FC95-4CDF-A0DD-1C00496969AE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268" name="Line 7">
          <a:extLst>
            <a:ext uri="{FF2B5EF4-FFF2-40B4-BE49-F238E27FC236}">
              <a16:creationId xmlns:a16="http://schemas.microsoft.com/office/drawing/2014/main" id="{58184D80-CE48-4AB0-9213-463F8009D64A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269" name="Line 2">
          <a:extLst>
            <a:ext uri="{FF2B5EF4-FFF2-40B4-BE49-F238E27FC236}">
              <a16:creationId xmlns:a16="http://schemas.microsoft.com/office/drawing/2014/main" id="{EF5C7950-8DCD-4AAB-BDF4-17487F448106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270" name="Line 3">
          <a:extLst>
            <a:ext uri="{FF2B5EF4-FFF2-40B4-BE49-F238E27FC236}">
              <a16:creationId xmlns:a16="http://schemas.microsoft.com/office/drawing/2014/main" id="{B546BB8D-75DD-4359-9344-4C2971FFD81F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416</xdr:row>
      <xdr:rowOff>0</xdr:rowOff>
    </xdr:from>
    <xdr:to>
      <xdr:col>8</xdr:col>
      <xdr:colOff>180975</xdr:colOff>
      <xdr:row>416</xdr:row>
      <xdr:rowOff>0</xdr:rowOff>
    </xdr:to>
    <xdr:sp macro="" textlink="">
      <xdr:nvSpPr>
        <xdr:cNvPr id="271" name="Line 4">
          <a:extLst>
            <a:ext uri="{FF2B5EF4-FFF2-40B4-BE49-F238E27FC236}">
              <a16:creationId xmlns:a16="http://schemas.microsoft.com/office/drawing/2014/main" id="{03D2A9F0-3D00-4BBD-A49F-2C1B1BB5AAA1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272" name="Line 3">
          <a:extLst>
            <a:ext uri="{FF2B5EF4-FFF2-40B4-BE49-F238E27FC236}">
              <a16:creationId xmlns:a16="http://schemas.microsoft.com/office/drawing/2014/main" id="{F0FB1CB4-032E-449D-85D7-C491DB8B8B1F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273" name="Line 5">
          <a:extLst>
            <a:ext uri="{FF2B5EF4-FFF2-40B4-BE49-F238E27FC236}">
              <a16:creationId xmlns:a16="http://schemas.microsoft.com/office/drawing/2014/main" id="{430916C4-8658-4BE6-8C6A-D57EF4CEC0F5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274" name="Line 2">
          <a:extLst>
            <a:ext uri="{FF2B5EF4-FFF2-40B4-BE49-F238E27FC236}">
              <a16:creationId xmlns:a16="http://schemas.microsoft.com/office/drawing/2014/main" id="{3236BB13-8062-454E-8F05-E4E3412B3D71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275" name="Line 3">
          <a:extLst>
            <a:ext uri="{FF2B5EF4-FFF2-40B4-BE49-F238E27FC236}">
              <a16:creationId xmlns:a16="http://schemas.microsoft.com/office/drawing/2014/main" id="{14323032-ED23-45EA-924F-2AC3CBDE01F8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276" name="Line 4">
          <a:extLst>
            <a:ext uri="{FF2B5EF4-FFF2-40B4-BE49-F238E27FC236}">
              <a16:creationId xmlns:a16="http://schemas.microsoft.com/office/drawing/2014/main" id="{3AA5A5B8-6093-4368-9400-6F9E579D426F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277" name="Line 5">
          <a:extLst>
            <a:ext uri="{FF2B5EF4-FFF2-40B4-BE49-F238E27FC236}">
              <a16:creationId xmlns:a16="http://schemas.microsoft.com/office/drawing/2014/main" id="{8782DF74-BD32-45DA-B2F1-581DA67FE5E2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278" name="Line 7">
          <a:extLst>
            <a:ext uri="{FF2B5EF4-FFF2-40B4-BE49-F238E27FC236}">
              <a16:creationId xmlns:a16="http://schemas.microsoft.com/office/drawing/2014/main" id="{F7988056-D5E4-4BEA-9E4E-6E81FA8BA155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C6A19C1-3A6F-4330-BAB9-575EDFCA07FE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0E348AD3-3F2B-4595-BACC-451753F34487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81" name="Line 4">
          <a:extLst>
            <a:ext uri="{FF2B5EF4-FFF2-40B4-BE49-F238E27FC236}">
              <a16:creationId xmlns:a16="http://schemas.microsoft.com/office/drawing/2014/main" id="{5B390928-6E40-44A1-B485-19A1E632759D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282" name="Line 5">
          <a:extLst>
            <a:ext uri="{FF2B5EF4-FFF2-40B4-BE49-F238E27FC236}">
              <a16:creationId xmlns:a16="http://schemas.microsoft.com/office/drawing/2014/main" id="{C9B883EB-8F74-4456-829E-8C825ADF26AA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83" name="Line 2">
          <a:extLst>
            <a:ext uri="{FF2B5EF4-FFF2-40B4-BE49-F238E27FC236}">
              <a16:creationId xmlns:a16="http://schemas.microsoft.com/office/drawing/2014/main" id="{EEFFC833-7A0F-45CB-A8BF-3DE55C6F7118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284" name="Line 3">
          <a:extLst>
            <a:ext uri="{FF2B5EF4-FFF2-40B4-BE49-F238E27FC236}">
              <a16:creationId xmlns:a16="http://schemas.microsoft.com/office/drawing/2014/main" id="{A69B2084-41D1-408D-94CA-854F9F9EEE74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285" name="Line 4">
          <a:extLst>
            <a:ext uri="{FF2B5EF4-FFF2-40B4-BE49-F238E27FC236}">
              <a16:creationId xmlns:a16="http://schemas.microsoft.com/office/drawing/2014/main" id="{4407A722-36CD-4935-B81C-800793832DB1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286" name="Line 2">
          <a:extLst>
            <a:ext uri="{FF2B5EF4-FFF2-40B4-BE49-F238E27FC236}">
              <a16:creationId xmlns:a16="http://schemas.microsoft.com/office/drawing/2014/main" id="{7635DAD7-5A9E-4F74-8F8B-E68B6E025A39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287" name="Line 3">
          <a:extLst>
            <a:ext uri="{FF2B5EF4-FFF2-40B4-BE49-F238E27FC236}">
              <a16:creationId xmlns:a16="http://schemas.microsoft.com/office/drawing/2014/main" id="{5B2AECFE-0A53-4D26-94B1-CAEBD5EB966E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288" name="Line 4">
          <a:extLst>
            <a:ext uri="{FF2B5EF4-FFF2-40B4-BE49-F238E27FC236}">
              <a16:creationId xmlns:a16="http://schemas.microsoft.com/office/drawing/2014/main" id="{6E0F78AB-6FF7-4EDF-924C-4CE8789F081B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289" name="Line 2">
          <a:extLst>
            <a:ext uri="{FF2B5EF4-FFF2-40B4-BE49-F238E27FC236}">
              <a16:creationId xmlns:a16="http://schemas.microsoft.com/office/drawing/2014/main" id="{7B70D2AB-EC62-49D3-BDCC-570BCC66A4F6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290" name="Line 3">
          <a:extLst>
            <a:ext uri="{FF2B5EF4-FFF2-40B4-BE49-F238E27FC236}">
              <a16:creationId xmlns:a16="http://schemas.microsoft.com/office/drawing/2014/main" id="{D44B82AA-B97D-4626-9837-CBF9D1E850AE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576</xdr:row>
      <xdr:rowOff>0</xdr:rowOff>
    </xdr:from>
    <xdr:to>
      <xdr:col>8</xdr:col>
      <xdr:colOff>180975</xdr:colOff>
      <xdr:row>576</xdr:row>
      <xdr:rowOff>0</xdr:rowOff>
    </xdr:to>
    <xdr:sp macro="" textlink="">
      <xdr:nvSpPr>
        <xdr:cNvPr id="291" name="Line 4">
          <a:extLst>
            <a:ext uri="{FF2B5EF4-FFF2-40B4-BE49-F238E27FC236}">
              <a16:creationId xmlns:a16="http://schemas.microsoft.com/office/drawing/2014/main" id="{F5F5A12C-8F74-43E1-8DAB-ACCBB3D3DC46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0EAD6134-880E-44D5-BEB0-0C06225A55FB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293" name="Line 5">
          <a:extLst>
            <a:ext uri="{FF2B5EF4-FFF2-40B4-BE49-F238E27FC236}">
              <a16:creationId xmlns:a16="http://schemas.microsoft.com/office/drawing/2014/main" id="{0639EFDA-32D7-4B20-852A-FA48CF3D2808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EF4556CE-AF1E-49F5-BBA6-0013DE4669CB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9258C621-D5BB-4512-A94A-E47394359545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296" name="Line 4">
          <a:extLst>
            <a:ext uri="{FF2B5EF4-FFF2-40B4-BE49-F238E27FC236}">
              <a16:creationId xmlns:a16="http://schemas.microsoft.com/office/drawing/2014/main" id="{696A92D2-BA2D-4A89-9D7B-BDB88F508BE0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297" name="Line 5">
          <a:extLst>
            <a:ext uri="{FF2B5EF4-FFF2-40B4-BE49-F238E27FC236}">
              <a16:creationId xmlns:a16="http://schemas.microsoft.com/office/drawing/2014/main" id="{91FA5945-57B5-4AE8-B17A-C907CFF0F1B9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298" name="Line 7">
          <a:extLst>
            <a:ext uri="{FF2B5EF4-FFF2-40B4-BE49-F238E27FC236}">
              <a16:creationId xmlns:a16="http://schemas.microsoft.com/office/drawing/2014/main" id="{AE960E3F-665B-4C5F-A240-BF49F782501A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299" name="Line 2">
          <a:extLst>
            <a:ext uri="{FF2B5EF4-FFF2-40B4-BE49-F238E27FC236}">
              <a16:creationId xmlns:a16="http://schemas.microsoft.com/office/drawing/2014/main" id="{73C7C5BA-158C-4406-A7A8-19A364A9E2DD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300" name="Line 3">
          <a:extLst>
            <a:ext uri="{FF2B5EF4-FFF2-40B4-BE49-F238E27FC236}">
              <a16:creationId xmlns:a16="http://schemas.microsoft.com/office/drawing/2014/main" id="{72C9DAD3-7913-41EB-936A-0938FCACFA3D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301" name="Line 4">
          <a:extLst>
            <a:ext uri="{FF2B5EF4-FFF2-40B4-BE49-F238E27FC236}">
              <a16:creationId xmlns:a16="http://schemas.microsoft.com/office/drawing/2014/main" id="{D56FA1D2-BEA2-47DB-84DD-31F540449717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302" name="Line 5">
          <a:extLst>
            <a:ext uri="{FF2B5EF4-FFF2-40B4-BE49-F238E27FC236}">
              <a16:creationId xmlns:a16="http://schemas.microsoft.com/office/drawing/2014/main" id="{FA91A853-E257-425E-9A31-A0EB0C10B08C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303" name="Line 2">
          <a:extLst>
            <a:ext uri="{FF2B5EF4-FFF2-40B4-BE49-F238E27FC236}">
              <a16:creationId xmlns:a16="http://schemas.microsoft.com/office/drawing/2014/main" id="{4A6126CC-1C6F-49FB-A28D-0BC872EA1244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304" name="Line 3">
          <a:extLst>
            <a:ext uri="{FF2B5EF4-FFF2-40B4-BE49-F238E27FC236}">
              <a16:creationId xmlns:a16="http://schemas.microsoft.com/office/drawing/2014/main" id="{6FD6D2E7-D09A-41C6-A204-02D817A77489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305" name="Line 4">
          <a:extLst>
            <a:ext uri="{FF2B5EF4-FFF2-40B4-BE49-F238E27FC236}">
              <a16:creationId xmlns:a16="http://schemas.microsoft.com/office/drawing/2014/main" id="{E4113473-AFE5-4A5C-A2F4-07E75FB8FAA1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306" name="Line 2">
          <a:extLst>
            <a:ext uri="{FF2B5EF4-FFF2-40B4-BE49-F238E27FC236}">
              <a16:creationId xmlns:a16="http://schemas.microsoft.com/office/drawing/2014/main" id="{FDE95F0A-6D79-49FB-8277-1EC5AD0092B3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307" name="Line 3">
          <a:extLst>
            <a:ext uri="{FF2B5EF4-FFF2-40B4-BE49-F238E27FC236}">
              <a16:creationId xmlns:a16="http://schemas.microsoft.com/office/drawing/2014/main" id="{6E23221B-BC58-4C8C-8607-25A8D17257D2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308" name="Line 4">
          <a:extLst>
            <a:ext uri="{FF2B5EF4-FFF2-40B4-BE49-F238E27FC236}">
              <a16:creationId xmlns:a16="http://schemas.microsoft.com/office/drawing/2014/main" id="{1600D40A-7381-4296-92B7-1ED9F7AB3566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309" name="Line 2">
          <a:extLst>
            <a:ext uri="{FF2B5EF4-FFF2-40B4-BE49-F238E27FC236}">
              <a16:creationId xmlns:a16="http://schemas.microsoft.com/office/drawing/2014/main" id="{8F000D0B-95C3-4758-A156-7208347BC80E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310" name="Line 3">
          <a:extLst>
            <a:ext uri="{FF2B5EF4-FFF2-40B4-BE49-F238E27FC236}">
              <a16:creationId xmlns:a16="http://schemas.microsoft.com/office/drawing/2014/main" id="{FA84B62C-28C3-43A6-9C51-06A9CBE7A596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311" name="Line 4">
          <a:extLst>
            <a:ext uri="{FF2B5EF4-FFF2-40B4-BE49-F238E27FC236}">
              <a16:creationId xmlns:a16="http://schemas.microsoft.com/office/drawing/2014/main" id="{0283384C-004B-45CC-B91E-B908B26A7E68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312" name="Line 3">
          <a:extLst>
            <a:ext uri="{FF2B5EF4-FFF2-40B4-BE49-F238E27FC236}">
              <a16:creationId xmlns:a16="http://schemas.microsoft.com/office/drawing/2014/main" id="{F950EDD6-E6A4-4AC5-AEFD-00A89DC3D9DA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313" name="Line 5">
          <a:extLst>
            <a:ext uri="{FF2B5EF4-FFF2-40B4-BE49-F238E27FC236}">
              <a16:creationId xmlns:a16="http://schemas.microsoft.com/office/drawing/2014/main" id="{C316562C-2513-4E8D-93D5-F8314227765D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314" name="Line 2">
          <a:extLst>
            <a:ext uri="{FF2B5EF4-FFF2-40B4-BE49-F238E27FC236}">
              <a16:creationId xmlns:a16="http://schemas.microsoft.com/office/drawing/2014/main" id="{3DCECD6A-C5F9-4BF4-A886-C9E076801D34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315" name="Line 3">
          <a:extLst>
            <a:ext uri="{FF2B5EF4-FFF2-40B4-BE49-F238E27FC236}">
              <a16:creationId xmlns:a16="http://schemas.microsoft.com/office/drawing/2014/main" id="{AD83A68D-898F-4DA3-A7F2-009D20CFD525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316" name="Line 4">
          <a:extLst>
            <a:ext uri="{FF2B5EF4-FFF2-40B4-BE49-F238E27FC236}">
              <a16:creationId xmlns:a16="http://schemas.microsoft.com/office/drawing/2014/main" id="{58310145-6E50-418B-A48E-D58FE5B11B9C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317" name="Line 5">
          <a:extLst>
            <a:ext uri="{FF2B5EF4-FFF2-40B4-BE49-F238E27FC236}">
              <a16:creationId xmlns:a16="http://schemas.microsoft.com/office/drawing/2014/main" id="{DD0AB786-245A-4B08-8030-C49188EE6037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318" name="Line 7">
          <a:extLst>
            <a:ext uri="{FF2B5EF4-FFF2-40B4-BE49-F238E27FC236}">
              <a16:creationId xmlns:a16="http://schemas.microsoft.com/office/drawing/2014/main" id="{465DC8BA-DBB6-45F1-86CD-70322A3FF0D6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19" name="Line 2">
          <a:extLst>
            <a:ext uri="{FF2B5EF4-FFF2-40B4-BE49-F238E27FC236}">
              <a16:creationId xmlns:a16="http://schemas.microsoft.com/office/drawing/2014/main" id="{D73D0223-A02A-4674-BA04-28EA60D52A33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20" name="Line 3">
          <a:extLst>
            <a:ext uri="{FF2B5EF4-FFF2-40B4-BE49-F238E27FC236}">
              <a16:creationId xmlns:a16="http://schemas.microsoft.com/office/drawing/2014/main" id="{45FAD090-BE43-4789-BB99-4AD38F9C9725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21" name="Line 4">
          <a:extLst>
            <a:ext uri="{FF2B5EF4-FFF2-40B4-BE49-F238E27FC236}">
              <a16:creationId xmlns:a16="http://schemas.microsoft.com/office/drawing/2014/main" id="{1D0FDBBA-00F4-42C7-8E83-49ACE8D198F4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322" name="Line 5">
          <a:extLst>
            <a:ext uri="{FF2B5EF4-FFF2-40B4-BE49-F238E27FC236}">
              <a16:creationId xmlns:a16="http://schemas.microsoft.com/office/drawing/2014/main" id="{53472B33-8236-4294-BDFC-EE5E963E966A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23" name="Line 2">
          <a:extLst>
            <a:ext uri="{FF2B5EF4-FFF2-40B4-BE49-F238E27FC236}">
              <a16:creationId xmlns:a16="http://schemas.microsoft.com/office/drawing/2014/main" id="{E7A47CD0-2F08-4153-8790-ACE7CD26F3D2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324" name="Line 3">
          <a:extLst>
            <a:ext uri="{FF2B5EF4-FFF2-40B4-BE49-F238E27FC236}">
              <a16:creationId xmlns:a16="http://schemas.microsoft.com/office/drawing/2014/main" id="{6F75FD08-9158-45DF-BFB0-FC54C0882ECD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325" name="Line 4">
          <a:extLst>
            <a:ext uri="{FF2B5EF4-FFF2-40B4-BE49-F238E27FC236}">
              <a16:creationId xmlns:a16="http://schemas.microsoft.com/office/drawing/2014/main" id="{D491E06F-1D54-488E-9D68-1ED2FA985B1A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326" name="Line 2">
          <a:extLst>
            <a:ext uri="{FF2B5EF4-FFF2-40B4-BE49-F238E27FC236}">
              <a16:creationId xmlns:a16="http://schemas.microsoft.com/office/drawing/2014/main" id="{43BC13CC-5D09-4A01-86A9-8858D7012FEB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327" name="Line 3">
          <a:extLst>
            <a:ext uri="{FF2B5EF4-FFF2-40B4-BE49-F238E27FC236}">
              <a16:creationId xmlns:a16="http://schemas.microsoft.com/office/drawing/2014/main" id="{69D0696B-F89B-4438-B1A9-4585669BE967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691</xdr:row>
      <xdr:rowOff>0</xdr:rowOff>
    </xdr:from>
    <xdr:to>
      <xdr:col>8</xdr:col>
      <xdr:colOff>180975</xdr:colOff>
      <xdr:row>691</xdr:row>
      <xdr:rowOff>0</xdr:rowOff>
    </xdr:to>
    <xdr:sp macro="" textlink="">
      <xdr:nvSpPr>
        <xdr:cNvPr id="328" name="Line 4">
          <a:extLst>
            <a:ext uri="{FF2B5EF4-FFF2-40B4-BE49-F238E27FC236}">
              <a16:creationId xmlns:a16="http://schemas.microsoft.com/office/drawing/2014/main" id="{985C4130-3732-4FDD-9C24-FAB7376C30CC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329" name="Line 2">
          <a:extLst>
            <a:ext uri="{FF2B5EF4-FFF2-40B4-BE49-F238E27FC236}">
              <a16:creationId xmlns:a16="http://schemas.microsoft.com/office/drawing/2014/main" id="{BDA523C7-26DD-4404-AC91-2E594C562AA5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330" name="Line 3">
          <a:extLst>
            <a:ext uri="{FF2B5EF4-FFF2-40B4-BE49-F238E27FC236}">
              <a16:creationId xmlns:a16="http://schemas.microsoft.com/office/drawing/2014/main" id="{762F07D9-9D8F-4058-A82F-461B91A057A3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694</xdr:row>
      <xdr:rowOff>0</xdr:rowOff>
    </xdr:from>
    <xdr:to>
      <xdr:col>8</xdr:col>
      <xdr:colOff>180975</xdr:colOff>
      <xdr:row>694</xdr:row>
      <xdr:rowOff>0</xdr:rowOff>
    </xdr:to>
    <xdr:sp macro="" textlink="">
      <xdr:nvSpPr>
        <xdr:cNvPr id="331" name="Line 4">
          <a:extLst>
            <a:ext uri="{FF2B5EF4-FFF2-40B4-BE49-F238E27FC236}">
              <a16:creationId xmlns:a16="http://schemas.microsoft.com/office/drawing/2014/main" id="{D0701EED-B2FB-49BC-B262-3CDC987A4E52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332" name="Line 3">
          <a:extLst>
            <a:ext uri="{FF2B5EF4-FFF2-40B4-BE49-F238E27FC236}">
              <a16:creationId xmlns:a16="http://schemas.microsoft.com/office/drawing/2014/main" id="{DA021124-55A5-4B68-8137-67EE77E37766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333" name="Line 5">
          <a:extLst>
            <a:ext uri="{FF2B5EF4-FFF2-40B4-BE49-F238E27FC236}">
              <a16:creationId xmlns:a16="http://schemas.microsoft.com/office/drawing/2014/main" id="{B0F0C90A-633A-4EBF-85AE-86959A0864AA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334" name="Line 2">
          <a:extLst>
            <a:ext uri="{FF2B5EF4-FFF2-40B4-BE49-F238E27FC236}">
              <a16:creationId xmlns:a16="http://schemas.microsoft.com/office/drawing/2014/main" id="{F2748DAB-11D9-48AF-BC93-3AE838272C60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335" name="Line 3">
          <a:extLst>
            <a:ext uri="{FF2B5EF4-FFF2-40B4-BE49-F238E27FC236}">
              <a16:creationId xmlns:a16="http://schemas.microsoft.com/office/drawing/2014/main" id="{D9F260CB-8F32-46C0-8A37-E399899CA10F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336" name="Line 4">
          <a:extLst>
            <a:ext uri="{FF2B5EF4-FFF2-40B4-BE49-F238E27FC236}">
              <a16:creationId xmlns:a16="http://schemas.microsoft.com/office/drawing/2014/main" id="{1E6A6461-49CB-4692-83D5-B0146B2D82C7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337" name="Line 5">
          <a:extLst>
            <a:ext uri="{FF2B5EF4-FFF2-40B4-BE49-F238E27FC236}">
              <a16:creationId xmlns:a16="http://schemas.microsoft.com/office/drawing/2014/main" id="{E1DE9280-EDE4-410B-B62D-E9458AF5641F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776</xdr:row>
      <xdr:rowOff>0</xdr:rowOff>
    </xdr:from>
    <xdr:to>
      <xdr:col>8</xdr:col>
      <xdr:colOff>180975</xdr:colOff>
      <xdr:row>776</xdr:row>
      <xdr:rowOff>0</xdr:rowOff>
    </xdr:to>
    <xdr:sp macro="" textlink="">
      <xdr:nvSpPr>
        <xdr:cNvPr id="338" name="Line 7">
          <a:extLst>
            <a:ext uri="{FF2B5EF4-FFF2-40B4-BE49-F238E27FC236}">
              <a16:creationId xmlns:a16="http://schemas.microsoft.com/office/drawing/2014/main" id="{4796AF1C-846F-4DDE-92F9-89D1E1B1D864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39" name="Line 2">
          <a:extLst>
            <a:ext uri="{FF2B5EF4-FFF2-40B4-BE49-F238E27FC236}">
              <a16:creationId xmlns:a16="http://schemas.microsoft.com/office/drawing/2014/main" id="{FBEE1043-25B1-4A2B-923B-715677A66323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40" name="Line 3">
          <a:extLst>
            <a:ext uri="{FF2B5EF4-FFF2-40B4-BE49-F238E27FC236}">
              <a16:creationId xmlns:a16="http://schemas.microsoft.com/office/drawing/2014/main" id="{C55848C7-5898-4809-A298-9217EB3EFB5E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41" name="Line 4">
          <a:extLst>
            <a:ext uri="{FF2B5EF4-FFF2-40B4-BE49-F238E27FC236}">
              <a16:creationId xmlns:a16="http://schemas.microsoft.com/office/drawing/2014/main" id="{79018734-B5A3-4770-B356-73E8498AA33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342" name="Line 5">
          <a:extLst>
            <a:ext uri="{FF2B5EF4-FFF2-40B4-BE49-F238E27FC236}">
              <a16:creationId xmlns:a16="http://schemas.microsoft.com/office/drawing/2014/main" id="{C839E91E-5501-4EAF-BA7D-ED96C0E259DA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43" name="Line 2">
          <a:extLst>
            <a:ext uri="{FF2B5EF4-FFF2-40B4-BE49-F238E27FC236}">
              <a16:creationId xmlns:a16="http://schemas.microsoft.com/office/drawing/2014/main" id="{00D86EF0-D212-4AE1-84BA-4A22ED9FD553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344" name="Line 3">
          <a:extLst>
            <a:ext uri="{FF2B5EF4-FFF2-40B4-BE49-F238E27FC236}">
              <a16:creationId xmlns:a16="http://schemas.microsoft.com/office/drawing/2014/main" id="{EA6F412A-7F0C-49AD-AE82-6A02E657014B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345" name="Line 4">
          <a:extLst>
            <a:ext uri="{FF2B5EF4-FFF2-40B4-BE49-F238E27FC236}">
              <a16:creationId xmlns:a16="http://schemas.microsoft.com/office/drawing/2014/main" id="{82053893-24E1-40CD-ADB9-175AD9B3D386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346" name="Line 2">
          <a:extLst>
            <a:ext uri="{FF2B5EF4-FFF2-40B4-BE49-F238E27FC236}">
              <a16:creationId xmlns:a16="http://schemas.microsoft.com/office/drawing/2014/main" id="{5FB3412C-1B97-4632-9972-B95BFA1D830A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347" name="Line 3">
          <a:extLst>
            <a:ext uri="{FF2B5EF4-FFF2-40B4-BE49-F238E27FC236}">
              <a16:creationId xmlns:a16="http://schemas.microsoft.com/office/drawing/2014/main" id="{5D48AD99-B763-4380-90D0-36FED6FD38CC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751</xdr:row>
      <xdr:rowOff>0</xdr:rowOff>
    </xdr:from>
    <xdr:to>
      <xdr:col>8</xdr:col>
      <xdr:colOff>180975</xdr:colOff>
      <xdr:row>751</xdr:row>
      <xdr:rowOff>0</xdr:rowOff>
    </xdr:to>
    <xdr:sp macro="" textlink="">
      <xdr:nvSpPr>
        <xdr:cNvPr id="348" name="Line 4">
          <a:extLst>
            <a:ext uri="{FF2B5EF4-FFF2-40B4-BE49-F238E27FC236}">
              <a16:creationId xmlns:a16="http://schemas.microsoft.com/office/drawing/2014/main" id="{D7814BBB-3CC4-4B8A-B87C-4889CFA3BC4F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349" name="Line 2">
          <a:extLst>
            <a:ext uri="{FF2B5EF4-FFF2-40B4-BE49-F238E27FC236}">
              <a16:creationId xmlns:a16="http://schemas.microsoft.com/office/drawing/2014/main" id="{C3BCB072-09E2-4284-8B96-E13D4D66B8A4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350" name="Line 3">
          <a:extLst>
            <a:ext uri="{FF2B5EF4-FFF2-40B4-BE49-F238E27FC236}">
              <a16:creationId xmlns:a16="http://schemas.microsoft.com/office/drawing/2014/main" id="{DCD82FFB-7769-4993-8D6D-CB257C58015A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754</xdr:row>
      <xdr:rowOff>0</xdr:rowOff>
    </xdr:from>
    <xdr:to>
      <xdr:col>8</xdr:col>
      <xdr:colOff>180975</xdr:colOff>
      <xdr:row>754</xdr:row>
      <xdr:rowOff>0</xdr:rowOff>
    </xdr:to>
    <xdr:sp macro="" textlink="">
      <xdr:nvSpPr>
        <xdr:cNvPr id="351" name="Line 4">
          <a:extLst>
            <a:ext uri="{FF2B5EF4-FFF2-40B4-BE49-F238E27FC236}">
              <a16:creationId xmlns:a16="http://schemas.microsoft.com/office/drawing/2014/main" id="{EBEC4902-0ECD-4D7F-B794-A06125592C0D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</xdr:row>
      <xdr:rowOff>0</xdr:rowOff>
    </xdr:from>
    <xdr:to>
      <xdr:col>8</xdr:col>
      <xdr:colOff>180975</xdr:colOff>
      <xdr:row>53</xdr:row>
      <xdr:rowOff>0</xdr:rowOff>
    </xdr:to>
    <xdr:sp macro="" textlink="">
      <xdr:nvSpPr>
        <xdr:cNvPr id="352" name="Line 2">
          <a:extLst>
            <a:ext uri="{FF2B5EF4-FFF2-40B4-BE49-F238E27FC236}">
              <a16:creationId xmlns:a16="http://schemas.microsoft.com/office/drawing/2014/main" id="{61E622FA-9217-4C15-9063-FDC5ECA95328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353" name="Line 3">
          <a:extLst>
            <a:ext uri="{FF2B5EF4-FFF2-40B4-BE49-F238E27FC236}">
              <a16:creationId xmlns:a16="http://schemas.microsoft.com/office/drawing/2014/main" id="{A1375AA1-A812-48E8-881F-A45B5F5867DA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354" name="Line 5">
          <a:extLst>
            <a:ext uri="{FF2B5EF4-FFF2-40B4-BE49-F238E27FC236}">
              <a16:creationId xmlns:a16="http://schemas.microsoft.com/office/drawing/2014/main" id="{B31A9629-8909-4F85-BA10-A621F6B74691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355" name="Line 3">
          <a:extLst>
            <a:ext uri="{FF2B5EF4-FFF2-40B4-BE49-F238E27FC236}">
              <a16:creationId xmlns:a16="http://schemas.microsoft.com/office/drawing/2014/main" id="{2186A655-FBE7-4235-96DC-C9F3E99F39C6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356" name="Line 5">
          <a:extLst>
            <a:ext uri="{FF2B5EF4-FFF2-40B4-BE49-F238E27FC236}">
              <a16:creationId xmlns:a16="http://schemas.microsoft.com/office/drawing/2014/main" id="{F9B14436-7F31-4AF0-ACAD-76B8E587C6C0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357" name="Line 2">
          <a:extLst>
            <a:ext uri="{FF2B5EF4-FFF2-40B4-BE49-F238E27FC236}">
              <a16:creationId xmlns:a16="http://schemas.microsoft.com/office/drawing/2014/main" id="{61EE613C-703D-44CC-AC5A-96CC0CC4D75E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358" name="Line 3">
          <a:extLst>
            <a:ext uri="{FF2B5EF4-FFF2-40B4-BE49-F238E27FC236}">
              <a16:creationId xmlns:a16="http://schemas.microsoft.com/office/drawing/2014/main" id="{96D46FC6-8A16-4326-AFC2-DA02975B83E3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359" name="Line 4">
          <a:extLst>
            <a:ext uri="{FF2B5EF4-FFF2-40B4-BE49-F238E27FC236}">
              <a16:creationId xmlns:a16="http://schemas.microsoft.com/office/drawing/2014/main" id="{A47DE070-488C-45FF-83F3-A412FDB49FB7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360" name="Line 5">
          <a:extLst>
            <a:ext uri="{FF2B5EF4-FFF2-40B4-BE49-F238E27FC236}">
              <a16:creationId xmlns:a16="http://schemas.microsoft.com/office/drawing/2014/main" id="{E5C9C69B-256C-4F9A-AEEB-EE59378DC451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104</xdr:row>
      <xdr:rowOff>0</xdr:rowOff>
    </xdr:from>
    <xdr:to>
      <xdr:col>8</xdr:col>
      <xdr:colOff>180975</xdr:colOff>
      <xdr:row>104</xdr:row>
      <xdr:rowOff>0</xdr:rowOff>
    </xdr:to>
    <xdr:sp macro="" textlink="">
      <xdr:nvSpPr>
        <xdr:cNvPr id="361" name="Line 7">
          <a:extLst>
            <a:ext uri="{FF2B5EF4-FFF2-40B4-BE49-F238E27FC236}">
              <a16:creationId xmlns:a16="http://schemas.microsoft.com/office/drawing/2014/main" id="{40108D3E-B3CA-4317-AFD8-A9BC32611D96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362" name="Line 3">
          <a:extLst>
            <a:ext uri="{FF2B5EF4-FFF2-40B4-BE49-F238E27FC236}">
              <a16:creationId xmlns:a16="http://schemas.microsoft.com/office/drawing/2014/main" id="{0E782E64-67BB-4B7F-8238-2DE43B2A0C38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363" name="Line 5">
          <a:extLst>
            <a:ext uri="{FF2B5EF4-FFF2-40B4-BE49-F238E27FC236}">
              <a16:creationId xmlns:a16="http://schemas.microsoft.com/office/drawing/2014/main" id="{5E5BE5D3-E354-4E89-9CB9-579EED43D82F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364" name="Line 2">
          <a:extLst>
            <a:ext uri="{FF2B5EF4-FFF2-40B4-BE49-F238E27FC236}">
              <a16:creationId xmlns:a16="http://schemas.microsoft.com/office/drawing/2014/main" id="{965DF0F9-55B7-4FF3-BED5-51BCFBEC9840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365" name="Line 3">
          <a:extLst>
            <a:ext uri="{FF2B5EF4-FFF2-40B4-BE49-F238E27FC236}">
              <a16:creationId xmlns:a16="http://schemas.microsoft.com/office/drawing/2014/main" id="{6EC22CB2-F082-4833-96F9-3080F92D1B68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366" name="Line 4">
          <a:extLst>
            <a:ext uri="{FF2B5EF4-FFF2-40B4-BE49-F238E27FC236}">
              <a16:creationId xmlns:a16="http://schemas.microsoft.com/office/drawing/2014/main" id="{B05E8EBF-DCDA-47B7-9666-AFFA11641FE0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367" name="Line 5">
          <a:extLst>
            <a:ext uri="{FF2B5EF4-FFF2-40B4-BE49-F238E27FC236}">
              <a16:creationId xmlns:a16="http://schemas.microsoft.com/office/drawing/2014/main" id="{E5FEE6C7-0112-4C06-A1F1-1102F00BC804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368" name="Line 2">
          <a:extLst>
            <a:ext uri="{FF2B5EF4-FFF2-40B4-BE49-F238E27FC236}">
              <a16:creationId xmlns:a16="http://schemas.microsoft.com/office/drawing/2014/main" id="{9A260DF1-9A19-4B4F-99CD-5E52A48028C3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369" name="Line 3">
          <a:extLst>
            <a:ext uri="{FF2B5EF4-FFF2-40B4-BE49-F238E27FC236}">
              <a16:creationId xmlns:a16="http://schemas.microsoft.com/office/drawing/2014/main" id="{E52FF9FC-E913-4406-9BED-A6D0F0412F10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370" name="Line 4">
          <a:extLst>
            <a:ext uri="{FF2B5EF4-FFF2-40B4-BE49-F238E27FC236}">
              <a16:creationId xmlns:a16="http://schemas.microsoft.com/office/drawing/2014/main" id="{7EEBDF01-DD2F-4EF6-80C6-644F9540A456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371" name="Line 5">
          <a:extLst>
            <a:ext uri="{FF2B5EF4-FFF2-40B4-BE49-F238E27FC236}">
              <a16:creationId xmlns:a16="http://schemas.microsoft.com/office/drawing/2014/main" id="{C019A7A2-7CB4-4E45-974B-A6110FDDB9FE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372" name="Line 2">
          <a:extLst>
            <a:ext uri="{FF2B5EF4-FFF2-40B4-BE49-F238E27FC236}">
              <a16:creationId xmlns:a16="http://schemas.microsoft.com/office/drawing/2014/main" id="{A087644F-ADCE-4A34-B570-87E320244563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373" name="Line 3">
          <a:extLst>
            <a:ext uri="{FF2B5EF4-FFF2-40B4-BE49-F238E27FC236}">
              <a16:creationId xmlns:a16="http://schemas.microsoft.com/office/drawing/2014/main" id="{EA3D4390-E4D1-4F9A-B674-1ADA28B2F0D7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374" name="Line 5">
          <a:extLst>
            <a:ext uri="{FF2B5EF4-FFF2-40B4-BE49-F238E27FC236}">
              <a16:creationId xmlns:a16="http://schemas.microsoft.com/office/drawing/2014/main" id="{A28DBFA1-A298-4D99-A91A-6CE033427A5B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375" name="Line 2">
          <a:extLst>
            <a:ext uri="{FF2B5EF4-FFF2-40B4-BE49-F238E27FC236}">
              <a16:creationId xmlns:a16="http://schemas.microsoft.com/office/drawing/2014/main" id="{D17EAD30-ACE1-4B36-82E0-E8B84529104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376" name="Line 3">
          <a:extLst>
            <a:ext uri="{FF2B5EF4-FFF2-40B4-BE49-F238E27FC236}">
              <a16:creationId xmlns:a16="http://schemas.microsoft.com/office/drawing/2014/main" id="{E344EF14-870F-4DA5-9AF9-77A9EDCB8EA9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377" name="Line 4">
          <a:extLst>
            <a:ext uri="{FF2B5EF4-FFF2-40B4-BE49-F238E27FC236}">
              <a16:creationId xmlns:a16="http://schemas.microsoft.com/office/drawing/2014/main" id="{70C263D0-D290-4D6D-8B3B-71948C20C85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378" name="Line 5">
          <a:extLst>
            <a:ext uri="{FF2B5EF4-FFF2-40B4-BE49-F238E27FC236}">
              <a16:creationId xmlns:a16="http://schemas.microsoft.com/office/drawing/2014/main" id="{EB03AF91-3783-470D-90D3-7E6D57C78C47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379" name="Line 7">
          <a:extLst>
            <a:ext uri="{FF2B5EF4-FFF2-40B4-BE49-F238E27FC236}">
              <a16:creationId xmlns:a16="http://schemas.microsoft.com/office/drawing/2014/main" id="{D6C6173D-10AE-4936-9BA6-048E7B5B8D3C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80" name="Line 2">
          <a:extLst>
            <a:ext uri="{FF2B5EF4-FFF2-40B4-BE49-F238E27FC236}">
              <a16:creationId xmlns:a16="http://schemas.microsoft.com/office/drawing/2014/main" id="{29E8F972-CB9F-479D-B1F1-28D8B9BB74CD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81" name="Line 3">
          <a:extLst>
            <a:ext uri="{FF2B5EF4-FFF2-40B4-BE49-F238E27FC236}">
              <a16:creationId xmlns:a16="http://schemas.microsoft.com/office/drawing/2014/main" id="{1E6179A4-249C-4F61-BE9A-DA6C048B5676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382" name="Line 4">
          <a:extLst>
            <a:ext uri="{FF2B5EF4-FFF2-40B4-BE49-F238E27FC236}">
              <a16:creationId xmlns:a16="http://schemas.microsoft.com/office/drawing/2014/main" id="{82A3650A-835A-403D-A7FA-5DD5845EC6C3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383" name="Line 5">
          <a:extLst>
            <a:ext uri="{FF2B5EF4-FFF2-40B4-BE49-F238E27FC236}">
              <a16:creationId xmlns:a16="http://schemas.microsoft.com/office/drawing/2014/main" id="{BB3B69C7-337A-4516-B348-E2FF897961C2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384" name="Line 2">
          <a:extLst>
            <a:ext uri="{FF2B5EF4-FFF2-40B4-BE49-F238E27FC236}">
              <a16:creationId xmlns:a16="http://schemas.microsoft.com/office/drawing/2014/main" id="{3C491E70-2982-4759-859B-18A305B1EFC1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385" name="Line 3">
          <a:extLst>
            <a:ext uri="{FF2B5EF4-FFF2-40B4-BE49-F238E27FC236}">
              <a16:creationId xmlns:a16="http://schemas.microsoft.com/office/drawing/2014/main" id="{C60D61E0-B977-47DD-ABC5-F0F85097DA3E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386" name="Line 4">
          <a:extLst>
            <a:ext uri="{FF2B5EF4-FFF2-40B4-BE49-F238E27FC236}">
              <a16:creationId xmlns:a16="http://schemas.microsoft.com/office/drawing/2014/main" id="{C62DD440-CE78-410C-A4F7-37BD307293C5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387" name="Line 5">
          <a:extLst>
            <a:ext uri="{FF2B5EF4-FFF2-40B4-BE49-F238E27FC236}">
              <a16:creationId xmlns:a16="http://schemas.microsoft.com/office/drawing/2014/main" id="{69D79B47-0B8B-4549-8902-9CC9A3B4CD38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388" name="Line 7">
          <a:extLst>
            <a:ext uri="{FF2B5EF4-FFF2-40B4-BE49-F238E27FC236}">
              <a16:creationId xmlns:a16="http://schemas.microsoft.com/office/drawing/2014/main" id="{815859A4-5179-4E1A-B28E-B30ED6D32504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389" name="Line 8">
          <a:extLst>
            <a:ext uri="{FF2B5EF4-FFF2-40B4-BE49-F238E27FC236}">
              <a16:creationId xmlns:a16="http://schemas.microsoft.com/office/drawing/2014/main" id="{F838C31B-55FD-4EEB-92C0-745910260B30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390" name="Rectangle 7">
          <a:extLst>
            <a:ext uri="{FF2B5EF4-FFF2-40B4-BE49-F238E27FC236}">
              <a16:creationId xmlns:a16="http://schemas.microsoft.com/office/drawing/2014/main" id="{21464291-1534-494B-905E-FEC85813045F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391" name="Rectangle 8">
          <a:extLst>
            <a:ext uri="{FF2B5EF4-FFF2-40B4-BE49-F238E27FC236}">
              <a16:creationId xmlns:a16="http://schemas.microsoft.com/office/drawing/2014/main" id="{27D1B70E-DB25-414F-A821-8D9E67B01D12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392" name="Line 2">
          <a:extLst>
            <a:ext uri="{FF2B5EF4-FFF2-40B4-BE49-F238E27FC236}">
              <a16:creationId xmlns:a16="http://schemas.microsoft.com/office/drawing/2014/main" id="{8688C168-60D7-444E-8E9C-26125FB5F8C5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393" name="Line 3">
          <a:extLst>
            <a:ext uri="{FF2B5EF4-FFF2-40B4-BE49-F238E27FC236}">
              <a16:creationId xmlns:a16="http://schemas.microsoft.com/office/drawing/2014/main" id="{2B001F15-0670-41C8-8EB7-C195AC4B5782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394" name="Line 5">
          <a:extLst>
            <a:ext uri="{FF2B5EF4-FFF2-40B4-BE49-F238E27FC236}">
              <a16:creationId xmlns:a16="http://schemas.microsoft.com/office/drawing/2014/main" id="{C8510DE3-6F18-41CD-9A4F-933C71DD8846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395" name="Line 2">
          <a:extLst>
            <a:ext uri="{FF2B5EF4-FFF2-40B4-BE49-F238E27FC236}">
              <a16:creationId xmlns:a16="http://schemas.microsoft.com/office/drawing/2014/main" id="{681B680B-6586-4814-8CA1-49FA9828CC83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396" name="Line 3">
          <a:extLst>
            <a:ext uri="{FF2B5EF4-FFF2-40B4-BE49-F238E27FC236}">
              <a16:creationId xmlns:a16="http://schemas.microsoft.com/office/drawing/2014/main" id="{24C4EA10-2C17-4D66-86B7-DE21A052590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397" name="Line 4">
          <a:extLst>
            <a:ext uri="{FF2B5EF4-FFF2-40B4-BE49-F238E27FC236}">
              <a16:creationId xmlns:a16="http://schemas.microsoft.com/office/drawing/2014/main" id="{FACE1C5B-766A-41BA-A19F-E0DEDF808BF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398" name="Line 5">
          <a:extLst>
            <a:ext uri="{FF2B5EF4-FFF2-40B4-BE49-F238E27FC236}">
              <a16:creationId xmlns:a16="http://schemas.microsoft.com/office/drawing/2014/main" id="{C9FD1468-1885-4704-A549-8CBA7C69CD19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399" name="Line 7">
          <a:extLst>
            <a:ext uri="{FF2B5EF4-FFF2-40B4-BE49-F238E27FC236}">
              <a16:creationId xmlns:a16="http://schemas.microsoft.com/office/drawing/2014/main" id="{17668EBC-8E3D-4A66-AEA8-EE865ACBC57C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400" name="Line 2">
          <a:extLst>
            <a:ext uri="{FF2B5EF4-FFF2-40B4-BE49-F238E27FC236}">
              <a16:creationId xmlns:a16="http://schemas.microsoft.com/office/drawing/2014/main" id="{C7FD0857-536B-4BB2-9D76-6B235ED2A4BA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401" name="Line 3">
          <a:extLst>
            <a:ext uri="{FF2B5EF4-FFF2-40B4-BE49-F238E27FC236}">
              <a16:creationId xmlns:a16="http://schemas.microsoft.com/office/drawing/2014/main" id="{C7A86B46-307C-4050-B961-8954BB206F4D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402" name="Line 4">
          <a:extLst>
            <a:ext uri="{FF2B5EF4-FFF2-40B4-BE49-F238E27FC236}">
              <a16:creationId xmlns:a16="http://schemas.microsoft.com/office/drawing/2014/main" id="{08D126DC-ACEC-468E-BB99-76BBAA3F9BC4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403" name="Line 5">
          <a:extLst>
            <a:ext uri="{FF2B5EF4-FFF2-40B4-BE49-F238E27FC236}">
              <a16:creationId xmlns:a16="http://schemas.microsoft.com/office/drawing/2014/main" id="{FC294F14-6F0A-486F-B372-A39143E80FFC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404" name="Line 2">
          <a:extLst>
            <a:ext uri="{FF2B5EF4-FFF2-40B4-BE49-F238E27FC236}">
              <a16:creationId xmlns:a16="http://schemas.microsoft.com/office/drawing/2014/main" id="{39C2F28D-C6D6-4F05-B409-F3F690DC56BC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405" name="Line 3">
          <a:extLst>
            <a:ext uri="{FF2B5EF4-FFF2-40B4-BE49-F238E27FC236}">
              <a16:creationId xmlns:a16="http://schemas.microsoft.com/office/drawing/2014/main" id="{8791D178-A8B1-4328-A1B0-85775C5C451D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406" name="Line 4">
          <a:extLst>
            <a:ext uri="{FF2B5EF4-FFF2-40B4-BE49-F238E27FC236}">
              <a16:creationId xmlns:a16="http://schemas.microsoft.com/office/drawing/2014/main" id="{15E62ABE-A994-45DE-BAB7-DA576D3B46F8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407" name="Line 5">
          <a:extLst>
            <a:ext uri="{FF2B5EF4-FFF2-40B4-BE49-F238E27FC236}">
              <a16:creationId xmlns:a16="http://schemas.microsoft.com/office/drawing/2014/main" id="{C4036858-2E60-4B21-9D37-AE281C9BCFEB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408" name="Line 7">
          <a:extLst>
            <a:ext uri="{FF2B5EF4-FFF2-40B4-BE49-F238E27FC236}">
              <a16:creationId xmlns:a16="http://schemas.microsoft.com/office/drawing/2014/main" id="{DCC6469E-55D4-4D7F-A60E-AD1246D1AF5D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409" name="Line 8">
          <a:extLst>
            <a:ext uri="{FF2B5EF4-FFF2-40B4-BE49-F238E27FC236}">
              <a16:creationId xmlns:a16="http://schemas.microsoft.com/office/drawing/2014/main" id="{ED20DF69-6B01-4DCB-8147-EEB79E4D9837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410" name="Rectangle 7">
          <a:extLst>
            <a:ext uri="{FF2B5EF4-FFF2-40B4-BE49-F238E27FC236}">
              <a16:creationId xmlns:a16="http://schemas.microsoft.com/office/drawing/2014/main" id="{14275DBA-734E-4558-BE35-0C576DA17D85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411" name="Rectangle 8">
          <a:extLst>
            <a:ext uri="{FF2B5EF4-FFF2-40B4-BE49-F238E27FC236}">
              <a16:creationId xmlns:a16="http://schemas.microsoft.com/office/drawing/2014/main" id="{1D483CFD-E874-4897-B88B-A0B647C30D3B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412" name="Line 3">
          <a:extLst>
            <a:ext uri="{FF2B5EF4-FFF2-40B4-BE49-F238E27FC236}">
              <a16:creationId xmlns:a16="http://schemas.microsoft.com/office/drawing/2014/main" id="{4B3B3DA7-98FA-4919-AD33-85409A5EABB4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413" name="Line 5">
          <a:extLst>
            <a:ext uri="{FF2B5EF4-FFF2-40B4-BE49-F238E27FC236}">
              <a16:creationId xmlns:a16="http://schemas.microsoft.com/office/drawing/2014/main" id="{FFEF075C-061E-4A6E-BE03-F1056DAC18BC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414" name="Line 2">
          <a:extLst>
            <a:ext uri="{FF2B5EF4-FFF2-40B4-BE49-F238E27FC236}">
              <a16:creationId xmlns:a16="http://schemas.microsoft.com/office/drawing/2014/main" id="{7C3E75E2-952F-45AE-80BC-4B7EA64B205C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415" name="Line 3">
          <a:extLst>
            <a:ext uri="{FF2B5EF4-FFF2-40B4-BE49-F238E27FC236}">
              <a16:creationId xmlns:a16="http://schemas.microsoft.com/office/drawing/2014/main" id="{FE053EFB-7DE5-4B1A-B061-34D42DBB1460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416" name="Line 4">
          <a:extLst>
            <a:ext uri="{FF2B5EF4-FFF2-40B4-BE49-F238E27FC236}">
              <a16:creationId xmlns:a16="http://schemas.microsoft.com/office/drawing/2014/main" id="{F0D1382A-1697-4745-85BC-A0A4E9E227BD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417" name="Line 5">
          <a:extLst>
            <a:ext uri="{FF2B5EF4-FFF2-40B4-BE49-F238E27FC236}">
              <a16:creationId xmlns:a16="http://schemas.microsoft.com/office/drawing/2014/main" id="{E318ECD3-7C9F-479B-B959-DB7AF4C45915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418" name="Line 7">
          <a:extLst>
            <a:ext uri="{FF2B5EF4-FFF2-40B4-BE49-F238E27FC236}">
              <a16:creationId xmlns:a16="http://schemas.microsoft.com/office/drawing/2014/main" id="{EDD80487-1340-4DCF-B321-3F6516F42B3F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19" name="Line 2">
          <a:extLst>
            <a:ext uri="{FF2B5EF4-FFF2-40B4-BE49-F238E27FC236}">
              <a16:creationId xmlns:a16="http://schemas.microsoft.com/office/drawing/2014/main" id="{C8C8CF3D-60BB-4D9A-B7B5-D734C7F2B304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20" name="Line 3">
          <a:extLst>
            <a:ext uri="{FF2B5EF4-FFF2-40B4-BE49-F238E27FC236}">
              <a16:creationId xmlns:a16="http://schemas.microsoft.com/office/drawing/2014/main" id="{40460E04-99F4-4B1A-9465-8EE740DF2253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21" name="Line 4">
          <a:extLst>
            <a:ext uri="{FF2B5EF4-FFF2-40B4-BE49-F238E27FC236}">
              <a16:creationId xmlns:a16="http://schemas.microsoft.com/office/drawing/2014/main" id="{8C355471-D61C-48BE-B5AF-163E23C0932A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422" name="Line 5">
          <a:extLst>
            <a:ext uri="{FF2B5EF4-FFF2-40B4-BE49-F238E27FC236}">
              <a16:creationId xmlns:a16="http://schemas.microsoft.com/office/drawing/2014/main" id="{2603034D-00FF-4DB1-BB79-7A4F77940394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23" name="Line 2">
          <a:extLst>
            <a:ext uri="{FF2B5EF4-FFF2-40B4-BE49-F238E27FC236}">
              <a16:creationId xmlns:a16="http://schemas.microsoft.com/office/drawing/2014/main" id="{7B53914C-1EE0-42F1-A005-574F198F6B77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424" name="Line 3">
          <a:extLst>
            <a:ext uri="{FF2B5EF4-FFF2-40B4-BE49-F238E27FC236}">
              <a16:creationId xmlns:a16="http://schemas.microsoft.com/office/drawing/2014/main" id="{5303E47E-1F8F-45C2-90ED-0530A41769DF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425" name="Line 4">
          <a:extLst>
            <a:ext uri="{FF2B5EF4-FFF2-40B4-BE49-F238E27FC236}">
              <a16:creationId xmlns:a16="http://schemas.microsoft.com/office/drawing/2014/main" id="{E7A9E2E2-E3B1-475F-9383-B4E6CE5041F9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384</xdr:row>
      <xdr:rowOff>0</xdr:rowOff>
    </xdr:from>
    <xdr:to>
      <xdr:col>8</xdr:col>
      <xdr:colOff>180975</xdr:colOff>
      <xdr:row>384</xdr:row>
      <xdr:rowOff>0</xdr:rowOff>
    </xdr:to>
    <xdr:sp macro="" textlink="">
      <xdr:nvSpPr>
        <xdr:cNvPr id="426" name="Line 5">
          <a:extLst>
            <a:ext uri="{FF2B5EF4-FFF2-40B4-BE49-F238E27FC236}">
              <a16:creationId xmlns:a16="http://schemas.microsoft.com/office/drawing/2014/main" id="{73E8C189-9A46-4B62-82F4-C3FE443A40B8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427" name="Line 7">
          <a:extLst>
            <a:ext uri="{FF2B5EF4-FFF2-40B4-BE49-F238E27FC236}">
              <a16:creationId xmlns:a16="http://schemas.microsoft.com/office/drawing/2014/main" id="{F4037903-B61F-49AE-95A9-139C78B41563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428" name="Line 3">
          <a:extLst>
            <a:ext uri="{FF2B5EF4-FFF2-40B4-BE49-F238E27FC236}">
              <a16:creationId xmlns:a16="http://schemas.microsoft.com/office/drawing/2014/main" id="{AD729039-24E0-41D4-8B4D-3F5AEBC702FA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429" name="Line 5">
          <a:extLst>
            <a:ext uri="{FF2B5EF4-FFF2-40B4-BE49-F238E27FC236}">
              <a16:creationId xmlns:a16="http://schemas.microsoft.com/office/drawing/2014/main" id="{FA443A7A-D6E9-4779-BA03-81695F91A56B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430" name="Line 2">
          <a:extLst>
            <a:ext uri="{FF2B5EF4-FFF2-40B4-BE49-F238E27FC236}">
              <a16:creationId xmlns:a16="http://schemas.microsoft.com/office/drawing/2014/main" id="{1C7F4183-8E1B-47BC-9569-BDA546EAF3F3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431" name="Line 3">
          <a:extLst>
            <a:ext uri="{FF2B5EF4-FFF2-40B4-BE49-F238E27FC236}">
              <a16:creationId xmlns:a16="http://schemas.microsoft.com/office/drawing/2014/main" id="{E3EA8756-765F-420D-842D-703DEB011A30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432" name="Line 4">
          <a:extLst>
            <a:ext uri="{FF2B5EF4-FFF2-40B4-BE49-F238E27FC236}">
              <a16:creationId xmlns:a16="http://schemas.microsoft.com/office/drawing/2014/main" id="{66ACC52A-48ED-45C6-B3DB-8327E06CFB7C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433" name="Line 5">
          <a:extLst>
            <a:ext uri="{FF2B5EF4-FFF2-40B4-BE49-F238E27FC236}">
              <a16:creationId xmlns:a16="http://schemas.microsoft.com/office/drawing/2014/main" id="{70BE5206-83D6-4350-8402-733CD594EA15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460</xdr:row>
      <xdr:rowOff>0</xdr:rowOff>
    </xdr:from>
    <xdr:to>
      <xdr:col>8</xdr:col>
      <xdr:colOff>180975</xdr:colOff>
      <xdr:row>460</xdr:row>
      <xdr:rowOff>0</xdr:rowOff>
    </xdr:to>
    <xdr:sp macro="" textlink="">
      <xdr:nvSpPr>
        <xdr:cNvPr id="434" name="Line 7">
          <a:extLst>
            <a:ext uri="{FF2B5EF4-FFF2-40B4-BE49-F238E27FC236}">
              <a16:creationId xmlns:a16="http://schemas.microsoft.com/office/drawing/2014/main" id="{25224F1A-82C4-418B-AE7A-33A9D8625ECA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35" name="Line 2">
          <a:extLst>
            <a:ext uri="{FF2B5EF4-FFF2-40B4-BE49-F238E27FC236}">
              <a16:creationId xmlns:a16="http://schemas.microsoft.com/office/drawing/2014/main" id="{1E26D827-2863-464F-BE94-11207B6539EE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36" name="Line 3">
          <a:extLst>
            <a:ext uri="{FF2B5EF4-FFF2-40B4-BE49-F238E27FC236}">
              <a16:creationId xmlns:a16="http://schemas.microsoft.com/office/drawing/2014/main" id="{D6A565CE-FD42-46D9-963E-2BECCD9DBB1C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37" name="Line 4">
          <a:extLst>
            <a:ext uri="{FF2B5EF4-FFF2-40B4-BE49-F238E27FC236}">
              <a16:creationId xmlns:a16="http://schemas.microsoft.com/office/drawing/2014/main" id="{6D43A308-3C5F-4FD0-9148-E9F4FA3C65F9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438" name="Line 5">
          <a:extLst>
            <a:ext uri="{FF2B5EF4-FFF2-40B4-BE49-F238E27FC236}">
              <a16:creationId xmlns:a16="http://schemas.microsoft.com/office/drawing/2014/main" id="{EFEF1B6B-A972-46D7-9387-7C496C0203B4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39" name="Line 2">
          <a:extLst>
            <a:ext uri="{FF2B5EF4-FFF2-40B4-BE49-F238E27FC236}">
              <a16:creationId xmlns:a16="http://schemas.microsoft.com/office/drawing/2014/main" id="{014F697D-7045-46B2-BA10-FD5EF2DFC4F4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440" name="Line 3">
          <a:extLst>
            <a:ext uri="{FF2B5EF4-FFF2-40B4-BE49-F238E27FC236}">
              <a16:creationId xmlns:a16="http://schemas.microsoft.com/office/drawing/2014/main" id="{36AFA6A4-69EB-4A7F-B121-77C2F6FE2C58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441" name="Line 4">
          <a:extLst>
            <a:ext uri="{FF2B5EF4-FFF2-40B4-BE49-F238E27FC236}">
              <a16:creationId xmlns:a16="http://schemas.microsoft.com/office/drawing/2014/main" id="{BCF15492-9AA6-4FB2-9061-EBC060AE008A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442" name="Line 5">
          <a:extLst>
            <a:ext uri="{FF2B5EF4-FFF2-40B4-BE49-F238E27FC236}">
              <a16:creationId xmlns:a16="http://schemas.microsoft.com/office/drawing/2014/main" id="{85D5A890-1195-4D48-82F0-B323D188862D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443" name="Line 7">
          <a:extLst>
            <a:ext uri="{FF2B5EF4-FFF2-40B4-BE49-F238E27FC236}">
              <a16:creationId xmlns:a16="http://schemas.microsoft.com/office/drawing/2014/main" id="{69D934EE-7823-4095-A8BF-8F2834770F6E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444" name="Line 2">
          <a:extLst>
            <a:ext uri="{FF2B5EF4-FFF2-40B4-BE49-F238E27FC236}">
              <a16:creationId xmlns:a16="http://schemas.microsoft.com/office/drawing/2014/main" id="{42A240AC-4876-461A-B869-B1173FCBD964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445" name="Line 3">
          <a:extLst>
            <a:ext uri="{FF2B5EF4-FFF2-40B4-BE49-F238E27FC236}">
              <a16:creationId xmlns:a16="http://schemas.microsoft.com/office/drawing/2014/main" id="{4D0AD565-3808-4A63-9801-5D0916D9ADA7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416</xdr:row>
      <xdr:rowOff>0</xdr:rowOff>
    </xdr:from>
    <xdr:to>
      <xdr:col>8</xdr:col>
      <xdr:colOff>180975</xdr:colOff>
      <xdr:row>416</xdr:row>
      <xdr:rowOff>0</xdr:rowOff>
    </xdr:to>
    <xdr:sp macro="" textlink="">
      <xdr:nvSpPr>
        <xdr:cNvPr id="446" name="Line 4">
          <a:extLst>
            <a:ext uri="{FF2B5EF4-FFF2-40B4-BE49-F238E27FC236}">
              <a16:creationId xmlns:a16="http://schemas.microsoft.com/office/drawing/2014/main" id="{8A9AAD7D-CA22-40E9-8A3B-547FF99FAEAA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447" name="Line 3">
          <a:extLst>
            <a:ext uri="{FF2B5EF4-FFF2-40B4-BE49-F238E27FC236}">
              <a16:creationId xmlns:a16="http://schemas.microsoft.com/office/drawing/2014/main" id="{C2E9CE75-E1EE-4857-A376-1B50B558045F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448" name="Line 5">
          <a:extLst>
            <a:ext uri="{FF2B5EF4-FFF2-40B4-BE49-F238E27FC236}">
              <a16:creationId xmlns:a16="http://schemas.microsoft.com/office/drawing/2014/main" id="{74E10A56-E5F7-4E68-92BF-9A04B48AC07E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449" name="Line 2">
          <a:extLst>
            <a:ext uri="{FF2B5EF4-FFF2-40B4-BE49-F238E27FC236}">
              <a16:creationId xmlns:a16="http://schemas.microsoft.com/office/drawing/2014/main" id="{87E3D382-6793-4B57-9964-194C0A3CF9EF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450" name="Line 3">
          <a:extLst>
            <a:ext uri="{FF2B5EF4-FFF2-40B4-BE49-F238E27FC236}">
              <a16:creationId xmlns:a16="http://schemas.microsoft.com/office/drawing/2014/main" id="{CA49E788-A907-4BD8-825B-0997C993FB7D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451" name="Line 4">
          <a:extLst>
            <a:ext uri="{FF2B5EF4-FFF2-40B4-BE49-F238E27FC236}">
              <a16:creationId xmlns:a16="http://schemas.microsoft.com/office/drawing/2014/main" id="{E063FD33-1F7A-4909-9125-ECD8506160A2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452" name="Line 5">
          <a:extLst>
            <a:ext uri="{FF2B5EF4-FFF2-40B4-BE49-F238E27FC236}">
              <a16:creationId xmlns:a16="http://schemas.microsoft.com/office/drawing/2014/main" id="{E78F27FA-81FB-408E-9C9F-2F82B9D19B20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453" name="Line 7">
          <a:extLst>
            <a:ext uri="{FF2B5EF4-FFF2-40B4-BE49-F238E27FC236}">
              <a16:creationId xmlns:a16="http://schemas.microsoft.com/office/drawing/2014/main" id="{C62EB98B-CE5E-46A2-8C38-5194A89F499F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54" name="Line 2">
          <a:extLst>
            <a:ext uri="{FF2B5EF4-FFF2-40B4-BE49-F238E27FC236}">
              <a16:creationId xmlns:a16="http://schemas.microsoft.com/office/drawing/2014/main" id="{27B7266C-755A-49D9-9A0F-74DCB67BBA89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55" name="Line 3">
          <a:extLst>
            <a:ext uri="{FF2B5EF4-FFF2-40B4-BE49-F238E27FC236}">
              <a16:creationId xmlns:a16="http://schemas.microsoft.com/office/drawing/2014/main" id="{B07B7E77-9295-4443-976C-616492B2C4B8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56" name="Line 4">
          <a:extLst>
            <a:ext uri="{FF2B5EF4-FFF2-40B4-BE49-F238E27FC236}">
              <a16:creationId xmlns:a16="http://schemas.microsoft.com/office/drawing/2014/main" id="{036D57CF-BEFF-49D7-A860-A781EB8B3BF1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457" name="Line 5">
          <a:extLst>
            <a:ext uri="{FF2B5EF4-FFF2-40B4-BE49-F238E27FC236}">
              <a16:creationId xmlns:a16="http://schemas.microsoft.com/office/drawing/2014/main" id="{C78BC9D8-57CB-4B76-B948-5F80E180A728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58" name="Line 2">
          <a:extLst>
            <a:ext uri="{FF2B5EF4-FFF2-40B4-BE49-F238E27FC236}">
              <a16:creationId xmlns:a16="http://schemas.microsoft.com/office/drawing/2014/main" id="{03745C2F-1E52-45B3-9585-930DF44E008B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459" name="Line 3">
          <a:extLst>
            <a:ext uri="{FF2B5EF4-FFF2-40B4-BE49-F238E27FC236}">
              <a16:creationId xmlns:a16="http://schemas.microsoft.com/office/drawing/2014/main" id="{C7FA1E89-B28D-4774-AC4C-07757C42837E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460" name="Line 4">
          <a:extLst>
            <a:ext uri="{FF2B5EF4-FFF2-40B4-BE49-F238E27FC236}">
              <a16:creationId xmlns:a16="http://schemas.microsoft.com/office/drawing/2014/main" id="{2B496C06-C6B9-4D20-9FA2-6FE2C76CCD35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461" name="Line 2">
          <a:extLst>
            <a:ext uri="{FF2B5EF4-FFF2-40B4-BE49-F238E27FC236}">
              <a16:creationId xmlns:a16="http://schemas.microsoft.com/office/drawing/2014/main" id="{96D07CAE-FE7D-4595-B09A-697ADAA610DC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462" name="Line 3">
          <a:extLst>
            <a:ext uri="{FF2B5EF4-FFF2-40B4-BE49-F238E27FC236}">
              <a16:creationId xmlns:a16="http://schemas.microsoft.com/office/drawing/2014/main" id="{8FB16C64-39F7-4055-8123-17B322025DD5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463" name="Line 4">
          <a:extLst>
            <a:ext uri="{FF2B5EF4-FFF2-40B4-BE49-F238E27FC236}">
              <a16:creationId xmlns:a16="http://schemas.microsoft.com/office/drawing/2014/main" id="{836AA051-A4D7-4026-A34E-469FBFCB2886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464" name="Line 2">
          <a:extLst>
            <a:ext uri="{FF2B5EF4-FFF2-40B4-BE49-F238E27FC236}">
              <a16:creationId xmlns:a16="http://schemas.microsoft.com/office/drawing/2014/main" id="{4C0DFE1F-9B28-4CE1-ABBF-C929DE67F7FC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465" name="Line 3">
          <a:extLst>
            <a:ext uri="{FF2B5EF4-FFF2-40B4-BE49-F238E27FC236}">
              <a16:creationId xmlns:a16="http://schemas.microsoft.com/office/drawing/2014/main" id="{C44A5400-8B14-44E4-884B-87C570D5A1F3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576</xdr:row>
      <xdr:rowOff>0</xdr:rowOff>
    </xdr:from>
    <xdr:to>
      <xdr:col>8</xdr:col>
      <xdr:colOff>180975</xdr:colOff>
      <xdr:row>576</xdr:row>
      <xdr:rowOff>0</xdr:rowOff>
    </xdr:to>
    <xdr:sp macro="" textlink="">
      <xdr:nvSpPr>
        <xdr:cNvPr id="466" name="Line 4">
          <a:extLst>
            <a:ext uri="{FF2B5EF4-FFF2-40B4-BE49-F238E27FC236}">
              <a16:creationId xmlns:a16="http://schemas.microsoft.com/office/drawing/2014/main" id="{6B2BFEA0-216E-43E2-A907-CB98993606C6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467" name="Line 3">
          <a:extLst>
            <a:ext uri="{FF2B5EF4-FFF2-40B4-BE49-F238E27FC236}">
              <a16:creationId xmlns:a16="http://schemas.microsoft.com/office/drawing/2014/main" id="{B99FCD98-669B-4BAA-97CB-255D0E409E60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468" name="Line 5">
          <a:extLst>
            <a:ext uri="{FF2B5EF4-FFF2-40B4-BE49-F238E27FC236}">
              <a16:creationId xmlns:a16="http://schemas.microsoft.com/office/drawing/2014/main" id="{2C05BB2D-21DA-4F08-8CB3-29D81AE447D2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469" name="Line 2">
          <a:extLst>
            <a:ext uri="{FF2B5EF4-FFF2-40B4-BE49-F238E27FC236}">
              <a16:creationId xmlns:a16="http://schemas.microsoft.com/office/drawing/2014/main" id="{DD6D829B-5D4A-4834-9F85-F659170596AB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470" name="Line 3">
          <a:extLst>
            <a:ext uri="{FF2B5EF4-FFF2-40B4-BE49-F238E27FC236}">
              <a16:creationId xmlns:a16="http://schemas.microsoft.com/office/drawing/2014/main" id="{F5E06910-C84E-46A0-AD8E-A2ACD0684E30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471" name="Line 4">
          <a:extLst>
            <a:ext uri="{FF2B5EF4-FFF2-40B4-BE49-F238E27FC236}">
              <a16:creationId xmlns:a16="http://schemas.microsoft.com/office/drawing/2014/main" id="{2ECEF58E-50A2-46C4-A0A5-689B1D12537F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472" name="Line 5">
          <a:extLst>
            <a:ext uri="{FF2B5EF4-FFF2-40B4-BE49-F238E27FC236}">
              <a16:creationId xmlns:a16="http://schemas.microsoft.com/office/drawing/2014/main" id="{ECAB2081-60EE-4A01-A191-03FEF0FB339C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473" name="Line 7">
          <a:extLst>
            <a:ext uri="{FF2B5EF4-FFF2-40B4-BE49-F238E27FC236}">
              <a16:creationId xmlns:a16="http://schemas.microsoft.com/office/drawing/2014/main" id="{246AAA63-2C65-4D33-BE3F-303251026DB1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74" name="Line 2">
          <a:extLst>
            <a:ext uri="{FF2B5EF4-FFF2-40B4-BE49-F238E27FC236}">
              <a16:creationId xmlns:a16="http://schemas.microsoft.com/office/drawing/2014/main" id="{62D73DA7-F1F5-4523-ACE7-D0DFDAAEDDE5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75" name="Line 3">
          <a:extLst>
            <a:ext uri="{FF2B5EF4-FFF2-40B4-BE49-F238E27FC236}">
              <a16:creationId xmlns:a16="http://schemas.microsoft.com/office/drawing/2014/main" id="{990EF081-6682-47C7-BA56-C1D084339150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76" name="Line 4">
          <a:extLst>
            <a:ext uri="{FF2B5EF4-FFF2-40B4-BE49-F238E27FC236}">
              <a16:creationId xmlns:a16="http://schemas.microsoft.com/office/drawing/2014/main" id="{CB82DB5A-1329-484B-B83C-F27593DAD0E4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477" name="Line 5">
          <a:extLst>
            <a:ext uri="{FF2B5EF4-FFF2-40B4-BE49-F238E27FC236}">
              <a16:creationId xmlns:a16="http://schemas.microsoft.com/office/drawing/2014/main" id="{E4F28AD1-A99F-443D-8003-39C90EDA1EA2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78" name="Line 2">
          <a:extLst>
            <a:ext uri="{FF2B5EF4-FFF2-40B4-BE49-F238E27FC236}">
              <a16:creationId xmlns:a16="http://schemas.microsoft.com/office/drawing/2014/main" id="{67406E89-6E39-47FC-8396-F4B6BEF1E636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479" name="Line 3">
          <a:extLst>
            <a:ext uri="{FF2B5EF4-FFF2-40B4-BE49-F238E27FC236}">
              <a16:creationId xmlns:a16="http://schemas.microsoft.com/office/drawing/2014/main" id="{51893AD3-B969-42D5-901A-21650029AC89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480" name="Line 4">
          <a:extLst>
            <a:ext uri="{FF2B5EF4-FFF2-40B4-BE49-F238E27FC236}">
              <a16:creationId xmlns:a16="http://schemas.microsoft.com/office/drawing/2014/main" id="{F466D666-F654-4448-815B-698DE278A329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481" name="Line 2">
          <a:extLst>
            <a:ext uri="{FF2B5EF4-FFF2-40B4-BE49-F238E27FC236}">
              <a16:creationId xmlns:a16="http://schemas.microsoft.com/office/drawing/2014/main" id="{395F3ED6-5CE9-48E4-8196-2850D5056B28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482" name="Line 3">
          <a:extLst>
            <a:ext uri="{FF2B5EF4-FFF2-40B4-BE49-F238E27FC236}">
              <a16:creationId xmlns:a16="http://schemas.microsoft.com/office/drawing/2014/main" id="{DE8F186C-06F1-4CE4-8576-BEA2756A4294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483" name="Line 4">
          <a:extLst>
            <a:ext uri="{FF2B5EF4-FFF2-40B4-BE49-F238E27FC236}">
              <a16:creationId xmlns:a16="http://schemas.microsoft.com/office/drawing/2014/main" id="{D77FA938-0D66-44D4-B44C-94D6E04B52FF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484" name="Line 2">
          <a:extLst>
            <a:ext uri="{FF2B5EF4-FFF2-40B4-BE49-F238E27FC236}">
              <a16:creationId xmlns:a16="http://schemas.microsoft.com/office/drawing/2014/main" id="{8493BAE1-1B5F-451A-B976-79AD4A5B47B5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485" name="Line 3">
          <a:extLst>
            <a:ext uri="{FF2B5EF4-FFF2-40B4-BE49-F238E27FC236}">
              <a16:creationId xmlns:a16="http://schemas.microsoft.com/office/drawing/2014/main" id="{BC561193-0F10-405D-9C43-A0DB00D05827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486" name="Line 4">
          <a:extLst>
            <a:ext uri="{FF2B5EF4-FFF2-40B4-BE49-F238E27FC236}">
              <a16:creationId xmlns:a16="http://schemas.microsoft.com/office/drawing/2014/main" id="{47D51746-F406-4780-8861-1F916F69D763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487" name="Line 3">
          <a:extLst>
            <a:ext uri="{FF2B5EF4-FFF2-40B4-BE49-F238E27FC236}">
              <a16:creationId xmlns:a16="http://schemas.microsoft.com/office/drawing/2014/main" id="{36292C1D-C98F-47E0-B632-5C5E9B2BF398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488" name="Line 5">
          <a:extLst>
            <a:ext uri="{FF2B5EF4-FFF2-40B4-BE49-F238E27FC236}">
              <a16:creationId xmlns:a16="http://schemas.microsoft.com/office/drawing/2014/main" id="{3149B46A-ADD1-4F60-B913-C0FD63BE67B1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489" name="Line 2">
          <a:extLst>
            <a:ext uri="{FF2B5EF4-FFF2-40B4-BE49-F238E27FC236}">
              <a16:creationId xmlns:a16="http://schemas.microsoft.com/office/drawing/2014/main" id="{8DC0FAAA-63CB-4D5A-8F5B-1B3E0B2B9321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490" name="Line 3">
          <a:extLst>
            <a:ext uri="{FF2B5EF4-FFF2-40B4-BE49-F238E27FC236}">
              <a16:creationId xmlns:a16="http://schemas.microsoft.com/office/drawing/2014/main" id="{64619841-8417-4019-B78C-97F9FCE570F9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491" name="Line 4">
          <a:extLst>
            <a:ext uri="{FF2B5EF4-FFF2-40B4-BE49-F238E27FC236}">
              <a16:creationId xmlns:a16="http://schemas.microsoft.com/office/drawing/2014/main" id="{4DDBAF38-6093-4DDA-808F-232ADF531BEA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492" name="Line 5">
          <a:extLst>
            <a:ext uri="{FF2B5EF4-FFF2-40B4-BE49-F238E27FC236}">
              <a16:creationId xmlns:a16="http://schemas.microsoft.com/office/drawing/2014/main" id="{27C040A9-690C-4644-B018-1C9E87D034D4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493" name="Line 7">
          <a:extLst>
            <a:ext uri="{FF2B5EF4-FFF2-40B4-BE49-F238E27FC236}">
              <a16:creationId xmlns:a16="http://schemas.microsoft.com/office/drawing/2014/main" id="{297E45F0-726E-4AEA-B012-782D4ED2EE35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94" name="Line 2">
          <a:extLst>
            <a:ext uri="{FF2B5EF4-FFF2-40B4-BE49-F238E27FC236}">
              <a16:creationId xmlns:a16="http://schemas.microsoft.com/office/drawing/2014/main" id="{D9BBE002-A145-4982-A940-0334D8F963A8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95" name="Line 3">
          <a:extLst>
            <a:ext uri="{FF2B5EF4-FFF2-40B4-BE49-F238E27FC236}">
              <a16:creationId xmlns:a16="http://schemas.microsoft.com/office/drawing/2014/main" id="{5CBD0AB4-3F7A-4B16-A120-531C25AE358B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96" name="Line 4">
          <a:extLst>
            <a:ext uri="{FF2B5EF4-FFF2-40B4-BE49-F238E27FC236}">
              <a16:creationId xmlns:a16="http://schemas.microsoft.com/office/drawing/2014/main" id="{9F214997-FD41-4E27-8DA2-A0856858E001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497" name="Line 5">
          <a:extLst>
            <a:ext uri="{FF2B5EF4-FFF2-40B4-BE49-F238E27FC236}">
              <a16:creationId xmlns:a16="http://schemas.microsoft.com/office/drawing/2014/main" id="{6296DCE5-A2D3-4197-B707-E1910976B5EE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98" name="Line 2">
          <a:extLst>
            <a:ext uri="{FF2B5EF4-FFF2-40B4-BE49-F238E27FC236}">
              <a16:creationId xmlns:a16="http://schemas.microsoft.com/office/drawing/2014/main" id="{0DC934F0-9953-4747-A626-4187338D652F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499" name="Line 3">
          <a:extLst>
            <a:ext uri="{FF2B5EF4-FFF2-40B4-BE49-F238E27FC236}">
              <a16:creationId xmlns:a16="http://schemas.microsoft.com/office/drawing/2014/main" id="{5E29184D-166F-477F-AF3E-5EB5BC533BF3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500" name="Line 4">
          <a:extLst>
            <a:ext uri="{FF2B5EF4-FFF2-40B4-BE49-F238E27FC236}">
              <a16:creationId xmlns:a16="http://schemas.microsoft.com/office/drawing/2014/main" id="{5E58B823-D263-43DF-83D0-CDCBE7C6C5F6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501" name="Line 2">
          <a:extLst>
            <a:ext uri="{FF2B5EF4-FFF2-40B4-BE49-F238E27FC236}">
              <a16:creationId xmlns:a16="http://schemas.microsoft.com/office/drawing/2014/main" id="{C13BFCB3-4118-4686-9E8A-866347B01F10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502" name="Line 3">
          <a:extLst>
            <a:ext uri="{FF2B5EF4-FFF2-40B4-BE49-F238E27FC236}">
              <a16:creationId xmlns:a16="http://schemas.microsoft.com/office/drawing/2014/main" id="{C50B4BC0-FB4D-47F1-9FF6-7612AF86DA72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691</xdr:row>
      <xdr:rowOff>0</xdr:rowOff>
    </xdr:from>
    <xdr:to>
      <xdr:col>8</xdr:col>
      <xdr:colOff>180975</xdr:colOff>
      <xdr:row>691</xdr:row>
      <xdr:rowOff>0</xdr:rowOff>
    </xdr:to>
    <xdr:sp macro="" textlink="">
      <xdr:nvSpPr>
        <xdr:cNvPr id="503" name="Line 4">
          <a:extLst>
            <a:ext uri="{FF2B5EF4-FFF2-40B4-BE49-F238E27FC236}">
              <a16:creationId xmlns:a16="http://schemas.microsoft.com/office/drawing/2014/main" id="{DBFF9F2E-15D6-4A4A-8E45-F143202C3F21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504" name="Line 2">
          <a:extLst>
            <a:ext uri="{FF2B5EF4-FFF2-40B4-BE49-F238E27FC236}">
              <a16:creationId xmlns:a16="http://schemas.microsoft.com/office/drawing/2014/main" id="{4A95858D-2BB4-413E-92B1-36CC7947EF99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505" name="Line 3">
          <a:extLst>
            <a:ext uri="{FF2B5EF4-FFF2-40B4-BE49-F238E27FC236}">
              <a16:creationId xmlns:a16="http://schemas.microsoft.com/office/drawing/2014/main" id="{705BF9A3-FDDB-4609-86D5-6626F0A82F48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694</xdr:row>
      <xdr:rowOff>0</xdr:rowOff>
    </xdr:from>
    <xdr:to>
      <xdr:col>8</xdr:col>
      <xdr:colOff>180975</xdr:colOff>
      <xdr:row>694</xdr:row>
      <xdr:rowOff>0</xdr:rowOff>
    </xdr:to>
    <xdr:sp macro="" textlink="">
      <xdr:nvSpPr>
        <xdr:cNvPr id="506" name="Line 4">
          <a:extLst>
            <a:ext uri="{FF2B5EF4-FFF2-40B4-BE49-F238E27FC236}">
              <a16:creationId xmlns:a16="http://schemas.microsoft.com/office/drawing/2014/main" id="{DC6FAB3B-1A92-4DFB-A165-18E701AA2C73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507" name="Line 3">
          <a:extLst>
            <a:ext uri="{FF2B5EF4-FFF2-40B4-BE49-F238E27FC236}">
              <a16:creationId xmlns:a16="http://schemas.microsoft.com/office/drawing/2014/main" id="{6564F6F5-BAF1-4EC5-934A-04C9E52C45B1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508" name="Line 5">
          <a:extLst>
            <a:ext uri="{FF2B5EF4-FFF2-40B4-BE49-F238E27FC236}">
              <a16:creationId xmlns:a16="http://schemas.microsoft.com/office/drawing/2014/main" id="{BA57B95E-2E73-4A37-BA73-EB2F2AD29668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509" name="Line 2">
          <a:extLst>
            <a:ext uri="{FF2B5EF4-FFF2-40B4-BE49-F238E27FC236}">
              <a16:creationId xmlns:a16="http://schemas.microsoft.com/office/drawing/2014/main" id="{284AEF6C-89BF-419A-91D3-FAEE54499DC0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510" name="Line 3">
          <a:extLst>
            <a:ext uri="{FF2B5EF4-FFF2-40B4-BE49-F238E27FC236}">
              <a16:creationId xmlns:a16="http://schemas.microsoft.com/office/drawing/2014/main" id="{3C63CB39-2DB8-42EE-8334-FE03DA5AD2ED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511" name="Line 4">
          <a:extLst>
            <a:ext uri="{FF2B5EF4-FFF2-40B4-BE49-F238E27FC236}">
              <a16:creationId xmlns:a16="http://schemas.microsoft.com/office/drawing/2014/main" id="{C126D116-AA91-46D7-B790-FA93A8E01CC1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512" name="Line 5">
          <a:extLst>
            <a:ext uri="{FF2B5EF4-FFF2-40B4-BE49-F238E27FC236}">
              <a16:creationId xmlns:a16="http://schemas.microsoft.com/office/drawing/2014/main" id="{3831EABC-B2A7-466A-83DE-AD179FCBC6A8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776</xdr:row>
      <xdr:rowOff>0</xdr:rowOff>
    </xdr:from>
    <xdr:to>
      <xdr:col>8</xdr:col>
      <xdr:colOff>180975</xdr:colOff>
      <xdr:row>776</xdr:row>
      <xdr:rowOff>0</xdr:rowOff>
    </xdr:to>
    <xdr:sp macro="" textlink="">
      <xdr:nvSpPr>
        <xdr:cNvPr id="513" name="Line 7">
          <a:extLst>
            <a:ext uri="{FF2B5EF4-FFF2-40B4-BE49-F238E27FC236}">
              <a16:creationId xmlns:a16="http://schemas.microsoft.com/office/drawing/2014/main" id="{C74F76A6-0A7D-403C-97DC-A099CE7D3494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14" name="Line 2">
          <a:extLst>
            <a:ext uri="{FF2B5EF4-FFF2-40B4-BE49-F238E27FC236}">
              <a16:creationId xmlns:a16="http://schemas.microsoft.com/office/drawing/2014/main" id="{D8CD7D5A-C690-4867-B30B-CBFFD194B83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15" name="Line 3">
          <a:extLst>
            <a:ext uri="{FF2B5EF4-FFF2-40B4-BE49-F238E27FC236}">
              <a16:creationId xmlns:a16="http://schemas.microsoft.com/office/drawing/2014/main" id="{95A0BC92-DDCA-4DB1-BD36-8516E0E13A0F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16" name="Line 4">
          <a:extLst>
            <a:ext uri="{FF2B5EF4-FFF2-40B4-BE49-F238E27FC236}">
              <a16:creationId xmlns:a16="http://schemas.microsoft.com/office/drawing/2014/main" id="{BB24D71E-851D-47E5-B3A3-F44B580F44CB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517" name="Line 5">
          <a:extLst>
            <a:ext uri="{FF2B5EF4-FFF2-40B4-BE49-F238E27FC236}">
              <a16:creationId xmlns:a16="http://schemas.microsoft.com/office/drawing/2014/main" id="{B9654D04-43E3-4BD9-9418-9BED3677A51C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18" name="Line 2">
          <a:extLst>
            <a:ext uri="{FF2B5EF4-FFF2-40B4-BE49-F238E27FC236}">
              <a16:creationId xmlns:a16="http://schemas.microsoft.com/office/drawing/2014/main" id="{CAC0D54F-3511-4A60-8AFD-0726E71C679E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519" name="Line 3">
          <a:extLst>
            <a:ext uri="{FF2B5EF4-FFF2-40B4-BE49-F238E27FC236}">
              <a16:creationId xmlns:a16="http://schemas.microsoft.com/office/drawing/2014/main" id="{FB98B7C9-9D7F-4853-98B7-BC81E8F294A7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520" name="Line 4">
          <a:extLst>
            <a:ext uri="{FF2B5EF4-FFF2-40B4-BE49-F238E27FC236}">
              <a16:creationId xmlns:a16="http://schemas.microsoft.com/office/drawing/2014/main" id="{D7AC4FE3-F507-43AC-BEB4-B5505572D224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521" name="Line 2">
          <a:extLst>
            <a:ext uri="{FF2B5EF4-FFF2-40B4-BE49-F238E27FC236}">
              <a16:creationId xmlns:a16="http://schemas.microsoft.com/office/drawing/2014/main" id="{AFC74247-EF8E-4B15-9626-142A872FB3AE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522" name="Line 3">
          <a:extLst>
            <a:ext uri="{FF2B5EF4-FFF2-40B4-BE49-F238E27FC236}">
              <a16:creationId xmlns:a16="http://schemas.microsoft.com/office/drawing/2014/main" id="{314D850E-C7F7-4465-9EAD-75D164712103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751</xdr:row>
      <xdr:rowOff>0</xdr:rowOff>
    </xdr:from>
    <xdr:to>
      <xdr:col>8</xdr:col>
      <xdr:colOff>180975</xdr:colOff>
      <xdr:row>751</xdr:row>
      <xdr:rowOff>0</xdr:rowOff>
    </xdr:to>
    <xdr:sp macro="" textlink="">
      <xdr:nvSpPr>
        <xdr:cNvPr id="523" name="Line 4">
          <a:extLst>
            <a:ext uri="{FF2B5EF4-FFF2-40B4-BE49-F238E27FC236}">
              <a16:creationId xmlns:a16="http://schemas.microsoft.com/office/drawing/2014/main" id="{49994A73-CE31-4A4D-B75F-4A6BE6CE200C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524" name="Line 2">
          <a:extLst>
            <a:ext uri="{FF2B5EF4-FFF2-40B4-BE49-F238E27FC236}">
              <a16:creationId xmlns:a16="http://schemas.microsoft.com/office/drawing/2014/main" id="{19059E9C-3D12-4EA8-BFC2-0D9FFAEEBAF2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525" name="Line 3">
          <a:extLst>
            <a:ext uri="{FF2B5EF4-FFF2-40B4-BE49-F238E27FC236}">
              <a16:creationId xmlns:a16="http://schemas.microsoft.com/office/drawing/2014/main" id="{6DFE087D-5717-4DE2-8F72-D0FE216A1DBF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754</xdr:row>
      <xdr:rowOff>0</xdr:rowOff>
    </xdr:from>
    <xdr:to>
      <xdr:col>8</xdr:col>
      <xdr:colOff>180975</xdr:colOff>
      <xdr:row>754</xdr:row>
      <xdr:rowOff>0</xdr:rowOff>
    </xdr:to>
    <xdr:sp macro="" textlink="">
      <xdr:nvSpPr>
        <xdr:cNvPr id="526" name="Line 4">
          <a:extLst>
            <a:ext uri="{FF2B5EF4-FFF2-40B4-BE49-F238E27FC236}">
              <a16:creationId xmlns:a16="http://schemas.microsoft.com/office/drawing/2014/main" id="{366346B6-E924-4C72-8712-2CC1876C197F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</xdr:row>
      <xdr:rowOff>0</xdr:rowOff>
    </xdr:from>
    <xdr:to>
      <xdr:col>8</xdr:col>
      <xdr:colOff>180975</xdr:colOff>
      <xdr:row>53</xdr:row>
      <xdr:rowOff>0</xdr:rowOff>
    </xdr:to>
    <xdr:sp macro="" textlink="">
      <xdr:nvSpPr>
        <xdr:cNvPr id="527" name="Line 2">
          <a:extLst>
            <a:ext uri="{FF2B5EF4-FFF2-40B4-BE49-F238E27FC236}">
              <a16:creationId xmlns:a16="http://schemas.microsoft.com/office/drawing/2014/main" id="{708DB61F-104F-4B2E-BD1D-14BCE1EC6E93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528" name="Line 3">
          <a:extLst>
            <a:ext uri="{FF2B5EF4-FFF2-40B4-BE49-F238E27FC236}">
              <a16:creationId xmlns:a16="http://schemas.microsoft.com/office/drawing/2014/main" id="{30A3B121-5D50-4FCC-B825-AE4801BFB5CD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529" name="Line 5">
          <a:extLst>
            <a:ext uri="{FF2B5EF4-FFF2-40B4-BE49-F238E27FC236}">
              <a16:creationId xmlns:a16="http://schemas.microsoft.com/office/drawing/2014/main" id="{9B570825-A1AD-4C36-8408-5AC7177C3CE8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530" name="Line 3">
          <a:extLst>
            <a:ext uri="{FF2B5EF4-FFF2-40B4-BE49-F238E27FC236}">
              <a16:creationId xmlns:a16="http://schemas.microsoft.com/office/drawing/2014/main" id="{E503BE3B-CD80-4305-B3E6-963660B46DBC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531" name="Line 5">
          <a:extLst>
            <a:ext uri="{FF2B5EF4-FFF2-40B4-BE49-F238E27FC236}">
              <a16:creationId xmlns:a16="http://schemas.microsoft.com/office/drawing/2014/main" id="{00CCCC0F-E8E8-45F6-A172-6165FD36F787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532" name="Line 2">
          <a:extLst>
            <a:ext uri="{FF2B5EF4-FFF2-40B4-BE49-F238E27FC236}">
              <a16:creationId xmlns:a16="http://schemas.microsoft.com/office/drawing/2014/main" id="{2B8477C7-AE99-42A0-97FF-A84EABC9C541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533" name="Line 3">
          <a:extLst>
            <a:ext uri="{FF2B5EF4-FFF2-40B4-BE49-F238E27FC236}">
              <a16:creationId xmlns:a16="http://schemas.microsoft.com/office/drawing/2014/main" id="{62B3C9D2-2724-43BC-A435-E17B747C16EA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534" name="Line 4">
          <a:extLst>
            <a:ext uri="{FF2B5EF4-FFF2-40B4-BE49-F238E27FC236}">
              <a16:creationId xmlns:a16="http://schemas.microsoft.com/office/drawing/2014/main" id="{BEC9DC10-5B5E-4C55-89E5-B5EB04583665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535" name="Line 5">
          <a:extLst>
            <a:ext uri="{FF2B5EF4-FFF2-40B4-BE49-F238E27FC236}">
              <a16:creationId xmlns:a16="http://schemas.microsoft.com/office/drawing/2014/main" id="{8E6F6AF7-D55C-4F22-A175-03364B7993FB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104</xdr:row>
      <xdr:rowOff>0</xdr:rowOff>
    </xdr:from>
    <xdr:to>
      <xdr:col>8</xdr:col>
      <xdr:colOff>180975</xdr:colOff>
      <xdr:row>104</xdr:row>
      <xdr:rowOff>0</xdr:rowOff>
    </xdr:to>
    <xdr:sp macro="" textlink="">
      <xdr:nvSpPr>
        <xdr:cNvPr id="536" name="Line 7">
          <a:extLst>
            <a:ext uri="{FF2B5EF4-FFF2-40B4-BE49-F238E27FC236}">
              <a16:creationId xmlns:a16="http://schemas.microsoft.com/office/drawing/2014/main" id="{45735611-0D6A-4FDC-9D7E-F85985DB5F95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537" name="Line 3">
          <a:extLst>
            <a:ext uri="{FF2B5EF4-FFF2-40B4-BE49-F238E27FC236}">
              <a16:creationId xmlns:a16="http://schemas.microsoft.com/office/drawing/2014/main" id="{062297DC-7B6E-442A-8C4C-DBFE62239329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538" name="Line 5">
          <a:extLst>
            <a:ext uri="{FF2B5EF4-FFF2-40B4-BE49-F238E27FC236}">
              <a16:creationId xmlns:a16="http://schemas.microsoft.com/office/drawing/2014/main" id="{201BC7FF-4866-4D1C-BF2B-D9EFDF215A75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539" name="Line 2">
          <a:extLst>
            <a:ext uri="{FF2B5EF4-FFF2-40B4-BE49-F238E27FC236}">
              <a16:creationId xmlns:a16="http://schemas.microsoft.com/office/drawing/2014/main" id="{4D6324D7-FA42-4D7A-B610-38FC116A9ED8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540" name="Line 3">
          <a:extLst>
            <a:ext uri="{FF2B5EF4-FFF2-40B4-BE49-F238E27FC236}">
              <a16:creationId xmlns:a16="http://schemas.microsoft.com/office/drawing/2014/main" id="{B9D613DD-CBCB-4C51-9BE4-6B3461245D6A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541" name="Line 4">
          <a:extLst>
            <a:ext uri="{FF2B5EF4-FFF2-40B4-BE49-F238E27FC236}">
              <a16:creationId xmlns:a16="http://schemas.microsoft.com/office/drawing/2014/main" id="{3519D9F4-5A33-487C-A208-AE98F62C2725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542" name="Line 5">
          <a:extLst>
            <a:ext uri="{FF2B5EF4-FFF2-40B4-BE49-F238E27FC236}">
              <a16:creationId xmlns:a16="http://schemas.microsoft.com/office/drawing/2014/main" id="{7CBF43E0-6704-4D34-83EF-E38989528CDD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543" name="Line 2">
          <a:extLst>
            <a:ext uri="{FF2B5EF4-FFF2-40B4-BE49-F238E27FC236}">
              <a16:creationId xmlns:a16="http://schemas.microsoft.com/office/drawing/2014/main" id="{65C3F9B4-B9FD-4FB3-8049-5238EAB2EA1D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544" name="Line 3">
          <a:extLst>
            <a:ext uri="{FF2B5EF4-FFF2-40B4-BE49-F238E27FC236}">
              <a16:creationId xmlns:a16="http://schemas.microsoft.com/office/drawing/2014/main" id="{56131C90-1C44-4A6C-A6D4-25E739760F46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545" name="Line 4">
          <a:extLst>
            <a:ext uri="{FF2B5EF4-FFF2-40B4-BE49-F238E27FC236}">
              <a16:creationId xmlns:a16="http://schemas.microsoft.com/office/drawing/2014/main" id="{FF0C04F9-9EAA-407A-9DF1-58D46DF73A96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546" name="Line 5">
          <a:extLst>
            <a:ext uri="{FF2B5EF4-FFF2-40B4-BE49-F238E27FC236}">
              <a16:creationId xmlns:a16="http://schemas.microsoft.com/office/drawing/2014/main" id="{A143F53A-7A25-4790-B3E1-C49446A6E6CE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547" name="Line 2">
          <a:extLst>
            <a:ext uri="{FF2B5EF4-FFF2-40B4-BE49-F238E27FC236}">
              <a16:creationId xmlns:a16="http://schemas.microsoft.com/office/drawing/2014/main" id="{F97D2D47-AC7F-4C06-A05E-B73AE251720A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548" name="Line 3">
          <a:extLst>
            <a:ext uri="{FF2B5EF4-FFF2-40B4-BE49-F238E27FC236}">
              <a16:creationId xmlns:a16="http://schemas.microsoft.com/office/drawing/2014/main" id="{FEB48DA9-F2AD-4AB9-8F68-4475A49164C3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549" name="Line 5">
          <a:extLst>
            <a:ext uri="{FF2B5EF4-FFF2-40B4-BE49-F238E27FC236}">
              <a16:creationId xmlns:a16="http://schemas.microsoft.com/office/drawing/2014/main" id="{E6A8AC8F-30DA-4ED1-9160-ACD75779FC65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550" name="Line 2">
          <a:extLst>
            <a:ext uri="{FF2B5EF4-FFF2-40B4-BE49-F238E27FC236}">
              <a16:creationId xmlns:a16="http://schemas.microsoft.com/office/drawing/2014/main" id="{B20C661A-8E52-4D36-87E0-39884A8DA48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551" name="Line 3">
          <a:extLst>
            <a:ext uri="{FF2B5EF4-FFF2-40B4-BE49-F238E27FC236}">
              <a16:creationId xmlns:a16="http://schemas.microsoft.com/office/drawing/2014/main" id="{E7C1AD12-59AD-45D2-9FE6-6BDA22493A26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552" name="Line 4">
          <a:extLst>
            <a:ext uri="{FF2B5EF4-FFF2-40B4-BE49-F238E27FC236}">
              <a16:creationId xmlns:a16="http://schemas.microsoft.com/office/drawing/2014/main" id="{5445E065-D38B-4295-B422-50E8B7A1EA2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553" name="Line 5">
          <a:extLst>
            <a:ext uri="{FF2B5EF4-FFF2-40B4-BE49-F238E27FC236}">
              <a16:creationId xmlns:a16="http://schemas.microsoft.com/office/drawing/2014/main" id="{0450A233-9D2B-4324-AA73-74CB375CF20E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554" name="Line 7">
          <a:extLst>
            <a:ext uri="{FF2B5EF4-FFF2-40B4-BE49-F238E27FC236}">
              <a16:creationId xmlns:a16="http://schemas.microsoft.com/office/drawing/2014/main" id="{25119898-85B9-4C7E-BA65-8253DBCE464F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55" name="Line 2">
          <a:extLst>
            <a:ext uri="{FF2B5EF4-FFF2-40B4-BE49-F238E27FC236}">
              <a16:creationId xmlns:a16="http://schemas.microsoft.com/office/drawing/2014/main" id="{5967D1A1-9523-4300-AABF-878B1EE5313D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56" name="Line 3">
          <a:extLst>
            <a:ext uri="{FF2B5EF4-FFF2-40B4-BE49-F238E27FC236}">
              <a16:creationId xmlns:a16="http://schemas.microsoft.com/office/drawing/2014/main" id="{785D4400-4A0C-4C08-A6BD-5F2A59F8919A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57" name="Line 4">
          <a:extLst>
            <a:ext uri="{FF2B5EF4-FFF2-40B4-BE49-F238E27FC236}">
              <a16:creationId xmlns:a16="http://schemas.microsoft.com/office/drawing/2014/main" id="{9C68D3AB-6C92-4237-B32E-C95FFAC01A0E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558" name="Line 5">
          <a:extLst>
            <a:ext uri="{FF2B5EF4-FFF2-40B4-BE49-F238E27FC236}">
              <a16:creationId xmlns:a16="http://schemas.microsoft.com/office/drawing/2014/main" id="{6E7A93AF-B1C9-4FF9-B31F-FA7BB717A528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59" name="Line 2">
          <a:extLst>
            <a:ext uri="{FF2B5EF4-FFF2-40B4-BE49-F238E27FC236}">
              <a16:creationId xmlns:a16="http://schemas.microsoft.com/office/drawing/2014/main" id="{9052CDB1-E0CB-44B7-8342-739B0E5D5EF9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60" name="Line 3">
          <a:extLst>
            <a:ext uri="{FF2B5EF4-FFF2-40B4-BE49-F238E27FC236}">
              <a16:creationId xmlns:a16="http://schemas.microsoft.com/office/drawing/2014/main" id="{85054B45-DF89-4770-A756-3949ADFF55CD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561" name="Line 4">
          <a:extLst>
            <a:ext uri="{FF2B5EF4-FFF2-40B4-BE49-F238E27FC236}">
              <a16:creationId xmlns:a16="http://schemas.microsoft.com/office/drawing/2014/main" id="{8E6FEA65-CC1D-43D2-9BE9-6BBD9A94D2EB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562" name="Line 5">
          <a:extLst>
            <a:ext uri="{FF2B5EF4-FFF2-40B4-BE49-F238E27FC236}">
              <a16:creationId xmlns:a16="http://schemas.microsoft.com/office/drawing/2014/main" id="{FF7ACD25-641A-4451-8712-C95DC75BA947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563" name="Line 7">
          <a:extLst>
            <a:ext uri="{FF2B5EF4-FFF2-40B4-BE49-F238E27FC236}">
              <a16:creationId xmlns:a16="http://schemas.microsoft.com/office/drawing/2014/main" id="{A7A2E560-081A-4D4F-9A3B-0A8A81B22579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564" name="Line 8">
          <a:extLst>
            <a:ext uri="{FF2B5EF4-FFF2-40B4-BE49-F238E27FC236}">
              <a16:creationId xmlns:a16="http://schemas.microsoft.com/office/drawing/2014/main" id="{8AD4D9FE-F44F-416C-8BB9-D34921F51550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565" name="Rectangle 7">
          <a:extLst>
            <a:ext uri="{FF2B5EF4-FFF2-40B4-BE49-F238E27FC236}">
              <a16:creationId xmlns:a16="http://schemas.microsoft.com/office/drawing/2014/main" id="{CBFC68B0-10C4-4C74-9995-CDA0F12EC675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566" name="Rectangle 8">
          <a:extLst>
            <a:ext uri="{FF2B5EF4-FFF2-40B4-BE49-F238E27FC236}">
              <a16:creationId xmlns:a16="http://schemas.microsoft.com/office/drawing/2014/main" id="{540D4CEA-124B-4C3C-BD09-94736F501473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567" name="Line 2">
          <a:extLst>
            <a:ext uri="{FF2B5EF4-FFF2-40B4-BE49-F238E27FC236}">
              <a16:creationId xmlns:a16="http://schemas.microsoft.com/office/drawing/2014/main" id="{67E1560F-3972-4136-8D58-1FE3676CCD89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568" name="Line 3">
          <a:extLst>
            <a:ext uri="{FF2B5EF4-FFF2-40B4-BE49-F238E27FC236}">
              <a16:creationId xmlns:a16="http://schemas.microsoft.com/office/drawing/2014/main" id="{C7F201BA-FBC2-4A9B-87E8-135DFE39DA0A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569" name="Line 5">
          <a:extLst>
            <a:ext uri="{FF2B5EF4-FFF2-40B4-BE49-F238E27FC236}">
              <a16:creationId xmlns:a16="http://schemas.microsoft.com/office/drawing/2014/main" id="{3B2980CB-8041-4A88-9C50-71E44A5B9512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570" name="Line 2">
          <a:extLst>
            <a:ext uri="{FF2B5EF4-FFF2-40B4-BE49-F238E27FC236}">
              <a16:creationId xmlns:a16="http://schemas.microsoft.com/office/drawing/2014/main" id="{33317DE6-44A3-4C73-9C01-C9FE264E951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571" name="Line 3">
          <a:extLst>
            <a:ext uri="{FF2B5EF4-FFF2-40B4-BE49-F238E27FC236}">
              <a16:creationId xmlns:a16="http://schemas.microsoft.com/office/drawing/2014/main" id="{93075156-7608-46D8-A379-EDD9C4EAB1CE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572" name="Line 4">
          <a:extLst>
            <a:ext uri="{FF2B5EF4-FFF2-40B4-BE49-F238E27FC236}">
              <a16:creationId xmlns:a16="http://schemas.microsoft.com/office/drawing/2014/main" id="{9161BEBD-63F6-4146-A2FB-3E26F3907639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573" name="Line 5">
          <a:extLst>
            <a:ext uri="{FF2B5EF4-FFF2-40B4-BE49-F238E27FC236}">
              <a16:creationId xmlns:a16="http://schemas.microsoft.com/office/drawing/2014/main" id="{BCF2AAD6-383B-4DA1-AD93-34AEB42390C3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574" name="Line 7">
          <a:extLst>
            <a:ext uri="{FF2B5EF4-FFF2-40B4-BE49-F238E27FC236}">
              <a16:creationId xmlns:a16="http://schemas.microsoft.com/office/drawing/2014/main" id="{13CD9707-E453-47E6-9645-4FFDA3AD6DDD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75" name="Line 2">
          <a:extLst>
            <a:ext uri="{FF2B5EF4-FFF2-40B4-BE49-F238E27FC236}">
              <a16:creationId xmlns:a16="http://schemas.microsoft.com/office/drawing/2014/main" id="{FABE31F1-14D3-4956-BA9C-710235E99534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76" name="Line 3">
          <a:extLst>
            <a:ext uri="{FF2B5EF4-FFF2-40B4-BE49-F238E27FC236}">
              <a16:creationId xmlns:a16="http://schemas.microsoft.com/office/drawing/2014/main" id="{06A18943-A522-4AC3-95E7-1024DBE7BAFF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577" name="Line 4">
          <a:extLst>
            <a:ext uri="{FF2B5EF4-FFF2-40B4-BE49-F238E27FC236}">
              <a16:creationId xmlns:a16="http://schemas.microsoft.com/office/drawing/2014/main" id="{F8546FFF-0788-41E7-AA85-C6979207A800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578" name="Line 5">
          <a:extLst>
            <a:ext uri="{FF2B5EF4-FFF2-40B4-BE49-F238E27FC236}">
              <a16:creationId xmlns:a16="http://schemas.microsoft.com/office/drawing/2014/main" id="{BEBBDC46-C35D-4C08-BB5E-5CE5C07EBADA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79" name="Line 2">
          <a:extLst>
            <a:ext uri="{FF2B5EF4-FFF2-40B4-BE49-F238E27FC236}">
              <a16:creationId xmlns:a16="http://schemas.microsoft.com/office/drawing/2014/main" id="{C7969246-8E04-4906-81F4-D995DA25E60C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580" name="Line 3">
          <a:extLst>
            <a:ext uri="{FF2B5EF4-FFF2-40B4-BE49-F238E27FC236}">
              <a16:creationId xmlns:a16="http://schemas.microsoft.com/office/drawing/2014/main" id="{58F55ADF-07CA-4420-859F-28F1F42B7558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581" name="Line 4">
          <a:extLst>
            <a:ext uri="{FF2B5EF4-FFF2-40B4-BE49-F238E27FC236}">
              <a16:creationId xmlns:a16="http://schemas.microsoft.com/office/drawing/2014/main" id="{CA91CD23-1FC4-4C59-87FE-D4F6CC03D153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582" name="Line 5">
          <a:extLst>
            <a:ext uri="{FF2B5EF4-FFF2-40B4-BE49-F238E27FC236}">
              <a16:creationId xmlns:a16="http://schemas.microsoft.com/office/drawing/2014/main" id="{63548970-6654-4C03-A96D-CF974F48A592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583" name="Line 7">
          <a:extLst>
            <a:ext uri="{FF2B5EF4-FFF2-40B4-BE49-F238E27FC236}">
              <a16:creationId xmlns:a16="http://schemas.microsoft.com/office/drawing/2014/main" id="{3AAEF9E5-0404-4D6C-880F-428569DC5774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584" name="Line 8">
          <a:extLst>
            <a:ext uri="{FF2B5EF4-FFF2-40B4-BE49-F238E27FC236}">
              <a16:creationId xmlns:a16="http://schemas.microsoft.com/office/drawing/2014/main" id="{F66327DD-2F38-4A4F-BAED-E08FF96BB407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585" name="Rectangle 7">
          <a:extLst>
            <a:ext uri="{FF2B5EF4-FFF2-40B4-BE49-F238E27FC236}">
              <a16:creationId xmlns:a16="http://schemas.microsoft.com/office/drawing/2014/main" id="{FCB5B921-5E25-4FBE-BCD2-11BE211F4571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586" name="Rectangle 8">
          <a:extLst>
            <a:ext uri="{FF2B5EF4-FFF2-40B4-BE49-F238E27FC236}">
              <a16:creationId xmlns:a16="http://schemas.microsoft.com/office/drawing/2014/main" id="{1C50A1B2-00D0-4700-8680-7330C7BBD08C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587" name="Line 3">
          <a:extLst>
            <a:ext uri="{FF2B5EF4-FFF2-40B4-BE49-F238E27FC236}">
              <a16:creationId xmlns:a16="http://schemas.microsoft.com/office/drawing/2014/main" id="{AB29FF7A-8D5A-44CF-98B9-506E6A5ED12F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588" name="Line 5">
          <a:extLst>
            <a:ext uri="{FF2B5EF4-FFF2-40B4-BE49-F238E27FC236}">
              <a16:creationId xmlns:a16="http://schemas.microsoft.com/office/drawing/2014/main" id="{FD95BFAF-EF03-46B8-A889-6FB4F97F6EE5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589" name="Line 2">
          <a:extLst>
            <a:ext uri="{FF2B5EF4-FFF2-40B4-BE49-F238E27FC236}">
              <a16:creationId xmlns:a16="http://schemas.microsoft.com/office/drawing/2014/main" id="{DDF78D0E-D20E-48A4-A032-8F4D437CA36A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590" name="Line 3">
          <a:extLst>
            <a:ext uri="{FF2B5EF4-FFF2-40B4-BE49-F238E27FC236}">
              <a16:creationId xmlns:a16="http://schemas.microsoft.com/office/drawing/2014/main" id="{427D9ED6-435B-4A89-A5A2-CDFBE5A475B4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591" name="Line 4">
          <a:extLst>
            <a:ext uri="{FF2B5EF4-FFF2-40B4-BE49-F238E27FC236}">
              <a16:creationId xmlns:a16="http://schemas.microsoft.com/office/drawing/2014/main" id="{6C3A2C07-A6DC-4175-B6D0-9DF6E5598A80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592" name="Line 5">
          <a:extLst>
            <a:ext uri="{FF2B5EF4-FFF2-40B4-BE49-F238E27FC236}">
              <a16:creationId xmlns:a16="http://schemas.microsoft.com/office/drawing/2014/main" id="{4C57EA5E-2C6B-4794-A882-8E8535FD71EF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593" name="Line 7">
          <a:extLst>
            <a:ext uri="{FF2B5EF4-FFF2-40B4-BE49-F238E27FC236}">
              <a16:creationId xmlns:a16="http://schemas.microsoft.com/office/drawing/2014/main" id="{862D4222-F40D-4264-88FE-6E2CCE981569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94" name="Line 2">
          <a:extLst>
            <a:ext uri="{FF2B5EF4-FFF2-40B4-BE49-F238E27FC236}">
              <a16:creationId xmlns:a16="http://schemas.microsoft.com/office/drawing/2014/main" id="{A9F24DDC-E3E2-4035-936F-CEDEC33EB8AC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95" name="Line 3">
          <a:extLst>
            <a:ext uri="{FF2B5EF4-FFF2-40B4-BE49-F238E27FC236}">
              <a16:creationId xmlns:a16="http://schemas.microsoft.com/office/drawing/2014/main" id="{A9B70102-169C-4DEF-8039-303AEA94D355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96" name="Line 4">
          <a:extLst>
            <a:ext uri="{FF2B5EF4-FFF2-40B4-BE49-F238E27FC236}">
              <a16:creationId xmlns:a16="http://schemas.microsoft.com/office/drawing/2014/main" id="{F9158E06-AC00-4807-9C02-A5AE3C348583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597" name="Line 5">
          <a:extLst>
            <a:ext uri="{FF2B5EF4-FFF2-40B4-BE49-F238E27FC236}">
              <a16:creationId xmlns:a16="http://schemas.microsoft.com/office/drawing/2014/main" id="{445CA86F-CF9F-4953-938D-33AE734C7C15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98" name="Line 2">
          <a:extLst>
            <a:ext uri="{FF2B5EF4-FFF2-40B4-BE49-F238E27FC236}">
              <a16:creationId xmlns:a16="http://schemas.microsoft.com/office/drawing/2014/main" id="{7F560C6F-C1EC-47A4-8BE4-32C66C5814AB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599" name="Line 3">
          <a:extLst>
            <a:ext uri="{FF2B5EF4-FFF2-40B4-BE49-F238E27FC236}">
              <a16:creationId xmlns:a16="http://schemas.microsoft.com/office/drawing/2014/main" id="{D8AE865A-4E88-49C6-A35C-BA11C22E764F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600" name="Line 4">
          <a:extLst>
            <a:ext uri="{FF2B5EF4-FFF2-40B4-BE49-F238E27FC236}">
              <a16:creationId xmlns:a16="http://schemas.microsoft.com/office/drawing/2014/main" id="{62F6AC40-53A6-4751-9E3D-3CD4B2F67E50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384</xdr:row>
      <xdr:rowOff>0</xdr:rowOff>
    </xdr:from>
    <xdr:to>
      <xdr:col>8</xdr:col>
      <xdr:colOff>180975</xdr:colOff>
      <xdr:row>384</xdr:row>
      <xdr:rowOff>0</xdr:rowOff>
    </xdr:to>
    <xdr:sp macro="" textlink="">
      <xdr:nvSpPr>
        <xdr:cNvPr id="601" name="Line 5">
          <a:extLst>
            <a:ext uri="{FF2B5EF4-FFF2-40B4-BE49-F238E27FC236}">
              <a16:creationId xmlns:a16="http://schemas.microsoft.com/office/drawing/2014/main" id="{2BB23484-766A-474F-954F-BA5F29FC4AD5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602" name="Line 7">
          <a:extLst>
            <a:ext uri="{FF2B5EF4-FFF2-40B4-BE49-F238E27FC236}">
              <a16:creationId xmlns:a16="http://schemas.microsoft.com/office/drawing/2014/main" id="{489BB23E-A9EC-4968-9F83-F9715DCA9596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603" name="Line 3">
          <a:extLst>
            <a:ext uri="{FF2B5EF4-FFF2-40B4-BE49-F238E27FC236}">
              <a16:creationId xmlns:a16="http://schemas.microsoft.com/office/drawing/2014/main" id="{2F942F23-AB80-4748-9E01-4B47770F0EA9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604" name="Line 5">
          <a:extLst>
            <a:ext uri="{FF2B5EF4-FFF2-40B4-BE49-F238E27FC236}">
              <a16:creationId xmlns:a16="http://schemas.microsoft.com/office/drawing/2014/main" id="{F3C543D8-E79A-4191-9A7C-159076AC99A5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605" name="Line 2">
          <a:extLst>
            <a:ext uri="{FF2B5EF4-FFF2-40B4-BE49-F238E27FC236}">
              <a16:creationId xmlns:a16="http://schemas.microsoft.com/office/drawing/2014/main" id="{634849BE-743A-4E44-A045-6616FABBF855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606" name="Line 3">
          <a:extLst>
            <a:ext uri="{FF2B5EF4-FFF2-40B4-BE49-F238E27FC236}">
              <a16:creationId xmlns:a16="http://schemas.microsoft.com/office/drawing/2014/main" id="{707812B6-57EF-403E-9D39-155C15740EFF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607" name="Line 4">
          <a:extLst>
            <a:ext uri="{FF2B5EF4-FFF2-40B4-BE49-F238E27FC236}">
              <a16:creationId xmlns:a16="http://schemas.microsoft.com/office/drawing/2014/main" id="{C7773E8F-976E-4B55-9E20-74433DDD68BA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608" name="Line 5">
          <a:extLst>
            <a:ext uri="{FF2B5EF4-FFF2-40B4-BE49-F238E27FC236}">
              <a16:creationId xmlns:a16="http://schemas.microsoft.com/office/drawing/2014/main" id="{50533B50-EFDE-4281-8CB0-0B209A73B468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460</xdr:row>
      <xdr:rowOff>0</xdr:rowOff>
    </xdr:from>
    <xdr:to>
      <xdr:col>8</xdr:col>
      <xdr:colOff>180975</xdr:colOff>
      <xdr:row>460</xdr:row>
      <xdr:rowOff>0</xdr:rowOff>
    </xdr:to>
    <xdr:sp macro="" textlink="">
      <xdr:nvSpPr>
        <xdr:cNvPr id="609" name="Line 7">
          <a:extLst>
            <a:ext uri="{FF2B5EF4-FFF2-40B4-BE49-F238E27FC236}">
              <a16:creationId xmlns:a16="http://schemas.microsoft.com/office/drawing/2014/main" id="{343AAAB0-792A-4940-99F8-8B2CDD1D8FD8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10" name="Line 2">
          <a:extLst>
            <a:ext uri="{FF2B5EF4-FFF2-40B4-BE49-F238E27FC236}">
              <a16:creationId xmlns:a16="http://schemas.microsoft.com/office/drawing/2014/main" id="{2E205C92-D4AC-4A90-AEBF-E3F51262E035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11" name="Line 3">
          <a:extLst>
            <a:ext uri="{FF2B5EF4-FFF2-40B4-BE49-F238E27FC236}">
              <a16:creationId xmlns:a16="http://schemas.microsoft.com/office/drawing/2014/main" id="{8B801770-B76E-486C-AD19-B2041968F794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12" name="Line 4">
          <a:extLst>
            <a:ext uri="{FF2B5EF4-FFF2-40B4-BE49-F238E27FC236}">
              <a16:creationId xmlns:a16="http://schemas.microsoft.com/office/drawing/2014/main" id="{0F6A3282-C833-474C-BB2B-750724F33D08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613" name="Line 5">
          <a:extLst>
            <a:ext uri="{FF2B5EF4-FFF2-40B4-BE49-F238E27FC236}">
              <a16:creationId xmlns:a16="http://schemas.microsoft.com/office/drawing/2014/main" id="{D9493298-5BC6-4C77-B480-FF3A47A96A5F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14" name="Line 2">
          <a:extLst>
            <a:ext uri="{FF2B5EF4-FFF2-40B4-BE49-F238E27FC236}">
              <a16:creationId xmlns:a16="http://schemas.microsoft.com/office/drawing/2014/main" id="{225709C0-71ED-44B2-88B4-6C12DC357F35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615" name="Line 3">
          <a:extLst>
            <a:ext uri="{FF2B5EF4-FFF2-40B4-BE49-F238E27FC236}">
              <a16:creationId xmlns:a16="http://schemas.microsoft.com/office/drawing/2014/main" id="{D6EE3F8E-7CC0-45E3-B23E-2C131FEC5316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616" name="Line 4">
          <a:extLst>
            <a:ext uri="{FF2B5EF4-FFF2-40B4-BE49-F238E27FC236}">
              <a16:creationId xmlns:a16="http://schemas.microsoft.com/office/drawing/2014/main" id="{8C0A3965-6713-4E57-A0E1-FF4600B9B5DC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617" name="Line 5">
          <a:extLst>
            <a:ext uri="{FF2B5EF4-FFF2-40B4-BE49-F238E27FC236}">
              <a16:creationId xmlns:a16="http://schemas.microsoft.com/office/drawing/2014/main" id="{9B516232-DB63-4A11-9D5E-4CBEF84C3104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618" name="Line 7">
          <a:extLst>
            <a:ext uri="{FF2B5EF4-FFF2-40B4-BE49-F238E27FC236}">
              <a16:creationId xmlns:a16="http://schemas.microsoft.com/office/drawing/2014/main" id="{513C46D4-AD23-46AC-87E4-3D8BDFC637AF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619" name="Line 2">
          <a:extLst>
            <a:ext uri="{FF2B5EF4-FFF2-40B4-BE49-F238E27FC236}">
              <a16:creationId xmlns:a16="http://schemas.microsoft.com/office/drawing/2014/main" id="{17B79D3E-ADEE-4651-BFBF-CFEBE73498C9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620" name="Line 3">
          <a:extLst>
            <a:ext uri="{FF2B5EF4-FFF2-40B4-BE49-F238E27FC236}">
              <a16:creationId xmlns:a16="http://schemas.microsoft.com/office/drawing/2014/main" id="{D964F6F7-5DD5-4992-86D6-5B62B94D356A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416</xdr:row>
      <xdr:rowOff>0</xdr:rowOff>
    </xdr:from>
    <xdr:to>
      <xdr:col>8</xdr:col>
      <xdr:colOff>180975</xdr:colOff>
      <xdr:row>416</xdr:row>
      <xdr:rowOff>0</xdr:rowOff>
    </xdr:to>
    <xdr:sp macro="" textlink="">
      <xdr:nvSpPr>
        <xdr:cNvPr id="621" name="Line 4">
          <a:extLst>
            <a:ext uri="{FF2B5EF4-FFF2-40B4-BE49-F238E27FC236}">
              <a16:creationId xmlns:a16="http://schemas.microsoft.com/office/drawing/2014/main" id="{D8BFEE69-D14B-44AB-B715-6836983F3457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622" name="Line 3">
          <a:extLst>
            <a:ext uri="{FF2B5EF4-FFF2-40B4-BE49-F238E27FC236}">
              <a16:creationId xmlns:a16="http://schemas.microsoft.com/office/drawing/2014/main" id="{7D2A6791-4A71-47A8-9FD9-67E490CF1081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623" name="Line 5">
          <a:extLst>
            <a:ext uri="{FF2B5EF4-FFF2-40B4-BE49-F238E27FC236}">
              <a16:creationId xmlns:a16="http://schemas.microsoft.com/office/drawing/2014/main" id="{33F74C6A-180C-49D1-B1C1-572E07079B35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624" name="Line 2">
          <a:extLst>
            <a:ext uri="{FF2B5EF4-FFF2-40B4-BE49-F238E27FC236}">
              <a16:creationId xmlns:a16="http://schemas.microsoft.com/office/drawing/2014/main" id="{3829F8B6-D808-429B-B2B4-95649FA287CB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625" name="Line 3">
          <a:extLst>
            <a:ext uri="{FF2B5EF4-FFF2-40B4-BE49-F238E27FC236}">
              <a16:creationId xmlns:a16="http://schemas.microsoft.com/office/drawing/2014/main" id="{4777A17F-2BC7-42D8-B28A-CCD194927742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626" name="Line 4">
          <a:extLst>
            <a:ext uri="{FF2B5EF4-FFF2-40B4-BE49-F238E27FC236}">
              <a16:creationId xmlns:a16="http://schemas.microsoft.com/office/drawing/2014/main" id="{1155CA08-CD88-4771-8793-425F5A5C2A11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627" name="Line 5">
          <a:extLst>
            <a:ext uri="{FF2B5EF4-FFF2-40B4-BE49-F238E27FC236}">
              <a16:creationId xmlns:a16="http://schemas.microsoft.com/office/drawing/2014/main" id="{7BC3B26C-4537-4C08-A4A0-F97095A3B7E4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628" name="Line 7">
          <a:extLst>
            <a:ext uri="{FF2B5EF4-FFF2-40B4-BE49-F238E27FC236}">
              <a16:creationId xmlns:a16="http://schemas.microsoft.com/office/drawing/2014/main" id="{DC823897-B372-4A32-9E9D-2ACE18C77A82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29" name="Line 2">
          <a:extLst>
            <a:ext uri="{FF2B5EF4-FFF2-40B4-BE49-F238E27FC236}">
              <a16:creationId xmlns:a16="http://schemas.microsoft.com/office/drawing/2014/main" id="{6A64D1CE-2C16-4554-8162-500082C0198A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30" name="Line 3">
          <a:extLst>
            <a:ext uri="{FF2B5EF4-FFF2-40B4-BE49-F238E27FC236}">
              <a16:creationId xmlns:a16="http://schemas.microsoft.com/office/drawing/2014/main" id="{8A54C2C6-E94A-4849-81C7-60401BB36887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31" name="Line 4">
          <a:extLst>
            <a:ext uri="{FF2B5EF4-FFF2-40B4-BE49-F238E27FC236}">
              <a16:creationId xmlns:a16="http://schemas.microsoft.com/office/drawing/2014/main" id="{19933961-6152-4809-A4FB-059D54A356D1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632" name="Line 5">
          <a:extLst>
            <a:ext uri="{FF2B5EF4-FFF2-40B4-BE49-F238E27FC236}">
              <a16:creationId xmlns:a16="http://schemas.microsoft.com/office/drawing/2014/main" id="{D8123486-5F8B-43B3-9EE1-E3D8ABB2D7D6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33" name="Line 2">
          <a:extLst>
            <a:ext uri="{FF2B5EF4-FFF2-40B4-BE49-F238E27FC236}">
              <a16:creationId xmlns:a16="http://schemas.microsoft.com/office/drawing/2014/main" id="{651E3A8E-FA42-41C6-8A4F-76BF4C7646A5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634" name="Line 3">
          <a:extLst>
            <a:ext uri="{FF2B5EF4-FFF2-40B4-BE49-F238E27FC236}">
              <a16:creationId xmlns:a16="http://schemas.microsoft.com/office/drawing/2014/main" id="{4C5B34C2-A550-4C68-BB18-45CDB0E1903C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635" name="Line 4">
          <a:extLst>
            <a:ext uri="{FF2B5EF4-FFF2-40B4-BE49-F238E27FC236}">
              <a16:creationId xmlns:a16="http://schemas.microsoft.com/office/drawing/2014/main" id="{1E94CF5A-00CE-43F7-98BC-B353E54DDE24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636" name="Line 2">
          <a:extLst>
            <a:ext uri="{FF2B5EF4-FFF2-40B4-BE49-F238E27FC236}">
              <a16:creationId xmlns:a16="http://schemas.microsoft.com/office/drawing/2014/main" id="{E49573C3-10E3-438F-B087-FF4B5BF95D2E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637" name="Line 3">
          <a:extLst>
            <a:ext uri="{FF2B5EF4-FFF2-40B4-BE49-F238E27FC236}">
              <a16:creationId xmlns:a16="http://schemas.microsoft.com/office/drawing/2014/main" id="{92E436D4-12B9-4C21-8092-C186F60A56B5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638" name="Line 4">
          <a:extLst>
            <a:ext uri="{FF2B5EF4-FFF2-40B4-BE49-F238E27FC236}">
              <a16:creationId xmlns:a16="http://schemas.microsoft.com/office/drawing/2014/main" id="{0CAEC34B-A74F-4A02-ACCF-FD53178C46C9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639" name="Line 2">
          <a:extLst>
            <a:ext uri="{FF2B5EF4-FFF2-40B4-BE49-F238E27FC236}">
              <a16:creationId xmlns:a16="http://schemas.microsoft.com/office/drawing/2014/main" id="{0E54B247-E55D-42DF-A134-2EA1CA924A1B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640" name="Line 3">
          <a:extLst>
            <a:ext uri="{FF2B5EF4-FFF2-40B4-BE49-F238E27FC236}">
              <a16:creationId xmlns:a16="http://schemas.microsoft.com/office/drawing/2014/main" id="{50801CC6-C8A8-43CF-BD19-EC45AE0ECED4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576</xdr:row>
      <xdr:rowOff>0</xdr:rowOff>
    </xdr:from>
    <xdr:to>
      <xdr:col>8</xdr:col>
      <xdr:colOff>180975</xdr:colOff>
      <xdr:row>576</xdr:row>
      <xdr:rowOff>0</xdr:rowOff>
    </xdr:to>
    <xdr:sp macro="" textlink="">
      <xdr:nvSpPr>
        <xdr:cNvPr id="641" name="Line 4">
          <a:extLst>
            <a:ext uri="{FF2B5EF4-FFF2-40B4-BE49-F238E27FC236}">
              <a16:creationId xmlns:a16="http://schemas.microsoft.com/office/drawing/2014/main" id="{073CA376-00E2-4B69-B1BD-DA4936B60360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642" name="Line 3">
          <a:extLst>
            <a:ext uri="{FF2B5EF4-FFF2-40B4-BE49-F238E27FC236}">
              <a16:creationId xmlns:a16="http://schemas.microsoft.com/office/drawing/2014/main" id="{D1BB7968-6508-4375-AD63-12B2213AE8E0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643" name="Line 5">
          <a:extLst>
            <a:ext uri="{FF2B5EF4-FFF2-40B4-BE49-F238E27FC236}">
              <a16:creationId xmlns:a16="http://schemas.microsoft.com/office/drawing/2014/main" id="{83D98E77-286F-4869-8CAD-87C140FADB78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644" name="Line 2">
          <a:extLst>
            <a:ext uri="{FF2B5EF4-FFF2-40B4-BE49-F238E27FC236}">
              <a16:creationId xmlns:a16="http://schemas.microsoft.com/office/drawing/2014/main" id="{781434A0-F47B-4996-B774-0051449A8924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645" name="Line 3">
          <a:extLst>
            <a:ext uri="{FF2B5EF4-FFF2-40B4-BE49-F238E27FC236}">
              <a16:creationId xmlns:a16="http://schemas.microsoft.com/office/drawing/2014/main" id="{2363A465-487E-4950-A103-4D0D8FD4523B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646" name="Line 4">
          <a:extLst>
            <a:ext uri="{FF2B5EF4-FFF2-40B4-BE49-F238E27FC236}">
              <a16:creationId xmlns:a16="http://schemas.microsoft.com/office/drawing/2014/main" id="{69A16D13-5557-47DD-86FE-AF0CD49F9491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647" name="Line 5">
          <a:extLst>
            <a:ext uri="{FF2B5EF4-FFF2-40B4-BE49-F238E27FC236}">
              <a16:creationId xmlns:a16="http://schemas.microsoft.com/office/drawing/2014/main" id="{26E10B8F-E850-43A8-8B9B-085727423396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648" name="Line 7">
          <a:extLst>
            <a:ext uri="{FF2B5EF4-FFF2-40B4-BE49-F238E27FC236}">
              <a16:creationId xmlns:a16="http://schemas.microsoft.com/office/drawing/2014/main" id="{9B077108-BFBD-42A6-9B11-8D6ACAEC8459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49" name="Line 2">
          <a:extLst>
            <a:ext uri="{FF2B5EF4-FFF2-40B4-BE49-F238E27FC236}">
              <a16:creationId xmlns:a16="http://schemas.microsoft.com/office/drawing/2014/main" id="{BB93F74D-459B-4780-97A0-D6DDB10C7A7D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50" name="Line 3">
          <a:extLst>
            <a:ext uri="{FF2B5EF4-FFF2-40B4-BE49-F238E27FC236}">
              <a16:creationId xmlns:a16="http://schemas.microsoft.com/office/drawing/2014/main" id="{03AE5CEB-E160-4CB2-9182-575D0D8ADBE5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51" name="Line 4">
          <a:extLst>
            <a:ext uri="{FF2B5EF4-FFF2-40B4-BE49-F238E27FC236}">
              <a16:creationId xmlns:a16="http://schemas.microsoft.com/office/drawing/2014/main" id="{AD7B9463-916E-49DE-A983-FAE5A1610A82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652" name="Line 5">
          <a:extLst>
            <a:ext uri="{FF2B5EF4-FFF2-40B4-BE49-F238E27FC236}">
              <a16:creationId xmlns:a16="http://schemas.microsoft.com/office/drawing/2014/main" id="{9574B757-024E-4BBD-AAC1-FA6F90CF03C5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53" name="Line 2">
          <a:extLst>
            <a:ext uri="{FF2B5EF4-FFF2-40B4-BE49-F238E27FC236}">
              <a16:creationId xmlns:a16="http://schemas.microsoft.com/office/drawing/2014/main" id="{917BF541-A77B-4FE7-BD40-8C01B11A5F28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654" name="Line 3">
          <a:extLst>
            <a:ext uri="{FF2B5EF4-FFF2-40B4-BE49-F238E27FC236}">
              <a16:creationId xmlns:a16="http://schemas.microsoft.com/office/drawing/2014/main" id="{233B4B31-F1B6-4195-8F8E-2515939B6B93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655" name="Line 4">
          <a:extLst>
            <a:ext uri="{FF2B5EF4-FFF2-40B4-BE49-F238E27FC236}">
              <a16:creationId xmlns:a16="http://schemas.microsoft.com/office/drawing/2014/main" id="{D8481A6D-9D7A-4FA4-88B9-A6278FF1D7E6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656" name="Line 2">
          <a:extLst>
            <a:ext uri="{FF2B5EF4-FFF2-40B4-BE49-F238E27FC236}">
              <a16:creationId xmlns:a16="http://schemas.microsoft.com/office/drawing/2014/main" id="{6CD8357D-A4AF-43D5-AB48-09F8304C146E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657" name="Line 3">
          <a:extLst>
            <a:ext uri="{FF2B5EF4-FFF2-40B4-BE49-F238E27FC236}">
              <a16:creationId xmlns:a16="http://schemas.microsoft.com/office/drawing/2014/main" id="{6E3DA4D4-7AF4-4258-AAFF-F329F08B77C0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658" name="Line 4">
          <a:extLst>
            <a:ext uri="{FF2B5EF4-FFF2-40B4-BE49-F238E27FC236}">
              <a16:creationId xmlns:a16="http://schemas.microsoft.com/office/drawing/2014/main" id="{8F3ACA3D-0C0E-40A1-BD4E-DE8CBD7FA350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659" name="Line 2">
          <a:extLst>
            <a:ext uri="{FF2B5EF4-FFF2-40B4-BE49-F238E27FC236}">
              <a16:creationId xmlns:a16="http://schemas.microsoft.com/office/drawing/2014/main" id="{BBD21988-5F17-4E89-ACD4-2B49C83A4997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660" name="Line 3">
          <a:extLst>
            <a:ext uri="{FF2B5EF4-FFF2-40B4-BE49-F238E27FC236}">
              <a16:creationId xmlns:a16="http://schemas.microsoft.com/office/drawing/2014/main" id="{7BACB095-B6B7-49A6-9C97-8B16E1A4CB2B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661" name="Line 4">
          <a:extLst>
            <a:ext uri="{FF2B5EF4-FFF2-40B4-BE49-F238E27FC236}">
              <a16:creationId xmlns:a16="http://schemas.microsoft.com/office/drawing/2014/main" id="{56AE0420-01FE-46E4-A90F-7A81742CE286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662" name="Line 3">
          <a:extLst>
            <a:ext uri="{FF2B5EF4-FFF2-40B4-BE49-F238E27FC236}">
              <a16:creationId xmlns:a16="http://schemas.microsoft.com/office/drawing/2014/main" id="{7FB18065-B37F-4F47-935E-86F72BD18ABF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663" name="Line 5">
          <a:extLst>
            <a:ext uri="{FF2B5EF4-FFF2-40B4-BE49-F238E27FC236}">
              <a16:creationId xmlns:a16="http://schemas.microsoft.com/office/drawing/2014/main" id="{9D64052F-91BE-4498-9103-E00B926F51DB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664" name="Line 2">
          <a:extLst>
            <a:ext uri="{FF2B5EF4-FFF2-40B4-BE49-F238E27FC236}">
              <a16:creationId xmlns:a16="http://schemas.microsoft.com/office/drawing/2014/main" id="{C88DEC7E-F2DD-41D7-A6FF-613AB6C213D0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665" name="Line 3">
          <a:extLst>
            <a:ext uri="{FF2B5EF4-FFF2-40B4-BE49-F238E27FC236}">
              <a16:creationId xmlns:a16="http://schemas.microsoft.com/office/drawing/2014/main" id="{7F77629C-1F05-4444-9D14-A37DEBC3D0F9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666" name="Line 4">
          <a:extLst>
            <a:ext uri="{FF2B5EF4-FFF2-40B4-BE49-F238E27FC236}">
              <a16:creationId xmlns:a16="http://schemas.microsoft.com/office/drawing/2014/main" id="{5E1C620C-337A-4B1E-ADE1-4E0CDFAEBEF2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667" name="Line 5">
          <a:extLst>
            <a:ext uri="{FF2B5EF4-FFF2-40B4-BE49-F238E27FC236}">
              <a16:creationId xmlns:a16="http://schemas.microsoft.com/office/drawing/2014/main" id="{55381A5C-E155-4E69-A693-8428E63B5817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668" name="Line 7">
          <a:extLst>
            <a:ext uri="{FF2B5EF4-FFF2-40B4-BE49-F238E27FC236}">
              <a16:creationId xmlns:a16="http://schemas.microsoft.com/office/drawing/2014/main" id="{99DB9DA2-06EF-498B-9118-F22909635469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69" name="Line 2">
          <a:extLst>
            <a:ext uri="{FF2B5EF4-FFF2-40B4-BE49-F238E27FC236}">
              <a16:creationId xmlns:a16="http://schemas.microsoft.com/office/drawing/2014/main" id="{4BD71D27-9303-4252-84F8-93841B2F0A6B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70" name="Line 3">
          <a:extLst>
            <a:ext uri="{FF2B5EF4-FFF2-40B4-BE49-F238E27FC236}">
              <a16:creationId xmlns:a16="http://schemas.microsoft.com/office/drawing/2014/main" id="{45BF80B5-2BA1-46FF-9260-2CDC2F8E701E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71" name="Line 4">
          <a:extLst>
            <a:ext uri="{FF2B5EF4-FFF2-40B4-BE49-F238E27FC236}">
              <a16:creationId xmlns:a16="http://schemas.microsoft.com/office/drawing/2014/main" id="{8450A306-720F-42E1-8F33-0EEDAC1D56EB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672" name="Line 5">
          <a:extLst>
            <a:ext uri="{FF2B5EF4-FFF2-40B4-BE49-F238E27FC236}">
              <a16:creationId xmlns:a16="http://schemas.microsoft.com/office/drawing/2014/main" id="{CCF4B968-CB39-4394-AC76-ADACFC992290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73" name="Line 2">
          <a:extLst>
            <a:ext uri="{FF2B5EF4-FFF2-40B4-BE49-F238E27FC236}">
              <a16:creationId xmlns:a16="http://schemas.microsoft.com/office/drawing/2014/main" id="{70D38B91-B54E-4943-9372-738D4B2C82AF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674" name="Line 3">
          <a:extLst>
            <a:ext uri="{FF2B5EF4-FFF2-40B4-BE49-F238E27FC236}">
              <a16:creationId xmlns:a16="http://schemas.microsoft.com/office/drawing/2014/main" id="{F564F169-ADC9-473E-90C7-461539F8A609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675" name="Line 4">
          <a:extLst>
            <a:ext uri="{FF2B5EF4-FFF2-40B4-BE49-F238E27FC236}">
              <a16:creationId xmlns:a16="http://schemas.microsoft.com/office/drawing/2014/main" id="{B0312C6D-2162-4140-945D-7B72DBCF2882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676" name="Line 2">
          <a:extLst>
            <a:ext uri="{FF2B5EF4-FFF2-40B4-BE49-F238E27FC236}">
              <a16:creationId xmlns:a16="http://schemas.microsoft.com/office/drawing/2014/main" id="{68615092-4592-4AC3-AD39-8A97E0769F5E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677" name="Line 3">
          <a:extLst>
            <a:ext uri="{FF2B5EF4-FFF2-40B4-BE49-F238E27FC236}">
              <a16:creationId xmlns:a16="http://schemas.microsoft.com/office/drawing/2014/main" id="{EDB82019-5A3A-4195-AEA7-473F51807903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691</xdr:row>
      <xdr:rowOff>0</xdr:rowOff>
    </xdr:from>
    <xdr:to>
      <xdr:col>8</xdr:col>
      <xdr:colOff>180975</xdr:colOff>
      <xdr:row>691</xdr:row>
      <xdr:rowOff>0</xdr:rowOff>
    </xdr:to>
    <xdr:sp macro="" textlink="">
      <xdr:nvSpPr>
        <xdr:cNvPr id="678" name="Line 4">
          <a:extLst>
            <a:ext uri="{FF2B5EF4-FFF2-40B4-BE49-F238E27FC236}">
              <a16:creationId xmlns:a16="http://schemas.microsoft.com/office/drawing/2014/main" id="{D0A42AD0-0C24-40FE-80DD-A47F0B43134F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679" name="Line 2">
          <a:extLst>
            <a:ext uri="{FF2B5EF4-FFF2-40B4-BE49-F238E27FC236}">
              <a16:creationId xmlns:a16="http://schemas.microsoft.com/office/drawing/2014/main" id="{3377067A-1117-4AFB-9D29-2F4571ED62D9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680" name="Line 3">
          <a:extLst>
            <a:ext uri="{FF2B5EF4-FFF2-40B4-BE49-F238E27FC236}">
              <a16:creationId xmlns:a16="http://schemas.microsoft.com/office/drawing/2014/main" id="{6DB9340D-2F8D-4CAC-B772-882AE2F99374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694</xdr:row>
      <xdr:rowOff>0</xdr:rowOff>
    </xdr:from>
    <xdr:to>
      <xdr:col>8</xdr:col>
      <xdr:colOff>180975</xdr:colOff>
      <xdr:row>694</xdr:row>
      <xdr:rowOff>0</xdr:rowOff>
    </xdr:to>
    <xdr:sp macro="" textlink="">
      <xdr:nvSpPr>
        <xdr:cNvPr id="681" name="Line 4">
          <a:extLst>
            <a:ext uri="{FF2B5EF4-FFF2-40B4-BE49-F238E27FC236}">
              <a16:creationId xmlns:a16="http://schemas.microsoft.com/office/drawing/2014/main" id="{7890C2B8-A9E9-4AE5-91C0-100BA2B2D584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682" name="Line 3">
          <a:extLst>
            <a:ext uri="{FF2B5EF4-FFF2-40B4-BE49-F238E27FC236}">
              <a16:creationId xmlns:a16="http://schemas.microsoft.com/office/drawing/2014/main" id="{29CD8C31-69D3-4267-8451-BF67F24EBBEA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683" name="Line 5">
          <a:extLst>
            <a:ext uri="{FF2B5EF4-FFF2-40B4-BE49-F238E27FC236}">
              <a16:creationId xmlns:a16="http://schemas.microsoft.com/office/drawing/2014/main" id="{94A7F46E-0327-4CC2-9763-578F7612FE24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684" name="Line 2">
          <a:extLst>
            <a:ext uri="{FF2B5EF4-FFF2-40B4-BE49-F238E27FC236}">
              <a16:creationId xmlns:a16="http://schemas.microsoft.com/office/drawing/2014/main" id="{8B77D5AB-7390-429D-BB5C-72F8106731A0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685" name="Line 3">
          <a:extLst>
            <a:ext uri="{FF2B5EF4-FFF2-40B4-BE49-F238E27FC236}">
              <a16:creationId xmlns:a16="http://schemas.microsoft.com/office/drawing/2014/main" id="{6CD8CEAE-9BBC-49AB-B1FB-55A821937D54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686" name="Line 4">
          <a:extLst>
            <a:ext uri="{FF2B5EF4-FFF2-40B4-BE49-F238E27FC236}">
              <a16:creationId xmlns:a16="http://schemas.microsoft.com/office/drawing/2014/main" id="{344B9E11-4638-4FB4-A8B6-B0A9CF8B1B73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687" name="Line 5">
          <a:extLst>
            <a:ext uri="{FF2B5EF4-FFF2-40B4-BE49-F238E27FC236}">
              <a16:creationId xmlns:a16="http://schemas.microsoft.com/office/drawing/2014/main" id="{E8B758A7-C150-4AEB-881D-87B123CCA8BB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776</xdr:row>
      <xdr:rowOff>0</xdr:rowOff>
    </xdr:from>
    <xdr:to>
      <xdr:col>8</xdr:col>
      <xdr:colOff>180975</xdr:colOff>
      <xdr:row>776</xdr:row>
      <xdr:rowOff>0</xdr:rowOff>
    </xdr:to>
    <xdr:sp macro="" textlink="">
      <xdr:nvSpPr>
        <xdr:cNvPr id="688" name="Line 7">
          <a:extLst>
            <a:ext uri="{FF2B5EF4-FFF2-40B4-BE49-F238E27FC236}">
              <a16:creationId xmlns:a16="http://schemas.microsoft.com/office/drawing/2014/main" id="{6D276A9A-6E8C-40F8-AF28-5376582759E0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89" name="Line 2">
          <a:extLst>
            <a:ext uri="{FF2B5EF4-FFF2-40B4-BE49-F238E27FC236}">
              <a16:creationId xmlns:a16="http://schemas.microsoft.com/office/drawing/2014/main" id="{D0889BAA-4900-4F34-9E9E-85910735AC73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90" name="Line 3">
          <a:extLst>
            <a:ext uri="{FF2B5EF4-FFF2-40B4-BE49-F238E27FC236}">
              <a16:creationId xmlns:a16="http://schemas.microsoft.com/office/drawing/2014/main" id="{0582D3EF-2BB1-4E99-9E81-601C10A33A83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91" name="Line 4">
          <a:extLst>
            <a:ext uri="{FF2B5EF4-FFF2-40B4-BE49-F238E27FC236}">
              <a16:creationId xmlns:a16="http://schemas.microsoft.com/office/drawing/2014/main" id="{B66DF8B2-E53F-4619-8372-3CC31377001E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692" name="Line 5">
          <a:extLst>
            <a:ext uri="{FF2B5EF4-FFF2-40B4-BE49-F238E27FC236}">
              <a16:creationId xmlns:a16="http://schemas.microsoft.com/office/drawing/2014/main" id="{4F1938FE-04A0-49C6-9375-CB44E5CF05E2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93" name="Line 2">
          <a:extLst>
            <a:ext uri="{FF2B5EF4-FFF2-40B4-BE49-F238E27FC236}">
              <a16:creationId xmlns:a16="http://schemas.microsoft.com/office/drawing/2014/main" id="{D455396C-739F-49E6-AEAA-8208E377F6A3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694" name="Line 3">
          <a:extLst>
            <a:ext uri="{FF2B5EF4-FFF2-40B4-BE49-F238E27FC236}">
              <a16:creationId xmlns:a16="http://schemas.microsoft.com/office/drawing/2014/main" id="{902A8D63-FAE9-4958-A777-3213CB157055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695" name="Line 4">
          <a:extLst>
            <a:ext uri="{FF2B5EF4-FFF2-40B4-BE49-F238E27FC236}">
              <a16:creationId xmlns:a16="http://schemas.microsoft.com/office/drawing/2014/main" id="{134A4FB8-F5A9-4764-9F4B-FF47D9FB414F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696" name="Line 2">
          <a:extLst>
            <a:ext uri="{FF2B5EF4-FFF2-40B4-BE49-F238E27FC236}">
              <a16:creationId xmlns:a16="http://schemas.microsoft.com/office/drawing/2014/main" id="{0A221098-99B3-4540-B19A-9D71A63794D8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697" name="Line 3">
          <a:extLst>
            <a:ext uri="{FF2B5EF4-FFF2-40B4-BE49-F238E27FC236}">
              <a16:creationId xmlns:a16="http://schemas.microsoft.com/office/drawing/2014/main" id="{B82351C3-5320-4982-91D7-2D2F25289969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751</xdr:row>
      <xdr:rowOff>0</xdr:rowOff>
    </xdr:from>
    <xdr:to>
      <xdr:col>8</xdr:col>
      <xdr:colOff>180975</xdr:colOff>
      <xdr:row>751</xdr:row>
      <xdr:rowOff>0</xdr:rowOff>
    </xdr:to>
    <xdr:sp macro="" textlink="">
      <xdr:nvSpPr>
        <xdr:cNvPr id="698" name="Line 4">
          <a:extLst>
            <a:ext uri="{FF2B5EF4-FFF2-40B4-BE49-F238E27FC236}">
              <a16:creationId xmlns:a16="http://schemas.microsoft.com/office/drawing/2014/main" id="{31311731-D72D-418B-A8E3-9F504E31C3C4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699" name="Line 2">
          <a:extLst>
            <a:ext uri="{FF2B5EF4-FFF2-40B4-BE49-F238E27FC236}">
              <a16:creationId xmlns:a16="http://schemas.microsoft.com/office/drawing/2014/main" id="{0C6F6671-26C8-459E-9E40-04579165D8C9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700" name="Line 3">
          <a:extLst>
            <a:ext uri="{FF2B5EF4-FFF2-40B4-BE49-F238E27FC236}">
              <a16:creationId xmlns:a16="http://schemas.microsoft.com/office/drawing/2014/main" id="{EFC77675-F675-45C5-BBBE-55F9D0ECF09A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754</xdr:row>
      <xdr:rowOff>0</xdr:rowOff>
    </xdr:from>
    <xdr:to>
      <xdr:col>8</xdr:col>
      <xdr:colOff>180975</xdr:colOff>
      <xdr:row>754</xdr:row>
      <xdr:rowOff>0</xdr:rowOff>
    </xdr:to>
    <xdr:sp macro="" textlink="">
      <xdr:nvSpPr>
        <xdr:cNvPr id="701" name="Line 4">
          <a:extLst>
            <a:ext uri="{FF2B5EF4-FFF2-40B4-BE49-F238E27FC236}">
              <a16:creationId xmlns:a16="http://schemas.microsoft.com/office/drawing/2014/main" id="{F7DE91AF-C27C-4698-B091-F6B413A11EB4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</xdr:row>
      <xdr:rowOff>0</xdr:rowOff>
    </xdr:from>
    <xdr:to>
      <xdr:col>8</xdr:col>
      <xdr:colOff>180975</xdr:colOff>
      <xdr:row>53</xdr:row>
      <xdr:rowOff>0</xdr:rowOff>
    </xdr:to>
    <xdr:sp macro="" textlink="">
      <xdr:nvSpPr>
        <xdr:cNvPr id="702" name="Line 2">
          <a:extLst>
            <a:ext uri="{FF2B5EF4-FFF2-40B4-BE49-F238E27FC236}">
              <a16:creationId xmlns:a16="http://schemas.microsoft.com/office/drawing/2014/main" id="{479E0683-D6EE-436B-AF92-91CF0FC12FB5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703" name="Line 3">
          <a:extLst>
            <a:ext uri="{FF2B5EF4-FFF2-40B4-BE49-F238E27FC236}">
              <a16:creationId xmlns:a16="http://schemas.microsoft.com/office/drawing/2014/main" id="{92D9B047-FF15-44DB-82CE-35F74E3C3BFB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704" name="Line 5">
          <a:extLst>
            <a:ext uri="{FF2B5EF4-FFF2-40B4-BE49-F238E27FC236}">
              <a16:creationId xmlns:a16="http://schemas.microsoft.com/office/drawing/2014/main" id="{5C10FF4D-E415-4432-8740-20E31190C14D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705" name="Line 3">
          <a:extLst>
            <a:ext uri="{FF2B5EF4-FFF2-40B4-BE49-F238E27FC236}">
              <a16:creationId xmlns:a16="http://schemas.microsoft.com/office/drawing/2014/main" id="{F9A7E7CD-9D07-4A99-937C-B92DC0194AEA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706" name="Line 5">
          <a:extLst>
            <a:ext uri="{FF2B5EF4-FFF2-40B4-BE49-F238E27FC236}">
              <a16:creationId xmlns:a16="http://schemas.microsoft.com/office/drawing/2014/main" id="{46A33351-9573-4792-8A23-E4389CBD6D18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707" name="Line 2">
          <a:extLst>
            <a:ext uri="{FF2B5EF4-FFF2-40B4-BE49-F238E27FC236}">
              <a16:creationId xmlns:a16="http://schemas.microsoft.com/office/drawing/2014/main" id="{01CD2B5D-8F01-4C5E-A225-2FE74A711FFC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708" name="Line 3">
          <a:extLst>
            <a:ext uri="{FF2B5EF4-FFF2-40B4-BE49-F238E27FC236}">
              <a16:creationId xmlns:a16="http://schemas.microsoft.com/office/drawing/2014/main" id="{1122D276-8842-4C07-BCFE-DAA6FFE217DC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709" name="Line 4">
          <a:extLst>
            <a:ext uri="{FF2B5EF4-FFF2-40B4-BE49-F238E27FC236}">
              <a16:creationId xmlns:a16="http://schemas.microsoft.com/office/drawing/2014/main" id="{4B452CDE-30A3-49D4-92A6-B00DC38564EE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710" name="Line 5">
          <a:extLst>
            <a:ext uri="{FF2B5EF4-FFF2-40B4-BE49-F238E27FC236}">
              <a16:creationId xmlns:a16="http://schemas.microsoft.com/office/drawing/2014/main" id="{C2A9D1FD-B0CD-4969-9067-9DEA037043AD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104</xdr:row>
      <xdr:rowOff>0</xdr:rowOff>
    </xdr:from>
    <xdr:to>
      <xdr:col>8</xdr:col>
      <xdr:colOff>180975</xdr:colOff>
      <xdr:row>104</xdr:row>
      <xdr:rowOff>0</xdr:rowOff>
    </xdr:to>
    <xdr:sp macro="" textlink="">
      <xdr:nvSpPr>
        <xdr:cNvPr id="711" name="Line 7">
          <a:extLst>
            <a:ext uri="{FF2B5EF4-FFF2-40B4-BE49-F238E27FC236}">
              <a16:creationId xmlns:a16="http://schemas.microsoft.com/office/drawing/2014/main" id="{223B34F6-53D8-4586-A6DA-CE95ACFAD79E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712" name="Line 3">
          <a:extLst>
            <a:ext uri="{FF2B5EF4-FFF2-40B4-BE49-F238E27FC236}">
              <a16:creationId xmlns:a16="http://schemas.microsoft.com/office/drawing/2014/main" id="{9254134E-C58E-4CE6-9B7D-F39377D90017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713" name="Line 5">
          <a:extLst>
            <a:ext uri="{FF2B5EF4-FFF2-40B4-BE49-F238E27FC236}">
              <a16:creationId xmlns:a16="http://schemas.microsoft.com/office/drawing/2014/main" id="{ECB03E19-78C1-4B6D-AD07-DFE3C9CBBDFA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714" name="Line 2">
          <a:extLst>
            <a:ext uri="{FF2B5EF4-FFF2-40B4-BE49-F238E27FC236}">
              <a16:creationId xmlns:a16="http://schemas.microsoft.com/office/drawing/2014/main" id="{D468059E-5AB9-4FF6-9229-97344ED335F5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715" name="Line 3">
          <a:extLst>
            <a:ext uri="{FF2B5EF4-FFF2-40B4-BE49-F238E27FC236}">
              <a16:creationId xmlns:a16="http://schemas.microsoft.com/office/drawing/2014/main" id="{DE690E4C-3A45-4BB8-8346-64F989D8AC36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716" name="Line 4">
          <a:extLst>
            <a:ext uri="{FF2B5EF4-FFF2-40B4-BE49-F238E27FC236}">
              <a16:creationId xmlns:a16="http://schemas.microsoft.com/office/drawing/2014/main" id="{B22AC421-3B2F-4F42-8507-090BF513BEB2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717" name="Line 5">
          <a:extLst>
            <a:ext uri="{FF2B5EF4-FFF2-40B4-BE49-F238E27FC236}">
              <a16:creationId xmlns:a16="http://schemas.microsoft.com/office/drawing/2014/main" id="{43C35C0F-5FAA-4D3C-813E-7FEB2FE5E7A7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718" name="Line 2">
          <a:extLst>
            <a:ext uri="{FF2B5EF4-FFF2-40B4-BE49-F238E27FC236}">
              <a16:creationId xmlns:a16="http://schemas.microsoft.com/office/drawing/2014/main" id="{EFC3C746-BBBC-4FA1-97CD-08FF5E7CD490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719" name="Line 3">
          <a:extLst>
            <a:ext uri="{FF2B5EF4-FFF2-40B4-BE49-F238E27FC236}">
              <a16:creationId xmlns:a16="http://schemas.microsoft.com/office/drawing/2014/main" id="{212DA410-17BA-4EDB-949D-D42AB849DC54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720" name="Line 4">
          <a:extLst>
            <a:ext uri="{FF2B5EF4-FFF2-40B4-BE49-F238E27FC236}">
              <a16:creationId xmlns:a16="http://schemas.microsoft.com/office/drawing/2014/main" id="{F4C90122-02B2-4ADA-81DC-270BF6C1DDDA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721" name="Line 5">
          <a:extLst>
            <a:ext uri="{FF2B5EF4-FFF2-40B4-BE49-F238E27FC236}">
              <a16:creationId xmlns:a16="http://schemas.microsoft.com/office/drawing/2014/main" id="{C4273555-7CE0-4E1E-9D29-4AA8187DFC08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722" name="Line 2">
          <a:extLst>
            <a:ext uri="{FF2B5EF4-FFF2-40B4-BE49-F238E27FC236}">
              <a16:creationId xmlns:a16="http://schemas.microsoft.com/office/drawing/2014/main" id="{A87E9627-42ED-4C3E-99F8-808B9D65D695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723" name="Line 3">
          <a:extLst>
            <a:ext uri="{FF2B5EF4-FFF2-40B4-BE49-F238E27FC236}">
              <a16:creationId xmlns:a16="http://schemas.microsoft.com/office/drawing/2014/main" id="{2E525492-78D1-4F61-B56A-13ECBEAC2E95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724" name="Line 5">
          <a:extLst>
            <a:ext uri="{FF2B5EF4-FFF2-40B4-BE49-F238E27FC236}">
              <a16:creationId xmlns:a16="http://schemas.microsoft.com/office/drawing/2014/main" id="{969E0AE1-3C52-4ECC-96C1-F31A73A7CEB4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725" name="Line 2">
          <a:extLst>
            <a:ext uri="{FF2B5EF4-FFF2-40B4-BE49-F238E27FC236}">
              <a16:creationId xmlns:a16="http://schemas.microsoft.com/office/drawing/2014/main" id="{0998256E-0ED3-400D-885E-8C7BC5B9E76D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726" name="Line 3">
          <a:extLst>
            <a:ext uri="{FF2B5EF4-FFF2-40B4-BE49-F238E27FC236}">
              <a16:creationId xmlns:a16="http://schemas.microsoft.com/office/drawing/2014/main" id="{43F0BA1C-F51F-4FCB-B519-5BEA87DA657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727" name="Line 4">
          <a:extLst>
            <a:ext uri="{FF2B5EF4-FFF2-40B4-BE49-F238E27FC236}">
              <a16:creationId xmlns:a16="http://schemas.microsoft.com/office/drawing/2014/main" id="{BCFBF598-5215-4DA8-9712-1D7CCAB683A9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728" name="Line 5">
          <a:extLst>
            <a:ext uri="{FF2B5EF4-FFF2-40B4-BE49-F238E27FC236}">
              <a16:creationId xmlns:a16="http://schemas.microsoft.com/office/drawing/2014/main" id="{1F41BFAC-5BEA-4018-A185-D3D17F7FD8D9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729" name="Line 7">
          <a:extLst>
            <a:ext uri="{FF2B5EF4-FFF2-40B4-BE49-F238E27FC236}">
              <a16:creationId xmlns:a16="http://schemas.microsoft.com/office/drawing/2014/main" id="{34F5A6E1-F295-444A-84BA-84D2B6885F6A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30" name="Line 2">
          <a:extLst>
            <a:ext uri="{FF2B5EF4-FFF2-40B4-BE49-F238E27FC236}">
              <a16:creationId xmlns:a16="http://schemas.microsoft.com/office/drawing/2014/main" id="{898D0624-90EB-42F5-9DC0-0A2DE1C7CBB8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31" name="Line 3">
          <a:extLst>
            <a:ext uri="{FF2B5EF4-FFF2-40B4-BE49-F238E27FC236}">
              <a16:creationId xmlns:a16="http://schemas.microsoft.com/office/drawing/2014/main" id="{F8EAE644-F070-4D21-ACA5-EADC349784F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32" name="Line 4">
          <a:extLst>
            <a:ext uri="{FF2B5EF4-FFF2-40B4-BE49-F238E27FC236}">
              <a16:creationId xmlns:a16="http://schemas.microsoft.com/office/drawing/2014/main" id="{952E9E95-FE8F-41F8-8624-0F3E333EF53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733" name="Line 5">
          <a:extLst>
            <a:ext uri="{FF2B5EF4-FFF2-40B4-BE49-F238E27FC236}">
              <a16:creationId xmlns:a16="http://schemas.microsoft.com/office/drawing/2014/main" id="{0BED711A-A932-4E83-977C-27A67CE21710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734" name="Line 2">
          <a:extLst>
            <a:ext uri="{FF2B5EF4-FFF2-40B4-BE49-F238E27FC236}">
              <a16:creationId xmlns:a16="http://schemas.microsoft.com/office/drawing/2014/main" id="{5E124D25-7856-40DB-9EDE-CEBEEF08A495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735" name="Line 3">
          <a:extLst>
            <a:ext uri="{FF2B5EF4-FFF2-40B4-BE49-F238E27FC236}">
              <a16:creationId xmlns:a16="http://schemas.microsoft.com/office/drawing/2014/main" id="{CB367D5D-D655-4FCF-9713-35AAAD3EF486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736" name="Line 4">
          <a:extLst>
            <a:ext uri="{FF2B5EF4-FFF2-40B4-BE49-F238E27FC236}">
              <a16:creationId xmlns:a16="http://schemas.microsoft.com/office/drawing/2014/main" id="{1D44403D-D241-4F61-A8D4-F140B1D2F3BE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737" name="Line 5">
          <a:extLst>
            <a:ext uri="{FF2B5EF4-FFF2-40B4-BE49-F238E27FC236}">
              <a16:creationId xmlns:a16="http://schemas.microsoft.com/office/drawing/2014/main" id="{D3EDA75E-CFAE-480A-B9FB-79A7362D1C0C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738" name="Line 7">
          <a:extLst>
            <a:ext uri="{FF2B5EF4-FFF2-40B4-BE49-F238E27FC236}">
              <a16:creationId xmlns:a16="http://schemas.microsoft.com/office/drawing/2014/main" id="{0B709AB4-0373-444B-BE65-3187142C7056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739" name="Line 8">
          <a:extLst>
            <a:ext uri="{FF2B5EF4-FFF2-40B4-BE49-F238E27FC236}">
              <a16:creationId xmlns:a16="http://schemas.microsoft.com/office/drawing/2014/main" id="{8100931A-37D4-462B-B636-93075D34447B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740" name="Rectangle 7">
          <a:extLst>
            <a:ext uri="{FF2B5EF4-FFF2-40B4-BE49-F238E27FC236}">
              <a16:creationId xmlns:a16="http://schemas.microsoft.com/office/drawing/2014/main" id="{EEEA7F3D-E30D-4F6F-8FF9-A6CCA4B3058C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741" name="Rectangle 8">
          <a:extLst>
            <a:ext uri="{FF2B5EF4-FFF2-40B4-BE49-F238E27FC236}">
              <a16:creationId xmlns:a16="http://schemas.microsoft.com/office/drawing/2014/main" id="{E26CB3C6-0D49-409F-A639-9E2060731AA1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742" name="Line 2">
          <a:extLst>
            <a:ext uri="{FF2B5EF4-FFF2-40B4-BE49-F238E27FC236}">
              <a16:creationId xmlns:a16="http://schemas.microsoft.com/office/drawing/2014/main" id="{01B65CEB-3C6D-4BD9-8611-5A6F0CC7D0F7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743" name="Line 3">
          <a:extLst>
            <a:ext uri="{FF2B5EF4-FFF2-40B4-BE49-F238E27FC236}">
              <a16:creationId xmlns:a16="http://schemas.microsoft.com/office/drawing/2014/main" id="{6B64C313-014E-4283-8E85-D7FFDBF3DBE6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744" name="Line 5">
          <a:extLst>
            <a:ext uri="{FF2B5EF4-FFF2-40B4-BE49-F238E27FC236}">
              <a16:creationId xmlns:a16="http://schemas.microsoft.com/office/drawing/2014/main" id="{8EAC4398-B68D-4470-A423-EF8676806254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745" name="Line 2">
          <a:extLst>
            <a:ext uri="{FF2B5EF4-FFF2-40B4-BE49-F238E27FC236}">
              <a16:creationId xmlns:a16="http://schemas.microsoft.com/office/drawing/2014/main" id="{50F7A07B-5B7E-4A8A-8C7E-73BD7DEE400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746" name="Line 3">
          <a:extLst>
            <a:ext uri="{FF2B5EF4-FFF2-40B4-BE49-F238E27FC236}">
              <a16:creationId xmlns:a16="http://schemas.microsoft.com/office/drawing/2014/main" id="{F84E1F0B-B1BA-425F-A336-E5BCFA985BD3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747" name="Line 4">
          <a:extLst>
            <a:ext uri="{FF2B5EF4-FFF2-40B4-BE49-F238E27FC236}">
              <a16:creationId xmlns:a16="http://schemas.microsoft.com/office/drawing/2014/main" id="{B82784F4-0A2E-4817-BECC-AC9DD8E6E8C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748" name="Line 5">
          <a:extLst>
            <a:ext uri="{FF2B5EF4-FFF2-40B4-BE49-F238E27FC236}">
              <a16:creationId xmlns:a16="http://schemas.microsoft.com/office/drawing/2014/main" id="{3901103B-2164-4784-888F-49CE95C2CAE4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749" name="Line 7">
          <a:extLst>
            <a:ext uri="{FF2B5EF4-FFF2-40B4-BE49-F238E27FC236}">
              <a16:creationId xmlns:a16="http://schemas.microsoft.com/office/drawing/2014/main" id="{66AF452A-C580-48AE-AA28-28E88CA7C61C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50" name="Line 2">
          <a:extLst>
            <a:ext uri="{FF2B5EF4-FFF2-40B4-BE49-F238E27FC236}">
              <a16:creationId xmlns:a16="http://schemas.microsoft.com/office/drawing/2014/main" id="{0DB0FB1C-09AC-4DAB-8082-71F8B5CC35EF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51" name="Line 3">
          <a:extLst>
            <a:ext uri="{FF2B5EF4-FFF2-40B4-BE49-F238E27FC236}">
              <a16:creationId xmlns:a16="http://schemas.microsoft.com/office/drawing/2014/main" id="{78C45596-8870-4C70-BF9C-2593A69AF3D5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752" name="Line 4">
          <a:extLst>
            <a:ext uri="{FF2B5EF4-FFF2-40B4-BE49-F238E27FC236}">
              <a16:creationId xmlns:a16="http://schemas.microsoft.com/office/drawing/2014/main" id="{97FB146D-688F-4BF4-99CD-4BB7CF9E0FAC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753" name="Line 5">
          <a:extLst>
            <a:ext uri="{FF2B5EF4-FFF2-40B4-BE49-F238E27FC236}">
              <a16:creationId xmlns:a16="http://schemas.microsoft.com/office/drawing/2014/main" id="{D35DA697-07BE-4CE1-A84D-132FDDE8EF0E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754" name="Line 2">
          <a:extLst>
            <a:ext uri="{FF2B5EF4-FFF2-40B4-BE49-F238E27FC236}">
              <a16:creationId xmlns:a16="http://schemas.microsoft.com/office/drawing/2014/main" id="{4262CFB6-79F9-4E7A-9051-159D2F73496B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755" name="Line 3">
          <a:extLst>
            <a:ext uri="{FF2B5EF4-FFF2-40B4-BE49-F238E27FC236}">
              <a16:creationId xmlns:a16="http://schemas.microsoft.com/office/drawing/2014/main" id="{A9196E2A-A3CA-4366-A8B7-04BF9BE0A83D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756" name="Line 4">
          <a:extLst>
            <a:ext uri="{FF2B5EF4-FFF2-40B4-BE49-F238E27FC236}">
              <a16:creationId xmlns:a16="http://schemas.microsoft.com/office/drawing/2014/main" id="{67EC17BA-1A54-47C9-B7B8-3838F2512816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757" name="Line 5">
          <a:extLst>
            <a:ext uri="{FF2B5EF4-FFF2-40B4-BE49-F238E27FC236}">
              <a16:creationId xmlns:a16="http://schemas.microsoft.com/office/drawing/2014/main" id="{79D37E3E-2657-4BAE-AC04-3B04BFEAFFD6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758" name="Line 7">
          <a:extLst>
            <a:ext uri="{FF2B5EF4-FFF2-40B4-BE49-F238E27FC236}">
              <a16:creationId xmlns:a16="http://schemas.microsoft.com/office/drawing/2014/main" id="{8D0505E3-F3FF-4E5E-A478-20A69D064811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759" name="Line 8">
          <a:extLst>
            <a:ext uri="{FF2B5EF4-FFF2-40B4-BE49-F238E27FC236}">
              <a16:creationId xmlns:a16="http://schemas.microsoft.com/office/drawing/2014/main" id="{A6EC81DC-0087-41FE-8BEE-658A92C2DF08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760" name="Rectangle 7">
          <a:extLst>
            <a:ext uri="{FF2B5EF4-FFF2-40B4-BE49-F238E27FC236}">
              <a16:creationId xmlns:a16="http://schemas.microsoft.com/office/drawing/2014/main" id="{723ABBB6-4A3B-4C20-9CA4-E6B326C64010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761" name="Rectangle 8">
          <a:extLst>
            <a:ext uri="{FF2B5EF4-FFF2-40B4-BE49-F238E27FC236}">
              <a16:creationId xmlns:a16="http://schemas.microsoft.com/office/drawing/2014/main" id="{BCAF844B-9761-494D-8E8A-FBA8C9961A6B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762" name="Line 3">
          <a:extLst>
            <a:ext uri="{FF2B5EF4-FFF2-40B4-BE49-F238E27FC236}">
              <a16:creationId xmlns:a16="http://schemas.microsoft.com/office/drawing/2014/main" id="{15EAAC1A-7A70-44A0-AD97-30A06444043D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763" name="Line 5">
          <a:extLst>
            <a:ext uri="{FF2B5EF4-FFF2-40B4-BE49-F238E27FC236}">
              <a16:creationId xmlns:a16="http://schemas.microsoft.com/office/drawing/2014/main" id="{9D93EB16-99CF-426D-A2C6-B4097FD4672B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764" name="Line 2">
          <a:extLst>
            <a:ext uri="{FF2B5EF4-FFF2-40B4-BE49-F238E27FC236}">
              <a16:creationId xmlns:a16="http://schemas.microsoft.com/office/drawing/2014/main" id="{7FC5A925-8E01-4613-8208-C1AECA8EC0B7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765" name="Line 3">
          <a:extLst>
            <a:ext uri="{FF2B5EF4-FFF2-40B4-BE49-F238E27FC236}">
              <a16:creationId xmlns:a16="http://schemas.microsoft.com/office/drawing/2014/main" id="{4273F504-E811-4A6C-8A5A-C6E7A462BB0D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766" name="Line 4">
          <a:extLst>
            <a:ext uri="{FF2B5EF4-FFF2-40B4-BE49-F238E27FC236}">
              <a16:creationId xmlns:a16="http://schemas.microsoft.com/office/drawing/2014/main" id="{F3724EAB-736A-4A2E-8F3F-FE099E3A7F06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767" name="Line 5">
          <a:extLst>
            <a:ext uri="{FF2B5EF4-FFF2-40B4-BE49-F238E27FC236}">
              <a16:creationId xmlns:a16="http://schemas.microsoft.com/office/drawing/2014/main" id="{E12B2007-E32A-4179-841B-496233369D92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768" name="Line 7">
          <a:extLst>
            <a:ext uri="{FF2B5EF4-FFF2-40B4-BE49-F238E27FC236}">
              <a16:creationId xmlns:a16="http://schemas.microsoft.com/office/drawing/2014/main" id="{A792468D-43C9-4CCA-BE11-795A3CDD3321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69" name="Line 2">
          <a:extLst>
            <a:ext uri="{FF2B5EF4-FFF2-40B4-BE49-F238E27FC236}">
              <a16:creationId xmlns:a16="http://schemas.microsoft.com/office/drawing/2014/main" id="{8C644AEF-0751-4130-8E6D-FCDE7C49E973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70" name="Line 3">
          <a:extLst>
            <a:ext uri="{FF2B5EF4-FFF2-40B4-BE49-F238E27FC236}">
              <a16:creationId xmlns:a16="http://schemas.microsoft.com/office/drawing/2014/main" id="{3C26BF71-4FB9-4101-8A7C-E7092959D318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71" name="Line 4">
          <a:extLst>
            <a:ext uri="{FF2B5EF4-FFF2-40B4-BE49-F238E27FC236}">
              <a16:creationId xmlns:a16="http://schemas.microsoft.com/office/drawing/2014/main" id="{3F42679B-8D0B-42AB-9211-47FA0F53F068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772" name="Line 5">
          <a:extLst>
            <a:ext uri="{FF2B5EF4-FFF2-40B4-BE49-F238E27FC236}">
              <a16:creationId xmlns:a16="http://schemas.microsoft.com/office/drawing/2014/main" id="{D441FC9A-F9EB-413B-A089-052A3ABE2261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73" name="Line 2">
          <a:extLst>
            <a:ext uri="{FF2B5EF4-FFF2-40B4-BE49-F238E27FC236}">
              <a16:creationId xmlns:a16="http://schemas.microsoft.com/office/drawing/2014/main" id="{3EBB6758-8492-4F1F-8EE2-E95B9E7DF172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774" name="Line 3">
          <a:extLst>
            <a:ext uri="{FF2B5EF4-FFF2-40B4-BE49-F238E27FC236}">
              <a16:creationId xmlns:a16="http://schemas.microsoft.com/office/drawing/2014/main" id="{78D560CE-615C-4BCE-B400-50E1D91D24A1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775" name="Line 4">
          <a:extLst>
            <a:ext uri="{FF2B5EF4-FFF2-40B4-BE49-F238E27FC236}">
              <a16:creationId xmlns:a16="http://schemas.microsoft.com/office/drawing/2014/main" id="{4A9719AD-9014-481B-BBF5-112C18E831CA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384</xdr:row>
      <xdr:rowOff>0</xdr:rowOff>
    </xdr:from>
    <xdr:to>
      <xdr:col>8</xdr:col>
      <xdr:colOff>180975</xdr:colOff>
      <xdr:row>384</xdr:row>
      <xdr:rowOff>0</xdr:rowOff>
    </xdr:to>
    <xdr:sp macro="" textlink="">
      <xdr:nvSpPr>
        <xdr:cNvPr id="776" name="Line 5">
          <a:extLst>
            <a:ext uri="{FF2B5EF4-FFF2-40B4-BE49-F238E27FC236}">
              <a16:creationId xmlns:a16="http://schemas.microsoft.com/office/drawing/2014/main" id="{331E1DEA-2ADF-407E-BBEE-70280A77C83D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777" name="Line 7">
          <a:extLst>
            <a:ext uri="{FF2B5EF4-FFF2-40B4-BE49-F238E27FC236}">
              <a16:creationId xmlns:a16="http://schemas.microsoft.com/office/drawing/2014/main" id="{5442CE82-BC2A-4650-BD46-F05C0DE3CF1E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778" name="Line 3">
          <a:extLst>
            <a:ext uri="{FF2B5EF4-FFF2-40B4-BE49-F238E27FC236}">
              <a16:creationId xmlns:a16="http://schemas.microsoft.com/office/drawing/2014/main" id="{C54F5876-DB9B-4E06-8282-4FC669AEF8AF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779" name="Line 5">
          <a:extLst>
            <a:ext uri="{FF2B5EF4-FFF2-40B4-BE49-F238E27FC236}">
              <a16:creationId xmlns:a16="http://schemas.microsoft.com/office/drawing/2014/main" id="{9F901139-FE00-467E-9037-CAC227CE68B3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780" name="Line 2">
          <a:extLst>
            <a:ext uri="{FF2B5EF4-FFF2-40B4-BE49-F238E27FC236}">
              <a16:creationId xmlns:a16="http://schemas.microsoft.com/office/drawing/2014/main" id="{2E7B04A3-AF22-4B93-8C23-6D1B86D48740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781" name="Line 3">
          <a:extLst>
            <a:ext uri="{FF2B5EF4-FFF2-40B4-BE49-F238E27FC236}">
              <a16:creationId xmlns:a16="http://schemas.microsoft.com/office/drawing/2014/main" id="{D45C0DBB-17F1-401F-BE85-EAD2863DDF45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782" name="Line 4">
          <a:extLst>
            <a:ext uri="{FF2B5EF4-FFF2-40B4-BE49-F238E27FC236}">
              <a16:creationId xmlns:a16="http://schemas.microsoft.com/office/drawing/2014/main" id="{400E1D89-67E4-4EE4-B61A-DACA3D81827A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783" name="Line 5">
          <a:extLst>
            <a:ext uri="{FF2B5EF4-FFF2-40B4-BE49-F238E27FC236}">
              <a16:creationId xmlns:a16="http://schemas.microsoft.com/office/drawing/2014/main" id="{8688C187-3A45-45B4-8342-E58BF605225E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460</xdr:row>
      <xdr:rowOff>0</xdr:rowOff>
    </xdr:from>
    <xdr:to>
      <xdr:col>8</xdr:col>
      <xdr:colOff>180975</xdr:colOff>
      <xdr:row>460</xdr:row>
      <xdr:rowOff>0</xdr:rowOff>
    </xdr:to>
    <xdr:sp macro="" textlink="">
      <xdr:nvSpPr>
        <xdr:cNvPr id="784" name="Line 7">
          <a:extLst>
            <a:ext uri="{FF2B5EF4-FFF2-40B4-BE49-F238E27FC236}">
              <a16:creationId xmlns:a16="http://schemas.microsoft.com/office/drawing/2014/main" id="{BC8681FE-1BBD-439E-844F-91B898D1EF1E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85" name="Line 2">
          <a:extLst>
            <a:ext uri="{FF2B5EF4-FFF2-40B4-BE49-F238E27FC236}">
              <a16:creationId xmlns:a16="http://schemas.microsoft.com/office/drawing/2014/main" id="{E98C8997-B7B5-4A8D-8E28-2FBF35B424C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86" name="Line 3">
          <a:extLst>
            <a:ext uri="{FF2B5EF4-FFF2-40B4-BE49-F238E27FC236}">
              <a16:creationId xmlns:a16="http://schemas.microsoft.com/office/drawing/2014/main" id="{4B0646ED-FC91-48B1-8C9F-5E0F21FB9980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87" name="Line 4">
          <a:extLst>
            <a:ext uri="{FF2B5EF4-FFF2-40B4-BE49-F238E27FC236}">
              <a16:creationId xmlns:a16="http://schemas.microsoft.com/office/drawing/2014/main" id="{684037E2-41BF-4BBD-81EB-8DACFF06715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788" name="Line 5">
          <a:extLst>
            <a:ext uri="{FF2B5EF4-FFF2-40B4-BE49-F238E27FC236}">
              <a16:creationId xmlns:a16="http://schemas.microsoft.com/office/drawing/2014/main" id="{7530845B-E545-4EB5-80C4-7A9DF7404B84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89" name="Line 2">
          <a:extLst>
            <a:ext uri="{FF2B5EF4-FFF2-40B4-BE49-F238E27FC236}">
              <a16:creationId xmlns:a16="http://schemas.microsoft.com/office/drawing/2014/main" id="{83653AA3-6ED3-43AA-9F70-78B1E41F74CD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790" name="Line 3">
          <a:extLst>
            <a:ext uri="{FF2B5EF4-FFF2-40B4-BE49-F238E27FC236}">
              <a16:creationId xmlns:a16="http://schemas.microsoft.com/office/drawing/2014/main" id="{2F9B564C-DB40-49BB-94B3-9470F750A1F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791" name="Line 4">
          <a:extLst>
            <a:ext uri="{FF2B5EF4-FFF2-40B4-BE49-F238E27FC236}">
              <a16:creationId xmlns:a16="http://schemas.microsoft.com/office/drawing/2014/main" id="{AA95AE6A-F2DB-4815-9467-7D10693FA32A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792" name="Line 5">
          <a:extLst>
            <a:ext uri="{FF2B5EF4-FFF2-40B4-BE49-F238E27FC236}">
              <a16:creationId xmlns:a16="http://schemas.microsoft.com/office/drawing/2014/main" id="{0BA84D2F-8A96-4005-AF86-C7D0F08ACCEE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793" name="Line 7">
          <a:extLst>
            <a:ext uri="{FF2B5EF4-FFF2-40B4-BE49-F238E27FC236}">
              <a16:creationId xmlns:a16="http://schemas.microsoft.com/office/drawing/2014/main" id="{883F8DEB-ED63-499D-9A86-4E85E859CB84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794" name="Line 2">
          <a:extLst>
            <a:ext uri="{FF2B5EF4-FFF2-40B4-BE49-F238E27FC236}">
              <a16:creationId xmlns:a16="http://schemas.microsoft.com/office/drawing/2014/main" id="{A73515A6-149E-4172-8846-167841BE11AD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795" name="Line 3">
          <a:extLst>
            <a:ext uri="{FF2B5EF4-FFF2-40B4-BE49-F238E27FC236}">
              <a16:creationId xmlns:a16="http://schemas.microsoft.com/office/drawing/2014/main" id="{9E6CC262-8577-47C1-96DA-B52AB04275BA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416</xdr:row>
      <xdr:rowOff>0</xdr:rowOff>
    </xdr:from>
    <xdr:to>
      <xdr:col>8</xdr:col>
      <xdr:colOff>180975</xdr:colOff>
      <xdr:row>416</xdr:row>
      <xdr:rowOff>0</xdr:rowOff>
    </xdr:to>
    <xdr:sp macro="" textlink="">
      <xdr:nvSpPr>
        <xdr:cNvPr id="796" name="Line 4">
          <a:extLst>
            <a:ext uri="{FF2B5EF4-FFF2-40B4-BE49-F238E27FC236}">
              <a16:creationId xmlns:a16="http://schemas.microsoft.com/office/drawing/2014/main" id="{CED482D9-F3B6-404B-910B-5B793DCD89AA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797" name="Line 3">
          <a:extLst>
            <a:ext uri="{FF2B5EF4-FFF2-40B4-BE49-F238E27FC236}">
              <a16:creationId xmlns:a16="http://schemas.microsoft.com/office/drawing/2014/main" id="{3632C85C-87BD-4A7C-B8C2-2ADD280D6245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798" name="Line 5">
          <a:extLst>
            <a:ext uri="{FF2B5EF4-FFF2-40B4-BE49-F238E27FC236}">
              <a16:creationId xmlns:a16="http://schemas.microsoft.com/office/drawing/2014/main" id="{61BA6284-CC8D-45BE-A683-5EFD0F27E6FE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799" name="Line 2">
          <a:extLst>
            <a:ext uri="{FF2B5EF4-FFF2-40B4-BE49-F238E27FC236}">
              <a16:creationId xmlns:a16="http://schemas.microsoft.com/office/drawing/2014/main" id="{5764DB54-51D9-43ED-BEB8-01FC4AD8E4DD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800" name="Line 3">
          <a:extLst>
            <a:ext uri="{FF2B5EF4-FFF2-40B4-BE49-F238E27FC236}">
              <a16:creationId xmlns:a16="http://schemas.microsoft.com/office/drawing/2014/main" id="{BF905205-CEC3-4E17-BE46-2E4A2805DD94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801" name="Line 4">
          <a:extLst>
            <a:ext uri="{FF2B5EF4-FFF2-40B4-BE49-F238E27FC236}">
              <a16:creationId xmlns:a16="http://schemas.microsoft.com/office/drawing/2014/main" id="{C13639C6-9000-463D-8422-2CD5E72B8859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802" name="Line 5">
          <a:extLst>
            <a:ext uri="{FF2B5EF4-FFF2-40B4-BE49-F238E27FC236}">
              <a16:creationId xmlns:a16="http://schemas.microsoft.com/office/drawing/2014/main" id="{18F7C6DA-4B67-4CAE-84C0-31820B5F82DD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803" name="Line 7">
          <a:extLst>
            <a:ext uri="{FF2B5EF4-FFF2-40B4-BE49-F238E27FC236}">
              <a16:creationId xmlns:a16="http://schemas.microsoft.com/office/drawing/2014/main" id="{A14D4820-E782-456F-9575-48CA19229DCB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04" name="Line 2">
          <a:extLst>
            <a:ext uri="{FF2B5EF4-FFF2-40B4-BE49-F238E27FC236}">
              <a16:creationId xmlns:a16="http://schemas.microsoft.com/office/drawing/2014/main" id="{526A0952-96E4-4EC1-AB2A-532FDA3E561E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05" name="Line 3">
          <a:extLst>
            <a:ext uri="{FF2B5EF4-FFF2-40B4-BE49-F238E27FC236}">
              <a16:creationId xmlns:a16="http://schemas.microsoft.com/office/drawing/2014/main" id="{1E9BF9BF-3251-40D6-A9BD-231A8E0B7B10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06" name="Line 4">
          <a:extLst>
            <a:ext uri="{FF2B5EF4-FFF2-40B4-BE49-F238E27FC236}">
              <a16:creationId xmlns:a16="http://schemas.microsoft.com/office/drawing/2014/main" id="{17DE80AE-8444-4EED-9697-4E8681E8A2AE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807" name="Line 5">
          <a:extLst>
            <a:ext uri="{FF2B5EF4-FFF2-40B4-BE49-F238E27FC236}">
              <a16:creationId xmlns:a16="http://schemas.microsoft.com/office/drawing/2014/main" id="{6085B539-9935-4B56-8E87-D48BC9BCFAB5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08" name="Line 2">
          <a:extLst>
            <a:ext uri="{FF2B5EF4-FFF2-40B4-BE49-F238E27FC236}">
              <a16:creationId xmlns:a16="http://schemas.microsoft.com/office/drawing/2014/main" id="{C12E4D51-DF61-4130-9F08-6DAEF10EAE08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809" name="Line 3">
          <a:extLst>
            <a:ext uri="{FF2B5EF4-FFF2-40B4-BE49-F238E27FC236}">
              <a16:creationId xmlns:a16="http://schemas.microsoft.com/office/drawing/2014/main" id="{89C57848-E886-43CE-9B23-FB3FA57CFDDB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810" name="Line 4">
          <a:extLst>
            <a:ext uri="{FF2B5EF4-FFF2-40B4-BE49-F238E27FC236}">
              <a16:creationId xmlns:a16="http://schemas.microsoft.com/office/drawing/2014/main" id="{C730A09B-6CB5-4E33-8D92-1D98ACC2C2F7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811" name="Line 2">
          <a:extLst>
            <a:ext uri="{FF2B5EF4-FFF2-40B4-BE49-F238E27FC236}">
              <a16:creationId xmlns:a16="http://schemas.microsoft.com/office/drawing/2014/main" id="{4B0EDAE4-C916-4AC4-A654-3BFE121790DB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812" name="Line 3">
          <a:extLst>
            <a:ext uri="{FF2B5EF4-FFF2-40B4-BE49-F238E27FC236}">
              <a16:creationId xmlns:a16="http://schemas.microsoft.com/office/drawing/2014/main" id="{C2413494-87C0-49E6-B522-F656270FAE4D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813" name="Line 4">
          <a:extLst>
            <a:ext uri="{FF2B5EF4-FFF2-40B4-BE49-F238E27FC236}">
              <a16:creationId xmlns:a16="http://schemas.microsoft.com/office/drawing/2014/main" id="{A1D6E1BD-024D-412A-9CF7-EA2591950AE6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814" name="Line 2">
          <a:extLst>
            <a:ext uri="{FF2B5EF4-FFF2-40B4-BE49-F238E27FC236}">
              <a16:creationId xmlns:a16="http://schemas.microsoft.com/office/drawing/2014/main" id="{6F6A6313-66C6-420A-85FD-15955A50AB51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815" name="Line 3">
          <a:extLst>
            <a:ext uri="{FF2B5EF4-FFF2-40B4-BE49-F238E27FC236}">
              <a16:creationId xmlns:a16="http://schemas.microsoft.com/office/drawing/2014/main" id="{F8155643-98EB-4838-83A0-4FA48660FF0C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576</xdr:row>
      <xdr:rowOff>0</xdr:rowOff>
    </xdr:from>
    <xdr:to>
      <xdr:col>8</xdr:col>
      <xdr:colOff>180975</xdr:colOff>
      <xdr:row>576</xdr:row>
      <xdr:rowOff>0</xdr:rowOff>
    </xdr:to>
    <xdr:sp macro="" textlink="">
      <xdr:nvSpPr>
        <xdr:cNvPr id="816" name="Line 4">
          <a:extLst>
            <a:ext uri="{FF2B5EF4-FFF2-40B4-BE49-F238E27FC236}">
              <a16:creationId xmlns:a16="http://schemas.microsoft.com/office/drawing/2014/main" id="{5EDE896F-4819-4270-8A98-E31D537D8DC0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817" name="Line 3">
          <a:extLst>
            <a:ext uri="{FF2B5EF4-FFF2-40B4-BE49-F238E27FC236}">
              <a16:creationId xmlns:a16="http://schemas.microsoft.com/office/drawing/2014/main" id="{34415E77-CB2C-4C11-91AF-D9C8E2958BCA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818" name="Line 5">
          <a:extLst>
            <a:ext uri="{FF2B5EF4-FFF2-40B4-BE49-F238E27FC236}">
              <a16:creationId xmlns:a16="http://schemas.microsoft.com/office/drawing/2014/main" id="{AE78DB6F-1AB5-476C-B255-7EC3986E5D8B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819" name="Line 2">
          <a:extLst>
            <a:ext uri="{FF2B5EF4-FFF2-40B4-BE49-F238E27FC236}">
              <a16:creationId xmlns:a16="http://schemas.microsoft.com/office/drawing/2014/main" id="{E7FD1A47-38D7-45C2-B3FC-F5B19E97952B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820" name="Line 3">
          <a:extLst>
            <a:ext uri="{FF2B5EF4-FFF2-40B4-BE49-F238E27FC236}">
              <a16:creationId xmlns:a16="http://schemas.microsoft.com/office/drawing/2014/main" id="{D084185F-07E4-4E4A-B67C-1E62505786FA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821" name="Line 4">
          <a:extLst>
            <a:ext uri="{FF2B5EF4-FFF2-40B4-BE49-F238E27FC236}">
              <a16:creationId xmlns:a16="http://schemas.microsoft.com/office/drawing/2014/main" id="{52115752-8190-409B-ABF9-6C6BABC882B3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822" name="Line 5">
          <a:extLst>
            <a:ext uri="{FF2B5EF4-FFF2-40B4-BE49-F238E27FC236}">
              <a16:creationId xmlns:a16="http://schemas.microsoft.com/office/drawing/2014/main" id="{08B21BC0-F075-4791-A033-5DE0ECDA9228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823" name="Line 7">
          <a:extLst>
            <a:ext uri="{FF2B5EF4-FFF2-40B4-BE49-F238E27FC236}">
              <a16:creationId xmlns:a16="http://schemas.microsoft.com/office/drawing/2014/main" id="{97FEED6C-8A04-4F53-8584-BF907F4F541B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24" name="Line 2">
          <a:extLst>
            <a:ext uri="{FF2B5EF4-FFF2-40B4-BE49-F238E27FC236}">
              <a16:creationId xmlns:a16="http://schemas.microsoft.com/office/drawing/2014/main" id="{D1E08EE1-7DF1-4D97-9069-A92E7C1B6F9B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25" name="Line 3">
          <a:extLst>
            <a:ext uri="{FF2B5EF4-FFF2-40B4-BE49-F238E27FC236}">
              <a16:creationId xmlns:a16="http://schemas.microsoft.com/office/drawing/2014/main" id="{E4375D1A-13B3-43DA-BA9B-B8C647F329B0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26" name="Line 4">
          <a:extLst>
            <a:ext uri="{FF2B5EF4-FFF2-40B4-BE49-F238E27FC236}">
              <a16:creationId xmlns:a16="http://schemas.microsoft.com/office/drawing/2014/main" id="{3D1C4593-8CC7-47D0-8517-6A40ED32DA1B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827" name="Line 5">
          <a:extLst>
            <a:ext uri="{FF2B5EF4-FFF2-40B4-BE49-F238E27FC236}">
              <a16:creationId xmlns:a16="http://schemas.microsoft.com/office/drawing/2014/main" id="{B4BD0A16-A1F6-4C3C-B17F-28F86FF479BF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28" name="Line 2">
          <a:extLst>
            <a:ext uri="{FF2B5EF4-FFF2-40B4-BE49-F238E27FC236}">
              <a16:creationId xmlns:a16="http://schemas.microsoft.com/office/drawing/2014/main" id="{8391633D-809F-48B3-8B9C-A6DB4CD3885C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829" name="Line 3">
          <a:extLst>
            <a:ext uri="{FF2B5EF4-FFF2-40B4-BE49-F238E27FC236}">
              <a16:creationId xmlns:a16="http://schemas.microsoft.com/office/drawing/2014/main" id="{24612645-5358-4B17-BCDC-DFC71BEF05BA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830" name="Line 4">
          <a:extLst>
            <a:ext uri="{FF2B5EF4-FFF2-40B4-BE49-F238E27FC236}">
              <a16:creationId xmlns:a16="http://schemas.microsoft.com/office/drawing/2014/main" id="{0808CB8E-2B9D-4BC7-8E88-0F9E013DB9BC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831" name="Line 2">
          <a:extLst>
            <a:ext uri="{FF2B5EF4-FFF2-40B4-BE49-F238E27FC236}">
              <a16:creationId xmlns:a16="http://schemas.microsoft.com/office/drawing/2014/main" id="{C5265822-5922-44B0-894C-6D82DD2FB6D6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832" name="Line 3">
          <a:extLst>
            <a:ext uri="{FF2B5EF4-FFF2-40B4-BE49-F238E27FC236}">
              <a16:creationId xmlns:a16="http://schemas.microsoft.com/office/drawing/2014/main" id="{58F1CA39-5ED2-4B37-A51F-FF19234D77A9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833" name="Line 4">
          <a:extLst>
            <a:ext uri="{FF2B5EF4-FFF2-40B4-BE49-F238E27FC236}">
              <a16:creationId xmlns:a16="http://schemas.microsoft.com/office/drawing/2014/main" id="{A81DF66A-DBFC-4C30-9984-439D481FDB16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834" name="Line 2">
          <a:extLst>
            <a:ext uri="{FF2B5EF4-FFF2-40B4-BE49-F238E27FC236}">
              <a16:creationId xmlns:a16="http://schemas.microsoft.com/office/drawing/2014/main" id="{F9AF8FB4-AB3F-4956-9B0F-0C9EA1425884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835" name="Line 3">
          <a:extLst>
            <a:ext uri="{FF2B5EF4-FFF2-40B4-BE49-F238E27FC236}">
              <a16:creationId xmlns:a16="http://schemas.microsoft.com/office/drawing/2014/main" id="{729B207B-4AB7-416E-8E56-E95720857157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836" name="Line 4">
          <a:extLst>
            <a:ext uri="{FF2B5EF4-FFF2-40B4-BE49-F238E27FC236}">
              <a16:creationId xmlns:a16="http://schemas.microsoft.com/office/drawing/2014/main" id="{E67C3F7E-3B4D-4A24-8D33-E0A015382949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837" name="Line 3">
          <a:extLst>
            <a:ext uri="{FF2B5EF4-FFF2-40B4-BE49-F238E27FC236}">
              <a16:creationId xmlns:a16="http://schemas.microsoft.com/office/drawing/2014/main" id="{B5585171-5069-47A8-ABF6-6C7B0034E498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838" name="Line 5">
          <a:extLst>
            <a:ext uri="{FF2B5EF4-FFF2-40B4-BE49-F238E27FC236}">
              <a16:creationId xmlns:a16="http://schemas.microsoft.com/office/drawing/2014/main" id="{2617C0AC-1DC9-42F6-98CF-3031F34C0A6F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839" name="Line 2">
          <a:extLst>
            <a:ext uri="{FF2B5EF4-FFF2-40B4-BE49-F238E27FC236}">
              <a16:creationId xmlns:a16="http://schemas.microsoft.com/office/drawing/2014/main" id="{934B02EB-C5FA-4DAB-9D64-1CDF89D60C6D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840" name="Line 3">
          <a:extLst>
            <a:ext uri="{FF2B5EF4-FFF2-40B4-BE49-F238E27FC236}">
              <a16:creationId xmlns:a16="http://schemas.microsoft.com/office/drawing/2014/main" id="{6F82F8C0-9AE7-464B-AA8D-2ABC368AB3DB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841" name="Line 4">
          <a:extLst>
            <a:ext uri="{FF2B5EF4-FFF2-40B4-BE49-F238E27FC236}">
              <a16:creationId xmlns:a16="http://schemas.microsoft.com/office/drawing/2014/main" id="{1FA8BD2B-5231-4C5C-9A89-FBA17D645B03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842" name="Line 5">
          <a:extLst>
            <a:ext uri="{FF2B5EF4-FFF2-40B4-BE49-F238E27FC236}">
              <a16:creationId xmlns:a16="http://schemas.microsoft.com/office/drawing/2014/main" id="{FDC8672D-9395-4920-A283-7447E5CC2D3F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843" name="Line 7">
          <a:extLst>
            <a:ext uri="{FF2B5EF4-FFF2-40B4-BE49-F238E27FC236}">
              <a16:creationId xmlns:a16="http://schemas.microsoft.com/office/drawing/2014/main" id="{CD9AFB1E-8263-489F-ACC9-938398EEC076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44" name="Line 2">
          <a:extLst>
            <a:ext uri="{FF2B5EF4-FFF2-40B4-BE49-F238E27FC236}">
              <a16:creationId xmlns:a16="http://schemas.microsoft.com/office/drawing/2014/main" id="{6D7103CD-4D26-4B3B-9ECA-0AB72CFE23F3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45" name="Line 3">
          <a:extLst>
            <a:ext uri="{FF2B5EF4-FFF2-40B4-BE49-F238E27FC236}">
              <a16:creationId xmlns:a16="http://schemas.microsoft.com/office/drawing/2014/main" id="{6FB561E4-95B0-4632-8AC3-565F46E3BAEF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46" name="Line 4">
          <a:extLst>
            <a:ext uri="{FF2B5EF4-FFF2-40B4-BE49-F238E27FC236}">
              <a16:creationId xmlns:a16="http://schemas.microsoft.com/office/drawing/2014/main" id="{324FBB8E-2946-45A0-85B6-2F84D26B180B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847" name="Line 5">
          <a:extLst>
            <a:ext uri="{FF2B5EF4-FFF2-40B4-BE49-F238E27FC236}">
              <a16:creationId xmlns:a16="http://schemas.microsoft.com/office/drawing/2014/main" id="{6135B7D6-D3B1-439A-A5C1-8ABB8EDF2064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48" name="Line 2">
          <a:extLst>
            <a:ext uri="{FF2B5EF4-FFF2-40B4-BE49-F238E27FC236}">
              <a16:creationId xmlns:a16="http://schemas.microsoft.com/office/drawing/2014/main" id="{673898EC-07B6-4AAA-9F79-A5E5686CE8E8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849" name="Line 3">
          <a:extLst>
            <a:ext uri="{FF2B5EF4-FFF2-40B4-BE49-F238E27FC236}">
              <a16:creationId xmlns:a16="http://schemas.microsoft.com/office/drawing/2014/main" id="{CAC14DD5-E187-46C7-97F5-537C29B1C464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850" name="Line 4">
          <a:extLst>
            <a:ext uri="{FF2B5EF4-FFF2-40B4-BE49-F238E27FC236}">
              <a16:creationId xmlns:a16="http://schemas.microsoft.com/office/drawing/2014/main" id="{32922A40-8265-4C74-A087-2B5B0B34FF3B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851" name="Line 2">
          <a:extLst>
            <a:ext uri="{FF2B5EF4-FFF2-40B4-BE49-F238E27FC236}">
              <a16:creationId xmlns:a16="http://schemas.microsoft.com/office/drawing/2014/main" id="{3433CB4A-6E58-401B-904E-009A6CF28D27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852" name="Line 3">
          <a:extLst>
            <a:ext uri="{FF2B5EF4-FFF2-40B4-BE49-F238E27FC236}">
              <a16:creationId xmlns:a16="http://schemas.microsoft.com/office/drawing/2014/main" id="{0194068C-05D2-447C-9AC8-EB320C4BF00E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691</xdr:row>
      <xdr:rowOff>0</xdr:rowOff>
    </xdr:from>
    <xdr:to>
      <xdr:col>8</xdr:col>
      <xdr:colOff>180975</xdr:colOff>
      <xdr:row>691</xdr:row>
      <xdr:rowOff>0</xdr:rowOff>
    </xdr:to>
    <xdr:sp macro="" textlink="">
      <xdr:nvSpPr>
        <xdr:cNvPr id="853" name="Line 4">
          <a:extLst>
            <a:ext uri="{FF2B5EF4-FFF2-40B4-BE49-F238E27FC236}">
              <a16:creationId xmlns:a16="http://schemas.microsoft.com/office/drawing/2014/main" id="{7F8F2680-42AD-4429-8E22-F816D41379D3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854" name="Line 2">
          <a:extLst>
            <a:ext uri="{FF2B5EF4-FFF2-40B4-BE49-F238E27FC236}">
              <a16:creationId xmlns:a16="http://schemas.microsoft.com/office/drawing/2014/main" id="{CF3C367D-EF70-486B-A838-606ADA1DCDFD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855" name="Line 3">
          <a:extLst>
            <a:ext uri="{FF2B5EF4-FFF2-40B4-BE49-F238E27FC236}">
              <a16:creationId xmlns:a16="http://schemas.microsoft.com/office/drawing/2014/main" id="{B48CEF32-4D36-429D-B6AD-4D6B20F76F70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694</xdr:row>
      <xdr:rowOff>0</xdr:rowOff>
    </xdr:from>
    <xdr:to>
      <xdr:col>8</xdr:col>
      <xdr:colOff>180975</xdr:colOff>
      <xdr:row>694</xdr:row>
      <xdr:rowOff>0</xdr:rowOff>
    </xdr:to>
    <xdr:sp macro="" textlink="">
      <xdr:nvSpPr>
        <xdr:cNvPr id="856" name="Line 4">
          <a:extLst>
            <a:ext uri="{FF2B5EF4-FFF2-40B4-BE49-F238E27FC236}">
              <a16:creationId xmlns:a16="http://schemas.microsoft.com/office/drawing/2014/main" id="{DEA44DAD-4657-4FB4-BD10-19C5A66BC5EE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857" name="Line 3">
          <a:extLst>
            <a:ext uri="{FF2B5EF4-FFF2-40B4-BE49-F238E27FC236}">
              <a16:creationId xmlns:a16="http://schemas.microsoft.com/office/drawing/2014/main" id="{182AB11A-35C6-4852-A2F3-4EBC43D1B969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858" name="Line 5">
          <a:extLst>
            <a:ext uri="{FF2B5EF4-FFF2-40B4-BE49-F238E27FC236}">
              <a16:creationId xmlns:a16="http://schemas.microsoft.com/office/drawing/2014/main" id="{2B44408C-3F04-49E0-BDA7-ED40381B2C9B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859" name="Line 2">
          <a:extLst>
            <a:ext uri="{FF2B5EF4-FFF2-40B4-BE49-F238E27FC236}">
              <a16:creationId xmlns:a16="http://schemas.microsoft.com/office/drawing/2014/main" id="{37AC947E-F41C-4F32-892B-75F61FF2D8C2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860" name="Line 3">
          <a:extLst>
            <a:ext uri="{FF2B5EF4-FFF2-40B4-BE49-F238E27FC236}">
              <a16:creationId xmlns:a16="http://schemas.microsoft.com/office/drawing/2014/main" id="{E93632DC-7BD3-4FFF-8150-C905C3886149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861" name="Line 4">
          <a:extLst>
            <a:ext uri="{FF2B5EF4-FFF2-40B4-BE49-F238E27FC236}">
              <a16:creationId xmlns:a16="http://schemas.microsoft.com/office/drawing/2014/main" id="{1DD089CC-5F5C-49A9-8031-752DC14FF8A1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862" name="Line 5">
          <a:extLst>
            <a:ext uri="{FF2B5EF4-FFF2-40B4-BE49-F238E27FC236}">
              <a16:creationId xmlns:a16="http://schemas.microsoft.com/office/drawing/2014/main" id="{571B09C6-0D7A-4B87-A619-FFDA56FC58D2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776</xdr:row>
      <xdr:rowOff>0</xdr:rowOff>
    </xdr:from>
    <xdr:to>
      <xdr:col>8</xdr:col>
      <xdr:colOff>180975</xdr:colOff>
      <xdr:row>776</xdr:row>
      <xdr:rowOff>0</xdr:rowOff>
    </xdr:to>
    <xdr:sp macro="" textlink="">
      <xdr:nvSpPr>
        <xdr:cNvPr id="863" name="Line 7">
          <a:extLst>
            <a:ext uri="{FF2B5EF4-FFF2-40B4-BE49-F238E27FC236}">
              <a16:creationId xmlns:a16="http://schemas.microsoft.com/office/drawing/2014/main" id="{AB00C01E-323C-4D07-B065-E5FE4535CEBB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64" name="Line 2">
          <a:extLst>
            <a:ext uri="{FF2B5EF4-FFF2-40B4-BE49-F238E27FC236}">
              <a16:creationId xmlns:a16="http://schemas.microsoft.com/office/drawing/2014/main" id="{ED41FF74-F6A6-4CDF-A743-B6AA9A976876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65" name="Line 3">
          <a:extLst>
            <a:ext uri="{FF2B5EF4-FFF2-40B4-BE49-F238E27FC236}">
              <a16:creationId xmlns:a16="http://schemas.microsoft.com/office/drawing/2014/main" id="{F5DC0C64-12E7-4A8C-A30C-D7156144D166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66" name="Line 4">
          <a:extLst>
            <a:ext uri="{FF2B5EF4-FFF2-40B4-BE49-F238E27FC236}">
              <a16:creationId xmlns:a16="http://schemas.microsoft.com/office/drawing/2014/main" id="{B86216BF-E031-41ED-BAC9-C25781D36058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867" name="Line 5">
          <a:extLst>
            <a:ext uri="{FF2B5EF4-FFF2-40B4-BE49-F238E27FC236}">
              <a16:creationId xmlns:a16="http://schemas.microsoft.com/office/drawing/2014/main" id="{4F99BDB1-156E-4C64-ABB5-CC825BCF7966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68" name="Line 2">
          <a:extLst>
            <a:ext uri="{FF2B5EF4-FFF2-40B4-BE49-F238E27FC236}">
              <a16:creationId xmlns:a16="http://schemas.microsoft.com/office/drawing/2014/main" id="{7C40BB86-FD4B-4E0E-868A-9DBF6DFEC771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869" name="Line 3">
          <a:extLst>
            <a:ext uri="{FF2B5EF4-FFF2-40B4-BE49-F238E27FC236}">
              <a16:creationId xmlns:a16="http://schemas.microsoft.com/office/drawing/2014/main" id="{9BBBB78C-A8F7-435C-8BAA-FC398023A5BF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870" name="Line 4">
          <a:extLst>
            <a:ext uri="{FF2B5EF4-FFF2-40B4-BE49-F238E27FC236}">
              <a16:creationId xmlns:a16="http://schemas.microsoft.com/office/drawing/2014/main" id="{A8CD3113-84BA-4920-B7E0-06C22459BFF6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871" name="Line 2">
          <a:extLst>
            <a:ext uri="{FF2B5EF4-FFF2-40B4-BE49-F238E27FC236}">
              <a16:creationId xmlns:a16="http://schemas.microsoft.com/office/drawing/2014/main" id="{AEE671F2-6953-4EEC-A288-03E9BF356067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872" name="Line 3">
          <a:extLst>
            <a:ext uri="{FF2B5EF4-FFF2-40B4-BE49-F238E27FC236}">
              <a16:creationId xmlns:a16="http://schemas.microsoft.com/office/drawing/2014/main" id="{E9A84D2D-C4E2-44E6-90A6-71D88A9FBA48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751</xdr:row>
      <xdr:rowOff>0</xdr:rowOff>
    </xdr:from>
    <xdr:to>
      <xdr:col>8</xdr:col>
      <xdr:colOff>180975</xdr:colOff>
      <xdr:row>751</xdr:row>
      <xdr:rowOff>0</xdr:rowOff>
    </xdr:to>
    <xdr:sp macro="" textlink="">
      <xdr:nvSpPr>
        <xdr:cNvPr id="873" name="Line 4">
          <a:extLst>
            <a:ext uri="{FF2B5EF4-FFF2-40B4-BE49-F238E27FC236}">
              <a16:creationId xmlns:a16="http://schemas.microsoft.com/office/drawing/2014/main" id="{CCA4F81B-2A7B-41CB-AD68-6EF18A6E7E37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874" name="Line 2">
          <a:extLst>
            <a:ext uri="{FF2B5EF4-FFF2-40B4-BE49-F238E27FC236}">
              <a16:creationId xmlns:a16="http://schemas.microsoft.com/office/drawing/2014/main" id="{3151DB18-CD01-4A0B-9AD6-AC029C1F6BCD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875" name="Line 3">
          <a:extLst>
            <a:ext uri="{FF2B5EF4-FFF2-40B4-BE49-F238E27FC236}">
              <a16:creationId xmlns:a16="http://schemas.microsoft.com/office/drawing/2014/main" id="{194EBDCA-C933-4D87-A88D-8BE97079ECEF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754</xdr:row>
      <xdr:rowOff>0</xdr:rowOff>
    </xdr:from>
    <xdr:to>
      <xdr:col>8</xdr:col>
      <xdr:colOff>180975</xdr:colOff>
      <xdr:row>754</xdr:row>
      <xdr:rowOff>0</xdr:rowOff>
    </xdr:to>
    <xdr:sp macro="" textlink="">
      <xdr:nvSpPr>
        <xdr:cNvPr id="876" name="Line 4">
          <a:extLst>
            <a:ext uri="{FF2B5EF4-FFF2-40B4-BE49-F238E27FC236}">
              <a16:creationId xmlns:a16="http://schemas.microsoft.com/office/drawing/2014/main" id="{2D96C194-083A-43AA-97E6-DF66E809C883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</xdr:row>
      <xdr:rowOff>0</xdr:rowOff>
    </xdr:from>
    <xdr:to>
      <xdr:col>8</xdr:col>
      <xdr:colOff>180975</xdr:colOff>
      <xdr:row>53</xdr:row>
      <xdr:rowOff>0</xdr:rowOff>
    </xdr:to>
    <xdr:sp macro="" textlink="">
      <xdr:nvSpPr>
        <xdr:cNvPr id="877" name="Line 2">
          <a:extLst>
            <a:ext uri="{FF2B5EF4-FFF2-40B4-BE49-F238E27FC236}">
              <a16:creationId xmlns:a16="http://schemas.microsoft.com/office/drawing/2014/main" id="{5D7E1CD3-DBC4-43D9-98D3-181862A950AC}"/>
            </a:ext>
          </a:extLst>
        </xdr:cNvPr>
        <xdr:cNvSpPr>
          <a:spLocks noChangeShapeType="1"/>
        </xdr:cNvSpPr>
      </xdr:nvSpPr>
      <xdr:spPr bwMode="auto">
        <a:xfrm>
          <a:off x="5324475" y="739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878" name="Line 3">
          <a:extLst>
            <a:ext uri="{FF2B5EF4-FFF2-40B4-BE49-F238E27FC236}">
              <a16:creationId xmlns:a16="http://schemas.microsoft.com/office/drawing/2014/main" id="{433565A5-B9DA-47D3-BF7C-55717306F944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</xdr:row>
      <xdr:rowOff>0</xdr:rowOff>
    </xdr:from>
    <xdr:to>
      <xdr:col>8</xdr:col>
      <xdr:colOff>180975</xdr:colOff>
      <xdr:row>34</xdr:row>
      <xdr:rowOff>0</xdr:rowOff>
    </xdr:to>
    <xdr:sp macro="" textlink="">
      <xdr:nvSpPr>
        <xdr:cNvPr id="879" name="Line 5">
          <a:extLst>
            <a:ext uri="{FF2B5EF4-FFF2-40B4-BE49-F238E27FC236}">
              <a16:creationId xmlns:a16="http://schemas.microsoft.com/office/drawing/2014/main" id="{12406039-BE30-4716-B65C-23F91CE8D530}"/>
            </a:ext>
          </a:extLst>
        </xdr:cNvPr>
        <xdr:cNvSpPr>
          <a:spLocks noChangeShapeType="1"/>
        </xdr:cNvSpPr>
      </xdr:nvSpPr>
      <xdr:spPr bwMode="auto">
        <a:xfrm>
          <a:off x="532447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880" name="Line 3">
          <a:extLst>
            <a:ext uri="{FF2B5EF4-FFF2-40B4-BE49-F238E27FC236}">
              <a16:creationId xmlns:a16="http://schemas.microsoft.com/office/drawing/2014/main" id="{AF881B45-823A-44FF-B4C5-0A02B05C51D4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90</xdr:row>
      <xdr:rowOff>0</xdr:rowOff>
    </xdr:from>
    <xdr:to>
      <xdr:col>8</xdr:col>
      <xdr:colOff>180975</xdr:colOff>
      <xdr:row>90</xdr:row>
      <xdr:rowOff>0</xdr:rowOff>
    </xdr:to>
    <xdr:sp macro="" textlink="">
      <xdr:nvSpPr>
        <xdr:cNvPr id="881" name="Line 5">
          <a:extLst>
            <a:ext uri="{FF2B5EF4-FFF2-40B4-BE49-F238E27FC236}">
              <a16:creationId xmlns:a16="http://schemas.microsoft.com/office/drawing/2014/main" id="{A501D368-BF1F-4229-B636-9FC3E7D87658}"/>
            </a:ext>
          </a:extLst>
        </xdr:cNvPr>
        <xdr:cNvSpPr>
          <a:spLocks noChangeShapeType="1"/>
        </xdr:cNvSpPr>
      </xdr:nvSpPr>
      <xdr:spPr bwMode="auto">
        <a:xfrm>
          <a:off x="5324475" y="12763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882" name="Line 2">
          <a:extLst>
            <a:ext uri="{FF2B5EF4-FFF2-40B4-BE49-F238E27FC236}">
              <a16:creationId xmlns:a16="http://schemas.microsoft.com/office/drawing/2014/main" id="{71D0C1DE-9E70-4B7F-8F05-3E68F1EA6528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883" name="Line 3">
          <a:extLst>
            <a:ext uri="{FF2B5EF4-FFF2-40B4-BE49-F238E27FC236}">
              <a16:creationId xmlns:a16="http://schemas.microsoft.com/office/drawing/2014/main" id="{62795D56-68FA-43A6-9FF8-F5D635A6C268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</xdr:row>
      <xdr:rowOff>0</xdr:rowOff>
    </xdr:from>
    <xdr:to>
      <xdr:col>8</xdr:col>
      <xdr:colOff>180975</xdr:colOff>
      <xdr:row>77</xdr:row>
      <xdr:rowOff>0</xdr:rowOff>
    </xdr:to>
    <xdr:sp macro="" textlink="">
      <xdr:nvSpPr>
        <xdr:cNvPr id="884" name="Line 4">
          <a:extLst>
            <a:ext uri="{FF2B5EF4-FFF2-40B4-BE49-F238E27FC236}">
              <a16:creationId xmlns:a16="http://schemas.microsoft.com/office/drawing/2014/main" id="{EC5DD71D-A0FE-442C-9083-5D32824189D1}"/>
            </a:ext>
          </a:extLst>
        </xdr:cNvPr>
        <xdr:cNvSpPr>
          <a:spLocks noChangeShapeType="1"/>
        </xdr:cNvSpPr>
      </xdr:nvSpPr>
      <xdr:spPr bwMode="auto">
        <a:xfrm>
          <a:off x="5324475" y="1090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885" name="Line 5">
          <a:extLst>
            <a:ext uri="{FF2B5EF4-FFF2-40B4-BE49-F238E27FC236}">
              <a16:creationId xmlns:a16="http://schemas.microsoft.com/office/drawing/2014/main" id="{79609B5E-3EC3-4B0D-A329-8D3BD1DB9D7E}"/>
            </a:ext>
          </a:extLst>
        </xdr:cNvPr>
        <xdr:cNvSpPr>
          <a:spLocks noChangeShapeType="1"/>
        </xdr:cNvSpPr>
      </xdr:nvSpPr>
      <xdr:spPr bwMode="auto">
        <a:xfrm>
          <a:off x="5324475" y="1190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104</xdr:row>
      <xdr:rowOff>0</xdr:rowOff>
    </xdr:from>
    <xdr:to>
      <xdr:col>8</xdr:col>
      <xdr:colOff>180975</xdr:colOff>
      <xdr:row>104</xdr:row>
      <xdr:rowOff>0</xdr:rowOff>
    </xdr:to>
    <xdr:sp macro="" textlink="">
      <xdr:nvSpPr>
        <xdr:cNvPr id="886" name="Line 7">
          <a:extLst>
            <a:ext uri="{FF2B5EF4-FFF2-40B4-BE49-F238E27FC236}">
              <a16:creationId xmlns:a16="http://schemas.microsoft.com/office/drawing/2014/main" id="{A8DEE060-6672-4723-950C-6F88BCD87131}"/>
            </a:ext>
          </a:extLst>
        </xdr:cNvPr>
        <xdr:cNvSpPr>
          <a:spLocks noChangeShapeType="1"/>
        </xdr:cNvSpPr>
      </xdr:nvSpPr>
      <xdr:spPr bwMode="auto">
        <a:xfrm>
          <a:off x="5324475" y="147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887" name="Line 3">
          <a:extLst>
            <a:ext uri="{FF2B5EF4-FFF2-40B4-BE49-F238E27FC236}">
              <a16:creationId xmlns:a16="http://schemas.microsoft.com/office/drawing/2014/main" id="{CF9709E1-D4F0-4E05-80C8-E87F9A28D12D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156</xdr:row>
      <xdr:rowOff>0</xdr:rowOff>
    </xdr:from>
    <xdr:to>
      <xdr:col>8</xdr:col>
      <xdr:colOff>180975</xdr:colOff>
      <xdr:row>156</xdr:row>
      <xdr:rowOff>0</xdr:rowOff>
    </xdr:to>
    <xdr:sp macro="" textlink="">
      <xdr:nvSpPr>
        <xdr:cNvPr id="888" name="Line 5">
          <a:extLst>
            <a:ext uri="{FF2B5EF4-FFF2-40B4-BE49-F238E27FC236}">
              <a16:creationId xmlns:a16="http://schemas.microsoft.com/office/drawing/2014/main" id="{F026DC8F-BB0B-46F6-ACF6-5D45958897BA}"/>
            </a:ext>
          </a:extLst>
        </xdr:cNvPr>
        <xdr:cNvSpPr>
          <a:spLocks noChangeShapeType="1"/>
        </xdr:cNvSpPr>
      </xdr:nvSpPr>
      <xdr:spPr bwMode="auto">
        <a:xfrm>
          <a:off x="5324475" y="22317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889" name="Line 2">
          <a:extLst>
            <a:ext uri="{FF2B5EF4-FFF2-40B4-BE49-F238E27FC236}">
              <a16:creationId xmlns:a16="http://schemas.microsoft.com/office/drawing/2014/main" id="{322F73D3-3851-4255-BDC1-1D3C2AC448A9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890" name="Line 3">
          <a:extLst>
            <a:ext uri="{FF2B5EF4-FFF2-40B4-BE49-F238E27FC236}">
              <a16:creationId xmlns:a16="http://schemas.microsoft.com/office/drawing/2014/main" id="{4FD1FA82-9989-402A-8D3C-7BC03C1ACEBA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141</xdr:row>
      <xdr:rowOff>0</xdr:rowOff>
    </xdr:from>
    <xdr:to>
      <xdr:col>8</xdr:col>
      <xdr:colOff>180975</xdr:colOff>
      <xdr:row>141</xdr:row>
      <xdr:rowOff>0</xdr:rowOff>
    </xdr:to>
    <xdr:sp macro="" textlink="">
      <xdr:nvSpPr>
        <xdr:cNvPr id="891" name="Line 4">
          <a:extLst>
            <a:ext uri="{FF2B5EF4-FFF2-40B4-BE49-F238E27FC236}">
              <a16:creationId xmlns:a16="http://schemas.microsoft.com/office/drawing/2014/main" id="{E84A95E9-9C6C-4A1E-98E1-8A8766DAC223}"/>
            </a:ext>
          </a:extLst>
        </xdr:cNvPr>
        <xdr:cNvSpPr>
          <a:spLocks noChangeShapeType="1"/>
        </xdr:cNvSpPr>
      </xdr:nvSpPr>
      <xdr:spPr bwMode="auto">
        <a:xfrm>
          <a:off x="5324475" y="2015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892" name="Line 5">
          <a:extLst>
            <a:ext uri="{FF2B5EF4-FFF2-40B4-BE49-F238E27FC236}">
              <a16:creationId xmlns:a16="http://schemas.microsoft.com/office/drawing/2014/main" id="{F30006E6-7567-4184-83D9-E53F1E8443BB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893" name="Line 2">
          <a:extLst>
            <a:ext uri="{FF2B5EF4-FFF2-40B4-BE49-F238E27FC236}">
              <a16:creationId xmlns:a16="http://schemas.microsoft.com/office/drawing/2014/main" id="{3B34ABDD-E7AE-41DD-9018-9F677FFB99A0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894" name="Line 3">
          <a:extLst>
            <a:ext uri="{FF2B5EF4-FFF2-40B4-BE49-F238E27FC236}">
              <a16:creationId xmlns:a16="http://schemas.microsoft.com/office/drawing/2014/main" id="{7D68C7FC-AD83-4870-A6EF-24EFF37D5D6E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895" name="Line 4">
          <a:extLst>
            <a:ext uri="{FF2B5EF4-FFF2-40B4-BE49-F238E27FC236}">
              <a16:creationId xmlns:a16="http://schemas.microsoft.com/office/drawing/2014/main" id="{A5012664-DA40-4471-8178-0852EBC4ADFA}"/>
            </a:ext>
          </a:extLst>
        </xdr:cNvPr>
        <xdr:cNvSpPr>
          <a:spLocks noChangeShapeType="1"/>
        </xdr:cNvSpPr>
      </xdr:nvSpPr>
      <xdr:spPr bwMode="auto">
        <a:xfrm>
          <a:off x="5324475" y="19869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896" name="Line 5">
          <a:extLst>
            <a:ext uri="{FF2B5EF4-FFF2-40B4-BE49-F238E27FC236}">
              <a16:creationId xmlns:a16="http://schemas.microsoft.com/office/drawing/2014/main" id="{BFF8C195-F0C4-452D-BE40-DF71C3BF7768}"/>
            </a:ext>
          </a:extLst>
        </xdr:cNvPr>
        <xdr:cNvSpPr>
          <a:spLocks noChangeShapeType="1"/>
        </xdr:cNvSpPr>
      </xdr:nvSpPr>
      <xdr:spPr bwMode="auto">
        <a:xfrm>
          <a:off x="5324475" y="2086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897" name="Line 2">
          <a:extLst>
            <a:ext uri="{FF2B5EF4-FFF2-40B4-BE49-F238E27FC236}">
              <a16:creationId xmlns:a16="http://schemas.microsoft.com/office/drawing/2014/main" id="{EB020FF1-1B41-489F-A900-6FEDA6D3FC58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898" name="Line 3">
          <a:extLst>
            <a:ext uri="{FF2B5EF4-FFF2-40B4-BE49-F238E27FC236}">
              <a16:creationId xmlns:a16="http://schemas.microsoft.com/office/drawing/2014/main" id="{8150F9E7-068F-4087-A67B-EF1BCB79985E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899" name="Line 5">
          <a:extLst>
            <a:ext uri="{FF2B5EF4-FFF2-40B4-BE49-F238E27FC236}">
              <a16:creationId xmlns:a16="http://schemas.microsoft.com/office/drawing/2014/main" id="{EF3BC009-6D7E-42EC-9BF9-ACB298E99143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900" name="Line 2">
          <a:extLst>
            <a:ext uri="{FF2B5EF4-FFF2-40B4-BE49-F238E27FC236}">
              <a16:creationId xmlns:a16="http://schemas.microsoft.com/office/drawing/2014/main" id="{2A1C837E-7704-4434-9FC4-ACBD6A17BB63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901" name="Line 3">
          <a:extLst>
            <a:ext uri="{FF2B5EF4-FFF2-40B4-BE49-F238E27FC236}">
              <a16:creationId xmlns:a16="http://schemas.microsoft.com/office/drawing/2014/main" id="{FBBBA6AB-FB8E-46B3-A0DA-B49E290507B6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902" name="Line 4">
          <a:extLst>
            <a:ext uri="{FF2B5EF4-FFF2-40B4-BE49-F238E27FC236}">
              <a16:creationId xmlns:a16="http://schemas.microsoft.com/office/drawing/2014/main" id="{CEC33DBB-3513-452D-B9AA-612FE28B8F4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903" name="Line 5">
          <a:extLst>
            <a:ext uri="{FF2B5EF4-FFF2-40B4-BE49-F238E27FC236}">
              <a16:creationId xmlns:a16="http://schemas.microsoft.com/office/drawing/2014/main" id="{31EE0CE2-696C-4947-8EF5-C668CD6DC009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904" name="Line 7">
          <a:extLst>
            <a:ext uri="{FF2B5EF4-FFF2-40B4-BE49-F238E27FC236}">
              <a16:creationId xmlns:a16="http://schemas.microsoft.com/office/drawing/2014/main" id="{6ACFFF1A-DD48-463A-9D0E-8D53A185D823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05" name="Line 2">
          <a:extLst>
            <a:ext uri="{FF2B5EF4-FFF2-40B4-BE49-F238E27FC236}">
              <a16:creationId xmlns:a16="http://schemas.microsoft.com/office/drawing/2014/main" id="{D99F54B9-ED11-4E43-87B8-99BEFD83C119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06" name="Line 3">
          <a:extLst>
            <a:ext uri="{FF2B5EF4-FFF2-40B4-BE49-F238E27FC236}">
              <a16:creationId xmlns:a16="http://schemas.microsoft.com/office/drawing/2014/main" id="{DF9C13FF-A287-4F7A-8038-192FAB792A7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07" name="Line 4">
          <a:extLst>
            <a:ext uri="{FF2B5EF4-FFF2-40B4-BE49-F238E27FC236}">
              <a16:creationId xmlns:a16="http://schemas.microsoft.com/office/drawing/2014/main" id="{E10A424F-6C55-4F8E-8984-D1BA9A3D67EC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908" name="Line 5">
          <a:extLst>
            <a:ext uri="{FF2B5EF4-FFF2-40B4-BE49-F238E27FC236}">
              <a16:creationId xmlns:a16="http://schemas.microsoft.com/office/drawing/2014/main" id="{DF264AA4-C106-480D-8935-D6736A026121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909" name="Line 2">
          <a:extLst>
            <a:ext uri="{FF2B5EF4-FFF2-40B4-BE49-F238E27FC236}">
              <a16:creationId xmlns:a16="http://schemas.microsoft.com/office/drawing/2014/main" id="{37B5EC50-42EB-4D28-99C4-50B24CE75377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910" name="Line 3">
          <a:extLst>
            <a:ext uri="{FF2B5EF4-FFF2-40B4-BE49-F238E27FC236}">
              <a16:creationId xmlns:a16="http://schemas.microsoft.com/office/drawing/2014/main" id="{27ABAD3E-07A5-416C-93C0-6DC4DA966CA9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911" name="Line 4">
          <a:extLst>
            <a:ext uri="{FF2B5EF4-FFF2-40B4-BE49-F238E27FC236}">
              <a16:creationId xmlns:a16="http://schemas.microsoft.com/office/drawing/2014/main" id="{B1E41E06-3B51-462B-BAB1-D84D208D8AEF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912" name="Line 5">
          <a:extLst>
            <a:ext uri="{FF2B5EF4-FFF2-40B4-BE49-F238E27FC236}">
              <a16:creationId xmlns:a16="http://schemas.microsoft.com/office/drawing/2014/main" id="{E23606F5-E61B-4886-A6B3-E668B2A7B849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913" name="Line 7">
          <a:extLst>
            <a:ext uri="{FF2B5EF4-FFF2-40B4-BE49-F238E27FC236}">
              <a16:creationId xmlns:a16="http://schemas.microsoft.com/office/drawing/2014/main" id="{17663700-F966-4D6F-AD88-27773F1D28CA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914" name="Line 8">
          <a:extLst>
            <a:ext uri="{FF2B5EF4-FFF2-40B4-BE49-F238E27FC236}">
              <a16:creationId xmlns:a16="http://schemas.microsoft.com/office/drawing/2014/main" id="{1C698F17-2F36-41E5-BB33-C4A7DB0FF934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915" name="Rectangle 7">
          <a:extLst>
            <a:ext uri="{FF2B5EF4-FFF2-40B4-BE49-F238E27FC236}">
              <a16:creationId xmlns:a16="http://schemas.microsoft.com/office/drawing/2014/main" id="{0DD3A571-455F-48B5-8FA2-345600B8B927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242</xdr:row>
      <xdr:rowOff>0</xdr:rowOff>
    </xdr:from>
    <xdr:ext cx="190500" cy="933450"/>
    <xdr:sp macro="" textlink="">
      <xdr:nvSpPr>
        <xdr:cNvPr id="916" name="Rectangle 8">
          <a:extLst>
            <a:ext uri="{FF2B5EF4-FFF2-40B4-BE49-F238E27FC236}">
              <a16:creationId xmlns:a16="http://schemas.microsoft.com/office/drawing/2014/main" id="{1B95246A-9586-4C41-A5BD-FDF2364EC4BA}"/>
            </a:ext>
          </a:extLst>
        </xdr:cNvPr>
        <xdr:cNvSpPr>
          <a:spLocks noChangeArrowheads="1"/>
        </xdr:cNvSpPr>
      </xdr:nvSpPr>
      <xdr:spPr bwMode="auto">
        <a:xfrm>
          <a:off x="5324475" y="34775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219</xdr:row>
      <xdr:rowOff>0</xdr:rowOff>
    </xdr:from>
    <xdr:to>
      <xdr:col>8</xdr:col>
      <xdr:colOff>180975</xdr:colOff>
      <xdr:row>219</xdr:row>
      <xdr:rowOff>0</xdr:rowOff>
    </xdr:to>
    <xdr:sp macro="" textlink="">
      <xdr:nvSpPr>
        <xdr:cNvPr id="917" name="Line 2">
          <a:extLst>
            <a:ext uri="{FF2B5EF4-FFF2-40B4-BE49-F238E27FC236}">
              <a16:creationId xmlns:a16="http://schemas.microsoft.com/office/drawing/2014/main" id="{DE94CDD5-9847-4A7E-889C-85022A09992C}"/>
            </a:ext>
          </a:extLst>
        </xdr:cNvPr>
        <xdr:cNvSpPr>
          <a:spLocks noChangeShapeType="1"/>
        </xdr:cNvSpPr>
      </xdr:nvSpPr>
      <xdr:spPr bwMode="auto">
        <a:xfrm>
          <a:off x="5324475" y="31403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918" name="Line 3">
          <a:extLst>
            <a:ext uri="{FF2B5EF4-FFF2-40B4-BE49-F238E27FC236}">
              <a16:creationId xmlns:a16="http://schemas.microsoft.com/office/drawing/2014/main" id="{0DD8D2A2-C263-4AC8-A3EB-7617B198D38A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191</xdr:row>
      <xdr:rowOff>0</xdr:rowOff>
    </xdr:from>
    <xdr:to>
      <xdr:col>8</xdr:col>
      <xdr:colOff>180975</xdr:colOff>
      <xdr:row>191</xdr:row>
      <xdr:rowOff>0</xdr:rowOff>
    </xdr:to>
    <xdr:sp macro="" textlink="">
      <xdr:nvSpPr>
        <xdr:cNvPr id="919" name="Line 5">
          <a:extLst>
            <a:ext uri="{FF2B5EF4-FFF2-40B4-BE49-F238E27FC236}">
              <a16:creationId xmlns:a16="http://schemas.microsoft.com/office/drawing/2014/main" id="{F548C00F-B4E5-43DF-817E-7CE6A80FFE40}"/>
            </a:ext>
          </a:extLst>
        </xdr:cNvPr>
        <xdr:cNvSpPr>
          <a:spLocks noChangeShapeType="1"/>
        </xdr:cNvSpPr>
      </xdr:nvSpPr>
      <xdr:spPr bwMode="auto">
        <a:xfrm>
          <a:off x="532447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920" name="Line 2">
          <a:extLst>
            <a:ext uri="{FF2B5EF4-FFF2-40B4-BE49-F238E27FC236}">
              <a16:creationId xmlns:a16="http://schemas.microsoft.com/office/drawing/2014/main" id="{4119498F-51E3-43D2-A9E1-60CEA8A2F94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921" name="Line 3">
          <a:extLst>
            <a:ext uri="{FF2B5EF4-FFF2-40B4-BE49-F238E27FC236}">
              <a16:creationId xmlns:a16="http://schemas.microsoft.com/office/drawing/2014/main" id="{EAC3AE36-3394-4678-BEB1-4700ED0C2DE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922" name="Line 4">
          <a:extLst>
            <a:ext uri="{FF2B5EF4-FFF2-40B4-BE49-F238E27FC236}">
              <a16:creationId xmlns:a16="http://schemas.microsoft.com/office/drawing/2014/main" id="{5033586C-B250-4E5F-A27A-AFB38086088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923" name="Line 5">
          <a:extLst>
            <a:ext uri="{FF2B5EF4-FFF2-40B4-BE49-F238E27FC236}">
              <a16:creationId xmlns:a16="http://schemas.microsoft.com/office/drawing/2014/main" id="{30214C8E-B319-4467-9555-995AF8E2E7BB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208</xdr:row>
      <xdr:rowOff>0</xdr:rowOff>
    </xdr:from>
    <xdr:to>
      <xdr:col>8</xdr:col>
      <xdr:colOff>180975</xdr:colOff>
      <xdr:row>208</xdr:row>
      <xdr:rowOff>0</xdr:rowOff>
    </xdr:to>
    <xdr:sp macro="" textlink="">
      <xdr:nvSpPr>
        <xdr:cNvPr id="924" name="Line 7">
          <a:extLst>
            <a:ext uri="{FF2B5EF4-FFF2-40B4-BE49-F238E27FC236}">
              <a16:creationId xmlns:a16="http://schemas.microsoft.com/office/drawing/2014/main" id="{8EB98F12-9237-4ED4-BDD4-0F84DB8BCF0E}"/>
            </a:ext>
          </a:extLst>
        </xdr:cNvPr>
        <xdr:cNvSpPr>
          <a:spLocks noChangeShapeType="1"/>
        </xdr:cNvSpPr>
      </xdr:nvSpPr>
      <xdr:spPr bwMode="auto">
        <a:xfrm>
          <a:off x="5324475" y="29832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25" name="Line 2">
          <a:extLst>
            <a:ext uri="{FF2B5EF4-FFF2-40B4-BE49-F238E27FC236}">
              <a16:creationId xmlns:a16="http://schemas.microsoft.com/office/drawing/2014/main" id="{C25D55A7-317D-4955-9221-4F8B54F710E2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26" name="Line 3">
          <a:extLst>
            <a:ext uri="{FF2B5EF4-FFF2-40B4-BE49-F238E27FC236}">
              <a16:creationId xmlns:a16="http://schemas.microsoft.com/office/drawing/2014/main" id="{49E5D848-6BBD-4F7E-BC17-71DBE4DCD146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178</xdr:row>
      <xdr:rowOff>0</xdr:rowOff>
    </xdr:from>
    <xdr:to>
      <xdr:col>8</xdr:col>
      <xdr:colOff>180975</xdr:colOff>
      <xdr:row>178</xdr:row>
      <xdr:rowOff>0</xdr:rowOff>
    </xdr:to>
    <xdr:sp macro="" textlink="">
      <xdr:nvSpPr>
        <xdr:cNvPr id="927" name="Line 4">
          <a:extLst>
            <a:ext uri="{FF2B5EF4-FFF2-40B4-BE49-F238E27FC236}">
              <a16:creationId xmlns:a16="http://schemas.microsoft.com/office/drawing/2014/main" id="{6DAC5F59-F346-4D5A-ACBC-AB84D7944AD9}"/>
            </a:ext>
          </a:extLst>
        </xdr:cNvPr>
        <xdr:cNvSpPr>
          <a:spLocks noChangeShapeType="1"/>
        </xdr:cNvSpPr>
      </xdr:nvSpPr>
      <xdr:spPr bwMode="auto">
        <a:xfrm>
          <a:off x="5324475" y="255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184</xdr:row>
      <xdr:rowOff>0</xdr:rowOff>
    </xdr:from>
    <xdr:to>
      <xdr:col>8</xdr:col>
      <xdr:colOff>180975</xdr:colOff>
      <xdr:row>184</xdr:row>
      <xdr:rowOff>0</xdr:rowOff>
    </xdr:to>
    <xdr:sp macro="" textlink="">
      <xdr:nvSpPr>
        <xdr:cNvPr id="928" name="Line 5">
          <a:extLst>
            <a:ext uri="{FF2B5EF4-FFF2-40B4-BE49-F238E27FC236}">
              <a16:creationId xmlns:a16="http://schemas.microsoft.com/office/drawing/2014/main" id="{EEA1A987-950C-4F2C-8A46-05F248D33B99}"/>
            </a:ext>
          </a:extLst>
        </xdr:cNvPr>
        <xdr:cNvSpPr>
          <a:spLocks noChangeShapeType="1"/>
        </xdr:cNvSpPr>
      </xdr:nvSpPr>
      <xdr:spPr bwMode="auto">
        <a:xfrm>
          <a:off x="5324475" y="2640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929" name="Line 2">
          <a:extLst>
            <a:ext uri="{FF2B5EF4-FFF2-40B4-BE49-F238E27FC236}">
              <a16:creationId xmlns:a16="http://schemas.microsoft.com/office/drawing/2014/main" id="{35FF6C5B-3CAC-439F-8191-F01EBE185656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177</xdr:row>
      <xdr:rowOff>0</xdr:rowOff>
    </xdr:from>
    <xdr:to>
      <xdr:col>8</xdr:col>
      <xdr:colOff>180975</xdr:colOff>
      <xdr:row>177</xdr:row>
      <xdr:rowOff>0</xdr:rowOff>
    </xdr:to>
    <xdr:sp macro="" textlink="">
      <xdr:nvSpPr>
        <xdr:cNvPr id="930" name="Line 3">
          <a:extLst>
            <a:ext uri="{FF2B5EF4-FFF2-40B4-BE49-F238E27FC236}">
              <a16:creationId xmlns:a16="http://schemas.microsoft.com/office/drawing/2014/main" id="{E17A873E-CF43-4C22-8DD8-E7E219B4BB54}"/>
            </a:ext>
          </a:extLst>
        </xdr:cNvPr>
        <xdr:cNvSpPr>
          <a:spLocks noChangeShapeType="1"/>
        </xdr:cNvSpPr>
      </xdr:nvSpPr>
      <xdr:spPr bwMode="auto">
        <a:xfrm>
          <a:off x="5324475" y="254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931" name="Line 4">
          <a:extLst>
            <a:ext uri="{FF2B5EF4-FFF2-40B4-BE49-F238E27FC236}">
              <a16:creationId xmlns:a16="http://schemas.microsoft.com/office/drawing/2014/main" id="{3BBAE2E6-210B-47F7-AEC1-D8AD5402668F}"/>
            </a:ext>
          </a:extLst>
        </xdr:cNvPr>
        <xdr:cNvSpPr>
          <a:spLocks noChangeShapeType="1"/>
        </xdr:cNvSpPr>
      </xdr:nvSpPr>
      <xdr:spPr bwMode="auto">
        <a:xfrm>
          <a:off x="5324475" y="256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932" name="Line 5">
          <a:extLst>
            <a:ext uri="{FF2B5EF4-FFF2-40B4-BE49-F238E27FC236}">
              <a16:creationId xmlns:a16="http://schemas.microsoft.com/office/drawing/2014/main" id="{CF5ECAEC-3D97-4160-8825-5B9ED6461FEB}"/>
            </a:ext>
          </a:extLst>
        </xdr:cNvPr>
        <xdr:cNvSpPr>
          <a:spLocks noChangeShapeType="1"/>
        </xdr:cNvSpPr>
      </xdr:nvSpPr>
      <xdr:spPr bwMode="auto">
        <a:xfrm>
          <a:off x="5324475" y="38795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258</xdr:row>
      <xdr:rowOff>0</xdr:rowOff>
    </xdr:from>
    <xdr:to>
      <xdr:col>8</xdr:col>
      <xdr:colOff>180975</xdr:colOff>
      <xdr:row>258</xdr:row>
      <xdr:rowOff>0</xdr:rowOff>
    </xdr:to>
    <xdr:sp macro="" textlink="">
      <xdr:nvSpPr>
        <xdr:cNvPr id="933" name="Line 7">
          <a:extLst>
            <a:ext uri="{FF2B5EF4-FFF2-40B4-BE49-F238E27FC236}">
              <a16:creationId xmlns:a16="http://schemas.microsoft.com/office/drawing/2014/main" id="{9DE4F354-34F4-4BAB-BB3F-CFE8C855A65B}"/>
            </a:ext>
          </a:extLst>
        </xdr:cNvPr>
        <xdr:cNvSpPr>
          <a:spLocks noChangeShapeType="1"/>
        </xdr:cNvSpPr>
      </xdr:nvSpPr>
      <xdr:spPr bwMode="auto">
        <a:xfrm>
          <a:off x="5324475" y="37061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263</xdr:row>
      <xdr:rowOff>0</xdr:rowOff>
    </xdr:from>
    <xdr:to>
      <xdr:col>8</xdr:col>
      <xdr:colOff>180975</xdr:colOff>
      <xdr:row>263</xdr:row>
      <xdr:rowOff>0</xdr:rowOff>
    </xdr:to>
    <xdr:sp macro="" textlink="">
      <xdr:nvSpPr>
        <xdr:cNvPr id="934" name="Line 8">
          <a:extLst>
            <a:ext uri="{FF2B5EF4-FFF2-40B4-BE49-F238E27FC236}">
              <a16:creationId xmlns:a16="http://schemas.microsoft.com/office/drawing/2014/main" id="{7BC8CE05-2059-4A2B-A4A8-13FF8FDDBF67}"/>
            </a:ext>
          </a:extLst>
        </xdr:cNvPr>
        <xdr:cNvSpPr>
          <a:spLocks noChangeShapeType="1"/>
        </xdr:cNvSpPr>
      </xdr:nvSpPr>
      <xdr:spPr bwMode="auto">
        <a:xfrm>
          <a:off x="5324475" y="37776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177</xdr:row>
      <xdr:rowOff>38100</xdr:rowOff>
    </xdr:from>
    <xdr:ext cx="180975" cy="933450"/>
    <xdr:sp macro="" textlink="">
      <xdr:nvSpPr>
        <xdr:cNvPr id="935" name="Rectangle 7">
          <a:extLst>
            <a:ext uri="{FF2B5EF4-FFF2-40B4-BE49-F238E27FC236}">
              <a16:creationId xmlns:a16="http://schemas.microsoft.com/office/drawing/2014/main" id="{4CBE600C-F629-47C1-B508-063C8100B95C}"/>
            </a:ext>
          </a:extLst>
        </xdr:cNvPr>
        <xdr:cNvSpPr>
          <a:spLocks noChangeArrowheads="1"/>
        </xdr:cNvSpPr>
      </xdr:nvSpPr>
      <xdr:spPr bwMode="auto">
        <a:xfrm>
          <a:off x="5324475" y="2544127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936" name="Line 3">
          <a:extLst>
            <a:ext uri="{FF2B5EF4-FFF2-40B4-BE49-F238E27FC236}">
              <a16:creationId xmlns:a16="http://schemas.microsoft.com/office/drawing/2014/main" id="{12422874-118C-4733-8D5B-F7A109BA15C4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315</xdr:row>
      <xdr:rowOff>0</xdr:rowOff>
    </xdr:from>
    <xdr:to>
      <xdr:col>8</xdr:col>
      <xdr:colOff>180975</xdr:colOff>
      <xdr:row>315</xdr:row>
      <xdr:rowOff>0</xdr:rowOff>
    </xdr:to>
    <xdr:sp macro="" textlink="">
      <xdr:nvSpPr>
        <xdr:cNvPr id="937" name="Line 5">
          <a:extLst>
            <a:ext uri="{FF2B5EF4-FFF2-40B4-BE49-F238E27FC236}">
              <a16:creationId xmlns:a16="http://schemas.microsoft.com/office/drawing/2014/main" id="{C13F7F12-9D92-4410-AE50-81753A3C9B7D}"/>
            </a:ext>
          </a:extLst>
        </xdr:cNvPr>
        <xdr:cNvSpPr>
          <a:spLocks noChangeShapeType="1"/>
        </xdr:cNvSpPr>
      </xdr:nvSpPr>
      <xdr:spPr bwMode="auto">
        <a:xfrm>
          <a:off x="5324475" y="4531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938" name="Line 2">
          <a:extLst>
            <a:ext uri="{FF2B5EF4-FFF2-40B4-BE49-F238E27FC236}">
              <a16:creationId xmlns:a16="http://schemas.microsoft.com/office/drawing/2014/main" id="{C27528A5-FF3B-4242-8927-96C85976D299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939" name="Line 3">
          <a:extLst>
            <a:ext uri="{FF2B5EF4-FFF2-40B4-BE49-F238E27FC236}">
              <a16:creationId xmlns:a16="http://schemas.microsoft.com/office/drawing/2014/main" id="{89AC5D15-342F-45E2-88A0-AAEC92C871EF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940" name="Line 4">
          <a:extLst>
            <a:ext uri="{FF2B5EF4-FFF2-40B4-BE49-F238E27FC236}">
              <a16:creationId xmlns:a16="http://schemas.microsoft.com/office/drawing/2014/main" id="{6492AADC-62CE-45EA-BE79-A97B1FFABB6D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941" name="Line 5">
          <a:extLst>
            <a:ext uri="{FF2B5EF4-FFF2-40B4-BE49-F238E27FC236}">
              <a16:creationId xmlns:a16="http://schemas.microsoft.com/office/drawing/2014/main" id="{CCE592FF-F5F6-44DF-AAF6-56AD5D66CBBE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942" name="Line 7">
          <a:extLst>
            <a:ext uri="{FF2B5EF4-FFF2-40B4-BE49-F238E27FC236}">
              <a16:creationId xmlns:a16="http://schemas.microsoft.com/office/drawing/2014/main" id="{729F90E5-7CDC-42B1-8A84-BD18C674E058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43" name="Line 2">
          <a:extLst>
            <a:ext uri="{FF2B5EF4-FFF2-40B4-BE49-F238E27FC236}">
              <a16:creationId xmlns:a16="http://schemas.microsoft.com/office/drawing/2014/main" id="{BB93E09A-00D5-41B9-8113-16E655CD7A34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44" name="Line 3">
          <a:extLst>
            <a:ext uri="{FF2B5EF4-FFF2-40B4-BE49-F238E27FC236}">
              <a16:creationId xmlns:a16="http://schemas.microsoft.com/office/drawing/2014/main" id="{6042C404-637C-43E6-8CD0-D49A379B7BC7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45" name="Line 4">
          <a:extLst>
            <a:ext uri="{FF2B5EF4-FFF2-40B4-BE49-F238E27FC236}">
              <a16:creationId xmlns:a16="http://schemas.microsoft.com/office/drawing/2014/main" id="{3513763B-F01E-4DF8-8C5D-50095142BE00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307</xdr:row>
      <xdr:rowOff>0</xdr:rowOff>
    </xdr:from>
    <xdr:to>
      <xdr:col>8</xdr:col>
      <xdr:colOff>180975</xdr:colOff>
      <xdr:row>307</xdr:row>
      <xdr:rowOff>0</xdr:rowOff>
    </xdr:to>
    <xdr:sp macro="" textlink="">
      <xdr:nvSpPr>
        <xdr:cNvPr id="946" name="Line 5">
          <a:extLst>
            <a:ext uri="{FF2B5EF4-FFF2-40B4-BE49-F238E27FC236}">
              <a16:creationId xmlns:a16="http://schemas.microsoft.com/office/drawing/2014/main" id="{47362F96-FE41-4C7A-B824-D818B307E729}"/>
            </a:ext>
          </a:extLst>
        </xdr:cNvPr>
        <xdr:cNvSpPr>
          <a:spLocks noChangeShapeType="1"/>
        </xdr:cNvSpPr>
      </xdr:nvSpPr>
      <xdr:spPr bwMode="auto">
        <a:xfrm>
          <a:off x="5324475" y="4416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47" name="Line 2">
          <a:extLst>
            <a:ext uri="{FF2B5EF4-FFF2-40B4-BE49-F238E27FC236}">
              <a16:creationId xmlns:a16="http://schemas.microsoft.com/office/drawing/2014/main" id="{10DB15AF-72DA-4044-8ED5-43C041F9280E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300</xdr:row>
      <xdr:rowOff>0</xdr:rowOff>
    </xdr:from>
    <xdr:to>
      <xdr:col>8</xdr:col>
      <xdr:colOff>180975</xdr:colOff>
      <xdr:row>300</xdr:row>
      <xdr:rowOff>0</xdr:rowOff>
    </xdr:to>
    <xdr:sp macro="" textlink="">
      <xdr:nvSpPr>
        <xdr:cNvPr id="948" name="Line 3">
          <a:extLst>
            <a:ext uri="{FF2B5EF4-FFF2-40B4-BE49-F238E27FC236}">
              <a16:creationId xmlns:a16="http://schemas.microsoft.com/office/drawing/2014/main" id="{A0DE9D4E-9838-422A-BD0F-FB988FDAA8DE}"/>
            </a:ext>
          </a:extLst>
        </xdr:cNvPr>
        <xdr:cNvSpPr>
          <a:spLocks noChangeShapeType="1"/>
        </xdr:cNvSpPr>
      </xdr:nvSpPr>
      <xdr:spPr bwMode="auto">
        <a:xfrm>
          <a:off x="5324475" y="4316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302</xdr:row>
      <xdr:rowOff>0</xdr:rowOff>
    </xdr:from>
    <xdr:to>
      <xdr:col>8</xdr:col>
      <xdr:colOff>180975</xdr:colOff>
      <xdr:row>302</xdr:row>
      <xdr:rowOff>0</xdr:rowOff>
    </xdr:to>
    <xdr:sp macro="" textlink="">
      <xdr:nvSpPr>
        <xdr:cNvPr id="949" name="Line 4">
          <a:extLst>
            <a:ext uri="{FF2B5EF4-FFF2-40B4-BE49-F238E27FC236}">
              <a16:creationId xmlns:a16="http://schemas.microsoft.com/office/drawing/2014/main" id="{BB43A87E-611E-431E-9779-CBADA39627E3}"/>
            </a:ext>
          </a:extLst>
        </xdr:cNvPr>
        <xdr:cNvSpPr>
          <a:spLocks noChangeShapeType="1"/>
        </xdr:cNvSpPr>
      </xdr:nvSpPr>
      <xdr:spPr bwMode="auto">
        <a:xfrm>
          <a:off x="5324475" y="4345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384</xdr:row>
      <xdr:rowOff>0</xdr:rowOff>
    </xdr:from>
    <xdr:to>
      <xdr:col>8</xdr:col>
      <xdr:colOff>180975</xdr:colOff>
      <xdr:row>384</xdr:row>
      <xdr:rowOff>0</xdr:rowOff>
    </xdr:to>
    <xdr:sp macro="" textlink="">
      <xdr:nvSpPr>
        <xdr:cNvPr id="950" name="Line 5">
          <a:extLst>
            <a:ext uri="{FF2B5EF4-FFF2-40B4-BE49-F238E27FC236}">
              <a16:creationId xmlns:a16="http://schemas.microsoft.com/office/drawing/2014/main" id="{C6DB3697-69D9-4BF9-AEA8-DE239B6C158C}"/>
            </a:ext>
          </a:extLst>
        </xdr:cNvPr>
        <xdr:cNvSpPr>
          <a:spLocks noChangeShapeType="1"/>
        </xdr:cNvSpPr>
      </xdr:nvSpPr>
      <xdr:spPr bwMode="auto">
        <a:xfrm>
          <a:off x="5324475" y="55273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51" name="Line 7">
          <a:extLst>
            <a:ext uri="{FF2B5EF4-FFF2-40B4-BE49-F238E27FC236}">
              <a16:creationId xmlns:a16="http://schemas.microsoft.com/office/drawing/2014/main" id="{588EEC37-BB24-4BC4-A23F-EBA92F4FB740}"/>
            </a:ext>
          </a:extLst>
        </xdr:cNvPr>
        <xdr:cNvSpPr>
          <a:spLocks noChangeShapeType="1"/>
        </xdr:cNvSpPr>
      </xdr:nvSpPr>
      <xdr:spPr bwMode="auto">
        <a:xfrm>
          <a:off x="5324475" y="5368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952" name="Line 3">
          <a:extLst>
            <a:ext uri="{FF2B5EF4-FFF2-40B4-BE49-F238E27FC236}">
              <a16:creationId xmlns:a16="http://schemas.microsoft.com/office/drawing/2014/main" id="{97268271-04E9-4ADF-8249-C559290036A2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433</xdr:row>
      <xdr:rowOff>0</xdr:rowOff>
    </xdr:from>
    <xdr:to>
      <xdr:col>8</xdr:col>
      <xdr:colOff>180975</xdr:colOff>
      <xdr:row>433</xdr:row>
      <xdr:rowOff>0</xdr:rowOff>
    </xdr:to>
    <xdr:sp macro="" textlink="">
      <xdr:nvSpPr>
        <xdr:cNvPr id="953" name="Line 5">
          <a:extLst>
            <a:ext uri="{FF2B5EF4-FFF2-40B4-BE49-F238E27FC236}">
              <a16:creationId xmlns:a16="http://schemas.microsoft.com/office/drawing/2014/main" id="{CCC2D05E-2047-47C4-A32C-9CCE296E33FC}"/>
            </a:ext>
          </a:extLst>
        </xdr:cNvPr>
        <xdr:cNvSpPr>
          <a:spLocks noChangeShapeType="1"/>
        </xdr:cNvSpPr>
      </xdr:nvSpPr>
      <xdr:spPr bwMode="auto">
        <a:xfrm>
          <a:off x="5324475" y="6236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954" name="Line 2">
          <a:extLst>
            <a:ext uri="{FF2B5EF4-FFF2-40B4-BE49-F238E27FC236}">
              <a16:creationId xmlns:a16="http://schemas.microsoft.com/office/drawing/2014/main" id="{1BDAEE80-8FB2-4F8D-9DE5-CA5B1D9B5CAD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955" name="Line 3">
          <a:extLst>
            <a:ext uri="{FF2B5EF4-FFF2-40B4-BE49-F238E27FC236}">
              <a16:creationId xmlns:a16="http://schemas.microsoft.com/office/drawing/2014/main" id="{FBCC5427-2ACE-41D5-BBBE-E4E87BCF9E22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956" name="Line 4">
          <a:extLst>
            <a:ext uri="{FF2B5EF4-FFF2-40B4-BE49-F238E27FC236}">
              <a16:creationId xmlns:a16="http://schemas.microsoft.com/office/drawing/2014/main" id="{45EB62C1-7D22-4E0A-903A-DADC289322EB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957" name="Line 5">
          <a:extLst>
            <a:ext uri="{FF2B5EF4-FFF2-40B4-BE49-F238E27FC236}">
              <a16:creationId xmlns:a16="http://schemas.microsoft.com/office/drawing/2014/main" id="{2184BC1A-584C-4773-855B-C8B8CF6B24A7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460</xdr:row>
      <xdr:rowOff>0</xdr:rowOff>
    </xdr:from>
    <xdr:to>
      <xdr:col>8</xdr:col>
      <xdr:colOff>180975</xdr:colOff>
      <xdr:row>460</xdr:row>
      <xdr:rowOff>0</xdr:rowOff>
    </xdr:to>
    <xdr:sp macro="" textlink="">
      <xdr:nvSpPr>
        <xdr:cNvPr id="958" name="Line 7">
          <a:extLst>
            <a:ext uri="{FF2B5EF4-FFF2-40B4-BE49-F238E27FC236}">
              <a16:creationId xmlns:a16="http://schemas.microsoft.com/office/drawing/2014/main" id="{D5CF89CC-EA75-4AA4-BB27-C9CABA71F762}"/>
            </a:ext>
          </a:extLst>
        </xdr:cNvPr>
        <xdr:cNvSpPr>
          <a:spLocks noChangeShapeType="1"/>
        </xdr:cNvSpPr>
      </xdr:nvSpPr>
      <xdr:spPr bwMode="auto">
        <a:xfrm>
          <a:off x="5324475" y="6622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59" name="Line 2">
          <a:extLst>
            <a:ext uri="{FF2B5EF4-FFF2-40B4-BE49-F238E27FC236}">
              <a16:creationId xmlns:a16="http://schemas.microsoft.com/office/drawing/2014/main" id="{A6CA9EEB-24CB-4ABB-83EB-8029C384D1BD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60" name="Line 3">
          <a:extLst>
            <a:ext uri="{FF2B5EF4-FFF2-40B4-BE49-F238E27FC236}">
              <a16:creationId xmlns:a16="http://schemas.microsoft.com/office/drawing/2014/main" id="{68CDAC1C-73C4-4B3C-8AB5-E464B6B0A7D9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61" name="Line 4">
          <a:extLst>
            <a:ext uri="{FF2B5EF4-FFF2-40B4-BE49-F238E27FC236}">
              <a16:creationId xmlns:a16="http://schemas.microsoft.com/office/drawing/2014/main" id="{4BE58AB7-79E7-4F01-9EC6-DCE8D531FB19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420</xdr:row>
      <xdr:rowOff>0</xdr:rowOff>
    </xdr:from>
    <xdr:to>
      <xdr:col>8</xdr:col>
      <xdr:colOff>180975</xdr:colOff>
      <xdr:row>420</xdr:row>
      <xdr:rowOff>0</xdr:rowOff>
    </xdr:to>
    <xdr:sp macro="" textlink="">
      <xdr:nvSpPr>
        <xdr:cNvPr id="962" name="Line 5">
          <a:extLst>
            <a:ext uri="{FF2B5EF4-FFF2-40B4-BE49-F238E27FC236}">
              <a16:creationId xmlns:a16="http://schemas.microsoft.com/office/drawing/2014/main" id="{A62227D9-73B9-4CA7-8AB6-2D3E3C996197}"/>
            </a:ext>
          </a:extLst>
        </xdr:cNvPr>
        <xdr:cNvSpPr>
          <a:spLocks noChangeShapeType="1"/>
        </xdr:cNvSpPr>
      </xdr:nvSpPr>
      <xdr:spPr bwMode="auto">
        <a:xfrm>
          <a:off x="5324475" y="6050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63" name="Line 2">
          <a:extLst>
            <a:ext uri="{FF2B5EF4-FFF2-40B4-BE49-F238E27FC236}">
              <a16:creationId xmlns:a16="http://schemas.microsoft.com/office/drawing/2014/main" id="{2A7077F5-7F2D-4652-8483-CB32CB3BB853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964" name="Line 3">
          <a:extLst>
            <a:ext uri="{FF2B5EF4-FFF2-40B4-BE49-F238E27FC236}">
              <a16:creationId xmlns:a16="http://schemas.microsoft.com/office/drawing/2014/main" id="{67E9D887-719F-484B-B640-5C379518604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415</xdr:row>
      <xdr:rowOff>0</xdr:rowOff>
    </xdr:from>
    <xdr:to>
      <xdr:col>8</xdr:col>
      <xdr:colOff>180975</xdr:colOff>
      <xdr:row>415</xdr:row>
      <xdr:rowOff>0</xdr:rowOff>
    </xdr:to>
    <xdr:sp macro="" textlink="">
      <xdr:nvSpPr>
        <xdr:cNvPr id="965" name="Line 4">
          <a:extLst>
            <a:ext uri="{FF2B5EF4-FFF2-40B4-BE49-F238E27FC236}">
              <a16:creationId xmlns:a16="http://schemas.microsoft.com/office/drawing/2014/main" id="{9EDE2853-F807-4E14-B247-5CE3DDB74659}"/>
            </a:ext>
          </a:extLst>
        </xdr:cNvPr>
        <xdr:cNvSpPr>
          <a:spLocks noChangeShapeType="1"/>
        </xdr:cNvSpPr>
      </xdr:nvSpPr>
      <xdr:spPr bwMode="auto">
        <a:xfrm>
          <a:off x="5324475" y="59788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966" name="Line 5">
          <a:extLst>
            <a:ext uri="{FF2B5EF4-FFF2-40B4-BE49-F238E27FC236}">
              <a16:creationId xmlns:a16="http://schemas.microsoft.com/office/drawing/2014/main" id="{26233001-90B7-4C91-9CC7-E081CED8EB51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967" name="Line 7">
          <a:extLst>
            <a:ext uri="{FF2B5EF4-FFF2-40B4-BE49-F238E27FC236}">
              <a16:creationId xmlns:a16="http://schemas.microsoft.com/office/drawing/2014/main" id="{8E177D00-8266-4FDD-B890-6D1B5C4113FD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968" name="Line 2">
          <a:extLst>
            <a:ext uri="{FF2B5EF4-FFF2-40B4-BE49-F238E27FC236}">
              <a16:creationId xmlns:a16="http://schemas.microsoft.com/office/drawing/2014/main" id="{E8571603-DD31-4BAA-A70D-A44EBB64DC54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414</xdr:row>
      <xdr:rowOff>0</xdr:rowOff>
    </xdr:from>
    <xdr:to>
      <xdr:col>8</xdr:col>
      <xdr:colOff>180975</xdr:colOff>
      <xdr:row>414</xdr:row>
      <xdr:rowOff>0</xdr:rowOff>
    </xdr:to>
    <xdr:sp macro="" textlink="">
      <xdr:nvSpPr>
        <xdr:cNvPr id="969" name="Line 3">
          <a:extLst>
            <a:ext uri="{FF2B5EF4-FFF2-40B4-BE49-F238E27FC236}">
              <a16:creationId xmlns:a16="http://schemas.microsoft.com/office/drawing/2014/main" id="{D5A06047-D1C4-4E3C-851B-9B9963C16EB7}"/>
            </a:ext>
          </a:extLst>
        </xdr:cNvPr>
        <xdr:cNvSpPr>
          <a:spLocks noChangeShapeType="1"/>
        </xdr:cNvSpPr>
      </xdr:nvSpPr>
      <xdr:spPr bwMode="auto">
        <a:xfrm>
          <a:off x="5324475" y="59645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416</xdr:row>
      <xdr:rowOff>0</xdr:rowOff>
    </xdr:from>
    <xdr:to>
      <xdr:col>8</xdr:col>
      <xdr:colOff>180975</xdr:colOff>
      <xdr:row>416</xdr:row>
      <xdr:rowOff>0</xdr:rowOff>
    </xdr:to>
    <xdr:sp macro="" textlink="">
      <xdr:nvSpPr>
        <xdr:cNvPr id="970" name="Line 4">
          <a:extLst>
            <a:ext uri="{FF2B5EF4-FFF2-40B4-BE49-F238E27FC236}">
              <a16:creationId xmlns:a16="http://schemas.microsoft.com/office/drawing/2014/main" id="{55969540-9630-4BA4-A5A8-4E53DAAB0D63}"/>
            </a:ext>
          </a:extLst>
        </xdr:cNvPr>
        <xdr:cNvSpPr>
          <a:spLocks noChangeShapeType="1"/>
        </xdr:cNvSpPr>
      </xdr:nvSpPr>
      <xdr:spPr bwMode="auto">
        <a:xfrm>
          <a:off x="5324475" y="59931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971" name="Line 3">
          <a:extLst>
            <a:ext uri="{FF2B5EF4-FFF2-40B4-BE49-F238E27FC236}">
              <a16:creationId xmlns:a16="http://schemas.microsoft.com/office/drawing/2014/main" id="{CFD9498F-AD65-4083-8FA4-5ACE813C85A0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972" name="Line 5">
          <a:extLst>
            <a:ext uri="{FF2B5EF4-FFF2-40B4-BE49-F238E27FC236}">
              <a16:creationId xmlns:a16="http://schemas.microsoft.com/office/drawing/2014/main" id="{12C4023B-A638-4642-989D-098E996D6990}"/>
            </a:ext>
          </a:extLst>
        </xdr:cNvPr>
        <xdr:cNvSpPr>
          <a:spLocks noChangeShapeType="1"/>
        </xdr:cNvSpPr>
      </xdr:nvSpPr>
      <xdr:spPr bwMode="auto">
        <a:xfrm>
          <a:off x="5324475" y="84658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973" name="Line 2">
          <a:extLst>
            <a:ext uri="{FF2B5EF4-FFF2-40B4-BE49-F238E27FC236}">
              <a16:creationId xmlns:a16="http://schemas.microsoft.com/office/drawing/2014/main" id="{306B30E2-D854-4AD4-8E2B-34021F20B1FA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974" name="Line 3">
          <a:extLst>
            <a:ext uri="{FF2B5EF4-FFF2-40B4-BE49-F238E27FC236}">
              <a16:creationId xmlns:a16="http://schemas.microsoft.com/office/drawing/2014/main" id="{5523E0EB-1652-4C6B-8220-C2411C5E9EFA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975" name="Line 4">
          <a:extLst>
            <a:ext uri="{FF2B5EF4-FFF2-40B4-BE49-F238E27FC236}">
              <a16:creationId xmlns:a16="http://schemas.microsoft.com/office/drawing/2014/main" id="{688FB888-9131-449C-9CBE-469B670ACEF6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976" name="Line 5">
          <a:extLst>
            <a:ext uri="{FF2B5EF4-FFF2-40B4-BE49-F238E27FC236}">
              <a16:creationId xmlns:a16="http://schemas.microsoft.com/office/drawing/2014/main" id="{80CA1E39-EB5B-4CA5-B51E-55C2F1293ABF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977" name="Line 7">
          <a:extLst>
            <a:ext uri="{FF2B5EF4-FFF2-40B4-BE49-F238E27FC236}">
              <a16:creationId xmlns:a16="http://schemas.microsoft.com/office/drawing/2014/main" id="{87F51F30-B00C-4ADC-896D-841F13D3F629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78" name="Line 2">
          <a:extLst>
            <a:ext uri="{FF2B5EF4-FFF2-40B4-BE49-F238E27FC236}">
              <a16:creationId xmlns:a16="http://schemas.microsoft.com/office/drawing/2014/main" id="{A984605F-AFA7-4409-BE45-A55CBB56B6D9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79" name="Line 3">
          <a:extLst>
            <a:ext uri="{FF2B5EF4-FFF2-40B4-BE49-F238E27FC236}">
              <a16:creationId xmlns:a16="http://schemas.microsoft.com/office/drawing/2014/main" id="{0031A9E4-649E-420E-B709-6C748D5DBEEA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80" name="Line 4">
          <a:extLst>
            <a:ext uri="{FF2B5EF4-FFF2-40B4-BE49-F238E27FC236}">
              <a16:creationId xmlns:a16="http://schemas.microsoft.com/office/drawing/2014/main" id="{BA60C726-C581-4DD4-8764-7EBFD44AF35E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577</xdr:row>
      <xdr:rowOff>0</xdr:rowOff>
    </xdr:from>
    <xdr:to>
      <xdr:col>8</xdr:col>
      <xdr:colOff>180975</xdr:colOff>
      <xdr:row>577</xdr:row>
      <xdr:rowOff>0</xdr:rowOff>
    </xdr:to>
    <xdr:sp macro="" textlink="">
      <xdr:nvSpPr>
        <xdr:cNvPr id="981" name="Line 5">
          <a:extLst>
            <a:ext uri="{FF2B5EF4-FFF2-40B4-BE49-F238E27FC236}">
              <a16:creationId xmlns:a16="http://schemas.microsoft.com/office/drawing/2014/main" id="{AABA5C2A-1DFB-4223-A491-9BA4F16903C6}"/>
            </a:ext>
          </a:extLst>
        </xdr:cNvPr>
        <xdr:cNvSpPr>
          <a:spLocks noChangeShapeType="1"/>
        </xdr:cNvSpPr>
      </xdr:nvSpPr>
      <xdr:spPr bwMode="auto">
        <a:xfrm>
          <a:off x="5324475" y="83153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82" name="Line 2">
          <a:extLst>
            <a:ext uri="{FF2B5EF4-FFF2-40B4-BE49-F238E27FC236}">
              <a16:creationId xmlns:a16="http://schemas.microsoft.com/office/drawing/2014/main" id="{C1368AB6-804E-40D3-A22E-D804A804B129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570</xdr:row>
      <xdr:rowOff>0</xdr:rowOff>
    </xdr:from>
    <xdr:to>
      <xdr:col>8</xdr:col>
      <xdr:colOff>180975</xdr:colOff>
      <xdr:row>570</xdr:row>
      <xdr:rowOff>0</xdr:rowOff>
    </xdr:to>
    <xdr:sp macro="" textlink="">
      <xdr:nvSpPr>
        <xdr:cNvPr id="983" name="Line 3">
          <a:extLst>
            <a:ext uri="{FF2B5EF4-FFF2-40B4-BE49-F238E27FC236}">
              <a16:creationId xmlns:a16="http://schemas.microsoft.com/office/drawing/2014/main" id="{D5295615-F0E8-455E-A479-CD457B0A14B1}"/>
            </a:ext>
          </a:extLst>
        </xdr:cNvPr>
        <xdr:cNvSpPr>
          <a:spLocks noChangeShapeType="1"/>
        </xdr:cNvSpPr>
      </xdr:nvSpPr>
      <xdr:spPr bwMode="auto">
        <a:xfrm>
          <a:off x="5324475" y="82143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572</xdr:row>
      <xdr:rowOff>0</xdr:rowOff>
    </xdr:from>
    <xdr:to>
      <xdr:col>8</xdr:col>
      <xdr:colOff>180975</xdr:colOff>
      <xdr:row>572</xdr:row>
      <xdr:rowOff>0</xdr:rowOff>
    </xdr:to>
    <xdr:sp macro="" textlink="">
      <xdr:nvSpPr>
        <xdr:cNvPr id="984" name="Line 4">
          <a:extLst>
            <a:ext uri="{FF2B5EF4-FFF2-40B4-BE49-F238E27FC236}">
              <a16:creationId xmlns:a16="http://schemas.microsoft.com/office/drawing/2014/main" id="{7FDB8E5B-D4B6-4208-B5DE-24B33AB67A6E}"/>
            </a:ext>
          </a:extLst>
        </xdr:cNvPr>
        <xdr:cNvSpPr>
          <a:spLocks noChangeShapeType="1"/>
        </xdr:cNvSpPr>
      </xdr:nvSpPr>
      <xdr:spPr bwMode="auto">
        <a:xfrm>
          <a:off x="5324475" y="82429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985" name="Line 2">
          <a:extLst>
            <a:ext uri="{FF2B5EF4-FFF2-40B4-BE49-F238E27FC236}">
              <a16:creationId xmlns:a16="http://schemas.microsoft.com/office/drawing/2014/main" id="{65E164C7-4178-46AE-878E-758115494827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986" name="Line 3">
          <a:extLst>
            <a:ext uri="{FF2B5EF4-FFF2-40B4-BE49-F238E27FC236}">
              <a16:creationId xmlns:a16="http://schemas.microsoft.com/office/drawing/2014/main" id="{91D1B68F-E831-495D-8CC6-8977FFB020AA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987" name="Line 4">
          <a:extLst>
            <a:ext uri="{FF2B5EF4-FFF2-40B4-BE49-F238E27FC236}">
              <a16:creationId xmlns:a16="http://schemas.microsoft.com/office/drawing/2014/main" id="{D307DA4D-20EF-4431-BD78-ED24B5EEDDC7}"/>
            </a:ext>
          </a:extLst>
        </xdr:cNvPr>
        <xdr:cNvSpPr>
          <a:spLocks noChangeShapeType="1"/>
        </xdr:cNvSpPr>
      </xdr:nvSpPr>
      <xdr:spPr bwMode="auto">
        <a:xfrm>
          <a:off x="5324475" y="82572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988" name="Line 2">
          <a:extLst>
            <a:ext uri="{FF2B5EF4-FFF2-40B4-BE49-F238E27FC236}">
              <a16:creationId xmlns:a16="http://schemas.microsoft.com/office/drawing/2014/main" id="{686D89EA-F330-47B0-9754-F7E9FF22CF01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571</xdr:row>
      <xdr:rowOff>0</xdr:rowOff>
    </xdr:from>
    <xdr:to>
      <xdr:col>8</xdr:col>
      <xdr:colOff>180975</xdr:colOff>
      <xdr:row>571</xdr:row>
      <xdr:rowOff>0</xdr:rowOff>
    </xdr:to>
    <xdr:sp macro="" textlink="">
      <xdr:nvSpPr>
        <xdr:cNvPr id="989" name="Line 3">
          <a:extLst>
            <a:ext uri="{FF2B5EF4-FFF2-40B4-BE49-F238E27FC236}">
              <a16:creationId xmlns:a16="http://schemas.microsoft.com/office/drawing/2014/main" id="{12CC10B2-2277-48BC-A628-71D0E3E02D05}"/>
            </a:ext>
          </a:extLst>
        </xdr:cNvPr>
        <xdr:cNvSpPr>
          <a:spLocks noChangeShapeType="1"/>
        </xdr:cNvSpPr>
      </xdr:nvSpPr>
      <xdr:spPr bwMode="auto">
        <a:xfrm>
          <a:off x="5324475" y="82286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576</xdr:row>
      <xdr:rowOff>0</xdr:rowOff>
    </xdr:from>
    <xdr:to>
      <xdr:col>8</xdr:col>
      <xdr:colOff>180975</xdr:colOff>
      <xdr:row>576</xdr:row>
      <xdr:rowOff>0</xdr:rowOff>
    </xdr:to>
    <xdr:sp macro="" textlink="">
      <xdr:nvSpPr>
        <xdr:cNvPr id="990" name="Line 4">
          <a:extLst>
            <a:ext uri="{FF2B5EF4-FFF2-40B4-BE49-F238E27FC236}">
              <a16:creationId xmlns:a16="http://schemas.microsoft.com/office/drawing/2014/main" id="{12F2C01C-6832-4542-B6A4-4F7C96B47702}"/>
            </a:ext>
          </a:extLst>
        </xdr:cNvPr>
        <xdr:cNvSpPr>
          <a:spLocks noChangeShapeType="1"/>
        </xdr:cNvSpPr>
      </xdr:nvSpPr>
      <xdr:spPr bwMode="auto">
        <a:xfrm>
          <a:off x="5324475" y="83010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991" name="Line 3">
          <a:extLst>
            <a:ext uri="{FF2B5EF4-FFF2-40B4-BE49-F238E27FC236}">
              <a16:creationId xmlns:a16="http://schemas.microsoft.com/office/drawing/2014/main" id="{E8C8B283-D4DD-4315-B8E3-6761D9926DA5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648</xdr:row>
      <xdr:rowOff>0</xdr:rowOff>
    </xdr:from>
    <xdr:to>
      <xdr:col>8</xdr:col>
      <xdr:colOff>180975</xdr:colOff>
      <xdr:row>648</xdr:row>
      <xdr:rowOff>0</xdr:rowOff>
    </xdr:to>
    <xdr:sp macro="" textlink="">
      <xdr:nvSpPr>
        <xdr:cNvPr id="992" name="Line 5">
          <a:extLst>
            <a:ext uri="{FF2B5EF4-FFF2-40B4-BE49-F238E27FC236}">
              <a16:creationId xmlns:a16="http://schemas.microsoft.com/office/drawing/2014/main" id="{91765338-4CA8-40F0-B37C-C4C361E57231}"/>
            </a:ext>
          </a:extLst>
        </xdr:cNvPr>
        <xdr:cNvSpPr>
          <a:spLocks noChangeShapeType="1"/>
        </xdr:cNvSpPr>
      </xdr:nvSpPr>
      <xdr:spPr bwMode="auto">
        <a:xfrm>
          <a:off x="5324475" y="9347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993" name="Line 2">
          <a:extLst>
            <a:ext uri="{FF2B5EF4-FFF2-40B4-BE49-F238E27FC236}">
              <a16:creationId xmlns:a16="http://schemas.microsoft.com/office/drawing/2014/main" id="{23B7CA18-2D24-47A9-A38E-4A8B587C77B5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994" name="Line 3">
          <a:extLst>
            <a:ext uri="{FF2B5EF4-FFF2-40B4-BE49-F238E27FC236}">
              <a16:creationId xmlns:a16="http://schemas.microsoft.com/office/drawing/2014/main" id="{5FEC8605-3011-4EDA-939D-8153C3745276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995" name="Line 4">
          <a:extLst>
            <a:ext uri="{FF2B5EF4-FFF2-40B4-BE49-F238E27FC236}">
              <a16:creationId xmlns:a16="http://schemas.microsoft.com/office/drawing/2014/main" id="{72618EDE-0C05-470E-BED4-6727A452D914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996" name="Line 5">
          <a:extLst>
            <a:ext uri="{FF2B5EF4-FFF2-40B4-BE49-F238E27FC236}">
              <a16:creationId xmlns:a16="http://schemas.microsoft.com/office/drawing/2014/main" id="{1AFD4EC4-230E-4C48-82B3-2DF24307D69A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997" name="Line 7">
          <a:extLst>
            <a:ext uri="{FF2B5EF4-FFF2-40B4-BE49-F238E27FC236}">
              <a16:creationId xmlns:a16="http://schemas.microsoft.com/office/drawing/2014/main" id="{857D09A8-0D0C-4102-9344-152F3BB04BB8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998" name="Line 2">
          <a:extLst>
            <a:ext uri="{FF2B5EF4-FFF2-40B4-BE49-F238E27FC236}">
              <a16:creationId xmlns:a16="http://schemas.microsoft.com/office/drawing/2014/main" id="{E40C3F44-BF28-401F-B1A0-0EC8702D9117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999" name="Line 3">
          <a:extLst>
            <a:ext uri="{FF2B5EF4-FFF2-40B4-BE49-F238E27FC236}">
              <a16:creationId xmlns:a16="http://schemas.microsoft.com/office/drawing/2014/main" id="{56192AF6-37A6-4BD7-AE4C-13AFA578BE01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000" name="Line 4">
          <a:extLst>
            <a:ext uri="{FF2B5EF4-FFF2-40B4-BE49-F238E27FC236}">
              <a16:creationId xmlns:a16="http://schemas.microsoft.com/office/drawing/2014/main" id="{E0F9D950-4DCC-46A1-95E3-B0DF799950C4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001" name="Line 5">
          <a:extLst>
            <a:ext uri="{FF2B5EF4-FFF2-40B4-BE49-F238E27FC236}">
              <a16:creationId xmlns:a16="http://schemas.microsoft.com/office/drawing/2014/main" id="{69720A4C-CB7B-40C9-A337-0012EC0C8F5A}"/>
            </a:ext>
          </a:extLst>
        </xdr:cNvPr>
        <xdr:cNvSpPr>
          <a:spLocks noChangeShapeType="1"/>
        </xdr:cNvSpPr>
      </xdr:nvSpPr>
      <xdr:spPr bwMode="auto">
        <a:xfrm>
          <a:off x="5324475" y="91973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002" name="Line 2">
          <a:extLst>
            <a:ext uri="{FF2B5EF4-FFF2-40B4-BE49-F238E27FC236}">
              <a16:creationId xmlns:a16="http://schemas.microsoft.com/office/drawing/2014/main" id="{9CC45362-C36E-404F-92D4-34E4C8C8558C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631</xdr:row>
      <xdr:rowOff>0</xdr:rowOff>
    </xdr:from>
    <xdr:to>
      <xdr:col>8</xdr:col>
      <xdr:colOff>180975</xdr:colOff>
      <xdr:row>631</xdr:row>
      <xdr:rowOff>0</xdr:rowOff>
    </xdr:to>
    <xdr:sp macro="" textlink="">
      <xdr:nvSpPr>
        <xdr:cNvPr id="1003" name="Line 3">
          <a:extLst>
            <a:ext uri="{FF2B5EF4-FFF2-40B4-BE49-F238E27FC236}">
              <a16:creationId xmlns:a16="http://schemas.microsoft.com/office/drawing/2014/main" id="{E58BBF18-EE24-4199-B05B-F943377C1798}"/>
            </a:ext>
          </a:extLst>
        </xdr:cNvPr>
        <xdr:cNvSpPr>
          <a:spLocks noChangeShapeType="1"/>
        </xdr:cNvSpPr>
      </xdr:nvSpPr>
      <xdr:spPr bwMode="auto">
        <a:xfrm>
          <a:off x="5324475" y="90963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633</xdr:row>
      <xdr:rowOff>0</xdr:rowOff>
    </xdr:from>
    <xdr:to>
      <xdr:col>8</xdr:col>
      <xdr:colOff>180975</xdr:colOff>
      <xdr:row>633</xdr:row>
      <xdr:rowOff>0</xdr:rowOff>
    </xdr:to>
    <xdr:sp macro="" textlink="">
      <xdr:nvSpPr>
        <xdr:cNvPr id="1004" name="Line 4">
          <a:extLst>
            <a:ext uri="{FF2B5EF4-FFF2-40B4-BE49-F238E27FC236}">
              <a16:creationId xmlns:a16="http://schemas.microsoft.com/office/drawing/2014/main" id="{5F89226A-DD7D-4D11-91C3-62A4B2C09D31}"/>
            </a:ext>
          </a:extLst>
        </xdr:cNvPr>
        <xdr:cNvSpPr>
          <a:spLocks noChangeShapeType="1"/>
        </xdr:cNvSpPr>
      </xdr:nvSpPr>
      <xdr:spPr bwMode="auto">
        <a:xfrm>
          <a:off x="5324475" y="91249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005" name="Line 2">
          <a:extLst>
            <a:ext uri="{FF2B5EF4-FFF2-40B4-BE49-F238E27FC236}">
              <a16:creationId xmlns:a16="http://schemas.microsoft.com/office/drawing/2014/main" id="{3EB86332-0955-4190-9442-16FB871E7B93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006" name="Line 3">
          <a:extLst>
            <a:ext uri="{FF2B5EF4-FFF2-40B4-BE49-F238E27FC236}">
              <a16:creationId xmlns:a16="http://schemas.microsoft.com/office/drawing/2014/main" id="{245A6710-7EC5-4BE8-B47D-F162B7894645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1007" name="Line 4">
          <a:extLst>
            <a:ext uri="{FF2B5EF4-FFF2-40B4-BE49-F238E27FC236}">
              <a16:creationId xmlns:a16="http://schemas.microsoft.com/office/drawing/2014/main" id="{233F0B0A-A210-49F7-95DC-B244D6B31309}"/>
            </a:ext>
          </a:extLst>
        </xdr:cNvPr>
        <xdr:cNvSpPr>
          <a:spLocks noChangeShapeType="1"/>
        </xdr:cNvSpPr>
      </xdr:nvSpPr>
      <xdr:spPr bwMode="auto">
        <a:xfrm>
          <a:off x="5324475" y="913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008" name="Line 2">
          <a:extLst>
            <a:ext uri="{FF2B5EF4-FFF2-40B4-BE49-F238E27FC236}">
              <a16:creationId xmlns:a16="http://schemas.microsoft.com/office/drawing/2014/main" id="{F94CC935-99D0-4267-A8E0-B769B1F98C68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632</xdr:row>
      <xdr:rowOff>0</xdr:rowOff>
    </xdr:from>
    <xdr:to>
      <xdr:col>8</xdr:col>
      <xdr:colOff>180975</xdr:colOff>
      <xdr:row>632</xdr:row>
      <xdr:rowOff>0</xdr:rowOff>
    </xdr:to>
    <xdr:sp macro="" textlink="">
      <xdr:nvSpPr>
        <xdr:cNvPr id="1009" name="Line 3">
          <a:extLst>
            <a:ext uri="{FF2B5EF4-FFF2-40B4-BE49-F238E27FC236}">
              <a16:creationId xmlns:a16="http://schemas.microsoft.com/office/drawing/2014/main" id="{574BB44F-2ACE-4D3F-9065-9FA79FF7EB4A}"/>
            </a:ext>
          </a:extLst>
        </xdr:cNvPr>
        <xdr:cNvSpPr>
          <a:spLocks noChangeShapeType="1"/>
        </xdr:cNvSpPr>
      </xdr:nvSpPr>
      <xdr:spPr bwMode="auto">
        <a:xfrm>
          <a:off x="5324475" y="911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010" name="Line 4">
          <a:extLst>
            <a:ext uri="{FF2B5EF4-FFF2-40B4-BE49-F238E27FC236}">
              <a16:creationId xmlns:a16="http://schemas.microsoft.com/office/drawing/2014/main" id="{4AD366A8-E39D-400B-9BCD-F3C9E3A236E6}"/>
            </a:ext>
          </a:extLst>
        </xdr:cNvPr>
        <xdr:cNvSpPr>
          <a:spLocks noChangeShapeType="1"/>
        </xdr:cNvSpPr>
      </xdr:nvSpPr>
      <xdr:spPr bwMode="auto">
        <a:xfrm>
          <a:off x="5324475" y="9183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1011" name="Line 3">
          <a:extLst>
            <a:ext uri="{FF2B5EF4-FFF2-40B4-BE49-F238E27FC236}">
              <a16:creationId xmlns:a16="http://schemas.microsoft.com/office/drawing/2014/main" id="{1A8123E9-40CE-40FE-80BA-64F1345D9524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705</xdr:row>
      <xdr:rowOff>0</xdr:rowOff>
    </xdr:from>
    <xdr:to>
      <xdr:col>8</xdr:col>
      <xdr:colOff>180975</xdr:colOff>
      <xdr:row>705</xdr:row>
      <xdr:rowOff>0</xdr:rowOff>
    </xdr:to>
    <xdr:sp macro="" textlink="">
      <xdr:nvSpPr>
        <xdr:cNvPr id="1012" name="Line 5">
          <a:extLst>
            <a:ext uri="{FF2B5EF4-FFF2-40B4-BE49-F238E27FC236}">
              <a16:creationId xmlns:a16="http://schemas.microsoft.com/office/drawing/2014/main" id="{F71EB92A-F15A-4B8F-A899-6D8CCF22BC1E}"/>
            </a:ext>
          </a:extLst>
        </xdr:cNvPr>
        <xdr:cNvSpPr>
          <a:spLocks noChangeShapeType="1"/>
        </xdr:cNvSpPr>
      </xdr:nvSpPr>
      <xdr:spPr bwMode="auto">
        <a:xfrm>
          <a:off x="5324475" y="101727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013" name="Line 2">
          <a:extLst>
            <a:ext uri="{FF2B5EF4-FFF2-40B4-BE49-F238E27FC236}">
              <a16:creationId xmlns:a16="http://schemas.microsoft.com/office/drawing/2014/main" id="{3C6218BF-F53A-44DF-AF41-830DCF9F9C02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014" name="Line 3">
          <a:extLst>
            <a:ext uri="{FF2B5EF4-FFF2-40B4-BE49-F238E27FC236}">
              <a16:creationId xmlns:a16="http://schemas.microsoft.com/office/drawing/2014/main" id="{3F3A53D2-F984-4C58-9F28-ED1D599FD7CC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015" name="Line 4">
          <a:extLst>
            <a:ext uri="{FF2B5EF4-FFF2-40B4-BE49-F238E27FC236}">
              <a16:creationId xmlns:a16="http://schemas.microsoft.com/office/drawing/2014/main" id="{955D7CEB-5744-422E-9DAC-FC83731786A2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1016" name="Line 5">
          <a:extLst>
            <a:ext uri="{FF2B5EF4-FFF2-40B4-BE49-F238E27FC236}">
              <a16:creationId xmlns:a16="http://schemas.microsoft.com/office/drawing/2014/main" id="{26551136-61FF-4FAE-8168-314632E39915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017" name="Line 7">
          <a:extLst>
            <a:ext uri="{FF2B5EF4-FFF2-40B4-BE49-F238E27FC236}">
              <a16:creationId xmlns:a16="http://schemas.microsoft.com/office/drawing/2014/main" id="{07D6C4D6-78A5-47ED-B8C9-F5D368F31735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18" name="Line 2">
          <a:extLst>
            <a:ext uri="{FF2B5EF4-FFF2-40B4-BE49-F238E27FC236}">
              <a16:creationId xmlns:a16="http://schemas.microsoft.com/office/drawing/2014/main" id="{B8874AE5-214C-456E-B0F7-3FE87006B936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19" name="Line 3">
          <a:extLst>
            <a:ext uri="{FF2B5EF4-FFF2-40B4-BE49-F238E27FC236}">
              <a16:creationId xmlns:a16="http://schemas.microsoft.com/office/drawing/2014/main" id="{11210090-AC47-461E-BEE8-4FD55218B813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20" name="Line 4">
          <a:extLst>
            <a:ext uri="{FF2B5EF4-FFF2-40B4-BE49-F238E27FC236}">
              <a16:creationId xmlns:a16="http://schemas.microsoft.com/office/drawing/2014/main" id="{615A6C04-C9B1-4045-B3C4-E7C2F452BC12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695</xdr:row>
      <xdr:rowOff>0</xdr:rowOff>
    </xdr:from>
    <xdr:to>
      <xdr:col>8</xdr:col>
      <xdr:colOff>180975</xdr:colOff>
      <xdr:row>695</xdr:row>
      <xdr:rowOff>0</xdr:rowOff>
    </xdr:to>
    <xdr:sp macro="" textlink="">
      <xdr:nvSpPr>
        <xdr:cNvPr id="1021" name="Line 5">
          <a:extLst>
            <a:ext uri="{FF2B5EF4-FFF2-40B4-BE49-F238E27FC236}">
              <a16:creationId xmlns:a16="http://schemas.microsoft.com/office/drawing/2014/main" id="{32B0B1A7-2AEA-4210-AE9A-92A8796804A6}"/>
            </a:ext>
          </a:extLst>
        </xdr:cNvPr>
        <xdr:cNvSpPr>
          <a:spLocks noChangeShapeType="1"/>
        </xdr:cNvSpPr>
      </xdr:nvSpPr>
      <xdr:spPr bwMode="auto">
        <a:xfrm>
          <a:off x="5324475" y="10022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22" name="Line 2">
          <a:extLst>
            <a:ext uri="{FF2B5EF4-FFF2-40B4-BE49-F238E27FC236}">
              <a16:creationId xmlns:a16="http://schemas.microsoft.com/office/drawing/2014/main" id="{35EB49CA-2FD9-4199-83D3-7C707D02989E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688</xdr:row>
      <xdr:rowOff>0</xdr:rowOff>
    </xdr:from>
    <xdr:to>
      <xdr:col>8</xdr:col>
      <xdr:colOff>180975</xdr:colOff>
      <xdr:row>688</xdr:row>
      <xdr:rowOff>0</xdr:rowOff>
    </xdr:to>
    <xdr:sp macro="" textlink="">
      <xdr:nvSpPr>
        <xdr:cNvPr id="1023" name="Line 3">
          <a:extLst>
            <a:ext uri="{FF2B5EF4-FFF2-40B4-BE49-F238E27FC236}">
              <a16:creationId xmlns:a16="http://schemas.microsoft.com/office/drawing/2014/main" id="{5569DED2-56B9-443D-A1FB-D6F52C5D8FA4}"/>
            </a:ext>
          </a:extLst>
        </xdr:cNvPr>
        <xdr:cNvSpPr>
          <a:spLocks noChangeShapeType="1"/>
        </xdr:cNvSpPr>
      </xdr:nvSpPr>
      <xdr:spPr bwMode="auto">
        <a:xfrm>
          <a:off x="5324475" y="9921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690</xdr:row>
      <xdr:rowOff>0</xdr:rowOff>
    </xdr:from>
    <xdr:to>
      <xdr:col>8</xdr:col>
      <xdr:colOff>180975</xdr:colOff>
      <xdr:row>690</xdr:row>
      <xdr:rowOff>0</xdr:rowOff>
    </xdr:to>
    <xdr:sp macro="" textlink="">
      <xdr:nvSpPr>
        <xdr:cNvPr id="1024" name="Line 4">
          <a:extLst>
            <a:ext uri="{FF2B5EF4-FFF2-40B4-BE49-F238E27FC236}">
              <a16:creationId xmlns:a16="http://schemas.microsoft.com/office/drawing/2014/main" id="{A3839C9F-C62E-44AC-AF5C-5961E01F0685}"/>
            </a:ext>
          </a:extLst>
        </xdr:cNvPr>
        <xdr:cNvSpPr>
          <a:spLocks noChangeShapeType="1"/>
        </xdr:cNvSpPr>
      </xdr:nvSpPr>
      <xdr:spPr bwMode="auto">
        <a:xfrm>
          <a:off x="5324475" y="99498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025" name="Line 2">
          <a:extLst>
            <a:ext uri="{FF2B5EF4-FFF2-40B4-BE49-F238E27FC236}">
              <a16:creationId xmlns:a16="http://schemas.microsoft.com/office/drawing/2014/main" id="{62666A31-98DA-4920-976F-F6196D9F2150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026" name="Line 3">
          <a:extLst>
            <a:ext uri="{FF2B5EF4-FFF2-40B4-BE49-F238E27FC236}">
              <a16:creationId xmlns:a16="http://schemas.microsoft.com/office/drawing/2014/main" id="{B1A76E27-2653-4968-9091-F8C7EC3406D3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691</xdr:row>
      <xdr:rowOff>0</xdr:rowOff>
    </xdr:from>
    <xdr:to>
      <xdr:col>8</xdr:col>
      <xdr:colOff>180975</xdr:colOff>
      <xdr:row>691</xdr:row>
      <xdr:rowOff>0</xdr:rowOff>
    </xdr:to>
    <xdr:sp macro="" textlink="">
      <xdr:nvSpPr>
        <xdr:cNvPr id="1027" name="Line 4">
          <a:extLst>
            <a:ext uri="{FF2B5EF4-FFF2-40B4-BE49-F238E27FC236}">
              <a16:creationId xmlns:a16="http://schemas.microsoft.com/office/drawing/2014/main" id="{D51A7B89-1AB7-46C1-922B-223D9D582B99}"/>
            </a:ext>
          </a:extLst>
        </xdr:cNvPr>
        <xdr:cNvSpPr>
          <a:spLocks noChangeShapeType="1"/>
        </xdr:cNvSpPr>
      </xdr:nvSpPr>
      <xdr:spPr bwMode="auto">
        <a:xfrm>
          <a:off x="5324475" y="99641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028" name="Line 2">
          <a:extLst>
            <a:ext uri="{FF2B5EF4-FFF2-40B4-BE49-F238E27FC236}">
              <a16:creationId xmlns:a16="http://schemas.microsoft.com/office/drawing/2014/main" id="{D3FD9B42-7EB2-4A22-A06C-AC8D04D46396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689</xdr:row>
      <xdr:rowOff>0</xdr:rowOff>
    </xdr:from>
    <xdr:to>
      <xdr:col>8</xdr:col>
      <xdr:colOff>180975</xdr:colOff>
      <xdr:row>689</xdr:row>
      <xdr:rowOff>0</xdr:rowOff>
    </xdr:to>
    <xdr:sp macro="" textlink="">
      <xdr:nvSpPr>
        <xdr:cNvPr id="1029" name="Line 3">
          <a:extLst>
            <a:ext uri="{FF2B5EF4-FFF2-40B4-BE49-F238E27FC236}">
              <a16:creationId xmlns:a16="http://schemas.microsoft.com/office/drawing/2014/main" id="{C29F753D-2B0F-44C4-8078-D1CEDDFE971F}"/>
            </a:ext>
          </a:extLst>
        </xdr:cNvPr>
        <xdr:cNvSpPr>
          <a:spLocks noChangeShapeType="1"/>
        </xdr:cNvSpPr>
      </xdr:nvSpPr>
      <xdr:spPr bwMode="auto">
        <a:xfrm>
          <a:off x="5324475" y="9935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694</xdr:row>
      <xdr:rowOff>0</xdr:rowOff>
    </xdr:from>
    <xdr:to>
      <xdr:col>8</xdr:col>
      <xdr:colOff>180975</xdr:colOff>
      <xdr:row>694</xdr:row>
      <xdr:rowOff>0</xdr:rowOff>
    </xdr:to>
    <xdr:sp macro="" textlink="">
      <xdr:nvSpPr>
        <xdr:cNvPr id="1030" name="Line 4">
          <a:extLst>
            <a:ext uri="{FF2B5EF4-FFF2-40B4-BE49-F238E27FC236}">
              <a16:creationId xmlns:a16="http://schemas.microsoft.com/office/drawing/2014/main" id="{0974D5D5-0EF2-4DF7-8EC8-CB33A1F4F3B4}"/>
            </a:ext>
          </a:extLst>
        </xdr:cNvPr>
        <xdr:cNvSpPr>
          <a:spLocks noChangeShapeType="1"/>
        </xdr:cNvSpPr>
      </xdr:nvSpPr>
      <xdr:spPr bwMode="auto">
        <a:xfrm>
          <a:off x="5324475" y="10007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1031" name="Line 3">
          <a:extLst>
            <a:ext uri="{FF2B5EF4-FFF2-40B4-BE49-F238E27FC236}">
              <a16:creationId xmlns:a16="http://schemas.microsoft.com/office/drawing/2014/main" id="{CA44B9E1-EC74-4680-B2C6-FAF643F73E0F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765</xdr:row>
      <xdr:rowOff>0</xdr:rowOff>
    </xdr:from>
    <xdr:to>
      <xdr:col>8</xdr:col>
      <xdr:colOff>180975</xdr:colOff>
      <xdr:row>765</xdr:row>
      <xdr:rowOff>0</xdr:rowOff>
    </xdr:to>
    <xdr:sp macro="" textlink="">
      <xdr:nvSpPr>
        <xdr:cNvPr id="1032" name="Line 5">
          <a:extLst>
            <a:ext uri="{FF2B5EF4-FFF2-40B4-BE49-F238E27FC236}">
              <a16:creationId xmlns:a16="http://schemas.microsoft.com/office/drawing/2014/main" id="{AF8F9D7F-D963-4961-8E71-C6A943BE3FA7}"/>
            </a:ext>
          </a:extLst>
        </xdr:cNvPr>
        <xdr:cNvSpPr>
          <a:spLocks noChangeShapeType="1"/>
        </xdr:cNvSpPr>
      </xdr:nvSpPr>
      <xdr:spPr bwMode="auto">
        <a:xfrm>
          <a:off x="5324475" y="110318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033" name="Line 2">
          <a:extLst>
            <a:ext uri="{FF2B5EF4-FFF2-40B4-BE49-F238E27FC236}">
              <a16:creationId xmlns:a16="http://schemas.microsoft.com/office/drawing/2014/main" id="{59E7FA53-A1CA-4D81-92E6-74589ABDEAEC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034" name="Line 3">
          <a:extLst>
            <a:ext uri="{FF2B5EF4-FFF2-40B4-BE49-F238E27FC236}">
              <a16:creationId xmlns:a16="http://schemas.microsoft.com/office/drawing/2014/main" id="{2826C969-A382-4211-8A32-B9DE0BDF9CCC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035" name="Line 4">
          <a:extLst>
            <a:ext uri="{FF2B5EF4-FFF2-40B4-BE49-F238E27FC236}">
              <a16:creationId xmlns:a16="http://schemas.microsoft.com/office/drawing/2014/main" id="{D01FECC5-E3F3-4A05-ADCA-8F3F9D6D459C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1036" name="Line 5">
          <a:extLst>
            <a:ext uri="{FF2B5EF4-FFF2-40B4-BE49-F238E27FC236}">
              <a16:creationId xmlns:a16="http://schemas.microsoft.com/office/drawing/2014/main" id="{E9172472-5FAB-4B5E-942A-7CD7801C400A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776</xdr:row>
      <xdr:rowOff>0</xdr:rowOff>
    </xdr:from>
    <xdr:to>
      <xdr:col>8</xdr:col>
      <xdr:colOff>180975</xdr:colOff>
      <xdr:row>776</xdr:row>
      <xdr:rowOff>0</xdr:rowOff>
    </xdr:to>
    <xdr:sp macro="" textlink="">
      <xdr:nvSpPr>
        <xdr:cNvPr id="1037" name="Line 7">
          <a:extLst>
            <a:ext uri="{FF2B5EF4-FFF2-40B4-BE49-F238E27FC236}">
              <a16:creationId xmlns:a16="http://schemas.microsoft.com/office/drawing/2014/main" id="{5C1FE54B-2905-47AC-BD50-84DBF930733A}"/>
            </a:ext>
          </a:extLst>
        </xdr:cNvPr>
        <xdr:cNvSpPr>
          <a:spLocks noChangeShapeType="1"/>
        </xdr:cNvSpPr>
      </xdr:nvSpPr>
      <xdr:spPr bwMode="auto">
        <a:xfrm>
          <a:off x="532447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38" name="Line 2">
          <a:extLst>
            <a:ext uri="{FF2B5EF4-FFF2-40B4-BE49-F238E27FC236}">
              <a16:creationId xmlns:a16="http://schemas.microsoft.com/office/drawing/2014/main" id="{882649E1-8C28-46D3-BD1F-50B5FCC501C0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39" name="Line 3">
          <a:extLst>
            <a:ext uri="{FF2B5EF4-FFF2-40B4-BE49-F238E27FC236}">
              <a16:creationId xmlns:a16="http://schemas.microsoft.com/office/drawing/2014/main" id="{BB6770FA-AAA0-46D8-AC24-6E04602035CB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40" name="Line 4">
          <a:extLst>
            <a:ext uri="{FF2B5EF4-FFF2-40B4-BE49-F238E27FC236}">
              <a16:creationId xmlns:a16="http://schemas.microsoft.com/office/drawing/2014/main" id="{C7038446-E6E5-44BE-A15B-5C9D99EA237A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755</xdr:row>
      <xdr:rowOff>0</xdr:rowOff>
    </xdr:from>
    <xdr:to>
      <xdr:col>8</xdr:col>
      <xdr:colOff>180975</xdr:colOff>
      <xdr:row>755</xdr:row>
      <xdr:rowOff>0</xdr:rowOff>
    </xdr:to>
    <xdr:sp macro="" textlink="">
      <xdr:nvSpPr>
        <xdr:cNvPr id="1041" name="Line 5">
          <a:extLst>
            <a:ext uri="{FF2B5EF4-FFF2-40B4-BE49-F238E27FC236}">
              <a16:creationId xmlns:a16="http://schemas.microsoft.com/office/drawing/2014/main" id="{3438D040-FCFD-4D11-899E-1850E4688EED}"/>
            </a:ext>
          </a:extLst>
        </xdr:cNvPr>
        <xdr:cNvSpPr>
          <a:spLocks noChangeShapeType="1"/>
        </xdr:cNvSpPr>
      </xdr:nvSpPr>
      <xdr:spPr bwMode="auto">
        <a:xfrm>
          <a:off x="5324475" y="10888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42" name="Line 2">
          <a:extLst>
            <a:ext uri="{FF2B5EF4-FFF2-40B4-BE49-F238E27FC236}">
              <a16:creationId xmlns:a16="http://schemas.microsoft.com/office/drawing/2014/main" id="{9AC99A45-BBC0-4257-90BD-3DA859A1F9FB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748</xdr:row>
      <xdr:rowOff>0</xdr:rowOff>
    </xdr:from>
    <xdr:to>
      <xdr:col>8</xdr:col>
      <xdr:colOff>180975</xdr:colOff>
      <xdr:row>748</xdr:row>
      <xdr:rowOff>0</xdr:rowOff>
    </xdr:to>
    <xdr:sp macro="" textlink="">
      <xdr:nvSpPr>
        <xdr:cNvPr id="1043" name="Line 3">
          <a:extLst>
            <a:ext uri="{FF2B5EF4-FFF2-40B4-BE49-F238E27FC236}">
              <a16:creationId xmlns:a16="http://schemas.microsoft.com/office/drawing/2014/main" id="{3C731C59-CF32-4469-A51B-A21788C0D73B}"/>
            </a:ext>
          </a:extLst>
        </xdr:cNvPr>
        <xdr:cNvSpPr>
          <a:spLocks noChangeShapeType="1"/>
        </xdr:cNvSpPr>
      </xdr:nvSpPr>
      <xdr:spPr bwMode="auto">
        <a:xfrm>
          <a:off x="5324475" y="10788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750</xdr:row>
      <xdr:rowOff>0</xdr:rowOff>
    </xdr:from>
    <xdr:to>
      <xdr:col>8</xdr:col>
      <xdr:colOff>180975</xdr:colOff>
      <xdr:row>750</xdr:row>
      <xdr:rowOff>0</xdr:rowOff>
    </xdr:to>
    <xdr:sp macro="" textlink="">
      <xdr:nvSpPr>
        <xdr:cNvPr id="1044" name="Line 4">
          <a:extLst>
            <a:ext uri="{FF2B5EF4-FFF2-40B4-BE49-F238E27FC236}">
              <a16:creationId xmlns:a16="http://schemas.microsoft.com/office/drawing/2014/main" id="{B0D73565-A55E-4140-989D-96C2AA7465A9}"/>
            </a:ext>
          </a:extLst>
        </xdr:cNvPr>
        <xdr:cNvSpPr>
          <a:spLocks noChangeShapeType="1"/>
        </xdr:cNvSpPr>
      </xdr:nvSpPr>
      <xdr:spPr bwMode="auto">
        <a:xfrm>
          <a:off x="5324475" y="1081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045" name="Line 2">
          <a:extLst>
            <a:ext uri="{FF2B5EF4-FFF2-40B4-BE49-F238E27FC236}">
              <a16:creationId xmlns:a16="http://schemas.microsoft.com/office/drawing/2014/main" id="{9715FE33-BF6B-4AB1-BE35-8D0895C5DBAA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046" name="Line 3">
          <a:extLst>
            <a:ext uri="{FF2B5EF4-FFF2-40B4-BE49-F238E27FC236}">
              <a16:creationId xmlns:a16="http://schemas.microsoft.com/office/drawing/2014/main" id="{7F26A860-DDBF-492E-A79F-28C5CDEDEB1D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751</xdr:row>
      <xdr:rowOff>0</xdr:rowOff>
    </xdr:from>
    <xdr:to>
      <xdr:col>8</xdr:col>
      <xdr:colOff>180975</xdr:colOff>
      <xdr:row>751</xdr:row>
      <xdr:rowOff>0</xdr:rowOff>
    </xdr:to>
    <xdr:sp macro="" textlink="">
      <xdr:nvSpPr>
        <xdr:cNvPr id="1047" name="Line 4">
          <a:extLst>
            <a:ext uri="{FF2B5EF4-FFF2-40B4-BE49-F238E27FC236}">
              <a16:creationId xmlns:a16="http://schemas.microsoft.com/office/drawing/2014/main" id="{B74F6F04-EDBD-47F3-A959-C682B2514548}"/>
            </a:ext>
          </a:extLst>
        </xdr:cNvPr>
        <xdr:cNvSpPr>
          <a:spLocks noChangeShapeType="1"/>
        </xdr:cNvSpPr>
      </xdr:nvSpPr>
      <xdr:spPr bwMode="auto">
        <a:xfrm>
          <a:off x="5324475" y="108318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048" name="Line 2">
          <a:extLst>
            <a:ext uri="{FF2B5EF4-FFF2-40B4-BE49-F238E27FC236}">
              <a16:creationId xmlns:a16="http://schemas.microsoft.com/office/drawing/2014/main" id="{71D1BF1B-C209-4DF8-8F7F-A3C4C5A5525D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749</xdr:row>
      <xdr:rowOff>0</xdr:rowOff>
    </xdr:from>
    <xdr:to>
      <xdr:col>8</xdr:col>
      <xdr:colOff>180975</xdr:colOff>
      <xdr:row>749</xdr:row>
      <xdr:rowOff>0</xdr:rowOff>
    </xdr:to>
    <xdr:sp macro="" textlink="">
      <xdr:nvSpPr>
        <xdr:cNvPr id="1049" name="Line 3">
          <a:extLst>
            <a:ext uri="{FF2B5EF4-FFF2-40B4-BE49-F238E27FC236}">
              <a16:creationId xmlns:a16="http://schemas.microsoft.com/office/drawing/2014/main" id="{BCADCAF7-A8E6-4305-B00E-BD647DE99E0B}"/>
            </a:ext>
          </a:extLst>
        </xdr:cNvPr>
        <xdr:cNvSpPr>
          <a:spLocks noChangeShapeType="1"/>
        </xdr:cNvSpPr>
      </xdr:nvSpPr>
      <xdr:spPr bwMode="auto">
        <a:xfrm>
          <a:off x="5324475" y="108032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754</xdr:row>
      <xdr:rowOff>0</xdr:rowOff>
    </xdr:from>
    <xdr:to>
      <xdr:col>8</xdr:col>
      <xdr:colOff>180975</xdr:colOff>
      <xdr:row>754</xdr:row>
      <xdr:rowOff>0</xdr:rowOff>
    </xdr:to>
    <xdr:sp macro="" textlink="">
      <xdr:nvSpPr>
        <xdr:cNvPr id="1050" name="Line 4">
          <a:extLst>
            <a:ext uri="{FF2B5EF4-FFF2-40B4-BE49-F238E27FC236}">
              <a16:creationId xmlns:a16="http://schemas.microsoft.com/office/drawing/2014/main" id="{239F9BF4-4CE7-4364-9B6A-BBE10AAD7857}"/>
            </a:ext>
          </a:extLst>
        </xdr:cNvPr>
        <xdr:cNvSpPr>
          <a:spLocks noChangeShapeType="1"/>
        </xdr:cNvSpPr>
      </xdr:nvSpPr>
      <xdr:spPr bwMode="auto">
        <a:xfrm>
          <a:off x="5324475" y="10874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</xdr:row>
      <xdr:rowOff>0</xdr:rowOff>
    </xdr:from>
    <xdr:to>
      <xdr:col>8</xdr:col>
      <xdr:colOff>180975</xdr:colOff>
      <xdr:row>57</xdr:row>
      <xdr:rowOff>0</xdr:rowOff>
    </xdr:to>
    <xdr:sp macro="" textlink="">
      <xdr:nvSpPr>
        <xdr:cNvPr id="1051" name="Line 2">
          <a:extLst>
            <a:ext uri="{FF2B5EF4-FFF2-40B4-BE49-F238E27FC236}">
              <a16:creationId xmlns:a16="http://schemas.microsoft.com/office/drawing/2014/main" id="{DA34EC28-C597-4EAA-80BE-A1314AAA6E16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052" name="Line 3">
          <a:extLst>
            <a:ext uri="{FF2B5EF4-FFF2-40B4-BE49-F238E27FC236}">
              <a16:creationId xmlns:a16="http://schemas.microsoft.com/office/drawing/2014/main" id="{076DB01C-8946-42A3-9478-F15CF4146BD7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053" name="Line 5">
          <a:extLst>
            <a:ext uri="{FF2B5EF4-FFF2-40B4-BE49-F238E27FC236}">
              <a16:creationId xmlns:a16="http://schemas.microsoft.com/office/drawing/2014/main" id="{1B9B593D-34AA-4E25-BCDE-59044CADCDF4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122</xdr:row>
      <xdr:rowOff>0</xdr:rowOff>
    </xdr:from>
    <xdr:to>
      <xdr:col>8</xdr:col>
      <xdr:colOff>180975</xdr:colOff>
      <xdr:row>122</xdr:row>
      <xdr:rowOff>0</xdr:rowOff>
    </xdr:to>
    <xdr:sp macro="" textlink="">
      <xdr:nvSpPr>
        <xdr:cNvPr id="1054" name="Line 2">
          <a:extLst>
            <a:ext uri="{FF2B5EF4-FFF2-40B4-BE49-F238E27FC236}">
              <a16:creationId xmlns:a16="http://schemas.microsoft.com/office/drawing/2014/main" id="{82472767-07CD-4E70-8D2C-24277DD1080E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055" name="Line 3">
          <a:extLst>
            <a:ext uri="{FF2B5EF4-FFF2-40B4-BE49-F238E27FC236}">
              <a16:creationId xmlns:a16="http://schemas.microsoft.com/office/drawing/2014/main" id="{078D7A3E-54FD-416B-85A3-06FC87186975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056" name="Line 5">
          <a:extLst>
            <a:ext uri="{FF2B5EF4-FFF2-40B4-BE49-F238E27FC236}">
              <a16:creationId xmlns:a16="http://schemas.microsoft.com/office/drawing/2014/main" id="{14A3D6A8-80B5-4116-B71C-1E14C81C90A2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057" name="Line 2">
          <a:extLst>
            <a:ext uri="{FF2B5EF4-FFF2-40B4-BE49-F238E27FC236}">
              <a16:creationId xmlns:a16="http://schemas.microsoft.com/office/drawing/2014/main" id="{ADDC36C1-80C2-4246-A111-9409DA0229AD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058" name="Line 3">
          <a:extLst>
            <a:ext uri="{FF2B5EF4-FFF2-40B4-BE49-F238E27FC236}">
              <a16:creationId xmlns:a16="http://schemas.microsoft.com/office/drawing/2014/main" id="{E73CDE21-F8AA-40C3-8EC4-0C04DB2D96B9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059" name="Line 4">
          <a:extLst>
            <a:ext uri="{FF2B5EF4-FFF2-40B4-BE49-F238E27FC236}">
              <a16:creationId xmlns:a16="http://schemas.microsoft.com/office/drawing/2014/main" id="{FDC083AA-E8DE-41B0-A5AB-62E99FAD1C9C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107</xdr:row>
      <xdr:rowOff>0</xdr:rowOff>
    </xdr:from>
    <xdr:to>
      <xdr:col>8</xdr:col>
      <xdr:colOff>180975</xdr:colOff>
      <xdr:row>107</xdr:row>
      <xdr:rowOff>0</xdr:rowOff>
    </xdr:to>
    <xdr:sp macro="" textlink="">
      <xdr:nvSpPr>
        <xdr:cNvPr id="1060" name="Line 7">
          <a:extLst>
            <a:ext uri="{FF2B5EF4-FFF2-40B4-BE49-F238E27FC236}">
              <a16:creationId xmlns:a16="http://schemas.microsoft.com/office/drawing/2014/main" id="{16AF99BE-B94B-4729-BF21-03955C24D765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1061" name="Line 2">
          <a:extLst>
            <a:ext uri="{FF2B5EF4-FFF2-40B4-BE49-F238E27FC236}">
              <a16:creationId xmlns:a16="http://schemas.microsoft.com/office/drawing/2014/main" id="{059E88AC-41BA-40F2-AD4E-D2EF772B259C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062" name="Line 3">
          <a:extLst>
            <a:ext uri="{FF2B5EF4-FFF2-40B4-BE49-F238E27FC236}">
              <a16:creationId xmlns:a16="http://schemas.microsoft.com/office/drawing/2014/main" id="{37080943-1FB6-4295-A6AC-810DB68E144B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063" name="Line 5">
          <a:extLst>
            <a:ext uri="{FF2B5EF4-FFF2-40B4-BE49-F238E27FC236}">
              <a16:creationId xmlns:a16="http://schemas.microsoft.com/office/drawing/2014/main" id="{9BE71399-961A-43F5-8812-AFD26BBE657E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064" name="Line 2">
          <a:extLst>
            <a:ext uri="{FF2B5EF4-FFF2-40B4-BE49-F238E27FC236}">
              <a16:creationId xmlns:a16="http://schemas.microsoft.com/office/drawing/2014/main" id="{6704F4C4-6DF9-4B53-95C2-C3485A9563A4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065" name="Line 3">
          <a:extLst>
            <a:ext uri="{FF2B5EF4-FFF2-40B4-BE49-F238E27FC236}">
              <a16:creationId xmlns:a16="http://schemas.microsoft.com/office/drawing/2014/main" id="{48101EDE-AAB7-4CFA-8823-84BAE49EB60A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066" name="Line 4">
          <a:extLst>
            <a:ext uri="{FF2B5EF4-FFF2-40B4-BE49-F238E27FC236}">
              <a16:creationId xmlns:a16="http://schemas.microsoft.com/office/drawing/2014/main" id="{8CADE422-9850-4C34-ABBA-87C0399B7CD4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067" name="Line 5">
          <a:extLst>
            <a:ext uri="{FF2B5EF4-FFF2-40B4-BE49-F238E27FC236}">
              <a16:creationId xmlns:a16="http://schemas.microsoft.com/office/drawing/2014/main" id="{5F18E0D9-445D-4DA7-A6EE-792481ED9492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068" name="Line 2">
          <a:extLst>
            <a:ext uri="{FF2B5EF4-FFF2-40B4-BE49-F238E27FC236}">
              <a16:creationId xmlns:a16="http://schemas.microsoft.com/office/drawing/2014/main" id="{DDC1DA80-3122-4291-8F8A-AD21B4723173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069" name="Line 3">
          <a:extLst>
            <a:ext uri="{FF2B5EF4-FFF2-40B4-BE49-F238E27FC236}">
              <a16:creationId xmlns:a16="http://schemas.microsoft.com/office/drawing/2014/main" id="{D98D4C34-1835-4402-922D-79275BF04D4F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070" name="Line 4">
          <a:extLst>
            <a:ext uri="{FF2B5EF4-FFF2-40B4-BE49-F238E27FC236}">
              <a16:creationId xmlns:a16="http://schemas.microsoft.com/office/drawing/2014/main" id="{CB4C190A-726A-47B4-B895-E26249004422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071" name="Line 5">
          <a:extLst>
            <a:ext uri="{FF2B5EF4-FFF2-40B4-BE49-F238E27FC236}">
              <a16:creationId xmlns:a16="http://schemas.microsoft.com/office/drawing/2014/main" id="{8862106C-9A1D-4A1E-A9D2-62549E53C469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072" name="Line 2">
          <a:extLst>
            <a:ext uri="{FF2B5EF4-FFF2-40B4-BE49-F238E27FC236}">
              <a16:creationId xmlns:a16="http://schemas.microsoft.com/office/drawing/2014/main" id="{74CE4D81-064A-4E10-90F2-3E854887C558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073" name="Line 3">
          <a:extLst>
            <a:ext uri="{FF2B5EF4-FFF2-40B4-BE49-F238E27FC236}">
              <a16:creationId xmlns:a16="http://schemas.microsoft.com/office/drawing/2014/main" id="{95B361D1-78A7-4F54-9867-09F4786F774D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074" name="Line 5">
          <a:extLst>
            <a:ext uri="{FF2B5EF4-FFF2-40B4-BE49-F238E27FC236}">
              <a16:creationId xmlns:a16="http://schemas.microsoft.com/office/drawing/2014/main" id="{C3C1F31E-F438-4C41-824F-AAA2AEA34781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075" name="Line 2">
          <a:extLst>
            <a:ext uri="{FF2B5EF4-FFF2-40B4-BE49-F238E27FC236}">
              <a16:creationId xmlns:a16="http://schemas.microsoft.com/office/drawing/2014/main" id="{28BE6E07-36BB-42FE-8E2E-3A3E9D705928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076" name="Line 3">
          <a:extLst>
            <a:ext uri="{FF2B5EF4-FFF2-40B4-BE49-F238E27FC236}">
              <a16:creationId xmlns:a16="http://schemas.microsoft.com/office/drawing/2014/main" id="{EBEE12FF-77EC-4C91-8A86-53BD23D0433E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077" name="Line 4">
          <a:extLst>
            <a:ext uri="{FF2B5EF4-FFF2-40B4-BE49-F238E27FC236}">
              <a16:creationId xmlns:a16="http://schemas.microsoft.com/office/drawing/2014/main" id="{B23BC427-F46A-4D6A-AB5B-82FEF9D7E670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078" name="Line 5">
          <a:extLst>
            <a:ext uri="{FF2B5EF4-FFF2-40B4-BE49-F238E27FC236}">
              <a16:creationId xmlns:a16="http://schemas.microsoft.com/office/drawing/2014/main" id="{3FA6211F-13C3-46F7-BA77-0FF33C131824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79" name="Line 2">
          <a:extLst>
            <a:ext uri="{FF2B5EF4-FFF2-40B4-BE49-F238E27FC236}">
              <a16:creationId xmlns:a16="http://schemas.microsoft.com/office/drawing/2014/main" id="{23202F55-EAAC-42A1-A071-C196F41CA245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80" name="Line 3">
          <a:extLst>
            <a:ext uri="{FF2B5EF4-FFF2-40B4-BE49-F238E27FC236}">
              <a16:creationId xmlns:a16="http://schemas.microsoft.com/office/drawing/2014/main" id="{837035CA-87C8-4A55-9E80-69BFDA2D16C7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81" name="Line 4">
          <a:extLst>
            <a:ext uri="{FF2B5EF4-FFF2-40B4-BE49-F238E27FC236}">
              <a16:creationId xmlns:a16="http://schemas.microsoft.com/office/drawing/2014/main" id="{BBB9556C-A965-40B8-B7B1-0F1ADA4BF69E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082" name="Line 5">
          <a:extLst>
            <a:ext uri="{FF2B5EF4-FFF2-40B4-BE49-F238E27FC236}">
              <a16:creationId xmlns:a16="http://schemas.microsoft.com/office/drawing/2014/main" id="{0ADC3EF3-D60E-4688-A7E2-D27CD1D2ED79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083" name="Line 2">
          <a:extLst>
            <a:ext uri="{FF2B5EF4-FFF2-40B4-BE49-F238E27FC236}">
              <a16:creationId xmlns:a16="http://schemas.microsoft.com/office/drawing/2014/main" id="{0E51C704-6302-4671-9A73-F251732AABA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084" name="Line 3">
          <a:extLst>
            <a:ext uri="{FF2B5EF4-FFF2-40B4-BE49-F238E27FC236}">
              <a16:creationId xmlns:a16="http://schemas.microsoft.com/office/drawing/2014/main" id="{C719D9E2-DF67-42FA-BA9E-E827A927468C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085" name="Line 4">
          <a:extLst>
            <a:ext uri="{FF2B5EF4-FFF2-40B4-BE49-F238E27FC236}">
              <a16:creationId xmlns:a16="http://schemas.microsoft.com/office/drawing/2014/main" id="{F5C416B8-645A-4197-B54A-3898D224061B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086" name="Line 5">
          <a:extLst>
            <a:ext uri="{FF2B5EF4-FFF2-40B4-BE49-F238E27FC236}">
              <a16:creationId xmlns:a16="http://schemas.microsoft.com/office/drawing/2014/main" id="{480ED4D8-C71E-4BB7-B61C-AF017ED95EAD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087" name="Line 7">
          <a:extLst>
            <a:ext uri="{FF2B5EF4-FFF2-40B4-BE49-F238E27FC236}">
              <a16:creationId xmlns:a16="http://schemas.microsoft.com/office/drawing/2014/main" id="{3714507B-6431-4E0B-BCAE-DE16A1C4FFCB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088" name="Line 8">
          <a:extLst>
            <a:ext uri="{FF2B5EF4-FFF2-40B4-BE49-F238E27FC236}">
              <a16:creationId xmlns:a16="http://schemas.microsoft.com/office/drawing/2014/main" id="{69625373-C0E2-404B-912B-74750538A0D2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089" name="Rectangle 7">
          <a:extLst>
            <a:ext uri="{FF2B5EF4-FFF2-40B4-BE49-F238E27FC236}">
              <a16:creationId xmlns:a16="http://schemas.microsoft.com/office/drawing/2014/main" id="{32E8F980-EF94-4A58-A353-8B3EA82E8BCA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090" name="Rectangle 8">
          <a:extLst>
            <a:ext uri="{FF2B5EF4-FFF2-40B4-BE49-F238E27FC236}">
              <a16:creationId xmlns:a16="http://schemas.microsoft.com/office/drawing/2014/main" id="{D4A4E99C-C6B9-4358-83ED-5E1E07D7E716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091" name="Line 2">
          <a:extLst>
            <a:ext uri="{FF2B5EF4-FFF2-40B4-BE49-F238E27FC236}">
              <a16:creationId xmlns:a16="http://schemas.microsoft.com/office/drawing/2014/main" id="{DB4B734F-15C0-4524-A301-8175E8B98EC0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092" name="Line 3">
          <a:extLst>
            <a:ext uri="{FF2B5EF4-FFF2-40B4-BE49-F238E27FC236}">
              <a16:creationId xmlns:a16="http://schemas.microsoft.com/office/drawing/2014/main" id="{F0DC1CF6-0AAA-4A86-B3E4-BAC28642DC4A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093" name="Line 5">
          <a:extLst>
            <a:ext uri="{FF2B5EF4-FFF2-40B4-BE49-F238E27FC236}">
              <a16:creationId xmlns:a16="http://schemas.microsoft.com/office/drawing/2014/main" id="{65155169-01F1-4752-9560-821BBE16CBBA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094" name="Line 2">
          <a:extLst>
            <a:ext uri="{FF2B5EF4-FFF2-40B4-BE49-F238E27FC236}">
              <a16:creationId xmlns:a16="http://schemas.microsoft.com/office/drawing/2014/main" id="{C1EBE2CD-93B9-4E3A-B0FF-00FF9A76D53F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095" name="Line 3">
          <a:extLst>
            <a:ext uri="{FF2B5EF4-FFF2-40B4-BE49-F238E27FC236}">
              <a16:creationId xmlns:a16="http://schemas.microsoft.com/office/drawing/2014/main" id="{1516DB7E-AAEC-4E1B-8591-EA149E065541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096" name="Line 4">
          <a:extLst>
            <a:ext uri="{FF2B5EF4-FFF2-40B4-BE49-F238E27FC236}">
              <a16:creationId xmlns:a16="http://schemas.microsoft.com/office/drawing/2014/main" id="{4A39A355-808E-4B51-AF23-0A98345ACFAF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097" name="Line 5">
          <a:extLst>
            <a:ext uri="{FF2B5EF4-FFF2-40B4-BE49-F238E27FC236}">
              <a16:creationId xmlns:a16="http://schemas.microsoft.com/office/drawing/2014/main" id="{6697ECA5-D899-423B-BB7C-20AFE0DE5D3F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98" name="Line 2">
          <a:extLst>
            <a:ext uri="{FF2B5EF4-FFF2-40B4-BE49-F238E27FC236}">
              <a16:creationId xmlns:a16="http://schemas.microsoft.com/office/drawing/2014/main" id="{2297E196-F569-4A8D-8766-3A36434C1EFF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099" name="Line 3">
          <a:extLst>
            <a:ext uri="{FF2B5EF4-FFF2-40B4-BE49-F238E27FC236}">
              <a16:creationId xmlns:a16="http://schemas.microsoft.com/office/drawing/2014/main" id="{1E3D6304-537A-49B9-9FAE-1BB2120BCC79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100" name="Line 4">
          <a:extLst>
            <a:ext uri="{FF2B5EF4-FFF2-40B4-BE49-F238E27FC236}">
              <a16:creationId xmlns:a16="http://schemas.microsoft.com/office/drawing/2014/main" id="{1339DF79-89CD-4EAB-9B94-4EC318C52D39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101" name="Line 5">
          <a:extLst>
            <a:ext uri="{FF2B5EF4-FFF2-40B4-BE49-F238E27FC236}">
              <a16:creationId xmlns:a16="http://schemas.microsoft.com/office/drawing/2014/main" id="{6172F6DF-5086-45DD-A9CE-D695B7037864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102" name="Line 2">
          <a:extLst>
            <a:ext uri="{FF2B5EF4-FFF2-40B4-BE49-F238E27FC236}">
              <a16:creationId xmlns:a16="http://schemas.microsoft.com/office/drawing/2014/main" id="{BA6214A2-C0E4-41AC-8151-2EC89F45FE24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103" name="Line 3">
          <a:extLst>
            <a:ext uri="{FF2B5EF4-FFF2-40B4-BE49-F238E27FC236}">
              <a16:creationId xmlns:a16="http://schemas.microsoft.com/office/drawing/2014/main" id="{4FC8ADA9-C9E5-49D3-B232-F2CB40D2E3E9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104" name="Line 4">
          <a:extLst>
            <a:ext uri="{FF2B5EF4-FFF2-40B4-BE49-F238E27FC236}">
              <a16:creationId xmlns:a16="http://schemas.microsoft.com/office/drawing/2014/main" id="{0171CB27-DEE2-41D5-A18F-05D897287BA1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105" name="Line 5">
          <a:extLst>
            <a:ext uri="{FF2B5EF4-FFF2-40B4-BE49-F238E27FC236}">
              <a16:creationId xmlns:a16="http://schemas.microsoft.com/office/drawing/2014/main" id="{38663CD9-69CC-4890-A7DF-434AF55FA98F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106" name="Line 7">
          <a:extLst>
            <a:ext uri="{FF2B5EF4-FFF2-40B4-BE49-F238E27FC236}">
              <a16:creationId xmlns:a16="http://schemas.microsoft.com/office/drawing/2014/main" id="{D57530D6-2B79-4A0A-A477-A9E68BF9F8ED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107" name="Line 8">
          <a:extLst>
            <a:ext uri="{FF2B5EF4-FFF2-40B4-BE49-F238E27FC236}">
              <a16:creationId xmlns:a16="http://schemas.microsoft.com/office/drawing/2014/main" id="{A6FF8CE4-87C2-4258-B367-B7F67CE7C275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108" name="Rectangle 7">
          <a:extLst>
            <a:ext uri="{FF2B5EF4-FFF2-40B4-BE49-F238E27FC236}">
              <a16:creationId xmlns:a16="http://schemas.microsoft.com/office/drawing/2014/main" id="{E51286C9-08B1-4F65-B417-52A3ADD34004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109" name="Rectangle 8">
          <a:extLst>
            <a:ext uri="{FF2B5EF4-FFF2-40B4-BE49-F238E27FC236}">
              <a16:creationId xmlns:a16="http://schemas.microsoft.com/office/drawing/2014/main" id="{8C0D7140-31F3-4880-A768-177F1EE43A16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110" name="Line 3">
          <a:extLst>
            <a:ext uri="{FF2B5EF4-FFF2-40B4-BE49-F238E27FC236}">
              <a16:creationId xmlns:a16="http://schemas.microsoft.com/office/drawing/2014/main" id="{160D4E9B-3A46-4A46-AF8E-2543DD2F828B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111" name="Line 5">
          <a:extLst>
            <a:ext uri="{FF2B5EF4-FFF2-40B4-BE49-F238E27FC236}">
              <a16:creationId xmlns:a16="http://schemas.microsoft.com/office/drawing/2014/main" id="{E946113A-F1CD-4C05-BE70-D453F7912A2B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112" name="Line 2">
          <a:extLst>
            <a:ext uri="{FF2B5EF4-FFF2-40B4-BE49-F238E27FC236}">
              <a16:creationId xmlns:a16="http://schemas.microsoft.com/office/drawing/2014/main" id="{D9164622-5220-4520-B985-D6B548ABCBC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113" name="Line 3">
          <a:extLst>
            <a:ext uri="{FF2B5EF4-FFF2-40B4-BE49-F238E27FC236}">
              <a16:creationId xmlns:a16="http://schemas.microsoft.com/office/drawing/2014/main" id="{6059AC8C-371E-4EB1-8862-662D7E586154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114" name="Line 4">
          <a:extLst>
            <a:ext uri="{FF2B5EF4-FFF2-40B4-BE49-F238E27FC236}">
              <a16:creationId xmlns:a16="http://schemas.microsoft.com/office/drawing/2014/main" id="{4AD71289-215F-42B7-8C7B-0F66482CCC3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115" name="Line 5">
          <a:extLst>
            <a:ext uri="{FF2B5EF4-FFF2-40B4-BE49-F238E27FC236}">
              <a16:creationId xmlns:a16="http://schemas.microsoft.com/office/drawing/2014/main" id="{69E519D3-14E4-4706-9AE4-DF2380DCF153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1116" name="Line 7">
          <a:extLst>
            <a:ext uri="{FF2B5EF4-FFF2-40B4-BE49-F238E27FC236}">
              <a16:creationId xmlns:a16="http://schemas.microsoft.com/office/drawing/2014/main" id="{606FEA0D-CB69-486B-959B-F94C2FAD814F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17" name="Line 2">
          <a:extLst>
            <a:ext uri="{FF2B5EF4-FFF2-40B4-BE49-F238E27FC236}">
              <a16:creationId xmlns:a16="http://schemas.microsoft.com/office/drawing/2014/main" id="{0CF04136-0B5D-420B-A308-9CDDC10C9B8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18" name="Line 3">
          <a:extLst>
            <a:ext uri="{FF2B5EF4-FFF2-40B4-BE49-F238E27FC236}">
              <a16:creationId xmlns:a16="http://schemas.microsoft.com/office/drawing/2014/main" id="{120ED776-05F2-4507-B7B6-BE3C458FFA3B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19" name="Line 4">
          <a:extLst>
            <a:ext uri="{FF2B5EF4-FFF2-40B4-BE49-F238E27FC236}">
              <a16:creationId xmlns:a16="http://schemas.microsoft.com/office/drawing/2014/main" id="{313E6D61-496B-4698-8196-1CC84C0D21F9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120" name="Line 5">
          <a:extLst>
            <a:ext uri="{FF2B5EF4-FFF2-40B4-BE49-F238E27FC236}">
              <a16:creationId xmlns:a16="http://schemas.microsoft.com/office/drawing/2014/main" id="{1FAFBF82-3D90-472C-B01F-B00EF20A4BE0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21" name="Line 2">
          <a:extLst>
            <a:ext uri="{FF2B5EF4-FFF2-40B4-BE49-F238E27FC236}">
              <a16:creationId xmlns:a16="http://schemas.microsoft.com/office/drawing/2014/main" id="{8FFD48A6-913C-4072-A54F-88632B0F71C7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122" name="Line 3">
          <a:extLst>
            <a:ext uri="{FF2B5EF4-FFF2-40B4-BE49-F238E27FC236}">
              <a16:creationId xmlns:a16="http://schemas.microsoft.com/office/drawing/2014/main" id="{FC3E1A9F-2135-4851-9DF6-F93C9D7A8975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123" name="Line 4">
          <a:extLst>
            <a:ext uri="{FF2B5EF4-FFF2-40B4-BE49-F238E27FC236}">
              <a16:creationId xmlns:a16="http://schemas.microsoft.com/office/drawing/2014/main" id="{5D311E99-17E6-4CF8-9B9D-719B49451FC9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381</xdr:row>
      <xdr:rowOff>0</xdr:rowOff>
    </xdr:from>
    <xdr:to>
      <xdr:col>8</xdr:col>
      <xdr:colOff>180975</xdr:colOff>
      <xdr:row>381</xdr:row>
      <xdr:rowOff>0</xdr:rowOff>
    </xdr:to>
    <xdr:sp macro="" textlink="">
      <xdr:nvSpPr>
        <xdr:cNvPr id="1124" name="Line 5">
          <a:extLst>
            <a:ext uri="{FF2B5EF4-FFF2-40B4-BE49-F238E27FC236}">
              <a16:creationId xmlns:a16="http://schemas.microsoft.com/office/drawing/2014/main" id="{12A061C3-66DB-4200-B159-3DB7DC081B98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369</xdr:row>
      <xdr:rowOff>0</xdr:rowOff>
    </xdr:from>
    <xdr:to>
      <xdr:col>8</xdr:col>
      <xdr:colOff>180975</xdr:colOff>
      <xdr:row>369</xdr:row>
      <xdr:rowOff>0</xdr:rowOff>
    </xdr:to>
    <xdr:sp macro="" textlink="">
      <xdr:nvSpPr>
        <xdr:cNvPr id="1125" name="Line 7">
          <a:extLst>
            <a:ext uri="{FF2B5EF4-FFF2-40B4-BE49-F238E27FC236}">
              <a16:creationId xmlns:a16="http://schemas.microsoft.com/office/drawing/2014/main" id="{3738CC2A-416F-4A5B-AC11-F666C5E41A3F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126" name="Line 3">
          <a:extLst>
            <a:ext uri="{FF2B5EF4-FFF2-40B4-BE49-F238E27FC236}">
              <a16:creationId xmlns:a16="http://schemas.microsoft.com/office/drawing/2014/main" id="{73B02EEB-477A-484D-8159-8C9933AC8CFB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127" name="Line 5">
          <a:extLst>
            <a:ext uri="{FF2B5EF4-FFF2-40B4-BE49-F238E27FC236}">
              <a16:creationId xmlns:a16="http://schemas.microsoft.com/office/drawing/2014/main" id="{381DDCBC-B962-4CF8-8003-D6EDD78CAA3C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128" name="Line 2">
          <a:extLst>
            <a:ext uri="{FF2B5EF4-FFF2-40B4-BE49-F238E27FC236}">
              <a16:creationId xmlns:a16="http://schemas.microsoft.com/office/drawing/2014/main" id="{B0FC0E7F-9445-449B-A5F7-C046984CEC75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129" name="Line 3">
          <a:extLst>
            <a:ext uri="{FF2B5EF4-FFF2-40B4-BE49-F238E27FC236}">
              <a16:creationId xmlns:a16="http://schemas.microsoft.com/office/drawing/2014/main" id="{37DC1479-C152-4B77-932B-52E659C263A4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130" name="Line 4">
          <a:extLst>
            <a:ext uri="{FF2B5EF4-FFF2-40B4-BE49-F238E27FC236}">
              <a16:creationId xmlns:a16="http://schemas.microsoft.com/office/drawing/2014/main" id="{BA1A1849-D8AA-4B48-ABC8-CA61B36A8F47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131" name="Line 5">
          <a:extLst>
            <a:ext uri="{FF2B5EF4-FFF2-40B4-BE49-F238E27FC236}">
              <a16:creationId xmlns:a16="http://schemas.microsoft.com/office/drawing/2014/main" id="{83F059A9-1246-473A-BC9F-6337685A1540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32" name="Line 2">
          <a:extLst>
            <a:ext uri="{FF2B5EF4-FFF2-40B4-BE49-F238E27FC236}">
              <a16:creationId xmlns:a16="http://schemas.microsoft.com/office/drawing/2014/main" id="{75389484-421C-4571-AEB2-222F8DF1E0C6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33" name="Line 3">
          <a:extLst>
            <a:ext uri="{FF2B5EF4-FFF2-40B4-BE49-F238E27FC236}">
              <a16:creationId xmlns:a16="http://schemas.microsoft.com/office/drawing/2014/main" id="{24EA9E16-687F-4035-BD76-D811B531F989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34" name="Line 4">
          <a:extLst>
            <a:ext uri="{FF2B5EF4-FFF2-40B4-BE49-F238E27FC236}">
              <a16:creationId xmlns:a16="http://schemas.microsoft.com/office/drawing/2014/main" id="{3E6C1543-9FC7-499E-94C8-528400D9100E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135" name="Line 5">
          <a:extLst>
            <a:ext uri="{FF2B5EF4-FFF2-40B4-BE49-F238E27FC236}">
              <a16:creationId xmlns:a16="http://schemas.microsoft.com/office/drawing/2014/main" id="{F39CF77F-8A95-410A-95EA-6C7C25BDE767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36" name="Line 2">
          <a:extLst>
            <a:ext uri="{FF2B5EF4-FFF2-40B4-BE49-F238E27FC236}">
              <a16:creationId xmlns:a16="http://schemas.microsoft.com/office/drawing/2014/main" id="{80D7DAE2-8FEA-4339-A350-8B26137DE633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137" name="Line 3">
          <a:extLst>
            <a:ext uri="{FF2B5EF4-FFF2-40B4-BE49-F238E27FC236}">
              <a16:creationId xmlns:a16="http://schemas.microsoft.com/office/drawing/2014/main" id="{B7429D2F-C898-4957-84A3-46CD7EDA95D4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138" name="Line 4">
          <a:extLst>
            <a:ext uri="{FF2B5EF4-FFF2-40B4-BE49-F238E27FC236}">
              <a16:creationId xmlns:a16="http://schemas.microsoft.com/office/drawing/2014/main" id="{8D7261B0-B7D7-4A7D-A30C-6816C780A0C4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139" name="Line 5">
          <a:extLst>
            <a:ext uri="{FF2B5EF4-FFF2-40B4-BE49-F238E27FC236}">
              <a16:creationId xmlns:a16="http://schemas.microsoft.com/office/drawing/2014/main" id="{A1DD8139-88D0-46B8-88BC-8E681141E6D7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1140" name="Line 7">
          <a:extLst>
            <a:ext uri="{FF2B5EF4-FFF2-40B4-BE49-F238E27FC236}">
              <a16:creationId xmlns:a16="http://schemas.microsoft.com/office/drawing/2014/main" id="{AE75C222-9EAB-41BB-9425-14E4C32C5161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141" name="Line 2">
          <a:extLst>
            <a:ext uri="{FF2B5EF4-FFF2-40B4-BE49-F238E27FC236}">
              <a16:creationId xmlns:a16="http://schemas.microsoft.com/office/drawing/2014/main" id="{1BB3ED22-8659-48AE-BB50-B4B91D76DE1D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142" name="Line 3">
          <a:extLst>
            <a:ext uri="{FF2B5EF4-FFF2-40B4-BE49-F238E27FC236}">
              <a16:creationId xmlns:a16="http://schemas.microsoft.com/office/drawing/2014/main" id="{635E6BF8-6243-498D-8909-BB97CA13EF39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1143" name="Line 4">
          <a:extLst>
            <a:ext uri="{FF2B5EF4-FFF2-40B4-BE49-F238E27FC236}">
              <a16:creationId xmlns:a16="http://schemas.microsoft.com/office/drawing/2014/main" id="{F1D540CB-8DE8-4671-BA9C-2CD4FB0E9E08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144" name="Line 3">
          <a:extLst>
            <a:ext uri="{FF2B5EF4-FFF2-40B4-BE49-F238E27FC236}">
              <a16:creationId xmlns:a16="http://schemas.microsoft.com/office/drawing/2014/main" id="{AE87CA37-14C5-4E78-ABC9-AE30BF099798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145" name="Line 5">
          <a:extLst>
            <a:ext uri="{FF2B5EF4-FFF2-40B4-BE49-F238E27FC236}">
              <a16:creationId xmlns:a16="http://schemas.microsoft.com/office/drawing/2014/main" id="{195AAF91-9DE5-4EC9-BB6B-A9A2C9328204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146" name="Line 2">
          <a:extLst>
            <a:ext uri="{FF2B5EF4-FFF2-40B4-BE49-F238E27FC236}">
              <a16:creationId xmlns:a16="http://schemas.microsoft.com/office/drawing/2014/main" id="{3360BB2B-A127-433D-BB2F-22F775741545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147" name="Line 3">
          <a:extLst>
            <a:ext uri="{FF2B5EF4-FFF2-40B4-BE49-F238E27FC236}">
              <a16:creationId xmlns:a16="http://schemas.microsoft.com/office/drawing/2014/main" id="{B7286981-43C7-42E0-AC2C-3E36AB2FF78F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148" name="Line 4">
          <a:extLst>
            <a:ext uri="{FF2B5EF4-FFF2-40B4-BE49-F238E27FC236}">
              <a16:creationId xmlns:a16="http://schemas.microsoft.com/office/drawing/2014/main" id="{DAA0B985-0424-471D-B43A-37FCC60A8C8C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149" name="Line 5">
          <a:extLst>
            <a:ext uri="{FF2B5EF4-FFF2-40B4-BE49-F238E27FC236}">
              <a16:creationId xmlns:a16="http://schemas.microsoft.com/office/drawing/2014/main" id="{C8ECCE5E-1568-44C0-8F6C-BA2892AD6705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565</xdr:row>
      <xdr:rowOff>0</xdr:rowOff>
    </xdr:from>
    <xdr:to>
      <xdr:col>8</xdr:col>
      <xdr:colOff>180975</xdr:colOff>
      <xdr:row>565</xdr:row>
      <xdr:rowOff>0</xdr:rowOff>
    </xdr:to>
    <xdr:sp macro="" textlink="">
      <xdr:nvSpPr>
        <xdr:cNvPr id="1150" name="Line 7">
          <a:extLst>
            <a:ext uri="{FF2B5EF4-FFF2-40B4-BE49-F238E27FC236}">
              <a16:creationId xmlns:a16="http://schemas.microsoft.com/office/drawing/2014/main" id="{BD79FF92-9226-49C2-9D23-7194DF6F5D48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51" name="Line 2">
          <a:extLst>
            <a:ext uri="{FF2B5EF4-FFF2-40B4-BE49-F238E27FC236}">
              <a16:creationId xmlns:a16="http://schemas.microsoft.com/office/drawing/2014/main" id="{F2935E21-FEB1-4782-BDFF-AAFD8353E08F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52" name="Line 3">
          <a:extLst>
            <a:ext uri="{FF2B5EF4-FFF2-40B4-BE49-F238E27FC236}">
              <a16:creationId xmlns:a16="http://schemas.microsoft.com/office/drawing/2014/main" id="{287BCD62-E5CC-4CA4-A459-B65107F15126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53" name="Line 4">
          <a:extLst>
            <a:ext uri="{FF2B5EF4-FFF2-40B4-BE49-F238E27FC236}">
              <a16:creationId xmlns:a16="http://schemas.microsoft.com/office/drawing/2014/main" id="{4E9D0021-A1E5-4958-95D8-C5F1B5B353B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154" name="Line 5">
          <a:extLst>
            <a:ext uri="{FF2B5EF4-FFF2-40B4-BE49-F238E27FC236}">
              <a16:creationId xmlns:a16="http://schemas.microsoft.com/office/drawing/2014/main" id="{3BAC8AEF-8E62-4DD7-BF27-C21E327D6FA0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55" name="Line 2">
          <a:extLst>
            <a:ext uri="{FF2B5EF4-FFF2-40B4-BE49-F238E27FC236}">
              <a16:creationId xmlns:a16="http://schemas.microsoft.com/office/drawing/2014/main" id="{90DB8431-CAF9-47D1-B807-52D28AD2F88F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156" name="Line 3">
          <a:extLst>
            <a:ext uri="{FF2B5EF4-FFF2-40B4-BE49-F238E27FC236}">
              <a16:creationId xmlns:a16="http://schemas.microsoft.com/office/drawing/2014/main" id="{CB55CDF2-C77C-4477-BCD3-FE109C9F8326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157" name="Line 4">
          <a:extLst>
            <a:ext uri="{FF2B5EF4-FFF2-40B4-BE49-F238E27FC236}">
              <a16:creationId xmlns:a16="http://schemas.microsoft.com/office/drawing/2014/main" id="{048AE9BC-8598-474B-85B1-71548B68BE20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158" name="Line 2">
          <a:extLst>
            <a:ext uri="{FF2B5EF4-FFF2-40B4-BE49-F238E27FC236}">
              <a16:creationId xmlns:a16="http://schemas.microsoft.com/office/drawing/2014/main" id="{1D9887BB-AF5C-4937-8095-1FBF9BA74273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159" name="Line 3">
          <a:extLst>
            <a:ext uri="{FF2B5EF4-FFF2-40B4-BE49-F238E27FC236}">
              <a16:creationId xmlns:a16="http://schemas.microsoft.com/office/drawing/2014/main" id="{A77FAD37-6669-48D3-8929-E9347E2EC155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160" name="Line 4">
          <a:extLst>
            <a:ext uri="{FF2B5EF4-FFF2-40B4-BE49-F238E27FC236}">
              <a16:creationId xmlns:a16="http://schemas.microsoft.com/office/drawing/2014/main" id="{D1B0791E-F830-49A3-A01E-F1576BFCFF5B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161" name="Line 2">
          <a:extLst>
            <a:ext uri="{FF2B5EF4-FFF2-40B4-BE49-F238E27FC236}">
              <a16:creationId xmlns:a16="http://schemas.microsoft.com/office/drawing/2014/main" id="{B2BCF487-F6AB-43A8-B107-9A6C63039A45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162" name="Line 3">
          <a:extLst>
            <a:ext uri="{FF2B5EF4-FFF2-40B4-BE49-F238E27FC236}">
              <a16:creationId xmlns:a16="http://schemas.microsoft.com/office/drawing/2014/main" id="{DCD24B8C-0F2B-43CD-B368-54B37178A6AA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163" name="Line 4">
          <a:extLst>
            <a:ext uri="{FF2B5EF4-FFF2-40B4-BE49-F238E27FC236}">
              <a16:creationId xmlns:a16="http://schemas.microsoft.com/office/drawing/2014/main" id="{06BE56F1-CF22-4B1B-A3ED-CD8E8C959396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164" name="Line 3">
          <a:extLst>
            <a:ext uri="{FF2B5EF4-FFF2-40B4-BE49-F238E27FC236}">
              <a16:creationId xmlns:a16="http://schemas.microsoft.com/office/drawing/2014/main" id="{48A0372E-355B-4E4D-B4EC-9BF5CE13FF8C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165" name="Line 5">
          <a:extLst>
            <a:ext uri="{FF2B5EF4-FFF2-40B4-BE49-F238E27FC236}">
              <a16:creationId xmlns:a16="http://schemas.microsoft.com/office/drawing/2014/main" id="{CBDAEBAD-5C26-427B-8A78-142EB2E08E09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166" name="Line 2">
          <a:extLst>
            <a:ext uri="{FF2B5EF4-FFF2-40B4-BE49-F238E27FC236}">
              <a16:creationId xmlns:a16="http://schemas.microsoft.com/office/drawing/2014/main" id="{6BDC5A37-7363-4EC5-A876-A052D6800C99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167" name="Line 3">
          <a:extLst>
            <a:ext uri="{FF2B5EF4-FFF2-40B4-BE49-F238E27FC236}">
              <a16:creationId xmlns:a16="http://schemas.microsoft.com/office/drawing/2014/main" id="{7B597F10-7581-40B7-B4B2-346B53B5BF12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168" name="Line 4">
          <a:extLst>
            <a:ext uri="{FF2B5EF4-FFF2-40B4-BE49-F238E27FC236}">
              <a16:creationId xmlns:a16="http://schemas.microsoft.com/office/drawing/2014/main" id="{305B8649-EBFF-4E09-905E-106D64B59547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169" name="Line 5">
          <a:extLst>
            <a:ext uri="{FF2B5EF4-FFF2-40B4-BE49-F238E27FC236}">
              <a16:creationId xmlns:a16="http://schemas.microsoft.com/office/drawing/2014/main" id="{478A6A7C-3993-4356-AE35-334DFD01E076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620</xdr:row>
      <xdr:rowOff>0</xdr:rowOff>
    </xdr:from>
    <xdr:to>
      <xdr:col>8</xdr:col>
      <xdr:colOff>180975</xdr:colOff>
      <xdr:row>620</xdr:row>
      <xdr:rowOff>0</xdr:rowOff>
    </xdr:to>
    <xdr:sp macro="" textlink="">
      <xdr:nvSpPr>
        <xdr:cNvPr id="1170" name="Line 7">
          <a:extLst>
            <a:ext uri="{FF2B5EF4-FFF2-40B4-BE49-F238E27FC236}">
              <a16:creationId xmlns:a16="http://schemas.microsoft.com/office/drawing/2014/main" id="{16C25939-C600-4819-8A85-DC713794BAAC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71" name="Line 2">
          <a:extLst>
            <a:ext uri="{FF2B5EF4-FFF2-40B4-BE49-F238E27FC236}">
              <a16:creationId xmlns:a16="http://schemas.microsoft.com/office/drawing/2014/main" id="{E0031B54-4A6F-43E5-ACF3-957755DEDDA6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72" name="Line 3">
          <a:extLst>
            <a:ext uri="{FF2B5EF4-FFF2-40B4-BE49-F238E27FC236}">
              <a16:creationId xmlns:a16="http://schemas.microsoft.com/office/drawing/2014/main" id="{E43DF484-FBD0-413A-84B5-3ADAEABFB61B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73" name="Line 4">
          <a:extLst>
            <a:ext uri="{FF2B5EF4-FFF2-40B4-BE49-F238E27FC236}">
              <a16:creationId xmlns:a16="http://schemas.microsoft.com/office/drawing/2014/main" id="{14575B70-308E-4D71-A3F8-DF4952516E7B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174" name="Line 5">
          <a:extLst>
            <a:ext uri="{FF2B5EF4-FFF2-40B4-BE49-F238E27FC236}">
              <a16:creationId xmlns:a16="http://schemas.microsoft.com/office/drawing/2014/main" id="{C3C08DC9-57D8-4A9D-8AB5-E2373B78B0E4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75" name="Line 2">
          <a:extLst>
            <a:ext uri="{FF2B5EF4-FFF2-40B4-BE49-F238E27FC236}">
              <a16:creationId xmlns:a16="http://schemas.microsoft.com/office/drawing/2014/main" id="{BC01AFC1-E8BD-497C-BD49-742DE786A84F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176" name="Line 3">
          <a:extLst>
            <a:ext uri="{FF2B5EF4-FFF2-40B4-BE49-F238E27FC236}">
              <a16:creationId xmlns:a16="http://schemas.microsoft.com/office/drawing/2014/main" id="{D6F78251-B45B-40B2-88DD-26811CDE0824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177" name="Line 4">
          <a:extLst>
            <a:ext uri="{FF2B5EF4-FFF2-40B4-BE49-F238E27FC236}">
              <a16:creationId xmlns:a16="http://schemas.microsoft.com/office/drawing/2014/main" id="{EACC0E7F-D354-4087-9BE7-013A02A0D6E0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178" name="Line 2">
          <a:extLst>
            <a:ext uri="{FF2B5EF4-FFF2-40B4-BE49-F238E27FC236}">
              <a16:creationId xmlns:a16="http://schemas.microsoft.com/office/drawing/2014/main" id="{03DD7151-6742-47ED-AB09-79926548C5A8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179" name="Line 3">
          <a:extLst>
            <a:ext uri="{FF2B5EF4-FFF2-40B4-BE49-F238E27FC236}">
              <a16:creationId xmlns:a16="http://schemas.microsoft.com/office/drawing/2014/main" id="{98EB90E9-A9D6-4430-8B58-B9DF4F6E3FB2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595</xdr:row>
      <xdr:rowOff>0</xdr:rowOff>
    </xdr:from>
    <xdr:to>
      <xdr:col>8</xdr:col>
      <xdr:colOff>180975</xdr:colOff>
      <xdr:row>595</xdr:row>
      <xdr:rowOff>0</xdr:rowOff>
    </xdr:to>
    <xdr:sp macro="" textlink="">
      <xdr:nvSpPr>
        <xdr:cNvPr id="1180" name="Line 4">
          <a:extLst>
            <a:ext uri="{FF2B5EF4-FFF2-40B4-BE49-F238E27FC236}">
              <a16:creationId xmlns:a16="http://schemas.microsoft.com/office/drawing/2014/main" id="{5D00C284-6686-4ED2-9E57-225EEE6B3B93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181" name="Line 2">
          <a:extLst>
            <a:ext uri="{FF2B5EF4-FFF2-40B4-BE49-F238E27FC236}">
              <a16:creationId xmlns:a16="http://schemas.microsoft.com/office/drawing/2014/main" id="{B70B6965-277A-44FB-8CEC-5E6D0A0CA28B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182" name="Line 3">
          <a:extLst>
            <a:ext uri="{FF2B5EF4-FFF2-40B4-BE49-F238E27FC236}">
              <a16:creationId xmlns:a16="http://schemas.microsoft.com/office/drawing/2014/main" id="{2C01B5FD-61AD-4116-B7F8-08113740EC3A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1183" name="Line 4">
          <a:extLst>
            <a:ext uri="{FF2B5EF4-FFF2-40B4-BE49-F238E27FC236}">
              <a16:creationId xmlns:a16="http://schemas.microsoft.com/office/drawing/2014/main" id="{005A92E4-A768-4EB3-9498-1DF7736FAC82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184" name="Line 3">
          <a:extLst>
            <a:ext uri="{FF2B5EF4-FFF2-40B4-BE49-F238E27FC236}">
              <a16:creationId xmlns:a16="http://schemas.microsoft.com/office/drawing/2014/main" id="{092D2BFE-A6CA-49B5-967E-53320D860097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185" name="Line 5">
          <a:extLst>
            <a:ext uri="{FF2B5EF4-FFF2-40B4-BE49-F238E27FC236}">
              <a16:creationId xmlns:a16="http://schemas.microsoft.com/office/drawing/2014/main" id="{0926EFBA-E72F-412F-846C-DC1F1364EC52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186" name="Line 2">
          <a:extLst>
            <a:ext uri="{FF2B5EF4-FFF2-40B4-BE49-F238E27FC236}">
              <a16:creationId xmlns:a16="http://schemas.microsoft.com/office/drawing/2014/main" id="{3F25957C-CC6E-4DB2-81AB-C917E78E8C1D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187" name="Line 3">
          <a:extLst>
            <a:ext uri="{FF2B5EF4-FFF2-40B4-BE49-F238E27FC236}">
              <a16:creationId xmlns:a16="http://schemas.microsoft.com/office/drawing/2014/main" id="{34FCD632-0E98-4D1B-A9D5-12BE55AF113A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188" name="Line 4">
          <a:extLst>
            <a:ext uri="{FF2B5EF4-FFF2-40B4-BE49-F238E27FC236}">
              <a16:creationId xmlns:a16="http://schemas.microsoft.com/office/drawing/2014/main" id="{5DA71542-7EC0-4A50-93A8-E1718753EC9A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189" name="Line 5">
          <a:extLst>
            <a:ext uri="{FF2B5EF4-FFF2-40B4-BE49-F238E27FC236}">
              <a16:creationId xmlns:a16="http://schemas.microsoft.com/office/drawing/2014/main" id="{DCB80C8B-B00B-4ED3-91E1-16C1074909A0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679</xdr:row>
      <xdr:rowOff>0</xdr:rowOff>
    </xdr:from>
    <xdr:to>
      <xdr:col>8</xdr:col>
      <xdr:colOff>180975</xdr:colOff>
      <xdr:row>679</xdr:row>
      <xdr:rowOff>0</xdr:rowOff>
    </xdr:to>
    <xdr:sp macro="" textlink="">
      <xdr:nvSpPr>
        <xdr:cNvPr id="1190" name="Line 7">
          <a:extLst>
            <a:ext uri="{FF2B5EF4-FFF2-40B4-BE49-F238E27FC236}">
              <a16:creationId xmlns:a16="http://schemas.microsoft.com/office/drawing/2014/main" id="{BE7BE1E6-1467-4ECC-9A1D-0267954BDA7E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91" name="Line 2">
          <a:extLst>
            <a:ext uri="{FF2B5EF4-FFF2-40B4-BE49-F238E27FC236}">
              <a16:creationId xmlns:a16="http://schemas.microsoft.com/office/drawing/2014/main" id="{FAD54ACD-B522-4DCB-A0FD-4981EB373315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92" name="Line 3">
          <a:extLst>
            <a:ext uri="{FF2B5EF4-FFF2-40B4-BE49-F238E27FC236}">
              <a16:creationId xmlns:a16="http://schemas.microsoft.com/office/drawing/2014/main" id="{6B9201EF-FC9B-444C-9F41-155F05A58909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93" name="Line 4">
          <a:extLst>
            <a:ext uri="{FF2B5EF4-FFF2-40B4-BE49-F238E27FC236}">
              <a16:creationId xmlns:a16="http://schemas.microsoft.com/office/drawing/2014/main" id="{3B72A12D-BFD6-4992-B3E1-6FB2A9DEF749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194" name="Line 5">
          <a:extLst>
            <a:ext uri="{FF2B5EF4-FFF2-40B4-BE49-F238E27FC236}">
              <a16:creationId xmlns:a16="http://schemas.microsoft.com/office/drawing/2014/main" id="{16C21D8B-E18D-4232-A5A7-48CB7390554F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95" name="Line 2">
          <a:extLst>
            <a:ext uri="{FF2B5EF4-FFF2-40B4-BE49-F238E27FC236}">
              <a16:creationId xmlns:a16="http://schemas.microsoft.com/office/drawing/2014/main" id="{CAE257C6-7928-41DA-8B94-BDD5C1D61ECD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196" name="Line 3">
          <a:extLst>
            <a:ext uri="{FF2B5EF4-FFF2-40B4-BE49-F238E27FC236}">
              <a16:creationId xmlns:a16="http://schemas.microsoft.com/office/drawing/2014/main" id="{E2587660-2E72-4D44-8CBD-D267BD8DA8B4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197" name="Line 4">
          <a:extLst>
            <a:ext uri="{FF2B5EF4-FFF2-40B4-BE49-F238E27FC236}">
              <a16:creationId xmlns:a16="http://schemas.microsoft.com/office/drawing/2014/main" id="{6C79E525-9525-45D8-B76A-6046D9748765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198" name="Line 2">
          <a:extLst>
            <a:ext uri="{FF2B5EF4-FFF2-40B4-BE49-F238E27FC236}">
              <a16:creationId xmlns:a16="http://schemas.microsoft.com/office/drawing/2014/main" id="{64479623-32D9-4C5D-986F-7416C0566999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199" name="Line 3">
          <a:extLst>
            <a:ext uri="{FF2B5EF4-FFF2-40B4-BE49-F238E27FC236}">
              <a16:creationId xmlns:a16="http://schemas.microsoft.com/office/drawing/2014/main" id="{D399E2BB-102D-446F-BA90-C9F68ADF09F8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654</xdr:row>
      <xdr:rowOff>0</xdr:rowOff>
    </xdr:from>
    <xdr:to>
      <xdr:col>8</xdr:col>
      <xdr:colOff>180975</xdr:colOff>
      <xdr:row>654</xdr:row>
      <xdr:rowOff>0</xdr:rowOff>
    </xdr:to>
    <xdr:sp macro="" textlink="">
      <xdr:nvSpPr>
        <xdr:cNvPr id="1200" name="Line 4">
          <a:extLst>
            <a:ext uri="{FF2B5EF4-FFF2-40B4-BE49-F238E27FC236}">
              <a16:creationId xmlns:a16="http://schemas.microsoft.com/office/drawing/2014/main" id="{1F74C40C-E750-402B-9712-8D40E1C29BFF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201" name="Line 2">
          <a:extLst>
            <a:ext uri="{FF2B5EF4-FFF2-40B4-BE49-F238E27FC236}">
              <a16:creationId xmlns:a16="http://schemas.microsoft.com/office/drawing/2014/main" id="{915151F7-6594-48B1-9659-9E9FF5A3975C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202" name="Line 3">
          <a:extLst>
            <a:ext uri="{FF2B5EF4-FFF2-40B4-BE49-F238E27FC236}">
              <a16:creationId xmlns:a16="http://schemas.microsoft.com/office/drawing/2014/main" id="{21A14120-D54B-4F82-AE1C-B87CB2B1F236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658</xdr:row>
      <xdr:rowOff>0</xdr:rowOff>
    </xdr:from>
    <xdr:to>
      <xdr:col>8</xdr:col>
      <xdr:colOff>180975</xdr:colOff>
      <xdr:row>658</xdr:row>
      <xdr:rowOff>0</xdr:rowOff>
    </xdr:to>
    <xdr:sp macro="" textlink="">
      <xdr:nvSpPr>
        <xdr:cNvPr id="1203" name="Line 4">
          <a:extLst>
            <a:ext uri="{FF2B5EF4-FFF2-40B4-BE49-F238E27FC236}">
              <a16:creationId xmlns:a16="http://schemas.microsoft.com/office/drawing/2014/main" id="{84E813F8-D857-43FD-A7DD-5E93531D2019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204" name="Line 3">
          <a:extLst>
            <a:ext uri="{FF2B5EF4-FFF2-40B4-BE49-F238E27FC236}">
              <a16:creationId xmlns:a16="http://schemas.microsoft.com/office/drawing/2014/main" id="{4B663C51-3835-4579-A7C2-024FEEEA7D9A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205" name="Line 5">
          <a:extLst>
            <a:ext uri="{FF2B5EF4-FFF2-40B4-BE49-F238E27FC236}">
              <a16:creationId xmlns:a16="http://schemas.microsoft.com/office/drawing/2014/main" id="{3C0E9657-5076-40A8-9D45-1EE678C66E82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206" name="Line 2">
          <a:extLst>
            <a:ext uri="{FF2B5EF4-FFF2-40B4-BE49-F238E27FC236}">
              <a16:creationId xmlns:a16="http://schemas.microsoft.com/office/drawing/2014/main" id="{9E8F3E1C-C5BF-4B51-AD0A-0FB55DC751D6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207" name="Line 3">
          <a:extLst>
            <a:ext uri="{FF2B5EF4-FFF2-40B4-BE49-F238E27FC236}">
              <a16:creationId xmlns:a16="http://schemas.microsoft.com/office/drawing/2014/main" id="{2602939A-8470-44F0-BECA-027A966BECEA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208" name="Line 4">
          <a:extLst>
            <a:ext uri="{FF2B5EF4-FFF2-40B4-BE49-F238E27FC236}">
              <a16:creationId xmlns:a16="http://schemas.microsoft.com/office/drawing/2014/main" id="{F0AA8D7F-0A7E-4F86-BD61-FA8F74C9F750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209" name="Line 5">
          <a:extLst>
            <a:ext uri="{FF2B5EF4-FFF2-40B4-BE49-F238E27FC236}">
              <a16:creationId xmlns:a16="http://schemas.microsoft.com/office/drawing/2014/main" id="{F9CCE073-0E55-47B3-8B7C-1D83251CA299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737</xdr:row>
      <xdr:rowOff>0</xdr:rowOff>
    </xdr:from>
    <xdr:to>
      <xdr:col>8</xdr:col>
      <xdr:colOff>180975</xdr:colOff>
      <xdr:row>737</xdr:row>
      <xdr:rowOff>0</xdr:rowOff>
    </xdr:to>
    <xdr:sp macro="" textlink="">
      <xdr:nvSpPr>
        <xdr:cNvPr id="1210" name="Line 7">
          <a:extLst>
            <a:ext uri="{FF2B5EF4-FFF2-40B4-BE49-F238E27FC236}">
              <a16:creationId xmlns:a16="http://schemas.microsoft.com/office/drawing/2014/main" id="{DE57724E-4A9D-40D9-AC26-BC8C94673E34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11" name="Line 2">
          <a:extLst>
            <a:ext uri="{FF2B5EF4-FFF2-40B4-BE49-F238E27FC236}">
              <a16:creationId xmlns:a16="http://schemas.microsoft.com/office/drawing/2014/main" id="{34BCC99E-08CF-4617-B375-497AB933E816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12" name="Line 3">
          <a:extLst>
            <a:ext uri="{FF2B5EF4-FFF2-40B4-BE49-F238E27FC236}">
              <a16:creationId xmlns:a16="http://schemas.microsoft.com/office/drawing/2014/main" id="{EE700836-5308-42CC-810D-1E7BFF9A6BA9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13" name="Line 4">
          <a:extLst>
            <a:ext uri="{FF2B5EF4-FFF2-40B4-BE49-F238E27FC236}">
              <a16:creationId xmlns:a16="http://schemas.microsoft.com/office/drawing/2014/main" id="{AB5D1BBC-2632-4833-9EDA-286BBE0DA817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214" name="Line 5">
          <a:extLst>
            <a:ext uri="{FF2B5EF4-FFF2-40B4-BE49-F238E27FC236}">
              <a16:creationId xmlns:a16="http://schemas.microsoft.com/office/drawing/2014/main" id="{B1B2EE55-B4F2-41FB-A815-57A4369D11E5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15" name="Line 2">
          <a:extLst>
            <a:ext uri="{FF2B5EF4-FFF2-40B4-BE49-F238E27FC236}">
              <a16:creationId xmlns:a16="http://schemas.microsoft.com/office/drawing/2014/main" id="{CB9B2BDC-2F0E-46E4-8D52-D057284E0C9A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216" name="Line 3">
          <a:extLst>
            <a:ext uri="{FF2B5EF4-FFF2-40B4-BE49-F238E27FC236}">
              <a16:creationId xmlns:a16="http://schemas.microsoft.com/office/drawing/2014/main" id="{064AC894-7F16-4429-BB8A-B198CD8B37C5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217" name="Line 4">
          <a:extLst>
            <a:ext uri="{FF2B5EF4-FFF2-40B4-BE49-F238E27FC236}">
              <a16:creationId xmlns:a16="http://schemas.microsoft.com/office/drawing/2014/main" id="{9DEA0C81-B9F5-4538-A685-E54E377B6A78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218" name="Line 2">
          <a:extLst>
            <a:ext uri="{FF2B5EF4-FFF2-40B4-BE49-F238E27FC236}">
              <a16:creationId xmlns:a16="http://schemas.microsoft.com/office/drawing/2014/main" id="{8E46F9CF-5429-452B-A651-5EB995CFD199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219" name="Line 3">
          <a:extLst>
            <a:ext uri="{FF2B5EF4-FFF2-40B4-BE49-F238E27FC236}">
              <a16:creationId xmlns:a16="http://schemas.microsoft.com/office/drawing/2014/main" id="{26521B03-58D7-481A-A90C-80714E212C52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712</xdr:row>
      <xdr:rowOff>0</xdr:rowOff>
    </xdr:from>
    <xdr:to>
      <xdr:col>8</xdr:col>
      <xdr:colOff>180975</xdr:colOff>
      <xdr:row>712</xdr:row>
      <xdr:rowOff>0</xdr:rowOff>
    </xdr:to>
    <xdr:sp macro="" textlink="">
      <xdr:nvSpPr>
        <xdr:cNvPr id="1220" name="Line 4">
          <a:extLst>
            <a:ext uri="{FF2B5EF4-FFF2-40B4-BE49-F238E27FC236}">
              <a16:creationId xmlns:a16="http://schemas.microsoft.com/office/drawing/2014/main" id="{A401B135-E70A-4616-B5D8-00FF6FAF996F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221" name="Line 2">
          <a:extLst>
            <a:ext uri="{FF2B5EF4-FFF2-40B4-BE49-F238E27FC236}">
              <a16:creationId xmlns:a16="http://schemas.microsoft.com/office/drawing/2014/main" id="{AAFA15FB-BD05-4F69-8AC2-A74BE6067EC0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222" name="Line 3">
          <a:extLst>
            <a:ext uri="{FF2B5EF4-FFF2-40B4-BE49-F238E27FC236}">
              <a16:creationId xmlns:a16="http://schemas.microsoft.com/office/drawing/2014/main" id="{C9F4EC43-7EFE-452D-BE6C-8DD6CADE1F81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715</xdr:row>
      <xdr:rowOff>0</xdr:rowOff>
    </xdr:from>
    <xdr:to>
      <xdr:col>8</xdr:col>
      <xdr:colOff>180975</xdr:colOff>
      <xdr:row>715</xdr:row>
      <xdr:rowOff>0</xdr:rowOff>
    </xdr:to>
    <xdr:sp macro="" textlink="">
      <xdr:nvSpPr>
        <xdr:cNvPr id="1223" name="Line 4">
          <a:extLst>
            <a:ext uri="{FF2B5EF4-FFF2-40B4-BE49-F238E27FC236}">
              <a16:creationId xmlns:a16="http://schemas.microsoft.com/office/drawing/2014/main" id="{D0956225-F7CF-4279-8457-AE9EDEFEF331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</xdr:row>
      <xdr:rowOff>0</xdr:rowOff>
    </xdr:from>
    <xdr:to>
      <xdr:col>8</xdr:col>
      <xdr:colOff>180975</xdr:colOff>
      <xdr:row>57</xdr:row>
      <xdr:rowOff>0</xdr:rowOff>
    </xdr:to>
    <xdr:sp macro="" textlink="">
      <xdr:nvSpPr>
        <xdr:cNvPr id="1224" name="Line 2">
          <a:extLst>
            <a:ext uri="{FF2B5EF4-FFF2-40B4-BE49-F238E27FC236}">
              <a16:creationId xmlns:a16="http://schemas.microsoft.com/office/drawing/2014/main" id="{05547BCF-ED6B-4FBD-9BEC-AB3E4CDD251F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225" name="Line 3">
          <a:extLst>
            <a:ext uri="{FF2B5EF4-FFF2-40B4-BE49-F238E27FC236}">
              <a16:creationId xmlns:a16="http://schemas.microsoft.com/office/drawing/2014/main" id="{2C421F02-622B-485A-92AF-6BC37114765F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226" name="Line 5">
          <a:extLst>
            <a:ext uri="{FF2B5EF4-FFF2-40B4-BE49-F238E27FC236}">
              <a16:creationId xmlns:a16="http://schemas.microsoft.com/office/drawing/2014/main" id="{9D1D7E8D-9C04-40EC-9C67-FA1A66CF54EB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122</xdr:row>
      <xdr:rowOff>0</xdr:rowOff>
    </xdr:from>
    <xdr:to>
      <xdr:col>8</xdr:col>
      <xdr:colOff>180975</xdr:colOff>
      <xdr:row>122</xdr:row>
      <xdr:rowOff>0</xdr:rowOff>
    </xdr:to>
    <xdr:sp macro="" textlink="">
      <xdr:nvSpPr>
        <xdr:cNvPr id="1227" name="Line 2">
          <a:extLst>
            <a:ext uri="{FF2B5EF4-FFF2-40B4-BE49-F238E27FC236}">
              <a16:creationId xmlns:a16="http://schemas.microsoft.com/office/drawing/2014/main" id="{8F4A7BE3-32DA-4BDB-8BE7-FE40580A2DF4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228" name="Line 3">
          <a:extLst>
            <a:ext uri="{FF2B5EF4-FFF2-40B4-BE49-F238E27FC236}">
              <a16:creationId xmlns:a16="http://schemas.microsoft.com/office/drawing/2014/main" id="{3D42E0B1-4B47-419E-9E29-366BB3540B49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229" name="Line 5">
          <a:extLst>
            <a:ext uri="{FF2B5EF4-FFF2-40B4-BE49-F238E27FC236}">
              <a16:creationId xmlns:a16="http://schemas.microsoft.com/office/drawing/2014/main" id="{6A5151E4-147E-4072-B3C4-717A03D30669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230" name="Line 2">
          <a:extLst>
            <a:ext uri="{FF2B5EF4-FFF2-40B4-BE49-F238E27FC236}">
              <a16:creationId xmlns:a16="http://schemas.microsoft.com/office/drawing/2014/main" id="{60E67AA2-66F5-4410-837F-9BB9B9BCDDEC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231" name="Line 3">
          <a:extLst>
            <a:ext uri="{FF2B5EF4-FFF2-40B4-BE49-F238E27FC236}">
              <a16:creationId xmlns:a16="http://schemas.microsoft.com/office/drawing/2014/main" id="{EC836913-8FE1-4B0A-BEAC-85EEC823C1EA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232" name="Line 4">
          <a:extLst>
            <a:ext uri="{FF2B5EF4-FFF2-40B4-BE49-F238E27FC236}">
              <a16:creationId xmlns:a16="http://schemas.microsoft.com/office/drawing/2014/main" id="{A590E407-C065-4F0E-B35B-CB3577F05F35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107</xdr:row>
      <xdr:rowOff>0</xdr:rowOff>
    </xdr:from>
    <xdr:to>
      <xdr:col>8</xdr:col>
      <xdr:colOff>180975</xdr:colOff>
      <xdr:row>107</xdr:row>
      <xdr:rowOff>0</xdr:rowOff>
    </xdr:to>
    <xdr:sp macro="" textlink="">
      <xdr:nvSpPr>
        <xdr:cNvPr id="1233" name="Line 7">
          <a:extLst>
            <a:ext uri="{FF2B5EF4-FFF2-40B4-BE49-F238E27FC236}">
              <a16:creationId xmlns:a16="http://schemas.microsoft.com/office/drawing/2014/main" id="{895EE9B0-847F-4D38-A156-9B35E1DA173E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1234" name="Line 2">
          <a:extLst>
            <a:ext uri="{FF2B5EF4-FFF2-40B4-BE49-F238E27FC236}">
              <a16:creationId xmlns:a16="http://schemas.microsoft.com/office/drawing/2014/main" id="{94D69457-26EA-4869-825C-CDA799047A71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235" name="Line 3">
          <a:extLst>
            <a:ext uri="{FF2B5EF4-FFF2-40B4-BE49-F238E27FC236}">
              <a16:creationId xmlns:a16="http://schemas.microsoft.com/office/drawing/2014/main" id="{0BD68E73-8709-4DFB-8BB8-30B16E38A814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236" name="Line 5">
          <a:extLst>
            <a:ext uri="{FF2B5EF4-FFF2-40B4-BE49-F238E27FC236}">
              <a16:creationId xmlns:a16="http://schemas.microsoft.com/office/drawing/2014/main" id="{4DB6BB25-8E42-4290-ABFD-61741B8EE504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237" name="Line 2">
          <a:extLst>
            <a:ext uri="{FF2B5EF4-FFF2-40B4-BE49-F238E27FC236}">
              <a16:creationId xmlns:a16="http://schemas.microsoft.com/office/drawing/2014/main" id="{036F507D-B9BA-45C4-8855-1CD6F22E15A1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238" name="Line 3">
          <a:extLst>
            <a:ext uri="{FF2B5EF4-FFF2-40B4-BE49-F238E27FC236}">
              <a16:creationId xmlns:a16="http://schemas.microsoft.com/office/drawing/2014/main" id="{37727306-4704-4A37-B699-D8248ED1A453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239" name="Line 4">
          <a:extLst>
            <a:ext uri="{FF2B5EF4-FFF2-40B4-BE49-F238E27FC236}">
              <a16:creationId xmlns:a16="http://schemas.microsoft.com/office/drawing/2014/main" id="{C14E0326-2B94-4792-B8B6-4E0761411018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240" name="Line 5">
          <a:extLst>
            <a:ext uri="{FF2B5EF4-FFF2-40B4-BE49-F238E27FC236}">
              <a16:creationId xmlns:a16="http://schemas.microsoft.com/office/drawing/2014/main" id="{A3F24E27-AAF4-4601-9E98-0505B51AF888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241" name="Line 2">
          <a:extLst>
            <a:ext uri="{FF2B5EF4-FFF2-40B4-BE49-F238E27FC236}">
              <a16:creationId xmlns:a16="http://schemas.microsoft.com/office/drawing/2014/main" id="{F7946B40-581B-4C56-B552-5FD45585956F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242" name="Line 3">
          <a:extLst>
            <a:ext uri="{FF2B5EF4-FFF2-40B4-BE49-F238E27FC236}">
              <a16:creationId xmlns:a16="http://schemas.microsoft.com/office/drawing/2014/main" id="{18466F60-E9AC-47BE-A225-43E9A6562CAE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243" name="Line 4">
          <a:extLst>
            <a:ext uri="{FF2B5EF4-FFF2-40B4-BE49-F238E27FC236}">
              <a16:creationId xmlns:a16="http://schemas.microsoft.com/office/drawing/2014/main" id="{2CA00CF6-29D1-4041-847E-FFD382CB1E65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244" name="Line 5">
          <a:extLst>
            <a:ext uri="{FF2B5EF4-FFF2-40B4-BE49-F238E27FC236}">
              <a16:creationId xmlns:a16="http://schemas.microsoft.com/office/drawing/2014/main" id="{9D7D3214-FC0C-4AF7-B2E2-07A4C170CBBE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245" name="Line 2">
          <a:extLst>
            <a:ext uri="{FF2B5EF4-FFF2-40B4-BE49-F238E27FC236}">
              <a16:creationId xmlns:a16="http://schemas.microsoft.com/office/drawing/2014/main" id="{4C6527F4-5E42-4C49-B77D-C70773304E86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246" name="Line 3">
          <a:extLst>
            <a:ext uri="{FF2B5EF4-FFF2-40B4-BE49-F238E27FC236}">
              <a16:creationId xmlns:a16="http://schemas.microsoft.com/office/drawing/2014/main" id="{A3811B8E-2082-4C76-B7D8-3BC50B967736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247" name="Line 5">
          <a:extLst>
            <a:ext uri="{FF2B5EF4-FFF2-40B4-BE49-F238E27FC236}">
              <a16:creationId xmlns:a16="http://schemas.microsoft.com/office/drawing/2014/main" id="{C7A43F73-B4B4-4B6A-B3B2-C810EEE3AC88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248" name="Line 2">
          <a:extLst>
            <a:ext uri="{FF2B5EF4-FFF2-40B4-BE49-F238E27FC236}">
              <a16:creationId xmlns:a16="http://schemas.microsoft.com/office/drawing/2014/main" id="{66AB883E-8CA9-4B3B-824E-B08167D36A4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249" name="Line 3">
          <a:extLst>
            <a:ext uri="{FF2B5EF4-FFF2-40B4-BE49-F238E27FC236}">
              <a16:creationId xmlns:a16="http://schemas.microsoft.com/office/drawing/2014/main" id="{CDD05AEC-BFEE-41CB-9518-ED920D491DBF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250" name="Line 4">
          <a:extLst>
            <a:ext uri="{FF2B5EF4-FFF2-40B4-BE49-F238E27FC236}">
              <a16:creationId xmlns:a16="http://schemas.microsoft.com/office/drawing/2014/main" id="{2DD1F2E6-0F9B-4645-B097-2DE96C2BBD63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251" name="Line 5">
          <a:extLst>
            <a:ext uri="{FF2B5EF4-FFF2-40B4-BE49-F238E27FC236}">
              <a16:creationId xmlns:a16="http://schemas.microsoft.com/office/drawing/2014/main" id="{70BB09C9-8887-4E93-A4FD-04F3D5D5DC0F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52" name="Line 2">
          <a:extLst>
            <a:ext uri="{FF2B5EF4-FFF2-40B4-BE49-F238E27FC236}">
              <a16:creationId xmlns:a16="http://schemas.microsoft.com/office/drawing/2014/main" id="{5D2268FA-A5D7-45A8-9B41-7860658B873E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53" name="Line 3">
          <a:extLst>
            <a:ext uri="{FF2B5EF4-FFF2-40B4-BE49-F238E27FC236}">
              <a16:creationId xmlns:a16="http://schemas.microsoft.com/office/drawing/2014/main" id="{2873E71D-4427-4669-918D-2EB13692830E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54" name="Line 4">
          <a:extLst>
            <a:ext uri="{FF2B5EF4-FFF2-40B4-BE49-F238E27FC236}">
              <a16:creationId xmlns:a16="http://schemas.microsoft.com/office/drawing/2014/main" id="{AE3EBF32-E2A4-4160-BCFC-7E0C8A353C1D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255" name="Line 5">
          <a:extLst>
            <a:ext uri="{FF2B5EF4-FFF2-40B4-BE49-F238E27FC236}">
              <a16:creationId xmlns:a16="http://schemas.microsoft.com/office/drawing/2014/main" id="{823A4EAF-829C-488C-9DBE-AD4D3436F6EA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256" name="Line 2">
          <a:extLst>
            <a:ext uri="{FF2B5EF4-FFF2-40B4-BE49-F238E27FC236}">
              <a16:creationId xmlns:a16="http://schemas.microsoft.com/office/drawing/2014/main" id="{9A8C6599-E603-457A-8A93-1BD12F88101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257" name="Line 3">
          <a:extLst>
            <a:ext uri="{FF2B5EF4-FFF2-40B4-BE49-F238E27FC236}">
              <a16:creationId xmlns:a16="http://schemas.microsoft.com/office/drawing/2014/main" id="{18625834-C431-4DFA-BB76-3CAFBA00981E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258" name="Line 4">
          <a:extLst>
            <a:ext uri="{FF2B5EF4-FFF2-40B4-BE49-F238E27FC236}">
              <a16:creationId xmlns:a16="http://schemas.microsoft.com/office/drawing/2014/main" id="{DA84421C-61D7-418D-B8E2-487083FA6BF6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259" name="Line 5">
          <a:extLst>
            <a:ext uri="{FF2B5EF4-FFF2-40B4-BE49-F238E27FC236}">
              <a16:creationId xmlns:a16="http://schemas.microsoft.com/office/drawing/2014/main" id="{DD779778-526E-4500-9B4B-EEC0E03F639B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260" name="Line 7">
          <a:extLst>
            <a:ext uri="{FF2B5EF4-FFF2-40B4-BE49-F238E27FC236}">
              <a16:creationId xmlns:a16="http://schemas.microsoft.com/office/drawing/2014/main" id="{2454A6CB-A17B-44B3-937A-A3E0827365AB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261" name="Line 8">
          <a:extLst>
            <a:ext uri="{FF2B5EF4-FFF2-40B4-BE49-F238E27FC236}">
              <a16:creationId xmlns:a16="http://schemas.microsoft.com/office/drawing/2014/main" id="{645AEDA1-0B85-4F83-A4A8-514190DDE5A6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262" name="Rectangle 7">
          <a:extLst>
            <a:ext uri="{FF2B5EF4-FFF2-40B4-BE49-F238E27FC236}">
              <a16:creationId xmlns:a16="http://schemas.microsoft.com/office/drawing/2014/main" id="{62B28F49-31D6-412E-B21C-5000EBEAC9C7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263" name="Rectangle 8">
          <a:extLst>
            <a:ext uri="{FF2B5EF4-FFF2-40B4-BE49-F238E27FC236}">
              <a16:creationId xmlns:a16="http://schemas.microsoft.com/office/drawing/2014/main" id="{A37E5D9A-38B1-4DAE-B7D6-E2D2AB7A63DE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264" name="Line 2">
          <a:extLst>
            <a:ext uri="{FF2B5EF4-FFF2-40B4-BE49-F238E27FC236}">
              <a16:creationId xmlns:a16="http://schemas.microsoft.com/office/drawing/2014/main" id="{BF52CB6B-C8C5-403D-B80C-19B2AF199709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265" name="Line 3">
          <a:extLst>
            <a:ext uri="{FF2B5EF4-FFF2-40B4-BE49-F238E27FC236}">
              <a16:creationId xmlns:a16="http://schemas.microsoft.com/office/drawing/2014/main" id="{0131A7D0-FA24-4E64-AC00-EED0B9040C80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266" name="Line 5">
          <a:extLst>
            <a:ext uri="{FF2B5EF4-FFF2-40B4-BE49-F238E27FC236}">
              <a16:creationId xmlns:a16="http://schemas.microsoft.com/office/drawing/2014/main" id="{8C7E4A87-DDD3-4210-9AE2-9CDD4BBA9E1F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267" name="Line 2">
          <a:extLst>
            <a:ext uri="{FF2B5EF4-FFF2-40B4-BE49-F238E27FC236}">
              <a16:creationId xmlns:a16="http://schemas.microsoft.com/office/drawing/2014/main" id="{A42DE66D-11E0-4F17-895C-E51677431E1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268" name="Line 3">
          <a:extLst>
            <a:ext uri="{FF2B5EF4-FFF2-40B4-BE49-F238E27FC236}">
              <a16:creationId xmlns:a16="http://schemas.microsoft.com/office/drawing/2014/main" id="{7109DC72-AA65-486C-BF23-4367AB8142A5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269" name="Line 4">
          <a:extLst>
            <a:ext uri="{FF2B5EF4-FFF2-40B4-BE49-F238E27FC236}">
              <a16:creationId xmlns:a16="http://schemas.microsoft.com/office/drawing/2014/main" id="{5BBEE4FD-0E8B-445B-BE09-226689B2C4D0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270" name="Line 5">
          <a:extLst>
            <a:ext uri="{FF2B5EF4-FFF2-40B4-BE49-F238E27FC236}">
              <a16:creationId xmlns:a16="http://schemas.microsoft.com/office/drawing/2014/main" id="{080E6759-351E-4A32-9F45-C4CE1D812B52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71" name="Line 2">
          <a:extLst>
            <a:ext uri="{FF2B5EF4-FFF2-40B4-BE49-F238E27FC236}">
              <a16:creationId xmlns:a16="http://schemas.microsoft.com/office/drawing/2014/main" id="{FD6B41AB-2C72-4BBF-97A5-5444FD489BB2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72" name="Line 3">
          <a:extLst>
            <a:ext uri="{FF2B5EF4-FFF2-40B4-BE49-F238E27FC236}">
              <a16:creationId xmlns:a16="http://schemas.microsoft.com/office/drawing/2014/main" id="{F0C8336D-C647-4989-94FB-CFAA1EC8695C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273" name="Line 4">
          <a:extLst>
            <a:ext uri="{FF2B5EF4-FFF2-40B4-BE49-F238E27FC236}">
              <a16:creationId xmlns:a16="http://schemas.microsoft.com/office/drawing/2014/main" id="{E51CF8A7-E84E-4B75-BD88-0BCF5038BE6A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274" name="Line 5">
          <a:extLst>
            <a:ext uri="{FF2B5EF4-FFF2-40B4-BE49-F238E27FC236}">
              <a16:creationId xmlns:a16="http://schemas.microsoft.com/office/drawing/2014/main" id="{596C41E2-8148-4A12-8523-C8AAB4C0A568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275" name="Line 2">
          <a:extLst>
            <a:ext uri="{FF2B5EF4-FFF2-40B4-BE49-F238E27FC236}">
              <a16:creationId xmlns:a16="http://schemas.microsoft.com/office/drawing/2014/main" id="{F7370B72-5188-4817-BF4F-031DBF113D11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276" name="Line 3">
          <a:extLst>
            <a:ext uri="{FF2B5EF4-FFF2-40B4-BE49-F238E27FC236}">
              <a16:creationId xmlns:a16="http://schemas.microsoft.com/office/drawing/2014/main" id="{176A557A-66B6-41A5-9886-6F1D14A62BB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277" name="Line 4">
          <a:extLst>
            <a:ext uri="{FF2B5EF4-FFF2-40B4-BE49-F238E27FC236}">
              <a16:creationId xmlns:a16="http://schemas.microsoft.com/office/drawing/2014/main" id="{6268070C-E08C-472E-80DC-CB6729C2CFCC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278" name="Line 5">
          <a:extLst>
            <a:ext uri="{FF2B5EF4-FFF2-40B4-BE49-F238E27FC236}">
              <a16:creationId xmlns:a16="http://schemas.microsoft.com/office/drawing/2014/main" id="{E7578EF2-F5A8-48CC-8E98-96BAA3E863EA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279" name="Line 7">
          <a:extLst>
            <a:ext uri="{FF2B5EF4-FFF2-40B4-BE49-F238E27FC236}">
              <a16:creationId xmlns:a16="http://schemas.microsoft.com/office/drawing/2014/main" id="{5AC5D0B9-EE79-4825-9957-45A35BF98171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280" name="Line 8">
          <a:extLst>
            <a:ext uri="{FF2B5EF4-FFF2-40B4-BE49-F238E27FC236}">
              <a16:creationId xmlns:a16="http://schemas.microsoft.com/office/drawing/2014/main" id="{5E1E4176-CCAE-4989-B7E1-6855372F7BB8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281" name="Rectangle 7">
          <a:extLst>
            <a:ext uri="{FF2B5EF4-FFF2-40B4-BE49-F238E27FC236}">
              <a16:creationId xmlns:a16="http://schemas.microsoft.com/office/drawing/2014/main" id="{5976316B-052E-4804-B8AB-F3EAF1E76982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282" name="Rectangle 8">
          <a:extLst>
            <a:ext uri="{FF2B5EF4-FFF2-40B4-BE49-F238E27FC236}">
              <a16:creationId xmlns:a16="http://schemas.microsoft.com/office/drawing/2014/main" id="{EC5657BE-53C2-4167-8B77-58145CD86A2E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283" name="Line 3">
          <a:extLst>
            <a:ext uri="{FF2B5EF4-FFF2-40B4-BE49-F238E27FC236}">
              <a16:creationId xmlns:a16="http://schemas.microsoft.com/office/drawing/2014/main" id="{160EA984-3D0B-4D97-B018-521A7775B474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284" name="Line 5">
          <a:extLst>
            <a:ext uri="{FF2B5EF4-FFF2-40B4-BE49-F238E27FC236}">
              <a16:creationId xmlns:a16="http://schemas.microsoft.com/office/drawing/2014/main" id="{B42D39F6-2D2B-4432-AB4F-F48B7E1F4EC3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285" name="Line 2">
          <a:extLst>
            <a:ext uri="{FF2B5EF4-FFF2-40B4-BE49-F238E27FC236}">
              <a16:creationId xmlns:a16="http://schemas.microsoft.com/office/drawing/2014/main" id="{FEF93FBB-7B8E-43F1-8A61-5D1451228BAE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286" name="Line 3">
          <a:extLst>
            <a:ext uri="{FF2B5EF4-FFF2-40B4-BE49-F238E27FC236}">
              <a16:creationId xmlns:a16="http://schemas.microsoft.com/office/drawing/2014/main" id="{EF71C1FA-741B-44F0-9B07-AEE99E6B0144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287" name="Line 4">
          <a:extLst>
            <a:ext uri="{FF2B5EF4-FFF2-40B4-BE49-F238E27FC236}">
              <a16:creationId xmlns:a16="http://schemas.microsoft.com/office/drawing/2014/main" id="{0157A278-4FE7-49F7-B72C-281254ADAC1F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288" name="Line 5">
          <a:extLst>
            <a:ext uri="{FF2B5EF4-FFF2-40B4-BE49-F238E27FC236}">
              <a16:creationId xmlns:a16="http://schemas.microsoft.com/office/drawing/2014/main" id="{7719CB2F-2E90-4511-BD51-DE712E950851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1289" name="Line 7">
          <a:extLst>
            <a:ext uri="{FF2B5EF4-FFF2-40B4-BE49-F238E27FC236}">
              <a16:creationId xmlns:a16="http://schemas.microsoft.com/office/drawing/2014/main" id="{770B4889-9331-4953-8F86-463EFBE23C60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90" name="Line 2">
          <a:extLst>
            <a:ext uri="{FF2B5EF4-FFF2-40B4-BE49-F238E27FC236}">
              <a16:creationId xmlns:a16="http://schemas.microsoft.com/office/drawing/2014/main" id="{6793774F-4ED6-49E0-8049-529EFDD659E7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91" name="Line 3">
          <a:extLst>
            <a:ext uri="{FF2B5EF4-FFF2-40B4-BE49-F238E27FC236}">
              <a16:creationId xmlns:a16="http://schemas.microsoft.com/office/drawing/2014/main" id="{B3E6D9A1-3B3B-4059-A08B-1FF70EDFEC39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92" name="Line 4">
          <a:extLst>
            <a:ext uri="{FF2B5EF4-FFF2-40B4-BE49-F238E27FC236}">
              <a16:creationId xmlns:a16="http://schemas.microsoft.com/office/drawing/2014/main" id="{6BA69CDE-68C5-444B-80A1-86DECB96B04A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293" name="Line 5">
          <a:extLst>
            <a:ext uri="{FF2B5EF4-FFF2-40B4-BE49-F238E27FC236}">
              <a16:creationId xmlns:a16="http://schemas.microsoft.com/office/drawing/2014/main" id="{22EB49F1-E2A1-4ABC-97F1-B2A6D50C5917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94" name="Line 2">
          <a:extLst>
            <a:ext uri="{FF2B5EF4-FFF2-40B4-BE49-F238E27FC236}">
              <a16:creationId xmlns:a16="http://schemas.microsoft.com/office/drawing/2014/main" id="{FCF7BA47-8E0B-45C5-B48E-10041500E8FF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295" name="Line 3">
          <a:extLst>
            <a:ext uri="{FF2B5EF4-FFF2-40B4-BE49-F238E27FC236}">
              <a16:creationId xmlns:a16="http://schemas.microsoft.com/office/drawing/2014/main" id="{8FA059EA-9EA0-4820-A7D6-B881954DF4C9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296" name="Line 4">
          <a:extLst>
            <a:ext uri="{FF2B5EF4-FFF2-40B4-BE49-F238E27FC236}">
              <a16:creationId xmlns:a16="http://schemas.microsoft.com/office/drawing/2014/main" id="{AD662580-DF7A-4BEC-AF2C-0C5D6273989C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381</xdr:row>
      <xdr:rowOff>0</xdr:rowOff>
    </xdr:from>
    <xdr:to>
      <xdr:col>8</xdr:col>
      <xdr:colOff>180975</xdr:colOff>
      <xdr:row>381</xdr:row>
      <xdr:rowOff>0</xdr:rowOff>
    </xdr:to>
    <xdr:sp macro="" textlink="">
      <xdr:nvSpPr>
        <xdr:cNvPr id="1297" name="Line 5">
          <a:extLst>
            <a:ext uri="{FF2B5EF4-FFF2-40B4-BE49-F238E27FC236}">
              <a16:creationId xmlns:a16="http://schemas.microsoft.com/office/drawing/2014/main" id="{88558461-22B3-4446-93DE-758CD9166882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369</xdr:row>
      <xdr:rowOff>0</xdr:rowOff>
    </xdr:from>
    <xdr:to>
      <xdr:col>8</xdr:col>
      <xdr:colOff>180975</xdr:colOff>
      <xdr:row>369</xdr:row>
      <xdr:rowOff>0</xdr:rowOff>
    </xdr:to>
    <xdr:sp macro="" textlink="">
      <xdr:nvSpPr>
        <xdr:cNvPr id="1298" name="Line 7">
          <a:extLst>
            <a:ext uri="{FF2B5EF4-FFF2-40B4-BE49-F238E27FC236}">
              <a16:creationId xmlns:a16="http://schemas.microsoft.com/office/drawing/2014/main" id="{1505363C-9364-4BAA-A806-1AC075E4D089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299" name="Line 3">
          <a:extLst>
            <a:ext uri="{FF2B5EF4-FFF2-40B4-BE49-F238E27FC236}">
              <a16:creationId xmlns:a16="http://schemas.microsoft.com/office/drawing/2014/main" id="{32E95DE5-CE64-45B3-A874-68888C3BA9B7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300" name="Line 5">
          <a:extLst>
            <a:ext uri="{FF2B5EF4-FFF2-40B4-BE49-F238E27FC236}">
              <a16:creationId xmlns:a16="http://schemas.microsoft.com/office/drawing/2014/main" id="{8FD17188-C3ED-4FE7-AEB3-EC8B1632956B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301" name="Line 2">
          <a:extLst>
            <a:ext uri="{FF2B5EF4-FFF2-40B4-BE49-F238E27FC236}">
              <a16:creationId xmlns:a16="http://schemas.microsoft.com/office/drawing/2014/main" id="{4F0B86CA-1A60-423E-802B-2244B017641E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302" name="Line 3">
          <a:extLst>
            <a:ext uri="{FF2B5EF4-FFF2-40B4-BE49-F238E27FC236}">
              <a16:creationId xmlns:a16="http://schemas.microsoft.com/office/drawing/2014/main" id="{045E16E7-95C8-4B0C-A5C3-380A94DD4EBC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303" name="Line 4">
          <a:extLst>
            <a:ext uri="{FF2B5EF4-FFF2-40B4-BE49-F238E27FC236}">
              <a16:creationId xmlns:a16="http://schemas.microsoft.com/office/drawing/2014/main" id="{91D35EC5-72F5-474A-B531-E8A6DA7402D8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304" name="Line 5">
          <a:extLst>
            <a:ext uri="{FF2B5EF4-FFF2-40B4-BE49-F238E27FC236}">
              <a16:creationId xmlns:a16="http://schemas.microsoft.com/office/drawing/2014/main" id="{C32E442C-559D-43D1-B700-A836EB98A8F4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05" name="Line 2">
          <a:extLst>
            <a:ext uri="{FF2B5EF4-FFF2-40B4-BE49-F238E27FC236}">
              <a16:creationId xmlns:a16="http://schemas.microsoft.com/office/drawing/2014/main" id="{C8C54B2F-F41B-41E4-B6C1-7728C686E7B2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06" name="Line 3">
          <a:extLst>
            <a:ext uri="{FF2B5EF4-FFF2-40B4-BE49-F238E27FC236}">
              <a16:creationId xmlns:a16="http://schemas.microsoft.com/office/drawing/2014/main" id="{6E134713-6BFE-423C-8349-832B06FA1EE4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07" name="Line 4">
          <a:extLst>
            <a:ext uri="{FF2B5EF4-FFF2-40B4-BE49-F238E27FC236}">
              <a16:creationId xmlns:a16="http://schemas.microsoft.com/office/drawing/2014/main" id="{94180F3D-3038-4A29-80F7-1A44A593E3A0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308" name="Line 5">
          <a:extLst>
            <a:ext uri="{FF2B5EF4-FFF2-40B4-BE49-F238E27FC236}">
              <a16:creationId xmlns:a16="http://schemas.microsoft.com/office/drawing/2014/main" id="{1F9945E5-DC15-4EB1-948A-DD19B542DB69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09" name="Line 2">
          <a:extLst>
            <a:ext uri="{FF2B5EF4-FFF2-40B4-BE49-F238E27FC236}">
              <a16:creationId xmlns:a16="http://schemas.microsoft.com/office/drawing/2014/main" id="{E47B3214-84AE-47EB-8DEE-63A91A6647C0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310" name="Line 3">
          <a:extLst>
            <a:ext uri="{FF2B5EF4-FFF2-40B4-BE49-F238E27FC236}">
              <a16:creationId xmlns:a16="http://schemas.microsoft.com/office/drawing/2014/main" id="{DF5FE988-5134-4BC0-B008-F4CBEB37A5DB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311" name="Line 4">
          <a:extLst>
            <a:ext uri="{FF2B5EF4-FFF2-40B4-BE49-F238E27FC236}">
              <a16:creationId xmlns:a16="http://schemas.microsoft.com/office/drawing/2014/main" id="{11EEFC41-8FCA-437D-9B32-8442E71C49B3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312" name="Line 5">
          <a:extLst>
            <a:ext uri="{FF2B5EF4-FFF2-40B4-BE49-F238E27FC236}">
              <a16:creationId xmlns:a16="http://schemas.microsoft.com/office/drawing/2014/main" id="{65C6052E-8271-4FD8-AA3D-CB9F8497FBD7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1313" name="Line 7">
          <a:extLst>
            <a:ext uri="{FF2B5EF4-FFF2-40B4-BE49-F238E27FC236}">
              <a16:creationId xmlns:a16="http://schemas.microsoft.com/office/drawing/2014/main" id="{F06BAACC-6379-447C-9635-767983A7540A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314" name="Line 2">
          <a:extLst>
            <a:ext uri="{FF2B5EF4-FFF2-40B4-BE49-F238E27FC236}">
              <a16:creationId xmlns:a16="http://schemas.microsoft.com/office/drawing/2014/main" id="{F2888771-218D-4B87-B7B0-AD8BEE2CE497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315" name="Line 3">
          <a:extLst>
            <a:ext uri="{FF2B5EF4-FFF2-40B4-BE49-F238E27FC236}">
              <a16:creationId xmlns:a16="http://schemas.microsoft.com/office/drawing/2014/main" id="{81312218-8E2A-4D76-8362-4D724F9EEF9E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1316" name="Line 4">
          <a:extLst>
            <a:ext uri="{FF2B5EF4-FFF2-40B4-BE49-F238E27FC236}">
              <a16:creationId xmlns:a16="http://schemas.microsoft.com/office/drawing/2014/main" id="{4FA4CCDC-9C65-4B2A-A923-0D58EE51EE22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317" name="Line 3">
          <a:extLst>
            <a:ext uri="{FF2B5EF4-FFF2-40B4-BE49-F238E27FC236}">
              <a16:creationId xmlns:a16="http://schemas.microsoft.com/office/drawing/2014/main" id="{D37EE09E-B787-45B4-A7A5-5A05373DEA41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318" name="Line 5">
          <a:extLst>
            <a:ext uri="{FF2B5EF4-FFF2-40B4-BE49-F238E27FC236}">
              <a16:creationId xmlns:a16="http://schemas.microsoft.com/office/drawing/2014/main" id="{75A4877B-5B79-4A0F-B522-EEDAEB53F590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319" name="Line 2">
          <a:extLst>
            <a:ext uri="{FF2B5EF4-FFF2-40B4-BE49-F238E27FC236}">
              <a16:creationId xmlns:a16="http://schemas.microsoft.com/office/drawing/2014/main" id="{3A906730-96A6-42BF-9AA2-71C43FC94963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320" name="Line 3">
          <a:extLst>
            <a:ext uri="{FF2B5EF4-FFF2-40B4-BE49-F238E27FC236}">
              <a16:creationId xmlns:a16="http://schemas.microsoft.com/office/drawing/2014/main" id="{B90FD3FA-23BD-465A-B3D1-628B89C794EC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321" name="Line 4">
          <a:extLst>
            <a:ext uri="{FF2B5EF4-FFF2-40B4-BE49-F238E27FC236}">
              <a16:creationId xmlns:a16="http://schemas.microsoft.com/office/drawing/2014/main" id="{2450026E-EB61-47D4-9CCF-9B8400F1B4BF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322" name="Line 5">
          <a:extLst>
            <a:ext uri="{FF2B5EF4-FFF2-40B4-BE49-F238E27FC236}">
              <a16:creationId xmlns:a16="http://schemas.microsoft.com/office/drawing/2014/main" id="{9EC5A101-274D-4041-880D-39EB4EE6B1C1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565</xdr:row>
      <xdr:rowOff>0</xdr:rowOff>
    </xdr:from>
    <xdr:to>
      <xdr:col>8</xdr:col>
      <xdr:colOff>180975</xdr:colOff>
      <xdr:row>565</xdr:row>
      <xdr:rowOff>0</xdr:rowOff>
    </xdr:to>
    <xdr:sp macro="" textlink="">
      <xdr:nvSpPr>
        <xdr:cNvPr id="1323" name="Line 7">
          <a:extLst>
            <a:ext uri="{FF2B5EF4-FFF2-40B4-BE49-F238E27FC236}">
              <a16:creationId xmlns:a16="http://schemas.microsoft.com/office/drawing/2014/main" id="{FBD6FE08-B872-4D87-9801-B8984CDABA00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24" name="Line 2">
          <a:extLst>
            <a:ext uri="{FF2B5EF4-FFF2-40B4-BE49-F238E27FC236}">
              <a16:creationId xmlns:a16="http://schemas.microsoft.com/office/drawing/2014/main" id="{9A168869-DB0A-470C-AF5D-1323D0DEBE22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25" name="Line 3">
          <a:extLst>
            <a:ext uri="{FF2B5EF4-FFF2-40B4-BE49-F238E27FC236}">
              <a16:creationId xmlns:a16="http://schemas.microsoft.com/office/drawing/2014/main" id="{F439E6CA-7430-49CF-819A-CB371F28BD13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26" name="Line 4">
          <a:extLst>
            <a:ext uri="{FF2B5EF4-FFF2-40B4-BE49-F238E27FC236}">
              <a16:creationId xmlns:a16="http://schemas.microsoft.com/office/drawing/2014/main" id="{BB8FA466-A6C0-41F7-824C-A8B5BD3C5A79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327" name="Line 5">
          <a:extLst>
            <a:ext uri="{FF2B5EF4-FFF2-40B4-BE49-F238E27FC236}">
              <a16:creationId xmlns:a16="http://schemas.microsoft.com/office/drawing/2014/main" id="{CC75AEB9-DAB0-46E3-8853-99C37D48ADE5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28" name="Line 2">
          <a:extLst>
            <a:ext uri="{FF2B5EF4-FFF2-40B4-BE49-F238E27FC236}">
              <a16:creationId xmlns:a16="http://schemas.microsoft.com/office/drawing/2014/main" id="{6107AD32-2BF1-4A4A-806E-267DC740DDC1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329" name="Line 3">
          <a:extLst>
            <a:ext uri="{FF2B5EF4-FFF2-40B4-BE49-F238E27FC236}">
              <a16:creationId xmlns:a16="http://schemas.microsoft.com/office/drawing/2014/main" id="{3F404C78-4061-4E1F-909A-90D1C3219B50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330" name="Line 4">
          <a:extLst>
            <a:ext uri="{FF2B5EF4-FFF2-40B4-BE49-F238E27FC236}">
              <a16:creationId xmlns:a16="http://schemas.microsoft.com/office/drawing/2014/main" id="{CBE258C6-7BAF-411B-9A31-0A4EAA5ABC0E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331" name="Line 2">
          <a:extLst>
            <a:ext uri="{FF2B5EF4-FFF2-40B4-BE49-F238E27FC236}">
              <a16:creationId xmlns:a16="http://schemas.microsoft.com/office/drawing/2014/main" id="{8A30535D-8DA5-4E69-978E-0D1469D4A314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332" name="Line 3">
          <a:extLst>
            <a:ext uri="{FF2B5EF4-FFF2-40B4-BE49-F238E27FC236}">
              <a16:creationId xmlns:a16="http://schemas.microsoft.com/office/drawing/2014/main" id="{03403457-6786-4CD9-94D9-FBAE0A62F6A8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333" name="Line 4">
          <a:extLst>
            <a:ext uri="{FF2B5EF4-FFF2-40B4-BE49-F238E27FC236}">
              <a16:creationId xmlns:a16="http://schemas.microsoft.com/office/drawing/2014/main" id="{09D874F8-88AA-4C0A-B09F-5885820439BC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334" name="Line 2">
          <a:extLst>
            <a:ext uri="{FF2B5EF4-FFF2-40B4-BE49-F238E27FC236}">
              <a16:creationId xmlns:a16="http://schemas.microsoft.com/office/drawing/2014/main" id="{E5509B78-971E-4ABE-BAF8-A8F962903E8D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335" name="Line 3">
          <a:extLst>
            <a:ext uri="{FF2B5EF4-FFF2-40B4-BE49-F238E27FC236}">
              <a16:creationId xmlns:a16="http://schemas.microsoft.com/office/drawing/2014/main" id="{BA1BB9EB-11E4-4D41-B155-3BAE3D03E67B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336" name="Line 4">
          <a:extLst>
            <a:ext uri="{FF2B5EF4-FFF2-40B4-BE49-F238E27FC236}">
              <a16:creationId xmlns:a16="http://schemas.microsoft.com/office/drawing/2014/main" id="{D064434A-79F0-4E5F-B4B7-57C24B00E3B2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337" name="Line 3">
          <a:extLst>
            <a:ext uri="{FF2B5EF4-FFF2-40B4-BE49-F238E27FC236}">
              <a16:creationId xmlns:a16="http://schemas.microsoft.com/office/drawing/2014/main" id="{7F690143-E7C4-48B3-8A50-2595AA384F15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338" name="Line 5">
          <a:extLst>
            <a:ext uri="{FF2B5EF4-FFF2-40B4-BE49-F238E27FC236}">
              <a16:creationId xmlns:a16="http://schemas.microsoft.com/office/drawing/2014/main" id="{0C5FCFBA-8263-481E-962E-E24D8A5B2EE9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339" name="Line 2">
          <a:extLst>
            <a:ext uri="{FF2B5EF4-FFF2-40B4-BE49-F238E27FC236}">
              <a16:creationId xmlns:a16="http://schemas.microsoft.com/office/drawing/2014/main" id="{2D31E966-DEAA-475C-9315-6F6E9AD97BA5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340" name="Line 3">
          <a:extLst>
            <a:ext uri="{FF2B5EF4-FFF2-40B4-BE49-F238E27FC236}">
              <a16:creationId xmlns:a16="http://schemas.microsoft.com/office/drawing/2014/main" id="{1649BAB4-949B-4824-B62A-CE5CB39EDC56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341" name="Line 4">
          <a:extLst>
            <a:ext uri="{FF2B5EF4-FFF2-40B4-BE49-F238E27FC236}">
              <a16:creationId xmlns:a16="http://schemas.microsoft.com/office/drawing/2014/main" id="{17C42A99-6371-4252-93C0-A09846DB2C72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342" name="Line 5">
          <a:extLst>
            <a:ext uri="{FF2B5EF4-FFF2-40B4-BE49-F238E27FC236}">
              <a16:creationId xmlns:a16="http://schemas.microsoft.com/office/drawing/2014/main" id="{63D83458-081A-4715-A091-53AAEB2E15A0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620</xdr:row>
      <xdr:rowOff>0</xdr:rowOff>
    </xdr:from>
    <xdr:to>
      <xdr:col>8</xdr:col>
      <xdr:colOff>180975</xdr:colOff>
      <xdr:row>620</xdr:row>
      <xdr:rowOff>0</xdr:rowOff>
    </xdr:to>
    <xdr:sp macro="" textlink="">
      <xdr:nvSpPr>
        <xdr:cNvPr id="1343" name="Line 7">
          <a:extLst>
            <a:ext uri="{FF2B5EF4-FFF2-40B4-BE49-F238E27FC236}">
              <a16:creationId xmlns:a16="http://schemas.microsoft.com/office/drawing/2014/main" id="{8E15BC9D-7EB3-4149-B382-344A35A3E771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44" name="Line 2">
          <a:extLst>
            <a:ext uri="{FF2B5EF4-FFF2-40B4-BE49-F238E27FC236}">
              <a16:creationId xmlns:a16="http://schemas.microsoft.com/office/drawing/2014/main" id="{A6D26484-9D1B-4840-9240-40EBE3559BDE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45" name="Line 3">
          <a:extLst>
            <a:ext uri="{FF2B5EF4-FFF2-40B4-BE49-F238E27FC236}">
              <a16:creationId xmlns:a16="http://schemas.microsoft.com/office/drawing/2014/main" id="{E5A56927-12A7-4E8E-8603-1B19F5259B25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46" name="Line 4">
          <a:extLst>
            <a:ext uri="{FF2B5EF4-FFF2-40B4-BE49-F238E27FC236}">
              <a16:creationId xmlns:a16="http://schemas.microsoft.com/office/drawing/2014/main" id="{133D73E4-CF8D-4EC9-B5C5-E997C6EA874A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347" name="Line 5">
          <a:extLst>
            <a:ext uri="{FF2B5EF4-FFF2-40B4-BE49-F238E27FC236}">
              <a16:creationId xmlns:a16="http://schemas.microsoft.com/office/drawing/2014/main" id="{A3F730D1-5EF4-4C63-A79E-4F887D0B20BF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48" name="Line 2">
          <a:extLst>
            <a:ext uri="{FF2B5EF4-FFF2-40B4-BE49-F238E27FC236}">
              <a16:creationId xmlns:a16="http://schemas.microsoft.com/office/drawing/2014/main" id="{5B36FB46-A696-4F76-901F-EAA3FA700505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349" name="Line 3">
          <a:extLst>
            <a:ext uri="{FF2B5EF4-FFF2-40B4-BE49-F238E27FC236}">
              <a16:creationId xmlns:a16="http://schemas.microsoft.com/office/drawing/2014/main" id="{45BD22BD-A584-4DD2-9FE9-D8A101FCF9AB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350" name="Line 4">
          <a:extLst>
            <a:ext uri="{FF2B5EF4-FFF2-40B4-BE49-F238E27FC236}">
              <a16:creationId xmlns:a16="http://schemas.microsoft.com/office/drawing/2014/main" id="{42984BE7-008E-49C0-B044-707BA4CF4DA9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351" name="Line 2">
          <a:extLst>
            <a:ext uri="{FF2B5EF4-FFF2-40B4-BE49-F238E27FC236}">
              <a16:creationId xmlns:a16="http://schemas.microsoft.com/office/drawing/2014/main" id="{2B795C18-FE9F-42F5-8CE1-1458AA19EDE0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352" name="Line 3">
          <a:extLst>
            <a:ext uri="{FF2B5EF4-FFF2-40B4-BE49-F238E27FC236}">
              <a16:creationId xmlns:a16="http://schemas.microsoft.com/office/drawing/2014/main" id="{28FA70CD-A1BF-4D44-9C95-D659EDF6BB4F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595</xdr:row>
      <xdr:rowOff>0</xdr:rowOff>
    </xdr:from>
    <xdr:to>
      <xdr:col>8</xdr:col>
      <xdr:colOff>180975</xdr:colOff>
      <xdr:row>595</xdr:row>
      <xdr:rowOff>0</xdr:rowOff>
    </xdr:to>
    <xdr:sp macro="" textlink="">
      <xdr:nvSpPr>
        <xdr:cNvPr id="1353" name="Line 4">
          <a:extLst>
            <a:ext uri="{FF2B5EF4-FFF2-40B4-BE49-F238E27FC236}">
              <a16:creationId xmlns:a16="http://schemas.microsoft.com/office/drawing/2014/main" id="{38DEDB14-C597-441C-84B2-084FF7D03EF1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354" name="Line 2">
          <a:extLst>
            <a:ext uri="{FF2B5EF4-FFF2-40B4-BE49-F238E27FC236}">
              <a16:creationId xmlns:a16="http://schemas.microsoft.com/office/drawing/2014/main" id="{755430CF-5EC2-40E3-8A5F-0681C1433B26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355" name="Line 3">
          <a:extLst>
            <a:ext uri="{FF2B5EF4-FFF2-40B4-BE49-F238E27FC236}">
              <a16:creationId xmlns:a16="http://schemas.microsoft.com/office/drawing/2014/main" id="{7B80BDC9-BD25-4C83-BDA7-4D00A7E91F34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1356" name="Line 4">
          <a:extLst>
            <a:ext uri="{FF2B5EF4-FFF2-40B4-BE49-F238E27FC236}">
              <a16:creationId xmlns:a16="http://schemas.microsoft.com/office/drawing/2014/main" id="{780B2FA9-A935-4D4F-A7B8-59A209197FDE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357" name="Line 3">
          <a:extLst>
            <a:ext uri="{FF2B5EF4-FFF2-40B4-BE49-F238E27FC236}">
              <a16:creationId xmlns:a16="http://schemas.microsoft.com/office/drawing/2014/main" id="{51CCB613-C5FC-4232-B803-E152B54B7649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358" name="Line 5">
          <a:extLst>
            <a:ext uri="{FF2B5EF4-FFF2-40B4-BE49-F238E27FC236}">
              <a16:creationId xmlns:a16="http://schemas.microsoft.com/office/drawing/2014/main" id="{D2F5200C-65BA-43A3-9CD3-A9303D96A38A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359" name="Line 2">
          <a:extLst>
            <a:ext uri="{FF2B5EF4-FFF2-40B4-BE49-F238E27FC236}">
              <a16:creationId xmlns:a16="http://schemas.microsoft.com/office/drawing/2014/main" id="{0E0FA9A7-5735-4752-93BD-BF42F4EEDC47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360" name="Line 3">
          <a:extLst>
            <a:ext uri="{FF2B5EF4-FFF2-40B4-BE49-F238E27FC236}">
              <a16:creationId xmlns:a16="http://schemas.microsoft.com/office/drawing/2014/main" id="{BC1EA655-A771-469B-B3B4-B80E12639DAD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361" name="Line 4">
          <a:extLst>
            <a:ext uri="{FF2B5EF4-FFF2-40B4-BE49-F238E27FC236}">
              <a16:creationId xmlns:a16="http://schemas.microsoft.com/office/drawing/2014/main" id="{223D72A9-EF8C-4B82-9ED5-F42123F85088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362" name="Line 5">
          <a:extLst>
            <a:ext uri="{FF2B5EF4-FFF2-40B4-BE49-F238E27FC236}">
              <a16:creationId xmlns:a16="http://schemas.microsoft.com/office/drawing/2014/main" id="{4C1CACB1-968D-47C8-BF5A-71B1AAAF1078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679</xdr:row>
      <xdr:rowOff>0</xdr:rowOff>
    </xdr:from>
    <xdr:to>
      <xdr:col>8</xdr:col>
      <xdr:colOff>180975</xdr:colOff>
      <xdr:row>679</xdr:row>
      <xdr:rowOff>0</xdr:rowOff>
    </xdr:to>
    <xdr:sp macro="" textlink="">
      <xdr:nvSpPr>
        <xdr:cNvPr id="1363" name="Line 7">
          <a:extLst>
            <a:ext uri="{FF2B5EF4-FFF2-40B4-BE49-F238E27FC236}">
              <a16:creationId xmlns:a16="http://schemas.microsoft.com/office/drawing/2014/main" id="{51FD72A5-CFD9-4227-A3A4-058590F6110F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64" name="Line 2">
          <a:extLst>
            <a:ext uri="{FF2B5EF4-FFF2-40B4-BE49-F238E27FC236}">
              <a16:creationId xmlns:a16="http://schemas.microsoft.com/office/drawing/2014/main" id="{FC184161-345A-45CD-95EA-7620B8B219F9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65" name="Line 3">
          <a:extLst>
            <a:ext uri="{FF2B5EF4-FFF2-40B4-BE49-F238E27FC236}">
              <a16:creationId xmlns:a16="http://schemas.microsoft.com/office/drawing/2014/main" id="{51FDFBD3-7291-46B2-9B42-0C2B089799AD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66" name="Line 4">
          <a:extLst>
            <a:ext uri="{FF2B5EF4-FFF2-40B4-BE49-F238E27FC236}">
              <a16:creationId xmlns:a16="http://schemas.microsoft.com/office/drawing/2014/main" id="{752D741C-B476-42DE-BF94-3DB21C0B06B8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367" name="Line 5">
          <a:extLst>
            <a:ext uri="{FF2B5EF4-FFF2-40B4-BE49-F238E27FC236}">
              <a16:creationId xmlns:a16="http://schemas.microsoft.com/office/drawing/2014/main" id="{C198843D-CDD3-4472-863B-EF504090821E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68" name="Line 2">
          <a:extLst>
            <a:ext uri="{FF2B5EF4-FFF2-40B4-BE49-F238E27FC236}">
              <a16:creationId xmlns:a16="http://schemas.microsoft.com/office/drawing/2014/main" id="{F736A45D-F091-4582-9499-4A2B1F71E3D6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369" name="Line 3">
          <a:extLst>
            <a:ext uri="{FF2B5EF4-FFF2-40B4-BE49-F238E27FC236}">
              <a16:creationId xmlns:a16="http://schemas.microsoft.com/office/drawing/2014/main" id="{BFC72D7F-BAB3-465D-BFD6-4479F69700AB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370" name="Line 4">
          <a:extLst>
            <a:ext uri="{FF2B5EF4-FFF2-40B4-BE49-F238E27FC236}">
              <a16:creationId xmlns:a16="http://schemas.microsoft.com/office/drawing/2014/main" id="{9C4FC902-F255-4671-8AC9-916C9FC6E5AF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371" name="Line 2">
          <a:extLst>
            <a:ext uri="{FF2B5EF4-FFF2-40B4-BE49-F238E27FC236}">
              <a16:creationId xmlns:a16="http://schemas.microsoft.com/office/drawing/2014/main" id="{346101BC-4CE1-418D-8C1D-5BAF786572CF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372" name="Line 3">
          <a:extLst>
            <a:ext uri="{FF2B5EF4-FFF2-40B4-BE49-F238E27FC236}">
              <a16:creationId xmlns:a16="http://schemas.microsoft.com/office/drawing/2014/main" id="{21BE277D-13ED-41B9-83E9-629BB6FB31FB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654</xdr:row>
      <xdr:rowOff>0</xdr:rowOff>
    </xdr:from>
    <xdr:to>
      <xdr:col>8</xdr:col>
      <xdr:colOff>180975</xdr:colOff>
      <xdr:row>654</xdr:row>
      <xdr:rowOff>0</xdr:rowOff>
    </xdr:to>
    <xdr:sp macro="" textlink="">
      <xdr:nvSpPr>
        <xdr:cNvPr id="1373" name="Line 4">
          <a:extLst>
            <a:ext uri="{FF2B5EF4-FFF2-40B4-BE49-F238E27FC236}">
              <a16:creationId xmlns:a16="http://schemas.microsoft.com/office/drawing/2014/main" id="{497BA3E8-5B35-4E06-8B7F-2DA6562978B8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374" name="Line 2">
          <a:extLst>
            <a:ext uri="{FF2B5EF4-FFF2-40B4-BE49-F238E27FC236}">
              <a16:creationId xmlns:a16="http://schemas.microsoft.com/office/drawing/2014/main" id="{83607963-2675-4292-8A2F-BB2C3B00CEC8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375" name="Line 3">
          <a:extLst>
            <a:ext uri="{FF2B5EF4-FFF2-40B4-BE49-F238E27FC236}">
              <a16:creationId xmlns:a16="http://schemas.microsoft.com/office/drawing/2014/main" id="{322F9A40-A46B-4786-AA25-74AB58F7D3A1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658</xdr:row>
      <xdr:rowOff>0</xdr:rowOff>
    </xdr:from>
    <xdr:to>
      <xdr:col>8</xdr:col>
      <xdr:colOff>180975</xdr:colOff>
      <xdr:row>658</xdr:row>
      <xdr:rowOff>0</xdr:rowOff>
    </xdr:to>
    <xdr:sp macro="" textlink="">
      <xdr:nvSpPr>
        <xdr:cNvPr id="1376" name="Line 4">
          <a:extLst>
            <a:ext uri="{FF2B5EF4-FFF2-40B4-BE49-F238E27FC236}">
              <a16:creationId xmlns:a16="http://schemas.microsoft.com/office/drawing/2014/main" id="{553367F8-65FA-41A8-BE76-607C9782CCB1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377" name="Line 3">
          <a:extLst>
            <a:ext uri="{FF2B5EF4-FFF2-40B4-BE49-F238E27FC236}">
              <a16:creationId xmlns:a16="http://schemas.microsoft.com/office/drawing/2014/main" id="{8A199792-8970-4F68-A3C7-3331FC7764BB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378" name="Line 5">
          <a:extLst>
            <a:ext uri="{FF2B5EF4-FFF2-40B4-BE49-F238E27FC236}">
              <a16:creationId xmlns:a16="http://schemas.microsoft.com/office/drawing/2014/main" id="{5B8A4AD5-2F1B-474D-AB52-2713F6FBEF1A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379" name="Line 2">
          <a:extLst>
            <a:ext uri="{FF2B5EF4-FFF2-40B4-BE49-F238E27FC236}">
              <a16:creationId xmlns:a16="http://schemas.microsoft.com/office/drawing/2014/main" id="{61572FE8-9ABE-48EA-A9B4-EF69C7E4245D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380" name="Line 3">
          <a:extLst>
            <a:ext uri="{FF2B5EF4-FFF2-40B4-BE49-F238E27FC236}">
              <a16:creationId xmlns:a16="http://schemas.microsoft.com/office/drawing/2014/main" id="{309D64F6-B5C1-4895-B05C-5F62E0502915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381" name="Line 4">
          <a:extLst>
            <a:ext uri="{FF2B5EF4-FFF2-40B4-BE49-F238E27FC236}">
              <a16:creationId xmlns:a16="http://schemas.microsoft.com/office/drawing/2014/main" id="{AA939681-724D-4693-BEBE-27040E5B9761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382" name="Line 5">
          <a:extLst>
            <a:ext uri="{FF2B5EF4-FFF2-40B4-BE49-F238E27FC236}">
              <a16:creationId xmlns:a16="http://schemas.microsoft.com/office/drawing/2014/main" id="{36788CC2-9B40-42EB-8C81-30D44EF32B47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737</xdr:row>
      <xdr:rowOff>0</xdr:rowOff>
    </xdr:from>
    <xdr:to>
      <xdr:col>8</xdr:col>
      <xdr:colOff>180975</xdr:colOff>
      <xdr:row>737</xdr:row>
      <xdr:rowOff>0</xdr:rowOff>
    </xdr:to>
    <xdr:sp macro="" textlink="">
      <xdr:nvSpPr>
        <xdr:cNvPr id="1383" name="Line 7">
          <a:extLst>
            <a:ext uri="{FF2B5EF4-FFF2-40B4-BE49-F238E27FC236}">
              <a16:creationId xmlns:a16="http://schemas.microsoft.com/office/drawing/2014/main" id="{A724D4DC-DEEE-4A8B-ACFD-F81FC77F2333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84" name="Line 2">
          <a:extLst>
            <a:ext uri="{FF2B5EF4-FFF2-40B4-BE49-F238E27FC236}">
              <a16:creationId xmlns:a16="http://schemas.microsoft.com/office/drawing/2014/main" id="{95A9B6AD-2193-4C8E-BC04-8019A0ED5DB6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85" name="Line 3">
          <a:extLst>
            <a:ext uri="{FF2B5EF4-FFF2-40B4-BE49-F238E27FC236}">
              <a16:creationId xmlns:a16="http://schemas.microsoft.com/office/drawing/2014/main" id="{230C2868-7D84-4C1A-A344-D7CB70C5CA0F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86" name="Line 4">
          <a:extLst>
            <a:ext uri="{FF2B5EF4-FFF2-40B4-BE49-F238E27FC236}">
              <a16:creationId xmlns:a16="http://schemas.microsoft.com/office/drawing/2014/main" id="{C5EC6821-B777-4E3E-913C-9DF7C7A74478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387" name="Line 5">
          <a:extLst>
            <a:ext uri="{FF2B5EF4-FFF2-40B4-BE49-F238E27FC236}">
              <a16:creationId xmlns:a16="http://schemas.microsoft.com/office/drawing/2014/main" id="{C3FC736A-E3A0-451A-9F18-B7D274E347E8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88" name="Line 2">
          <a:extLst>
            <a:ext uri="{FF2B5EF4-FFF2-40B4-BE49-F238E27FC236}">
              <a16:creationId xmlns:a16="http://schemas.microsoft.com/office/drawing/2014/main" id="{01600DC0-AC30-43F2-BC8E-45B53CBCFFAB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389" name="Line 3">
          <a:extLst>
            <a:ext uri="{FF2B5EF4-FFF2-40B4-BE49-F238E27FC236}">
              <a16:creationId xmlns:a16="http://schemas.microsoft.com/office/drawing/2014/main" id="{4585650C-D135-472F-80BE-3FB1242B23CF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390" name="Line 4">
          <a:extLst>
            <a:ext uri="{FF2B5EF4-FFF2-40B4-BE49-F238E27FC236}">
              <a16:creationId xmlns:a16="http://schemas.microsoft.com/office/drawing/2014/main" id="{1E7F82EB-CB44-4353-9834-018DA89F47DC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391" name="Line 2">
          <a:extLst>
            <a:ext uri="{FF2B5EF4-FFF2-40B4-BE49-F238E27FC236}">
              <a16:creationId xmlns:a16="http://schemas.microsoft.com/office/drawing/2014/main" id="{6151C0B0-8E1D-4D22-B3FB-02EFDDE76A55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392" name="Line 3">
          <a:extLst>
            <a:ext uri="{FF2B5EF4-FFF2-40B4-BE49-F238E27FC236}">
              <a16:creationId xmlns:a16="http://schemas.microsoft.com/office/drawing/2014/main" id="{5E21FD80-9729-4940-8D50-032CFB0DED05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712</xdr:row>
      <xdr:rowOff>0</xdr:rowOff>
    </xdr:from>
    <xdr:to>
      <xdr:col>8</xdr:col>
      <xdr:colOff>180975</xdr:colOff>
      <xdr:row>712</xdr:row>
      <xdr:rowOff>0</xdr:rowOff>
    </xdr:to>
    <xdr:sp macro="" textlink="">
      <xdr:nvSpPr>
        <xdr:cNvPr id="1393" name="Line 4">
          <a:extLst>
            <a:ext uri="{FF2B5EF4-FFF2-40B4-BE49-F238E27FC236}">
              <a16:creationId xmlns:a16="http://schemas.microsoft.com/office/drawing/2014/main" id="{8C555F8F-DA70-4F05-ACD9-19E123D35EE1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394" name="Line 2">
          <a:extLst>
            <a:ext uri="{FF2B5EF4-FFF2-40B4-BE49-F238E27FC236}">
              <a16:creationId xmlns:a16="http://schemas.microsoft.com/office/drawing/2014/main" id="{F058C8EE-DF40-40F8-8056-76203D10F25C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395" name="Line 3">
          <a:extLst>
            <a:ext uri="{FF2B5EF4-FFF2-40B4-BE49-F238E27FC236}">
              <a16:creationId xmlns:a16="http://schemas.microsoft.com/office/drawing/2014/main" id="{1180C0DA-09A0-45BF-BC54-171728B870AD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715</xdr:row>
      <xdr:rowOff>0</xdr:rowOff>
    </xdr:from>
    <xdr:to>
      <xdr:col>8</xdr:col>
      <xdr:colOff>180975</xdr:colOff>
      <xdr:row>715</xdr:row>
      <xdr:rowOff>0</xdr:rowOff>
    </xdr:to>
    <xdr:sp macro="" textlink="">
      <xdr:nvSpPr>
        <xdr:cNvPr id="1396" name="Line 4">
          <a:extLst>
            <a:ext uri="{FF2B5EF4-FFF2-40B4-BE49-F238E27FC236}">
              <a16:creationId xmlns:a16="http://schemas.microsoft.com/office/drawing/2014/main" id="{39F97B7D-C6AB-40C5-999C-763848883B5B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</xdr:row>
      <xdr:rowOff>0</xdr:rowOff>
    </xdr:from>
    <xdr:to>
      <xdr:col>8</xdr:col>
      <xdr:colOff>180975</xdr:colOff>
      <xdr:row>57</xdr:row>
      <xdr:rowOff>0</xdr:rowOff>
    </xdr:to>
    <xdr:sp macro="" textlink="">
      <xdr:nvSpPr>
        <xdr:cNvPr id="1397" name="Line 2">
          <a:extLst>
            <a:ext uri="{FF2B5EF4-FFF2-40B4-BE49-F238E27FC236}">
              <a16:creationId xmlns:a16="http://schemas.microsoft.com/office/drawing/2014/main" id="{55F9B890-02C0-4AD6-A857-004CA2618495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398" name="Line 3">
          <a:extLst>
            <a:ext uri="{FF2B5EF4-FFF2-40B4-BE49-F238E27FC236}">
              <a16:creationId xmlns:a16="http://schemas.microsoft.com/office/drawing/2014/main" id="{31035F9D-5134-4C45-ADAD-89576478A5F4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399" name="Line 5">
          <a:extLst>
            <a:ext uri="{FF2B5EF4-FFF2-40B4-BE49-F238E27FC236}">
              <a16:creationId xmlns:a16="http://schemas.microsoft.com/office/drawing/2014/main" id="{38940039-EE3E-4DF7-B41A-21E47AEFF565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122</xdr:row>
      <xdr:rowOff>0</xdr:rowOff>
    </xdr:from>
    <xdr:to>
      <xdr:col>8</xdr:col>
      <xdr:colOff>180975</xdr:colOff>
      <xdr:row>122</xdr:row>
      <xdr:rowOff>0</xdr:rowOff>
    </xdr:to>
    <xdr:sp macro="" textlink="">
      <xdr:nvSpPr>
        <xdr:cNvPr id="1400" name="Line 2">
          <a:extLst>
            <a:ext uri="{FF2B5EF4-FFF2-40B4-BE49-F238E27FC236}">
              <a16:creationId xmlns:a16="http://schemas.microsoft.com/office/drawing/2014/main" id="{FF82BA1B-4DF7-45FC-B6A9-FDA243F74023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401" name="Line 3">
          <a:extLst>
            <a:ext uri="{FF2B5EF4-FFF2-40B4-BE49-F238E27FC236}">
              <a16:creationId xmlns:a16="http://schemas.microsoft.com/office/drawing/2014/main" id="{C8BB08F1-F5BA-4D4D-84F5-5D6392D34212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402" name="Line 5">
          <a:extLst>
            <a:ext uri="{FF2B5EF4-FFF2-40B4-BE49-F238E27FC236}">
              <a16:creationId xmlns:a16="http://schemas.microsoft.com/office/drawing/2014/main" id="{EC34DDCE-D3D4-4E08-AD5D-17D25ED696FD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403" name="Line 2">
          <a:extLst>
            <a:ext uri="{FF2B5EF4-FFF2-40B4-BE49-F238E27FC236}">
              <a16:creationId xmlns:a16="http://schemas.microsoft.com/office/drawing/2014/main" id="{C9C7B709-7539-476D-A951-3FBADEF633F8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404" name="Line 3">
          <a:extLst>
            <a:ext uri="{FF2B5EF4-FFF2-40B4-BE49-F238E27FC236}">
              <a16:creationId xmlns:a16="http://schemas.microsoft.com/office/drawing/2014/main" id="{DD94AE08-19EB-4AFA-8338-86EFDEB936DE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405" name="Line 4">
          <a:extLst>
            <a:ext uri="{FF2B5EF4-FFF2-40B4-BE49-F238E27FC236}">
              <a16:creationId xmlns:a16="http://schemas.microsoft.com/office/drawing/2014/main" id="{363A5777-5E0A-4450-900F-493CCF57ABB5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107</xdr:row>
      <xdr:rowOff>0</xdr:rowOff>
    </xdr:from>
    <xdr:to>
      <xdr:col>8</xdr:col>
      <xdr:colOff>180975</xdr:colOff>
      <xdr:row>107</xdr:row>
      <xdr:rowOff>0</xdr:rowOff>
    </xdr:to>
    <xdr:sp macro="" textlink="">
      <xdr:nvSpPr>
        <xdr:cNvPr id="1406" name="Line 7">
          <a:extLst>
            <a:ext uri="{FF2B5EF4-FFF2-40B4-BE49-F238E27FC236}">
              <a16:creationId xmlns:a16="http://schemas.microsoft.com/office/drawing/2014/main" id="{E0157B17-4797-46DC-B7FD-05E1CB37AE3A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1407" name="Line 2">
          <a:extLst>
            <a:ext uri="{FF2B5EF4-FFF2-40B4-BE49-F238E27FC236}">
              <a16:creationId xmlns:a16="http://schemas.microsoft.com/office/drawing/2014/main" id="{3760A878-165C-4E59-8855-471629202D92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408" name="Line 3">
          <a:extLst>
            <a:ext uri="{FF2B5EF4-FFF2-40B4-BE49-F238E27FC236}">
              <a16:creationId xmlns:a16="http://schemas.microsoft.com/office/drawing/2014/main" id="{D44B683E-7F51-4B5F-9FAB-3201D17CF495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409" name="Line 5">
          <a:extLst>
            <a:ext uri="{FF2B5EF4-FFF2-40B4-BE49-F238E27FC236}">
              <a16:creationId xmlns:a16="http://schemas.microsoft.com/office/drawing/2014/main" id="{7C4909FC-5B91-49C9-90D6-16B26BC23EC7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410" name="Line 2">
          <a:extLst>
            <a:ext uri="{FF2B5EF4-FFF2-40B4-BE49-F238E27FC236}">
              <a16:creationId xmlns:a16="http://schemas.microsoft.com/office/drawing/2014/main" id="{08BB25E5-7537-4C44-BDB4-6FEF24DE0620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411" name="Line 3">
          <a:extLst>
            <a:ext uri="{FF2B5EF4-FFF2-40B4-BE49-F238E27FC236}">
              <a16:creationId xmlns:a16="http://schemas.microsoft.com/office/drawing/2014/main" id="{8260525D-B47A-456E-9344-5336BE112609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412" name="Line 4">
          <a:extLst>
            <a:ext uri="{FF2B5EF4-FFF2-40B4-BE49-F238E27FC236}">
              <a16:creationId xmlns:a16="http://schemas.microsoft.com/office/drawing/2014/main" id="{1909EBCB-6189-4B17-B51C-FB5673FDA151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413" name="Line 5">
          <a:extLst>
            <a:ext uri="{FF2B5EF4-FFF2-40B4-BE49-F238E27FC236}">
              <a16:creationId xmlns:a16="http://schemas.microsoft.com/office/drawing/2014/main" id="{37BB68EA-4C27-4DB7-9542-CAD224321178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414" name="Line 2">
          <a:extLst>
            <a:ext uri="{FF2B5EF4-FFF2-40B4-BE49-F238E27FC236}">
              <a16:creationId xmlns:a16="http://schemas.microsoft.com/office/drawing/2014/main" id="{3DD18D6D-EBF4-4F8D-9CF6-2C9011F4F009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415" name="Line 3">
          <a:extLst>
            <a:ext uri="{FF2B5EF4-FFF2-40B4-BE49-F238E27FC236}">
              <a16:creationId xmlns:a16="http://schemas.microsoft.com/office/drawing/2014/main" id="{DE52E962-156B-4320-BFDA-DCB94BD99743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416" name="Line 4">
          <a:extLst>
            <a:ext uri="{FF2B5EF4-FFF2-40B4-BE49-F238E27FC236}">
              <a16:creationId xmlns:a16="http://schemas.microsoft.com/office/drawing/2014/main" id="{66914EEB-1F62-4022-921D-E13A53D12A74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417" name="Line 5">
          <a:extLst>
            <a:ext uri="{FF2B5EF4-FFF2-40B4-BE49-F238E27FC236}">
              <a16:creationId xmlns:a16="http://schemas.microsoft.com/office/drawing/2014/main" id="{68F971ED-2D09-4F86-8AAA-01A6A5AD7C3E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418" name="Line 2">
          <a:extLst>
            <a:ext uri="{FF2B5EF4-FFF2-40B4-BE49-F238E27FC236}">
              <a16:creationId xmlns:a16="http://schemas.microsoft.com/office/drawing/2014/main" id="{202BB7CC-0905-49BF-BB66-D246D935653D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419" name="Line 3">
          <a:extLst>
            <a:ext uri="{FF2B5EF4-FFF2-40B4-BE49-F238E27FC236}">
              <a16:creationId xmlns:a16="http://schemas.microsoft.com/office/drawing/2014/main" id="{A4D27827-32A9-48EB-846E-B22E82589AEA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420" name="Line 5">
          <a:extLst>
            <a:ext uri="{FF2B5EF4-FFF2-40B4-BE49-F238E27FC236}">
              <a16:creationId xmlns:a16="http://schemas.microsoft.com/office/drawing/2014/main" id="{BE43A06E-5DD3-4DD3-9DBA-8E9E543B710A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421" name="Line 2">
          <a:extLst>
            <a:ext uri="{FF2B5EF4-FFF2-40B4-BE49-F238E27FC236}">
              <a16:creationId xmlns:a16="http://schemas.microsoft.com/office/drawing/2014/main" id="{0EF7EBF6-3675-41BD-8B36-6528A452AB02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422" name="Line 3">
          <a:extLst>
            <a:ext uri="{FF2B5EF4-FFF2-40B4-BE49-F238E27FC236}">
              <a16:creationId xmlns:a16="http://schemas.microsoft.com/office/drawing/2014/main" id="{EA19576C-6525-48CF-B50F-A0F7066F3C5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423" name="Line 4">
          <a:extLst>
            <a:ext uri="{FF2B5EF4-FFF2-40B4-BE49-F238E27FC236}">
              <a16:creationId xmlns:a16="http://schemas.microsoft.com/office/drawing/2014/main" id="{B46EFB27-7915-440F-B988-34E914BC9FF4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424" name="Line 5">
          <a:extLst>
            <a:ext uri="{FF2B5EF4-FFF2-40B4-BE49-F238E27FC236}">
              <a16:creationId xmlns:a16="http://schemas.microsoft.com/office/drawing/2014/main" id="{5DDB7E5E-01DB-4123-AD8E-78A1249FD66E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25" name="Line 2">
          <a:extLst>
            <a:ext uri="{FF2B5EF4-FFF2-40B4-BE49-F238E27FC236}">
              <a16:creationId xmlns:a16="http://schemas.microsoft.com/office/drawing/2014/main" id="{0F5F0948-DCDB-48A7-BB55-2C0F35F09C4F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26" name="Line 3">
          <a:extLst>
            <a:ext uri="{FF2B5EF4-FFF2-40B4-BE49-F238E27FC236}">
              <a16:creationId xmlns:a16="http://schemas.microsoft.com/office/drawing/2014/main" id="{6F7DF2BF-65D0-442D-84E8-3AFD23A019AE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27" name="Line 4">
          <a:extLst>
            <a:ext uri="{FF2B5EF4-FFF2-40B4-BE49-F238E27FC236}">
              <a16:creationId xmlns:a16="http://schemas.microsoft.com/office/drawing/2014/main" id="{03E31383-7FAC-433B-8068-E7C2FD2D9DBC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428" name="Line 5">
          <a:extLst>
            <a:ext uri="{FF2B5EF4-FFF2-40B4-BE49-F238E27FC236}">
              <a16:creationId xmlns:a16="http://schemas.microsoft.com/office/drawing/2014/main" id="{D17E9B45-B563-4DEF-947F-C627720DBE3A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429" name="Line 2">
          <a:extLst>
            <a:ext uri="{FF2B5EF4-FFF2-40B4-BE49-F238E27FC236}">
              <a16:creationId xmlns:a16="http://schemas.microsoft.com/office/drawing/2014/main" id="{5B732480-3925-42CA-8AAE-86FF2AFAD9DE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430" name="Line 3">
          <a:extLst>
            <a:ext uri="{FF2B5EF4-FFF2-40B4-BE49-F238E27FC236}">
              <a16:creationId xmlns:a16="http://schemas.microsoft.com/office/drawing/2014/main" id="{F2F14020-BBD4-45AD-99C9-CB5BF90C9DF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431" name="Line 4">
          <a:extLst>
            <a:ext uri="{FF2B5EF4-FFF2-40B4-BE49-F238E27FC236}">
              <a16:creationId xmlns:a16="http://schemas.microsoft.com/office/drawing/2014/main" id="{74E384F6-A242-4E70-832D-776B7123686F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432" name="Line 5">
          <a:extLst>
            <a:ext uri="{FF2B5EF4-FFF2-40B4-BE49-F238E27FC236}">
              <a16:creationId xmlns:a16="http://schemas.microsoft.com/office/drawing/2014/main" id="{5D175B5C-936D-4DFA-B819-9C337706EC47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433" name="Line 7">
          <a:extLst>
            <a:ext uri="{FF2B5EF4-FFF2-40B4-BE49-F238E27FC236}">
              <a16:creationId xmlns:a16="http://schemas.microsoft.com/office/drawing/2014/main" id="{F7BEF223-3ACE-4972-B613-8BE570C0FF77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434" name="Line 8">
          <a:extLst>
            <a:ext uri="{FF2B5EF4-FFF2-40B4-BE49-F238E27FC236}">
              <a16:creationId xmlns:a16="http://schemas.microsoft.com/office/drawing/2014/main" id="{4DF006D1-23EC-47C3-B896-40AC5D14DF32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435" name="Rectangle 7">
          <a:extLst>
            <a:ext uri="{FF2B5EF4-FFF2-40B4-BE49-F238E27FC236}">
              <a16:creationId xmlns:a16="http://schemas.microsoft.com/office/drawing/2014/main" id="{C39D4B94-6653-4671-92B5-4A7F29F13C23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436" name="Rectangle 8">
          <a:extLst>
            <a:ext uri="{FF2B5EF4-FFF2-40B4-BE49-F238E27FC236}">
              <a16:creationId xmlns:a16="http://schemas.microsoft.com/office/drawing/2014/main" id="{3905642A-3152-4E6F-8C25-E70F0A9C2B0C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437" name="Line 2">
          <a:extLst>
            <a:ext uri="{FF2B5EF4-FFF2-40B4-BE49-F238E27FC236}">
              <a16:creationId xmlns:a16="http://schemas.microsoft.com/office/drawing/2014/main" id="{7C34C8C1-BBC5-4114-A4BC-BB19095E902C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438" name="Line 3">
          <a:extLst>
            <a:ext uri="{FF2B5EF4-FFF2-40B4-BE49-F238E27FC236}">
              <a16:creationId xmlns:a16="http://schemas.microsoft.com/office/drawing/2014/main" id="{9B042DAE-CB70-43D8-B4DE-9DAA1EDBBA93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439" name="Line 5">
          <a:extLst>
            <a:ext uri="{FF2B5EF4-FFF2-40B4-BE49-F238E27FC236}">
              <a16:creationId xmlns:a16="http://schemas.microsoft.com/office/drawing/2014/main" id="{8D456770-2144-4D6A-A43E-28B4C2AA8477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440" name="Line 2">
          <a:extLst>
            <a:ext uri="{FF2B5EF4-FFF2-40B4-BE49-F238E27FC236}">
              <a16:creationId xmlns:a16="http://schemas.microsoft.com/office/drawing/2014/main" id="{BC461A57-3184-4BEE-9004-CBF9BF122E84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441" name="Line 3">
          <a:extLst>
            <a:ext uri="{FF2B5EF4-FFF2-40B4-BE49-F238E27FC236}">
              <a16:creationId xmlns:a16="http://schemas.microsoft.com/office/drawing/2014/main" id="{68CE8FF5-314A-438B-B2F8-2B352EE832D3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442" name="Line 4">
          <a:extLst>
            <a:ext uri="{FF2B5EF4-FFF2-40B4-BE49-F238E27FC236}">
              <a16:creationId xmlns:a16="http://schemas.microsoft.com/office/drawing/2014/main" id="{21B57768-4D36-4B05-B9B2-3449B9169D88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443" name="Line 5">
          <a:extLst>
            <a:ext uri="{FF2B5EF4-FFF2-40B4-BE49-F238E27FC236}">
              <a16:creationId xmlns:a16="http://schemas.microsoft.com/office/drawing/2014/main" id="{D8F1223E-8BEE-4EAD-B72B-CE8904F2CFDD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44" name="Line 2">
          <a:extLst>
            <a:ext uri="{FF2B5EF4-FFF2-40B4-BE49-F238E27FC236}">
              <a16:creationId xmlns:a16="http://schemas.microsoft.com/office/drawing/2014/main" id="{A28E1C22-8988-487F-AB5E-98A744D4BE18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45" name="Line 3">
          <a:extLst>
            <a:ext uri="{FF2B5EF4-FFF2-40B4-BE49-F238E27FC236}">
              <a16:creationId xmlns:a16="http://schemas.microsoft.com/office/drawing/2014/main" id="{471CC5BC-7FEC-45D8-9E75-ED8B3054937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446" name="Line 4">
          <a:extLst>
            <a:ext uri="{FF2B5EF4-FFF2-40B4-BE49-F238E27FC236}">
              <a16:creationId xmlns:a16="http://schemas.microsoft.com/office/drawing/2014/main" id="{99FB17B4-8F16-4E5D-BE52-E597906F51A9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447" name="Line 5">
          <a:extLst>
            <a:ext uri="{FF2B5EF4-FFF2-40B4-BE49-F238E27FC236}">
              <a16:creationId xmlns:a16="http://schemas.microsoft.com/office/drawing/2014/main" id="{76991B44-111D-42AA-AC23-D61E8EC8EC6B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448" name="Line 2">
          <a:extLst>
            <a:ext uri="{FF2B5EF4-FFF2-40B4-BE49-F238E27FC236}">
              <a16:creationId xmlns:a16="http://schemas.microsoft.com/office/drawing/2014/main" id="{DABFAC7B-52EF-4DB9-9900-0300002E4ACA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449" name="Line 3">
          <a:extLst>
            <a:ext uri="{FF2B5EF4-FFF2-40B4-BE49-F238E27FC236}">
              <a16:creationId xmlns:a16="http://schemas.microsoft.com/office/drawing/2014/main" id="{DBD287AD-43FB-4758-9455-F985A28FF12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450" name="Line 4">
          <a:extLst>
            <a:ext uri="{FF2B5EF4-FFF2-40B4-BE49-F238E27FC236}">
              <a16:creationId xmlns:a16="http://schemas.microsoft.com/office/drawing/2014/main" id="{251E988D-5D00-44B1-886A-7E989D32639E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451" name="Line 5">
          <a:extLst>
            <a:ext uri="{FF2B5EF4-FFF2-40B4-BE49-F238E27FC236}">
              <a16:creationId xmlns:a16="http://schemas.microsoft.com/office/drawing/2014/main" id="{A94EF698-466F-41F6-9305-E93C60CEA0D6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452" name="Line 7">
          <a:extLst>
            <a:ext uri="{FF2B5EF4-FFF2-40B4-BE49-F238E27FC236}">
              <a16:creationId xmlns:a16="http://schemas.microsoft.com/office/drawing/2014/main" id="{4D0E8AA7-7C48-42CA-947C-AA8A49A14DD3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453" name="Line 8">
          <a:extLst>
            <a:ext uri="{FF2B5EF4-FFF2-40B4-BE49-F238E27FC236}">
              <a16:creationId xmlns:a16="http://schemas.microsoft.com/office/drawing/2014/main" id="{A3CB4AC0-8566-442D-AEC0-70F138E56396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454" name="Rectangle 7">
          <a:extLst>
            <a:ext uri="{FF2B5EF4-FFF2-40B4-BE49-F238E27FC236}">
              <a16:creationId xmlns:a16="http://schemas.microsoft.com/office/drawing/2014/main" id="{837998F7-3ADE-4628-AA0B-8D50CA8D98B4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455" name="Rectangle 8">
          <a:extLst>
            <a:ext uri="{FF2B5EF4-FFF2-40B4-BE49-F238E27FC236}">
              <a16:creationId xmlns:a16="http://schemas.microsoft.com/office/drawing/2014/main" id="{8536FDC6-478E-4F40-9664-35D7F957974B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456" name="Line 3">
          <a:extLst>
            <a:ext uri="{FF2B5EF4-FFF2-40B4-BE49-F238E27FC236}">
              <a16:creationId xmlns:a16="http://schemas.microsoft.com/office/drawing/2014/main" id="{C2D6AA4B-302B-4F52-8D22-68DC68E3CEE1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457" name="Line 5">
          <a:extLst>
            <a:ext uri="{FF2B5EF4-FFF2-40B4-BE49-F238E27FC236}">
              <a16:creationId xmlns:a16="http://schemas.microsoft.com/office/drawing/2014/main" id="{0A4AFABF-12A9-41EF-B9F9-C23F82C9B40C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458" name="Line 2">
          <a:extLst>
            <a:ext uri="{FF2B5EF4-FFF2-40B4-BE49-F238E27FC236}">
              <a16:creationId xmlns:a16="http://schemas.microsoft.com/office/drawing/2014/main" id="{7700A653-0F23-4EED-8289-862596C67311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459" name="Line 3">
          <a:extLst>
            <a:ext uri="{FF2B5EF4-FFF2-40B4-BE49-F238E27FC236}">
              <a16:creationId xmlns:a16="http://schemas.microsoft.com/office/drawing/2014/main" id="{AE3F2162-F6EB-44E5-ADEB-6A5BA87BF4F2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460" name="Line 4">
          <a:extLst>
            <a:ext uri="{FF2B5EF4-FFF2-40B4-BE49-F238E27FC236}">
              <a16:creationId xmlns:a16="http://schemas.microsoft.com/office/drawing/2014/main" id="{AEBD6F31-CEDE-48F7-9A13-4ED372EA7A0B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461" name="Line 5">
          <a:extLst>
            <a:ext uri="{FF2B5EF4-FFF2-40B4-BE49-F238E27FC236}">
              <a16:creationId xmlns:a16="http://schemas.microsoft.com/office/drawing/2014/main" id="{3E1A8A51-BAD3-4DCA-BCF3-96C1BB397E39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1462" name="Line 7">
          <a:extLst>
            <a:ext uri="{FF2B5EF4-FFF2-40B4-BE49-F238E27FC236}">
              <a16:creationId xmlns:a16="http://schemas.microsoft.com/office/drawing/2014/main" id="{7545A678-342B-44FE-BF87-C84F5EF3BE3C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63" name="Line 2">
          <a:extLst>
            <a:ext uri="{FF2B5EF4-FFF2-40B4-BE49-F238E27FC236}">
              <a16:creationId xmlns:a16="http://schemas.microsoft.com/office/drawing/2014/main" id="{3B9FCE04-784C-42B5-92D9-AD1D12AB1680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64" name="Line 3">
          <a:extLst>
            <a:ext uri="{FF2B5EF4-FFF2-40B4-BE49-F238E27FC236}">
              <a16:creationId xmlns:a16="http://schemas.microsoft.com/office/drawing/2014/main" id="{6C5F36D3-431C-48A3-AD4D-484A18F7CA2E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65" name="Line 4">
          <a:extLst>
            <a:ext uri="{FF2B5EF4-FFF2-40B4-BE49-F238E27FC236}">
              <a16:creationId xmlns:a16="http://schemas.microsoft.com/office/drawing/2014/main" id="{78AE6B50-CB6C-4B1C-A2A0-8FA8D53CBED5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466" name="Line 5">
          <a:extLst>
            <a:ext uri="{FF2B5EF4-FFF2-40B4-BE49-F238E27FC236}">
              <a16:creationId xmlns:a16="http://schemas.microsoft.com/office/drawing/2014/main" id="{834BA6DB-DDD5-455D-A28C-2C36DCB3CFF9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67" name="Line 2">
          <a:extLst>
            <a:ext uri="{FF2B5EF4-FFF2-40B4-BE49-F238E27FC236}">
              <a16:creationId xmlns:a16="http://schemas.microsoft.com/office/drawing/2014/main" id="{E83E78E0-8A83-4C2F-A438-140E36ECF24F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468" name="Line 3">
          <a:extLst>
            <a:ext uri="{FF2B5EF4-FFF2-40B4-BE49-F238E27FC236}">
              <a16:creationId xmlns:a16="http://schemas.microsoft.com/office/drawing/2014/main" id="{CF610255-30B5-4E21-812C-2EBBD7238AE6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469" name="Line 4">
          <a:extLst>
            <a:ext uri="{FF2B5EF4-FFF2-40B4-BE49-F238E27FC236}">
              <a16:creationId xmlns:a16="http://schemas.microsoft.com/office/drawing/2014/main" id="{362BF4CE-9748-4AA9-ACAF-998C1ED4A8E8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381</xdr:row>
      <xdr:rowOff>0</xdr:rowOff>
    </xdr:from>
    <xdr:to>
      <xdr:col>8</xdr:col>
      <xdr:colOff>180975</xdr:colOff>
      <xdr:row>381</xdr:row>
      <xdr:rowOff>0</xdr:rowOff>
    </xdr:to>
    <xdr:sp macro="" textlink="">
      <xdr:nvSpPr>
        <xdr:cNvPr id="1470" name="Line 5">
          <a:extLst>
            <a:ext uri="{FF2B5EF4-FFF2-40B4-BE49-F238E27FC236}">
              <a16:creationId xmlns:a16="http://schemas.microsoft.com/office/drawing/2014/main" id="{AE2B978C-DBB9-4091-89DC-DF65EA274DFD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369</xdr:row>
      <xdr:rowOff>0</xdr:rowOff>
    </xdr:from>
    <xdr:to>
      <xdr:col>8</xdr:col>
      <xdr:colOff>180975</xdr:colOff>
      <xdr:row>369</xdr:row>
      <xdr:rowOff>0</xdr:rowOff>
    </xdr:to>
    <xdr:sp macro="" textlink="">
      <xdr:nvSpPr>
        <xdr:cNvPr id="1471" name="Line 7">
          <a:extLst>
            <a:ext uri="{FF2B5EF4-FFF2-40B4-BE49-F238E27FC236}">
              <a16:creationId xmlns:a16="http://schemas.microsoft.com/office/drawing/2014/main" id="{78349ABA-EBAC-4FDE-BC40-68CC46F86E1A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472" name="Line 3">
          <a:extLst>
            <a:ext uri="{FF2B5EF4-FFF2-40B4-BE49-F238E27FC236}">
              <a16:creationId xmlns:a16="http://schemas.microsoft.com/office/drawing/2014/main" id="{1D927D02-4229-40AD-BC2B-F263CF003FCB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473" name="Line 5">
          <a:extLst>
            <a:ext uri="{FF2B5EF4-FFF2-40B4-BE49-F238E27FC236}">
              <a16:creationId xmlns:a16="http://schemas.microsoft.com/office/drawing/2014/main" id="{489E1394-5555-4999-B257-C09E1CD2AD9A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474" name="Line 2">
          <a:extLst>
            <a:ext uri="{FF2B5EF4-FFF2-40B4-BE49-F238E27FC236}">
              <a16:creationId xmlns:a16="http://schemas.microsoft.com/office/drawing/2014/main" id="{277ED255-9B66-46F6-BF60-92934220F878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475" name="Line 3">
          <a:extLst>
            <a:ext uri="{FF2B5EF4-FFF2-40B4-BE49-F238E27FC236}">
              <a16:creationId xmlns:a16="http://schemas.microsoft.com/office/drawing/2014/main" id="{C9CCCABD-E15B-404F-B456-1636C9557A46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476" name="Line 4">
          <a:extLst>
            <a:ext uri="{FF2B5EF4-FFF2-40B4-BE49-F238E27FC236}">
              <a16:creationId xmlns:a16="http://schemas.microsoft.com/office/drawing/2014/main" id="{82B1CCC6-274E-4847-9684-27F7B9A88D87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477" name="Line 5">
          <a:extLst>
            <a:ext uri="{FF2B5EF4-FFF2-40B4-BE49-F238E27FC236}">
              <a16:creationId xmlns:a16="http://schemas.microsoft.com/office/drawing/2014/main" id="{55812AC9-BCBD-434E-89A3-1E95B14954F3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78" name="Line 2">
          <a:extLst>
            <a:ext uri="{FF2B5EF4-FFF2-40B4-BE49-F238E27FC236}">
              <a16:creationId xmlns:a16="http://schemas.microsoft.com/office/drawing/2014/main" id="{515CF995-C7A2-4142-B4B8-3A19B8DA2933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79" name="Line 3">
          <a:extLst>
            <a:ext uri="{FF2B5EF4-FFF2-40B4-BE49-F238E27FC236}">
              <a16:creationId xmlns:a16="http://schemas.microsoft.com/office/drawing/2014/main" id="{CB994EFF-8473-497A-A0B5-255E153AC3C9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80" name="Line 4">
          <a:extLst>
            <a:ext uri="{FF2B5EF4-FFF2-40B4-BE49-F238E27FC236}">
              <a16:creationId xmlns:a16="http://schemas.microsoft.com/office/drawing/2014/main" id="{645CB2FC-8E6D-476C-920B-91ADAE26BFBB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481" name="Line 5">
          <a:extLst>
            <a:ext uri="{FF2B5EF4-FFF2-40B4-BE49-F238E27FC236}">
              <a16:creationId xmlns:a16="http://schemas.microsoft.com/office/drawing/2014/main" id="{7B0C7AAF-B62A-4C0E-AC2F-03CA00FA1850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82" name="Line 2">
          <a:extLst>
            <a:ext uri="{FF2B5EF4-FFF2-40B4-BE49-F238E27FC236}">
              <a16:creationId xmlns:a16="http://schemas.microsoft.com/office/drawing/2014/main" id="{E024BFBB-73CE-4797-B4B4-F3DD830BE137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483" name="Line 3">
          <a:extLst>
            <a:ext uri="{FF2B5EF4-FFF2-40B4-BE49-F238E27FC236}">
              <a16:creationId xmlns:a16="http://schemas.microsoft.com/office/drawing/2014/main" id="{9EF21747-4CDC-449F-BFCC-BF41985B0BA0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484" name="Line 4">
          <a:extLst>
            <a:ext uri="{FF2B5EF4-FFF2-40B4-BE49-F238E27FC236}">
              <a16:creationId xmlns:a16="http://schemas.microsoft.com/office/drawing/2014/main" id="{A87F3C44-3BFC-4DAF-B3EB-8A14616F5CC9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485" name="Line 5">
          <a:extLst>
            <a:ext uri="{FF2B5EF4-FFF2-40B4-BE49-F238E27FC236}">
              <a16:creationId xmlns:a16="http://schemas.microsoft.com/office/drawing/2014/main" id="{65FD5186-140A-4848-B43D-EA9DB4B82C00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1486" name="Line 7">
          <a:extLst>
            <a:ext uri="{FF2B5EF4-FFF2-40B4-BE49-F238E27FC236}">
              <a16:creationId xmlns:a16="http://schemas.microsoft.com/office/drawing/2014/main" id="{B0C82402-7D31-4DCE-A31C-571B95499DFF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487" name="Line 2">
          <a:extLst>
            <a:ext uri="{FF2B5EF4-FFF2-40B4-BE49-F238E27FC236}">
              <a16:creationId xmlns:a16="http://schemas.microsoft.com/office/drawing/2014/main" id="{BAB9B69D-9525-470A-A9A8-217F943B9AED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488" name="Line 3">
          <a:extLst>
            <a:ext uri="{FF2B5EF4-FFF2-40B4-BE49-F238E27FC236}">
              <a16:creationId xmlns:a16="http://schemas.microsoft.com/office/drawing/2014/main" id="{7210C278-D3CC-4938-9DD2-F6E806487238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1489" name="Line 4">
          <a:extLst>
            <a:ext uri="{FF2B5EF4-FFF2-40B4-BE49-F238E27FC236}">
              <a16:creationId xmlns:a16="http://schemas.microsoft.com/office/drawing/2014/main" id="{97C45900-3A42-44FF-99C8-F01547ABC637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490" name="Line 3">
          <a:extLst>
            <a:ext uri="{FF2B5EF4-FFF2-40B4-BE49-F238E27FC236}">
              <a16:creationId xmlns:a16="http://schemas.microsoft.com/office/drawing/2014/main" id="{F286FCDE-BA3E-48C5-9E6D-D6428B66F1C6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491" name="Line 5">
          <a:extLst>
            <a:ext uri="{FF2B5EF4-FFF2-40B4-BE49-F238E27FC236}">
              <a16:creationId xmlns:a16="http://schemas.microsoft.com/office/drawing/2014/main" id="{90999477-EE65-44EA-857F-7CDCC3833C48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492" name="Line 2">
          <a:extLst>
            <a:ext uri="{FF2B5EF4-FFF2-40B4-BE49-F238E27FC236}">
              <a16:creationId xmlns:a16="http://schemas.microsoft.com/office/drawing/2014/main" id="{CB42C298-4555-4969-8CC4-76D9DB4A7F6A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493" name="Line 3">
          <a:extLst>
            <a:ext uri="{FF2B5EF4-FFF2-40B4-BE49-F238E27FC236}">
              <a16:creationId xmlns:a16="http://schemas.microsoft.com/office/drawing/2014/main" id="{BDE426EA-61B9-4B15-8F8F-BEDC1322BA12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494" name="Line 4">
          <a:extLst>
            <a:ext uri="{FF2B5EF4-FFF2-40B4-BE49-F238E27FC236}">
              <a16:creationId xmlns:a16="http://schemas.microsoft.com/office/drawing/2014/main" id="{CD7271C5-E4B3-44D8-9C97-5503F1C55DBA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495" name="Line 5">
          <a:extLst>
            <a:ext uri="{FF2B5EF4-FFF2-40B4-BE49-F238E27FC236}">
              <a16:creationId xmlns:a16="http://schemas.microsoft.com/office/drawing/2014/main" id="{F450807C-58C9-4E19-83CA-18A573B74AFC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565</xdr:row>
      <xdr:rowOff>0</xdr:rowOff>
    </xdr:from>
    <xdr:to>
      <xdr:col>8</xdr:col>
      <xdr:colOff>180975</xdr:colOff>
      <xdr:row>565</xdr:row>
      <xdr:rowOff>0</xdr:rowOff>
    </xdr:to>
    <xdr:sp macro="" textlink="">
      <xdr:nvSpPr>
        <xdr:cNvPr id="1496" name="Line 7">
          <a:extLst>
            <a:ext uri="{FF2B5EF4-FFF2-40B4-BE49-F238E27FC236}">
              <a16:creationId xmlns:a16="http://schemas.microsoft.com/office/drawing/2014/main" id="{C52F4263-71D5-4266-A0EF-665E66EF77E1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497" name="Line 2">
          <a:extLst>
            <a:ext uri="{FF2B5EF4-FFF2-40B4-BE49-F238E27FC236}">
              <a16:creationId xmlns:a16="http://schemas.microsoft.com/office/drawing/2014/main" id="{9F9AE929-A995-4B4E-95DE-FE100846CA1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498" name="Line 3">
          <a:extLst>
            <a:ext uri="{FF2B5EF4-FFF2-40B4-BE49-F238E27FC236}">
              <a16:creationId xmlns:a16="http://schemas.microsoft.com/office/drawing/2014/main" id="{32548370-021C-4B79-A9D1-2FE53D9E3A0D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499" name="Line 4">
          <a:extLst>
            <a:ext uri="{FF2B5EF4-FFF2-40B4-BE49-F238E27FC236}">
              <a16:creationId xmlns:a16="http://schemas.microsoft.com/office/drawing/2014/main" id="{B5BC3DE0-7CE0-4183-9F8C-1364F9B13FDB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500" name="Line 5">
          <a:extLst>
            <a:ext uri="{FF2B5EF4-FFF2-40B4-BE49-F238E27FC236}">
              <a16:creationId xmlns:a16="http://schemas.microsoft.com/office/drawing/2014/main" id="{EB65D3FB-6873-4421-8CAC-67A49FD641B1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501" name="Line 2">
          <a:extLst>
            <a:ext uri="{FF2B5EF4-FFF2-40B4-BE49-F238E27FC236}">
              <a16:creationId xmlns:a16="http://schemas.microsoft.com/office/drawing/2014/main" id="{9A5F22F4-FB26-4799-90D6-75E039F187E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502" name="Line 3">
          <a:extLst>
            <a:ext uri="{FF2B5EF4-FFF2-40B4-BE49-F238E27FC236}">
              <a16:creationId xmlns:a16="http://schemas.microsoft.com/office/drawing/2014/main" id="{23BC0813-5E3F-4E17-8641-E41A28E5EF84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503" name="Line 4">
          <a:extLst>
            <a:ext uri="{FF2B5EF4-FFF2-40B4-BE49-F238E27FC236}">
              <a16:creationId xmlns:a16="http://schemas.microsoft.com/office/drawing/2014/main" id="{D11C1664-7FC8-4B4E-B0EC-3C5C7280084B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504" name="Line 2">
          <a:extLst>
            <a:ext uri="{FF2B5EF4-FFF2-40B4-BE49-F238E27FC236}">
              <a16:creationId xmlns:a16="http://schemas.microsoft.com/office/drawing/2014/main" id="{A386975A-2407-47CE-819B-F412AB80DEA7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505" name="Line 3">
          <a:extLst>
            <a:ext uri="{FF2B5EF4-FFF2-40B4-BE49-F238E27FC236}">
              <a16:creationId xmlns:a16="http://schemas.microsoft.com/office/drawing/2014/main" id="{EB26C9A6-9A74-4018-9EE5-74A54B272DB1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506" name="Line 4">
          <a:extLst>
            <a:ext uri="{FF2B5EF4-FFF2-40B4-BE49-F238E27FC236}">
              <a16:creationId xmlns:a16="http://schemas.microsoft.com/office/drawing/2014/main" id="{70C21BAC-2480-4796-A0A2-44AB8458FD19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507" name="Line 2">
          <a:extLst>
            <a:ext uri="{FF2B5EF4-FFF2-40B4-BE49-F238E27FC236}">
              <a16:creationId xmlns:a16="http://schemas.microsoft.com/office/drawing/2014/main" id="{36E56492-643C-474B-908E-63E23945B537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508" name="Line 3">
          <a:extLst>
            <a:ext uri="{FF2B5EF4-FFF2-40B4-BE49-F238E27FC236}">
              <a16:creationId xmlns:a16="http://schemas.microsoft.com/office/drawing/2014/main" id="{8A6A43C1-E085-4CB7-92CC-30F2EAC8658E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509" name="Line 4">
          <a:extLst>
            <a:ext uri="{FF2B5EF4-FFF2-40B4-BE49-F238E27FC236}">
              <a16:creationId xmlns:a16="http://schemas.microsoft.com/office/drawing/2014/main" id="{64FB9A09-0A0F-40F4-9FDF-B3120C5110E2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510" name="Line 3">
          <a:extLst>
            <a:ext uri="{FF2B5EF4-FFF2-40B4-BE49-F238E27FC236}">
              <a16:creationId xmlns:a16="http://schemas.microsoft.com/office/drawing/2014/main" id="{2E5C6F95-C256-4037-B777-15D99B36F5E0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511" name="Line 5">
          <a:extLst>
            <a:ext uri="{FF2B5EF4-FFF2-40B4-BE49-F238E27FC236}">
              <a16:creationId xmlns:a16="http://schemas.microsoft.com/office/drawing/2014/main" id="{B35152B6-7A0F-4811-A8A1-42A5B2636A70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512" name="Line 2">
          <a:extLst>
            <a:ext uri="{FF2B5EF4-FFF2-40B4-BE49-F238E27FC236}">
              <a16:creationId xmlns:a16="http://schemas.microsoft.com/office/drawing/2014/main" id="{0A036BD0-5830-444D-A130-CE3FFD71E8F8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513" name="Line 3">
          <a:extLst>
            <a:ext uri="{FF2B5EF4-FFF2-40B4-BE49-F238E27FC236}">
              <a16:creationId xmlns:a16="http://schemas.microsoft.com/office/drawing/2014/main" id="{68605308-3FCD-40A2-972B-C91B6D690098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514" name="Line 4">
          <a:extLst>
            <a:ext uri="{FF2B5EF4-FFF2-40B4-BE49-F238E27FC236}">
              <a16:creationId xmlns:a16="http://schemas.microsoft.com/office/drawing/2014/main" id="{F173EF72-EF45-44E0-A070-8601AE5E3CF9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515" name="Line 5">
          <a:extLst>
            <a:ext uri="{FF2B5EF4-FFF2-40B4-BE49-F238E27FC236}">
              <a16:creationId xmlns:a16="http://schemas.microsoft.com/office/drawing/2014/main" id="{A180CEEE-315B-48DD-83AC-E5CE2D09EBFB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620</xdr:row>
      <xdr:rowOff>0</xdr:rowOff>
    </xdr:from>
    <xdr:to>
      <xdr:col>8</xdr:col>
      <xdr:colOff>180975</xdr:colOff>
      <xdr:row>620</xdr:row>
      <xdr:rowOff>0</xdr:rowOff>
    </xdr:to>
    <xdr:sp macro="" textlink="">
      <xdr:nvSpPr>
        <xdr:cNvPr id="1516" name="Line 7">
          <a:extLst>
            <a:ext uri="{FF2B5EF4-FFF2-40B4-BE49-F238E27FC236}">
              <a16:creationId xmlns:a16="http://schemas.microsoft.com/office/drawing/2014/main" id="{19A19801-3A44-4E8D-8DFF-0C440E77CF88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17" name="Line 2">
          <a:extLst>
            <a:ext uri="{FF2B5EF4-FFF2-40B4-BE49-F238E27FC236}">
              <a16:creationId xmlns:a16="http://schemas.microsoft.com/office/drawing/2014/main" id="{F7B1260A-13D9-4273-8A23-D58E8618ADD3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18" name="Line 3">
          <a:extLst>
            <a:ext uri="{FF2B5EF4-FFF2-40B4-BE49-F238E27FC236}">
              <a16:creationId xmlns:a16="http://schemas.microsoft.com/office/drawing/2014/main" id="{95983572-F4CD-4A1F-BFA1-CDDC308ABA23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19" name="Line 4">
          <a:extLst>
            <a:ext uri="{FF2B5EF4-FFF2-40B4-BE49-F238E27FC236}">
              <a16:creationId xmlns:a16="http://schemas.microsoft.com/office/drawing/2014/main" id="{B1C7182F-35DE-4FC5-9252-31C7668DF7E9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520" name="Line 5">
          <a:extLst>
            <a:ext uri="{FF2B5EF4-FFF2-40B4-BE49-F238E27FC236}">
              <a16:creationId xmlns:a16="http://schemas.microsoft.com/office/drawing/2014/main" id="{4E8E35AE-EDB5-4835-8029-3279771EF3F2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21" name="Line 2">
          <a:extLst>
            <a:ext uri="{FF2B5EF4-FFF2-40B4-BE49-F238E27FC236}">
              <a16:creationId xmlns:a16="http://schemas.microsoft.com/office/drawing/2014/main" id="{39766AEB-B328-473C-AF8E-EF79876902ED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522" name="Line 3">
          <a:extLst>
            <a:ext uri="{FF2B5EF4-FFF2-40B4-BE49-F238E27FC236}">
              <a16:creationId xmlns:a16="http://schemas.microsoft.com/office/drawing/2014/main" id="{EF3E6B10-DA3C-492A-9F28-43974710A368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523" name="Line 4">
          <a:extLst>
            <a:ext uri="{FF2B5EF4-FFF2-40B4-BE49-F238E27FC236}">
              <a16:creationId xmlns:a16="http://schemas.microsoft.com/office/drawing/2014/main" id="{E1ECA693-C7F7-4418-99B8-31ED3D6074B2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524" name="Line 2">
          <a:extLst>
            <a:ext uri="{FF2B5EF4-FFF2-40B4-BE49-F238E27FC236}">
              <a16:creationId xmlns:a16="http://schemas.microsoft.com/office/drawing/2014/main" id="{D29027E2-9828-4CC1-AAAE-5E92D568C3FC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525" name="Line 3">
          <a:extLst>
            <a:ext uri="{FF2B5EF4-FFF2-40B4-BE49-F238E27FC236}">
              <a16:creationId xmlns:a16="http://schemas.microsoft.com/office/drawing/2014/main" id="{EBC90928-FA7D-4090-9A63-364762B85EBD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595</xdr:row>
      <xdr:rowOff>0</xdr:rowOff>
    </xdr:from>
    <xdr:to>
      <xdr:col>8</xdr:col>
      <xdr:colOff>180975</xdr:colOff>
      <xdr:row>595</xdr:row>
      <xdr:rowOff>0</xdr:rowOff>
    </xdr:to>
    <xdr:sp macro="" textlink="">
      <xdr:nvSpPr>
        <xdr:cNvPr id="1526" name="Line 4">
          <a:extLst>
            <a:ext uri="{FF2B5EF4-FFF2-40B4-BE49-F238E27FC236}">
              <a16:creationId xmlns:a16="http://schemas.microsoft.com/office/drawing/2014/main" id="{9E88099E-2953-49C4-A7B3-144DF48235A8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527" name="Line 2">
          <a:extLst>
            <a:ext uri="{FF2B5EF4-FFF2-40B4-BE49-F238E27FC236}">
              <a16:creationId xmlns:a16="http://schemas.microsoft.com/office/drawing/2014/main" id="{B281248F-4667-4BDD-A528-6BC45D3CB578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528" name="Line 3">
          <a:extLst>
            <a:ext uri="{FF2B5EF4-FFF2-40B4-BE49-F238E27FC236}">
              <a16:creationId xmlns:a16="http://schemas.microsoft.com/office/drawing/2014/main" id="{26953686-B2DE-41B2-B690-A2A1B599BE5C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1529" name="Line 4">
          <a:extLst>
            <a:ext uri="{FF2B5EF4-FFF2-40B4-BE49-F238E27FC236}">
              <a16:creationId xmlns:a16="http://schemas.microsoft.com/office/drawing/2014/main" id="{9B2F5773-CFE2-45F2-83BD-973BBC920072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530" name="Line 3">
          <a:extLst>
            <a:ext uri="{FF2B5EF4-FFF2-40B4-BE49-F238E27FC236}">
              <a16:creationId xmlns:a16="http://schemas.microsoft.com/office/drawing/2014/main" id="{2D4E6962-FE23-4B6C-9541-ECDAA4D54B2D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531" name="Line 5">
          <a:extLst>
            <a:ext uri="{FF2B5EF4-FFF2-40B4-BE49-F238E27FC236}">
              <a16:creationId xmlns:a16="http://schemas.microsoft.com/office/drawing/2014/main" id="{71520710-39B5-4974-B4A7-564A134493BF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532" name="Line 2">
          <a:extLst>
            <a:ext uri="{FF2B5EF4-FFF2-40B4-BE49-F238E27FC236}">
              <a16:creationId xmlns:a16="http://schemas.microsoft.com/office/drawing/2014/main" id="{CBA27BF4-297C-4250-B7E9-565346328F18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533" name="Line 3">
          <a:extLst>
            <a:ext uri="{FF2B5EF4-FFF2-40B4-BE49-F238E27FC236}">
              <a16:creationId xmlns:a16="http://schemas.microsoft.com/office/drawing/2014/main" id="{3078A75C-B5CA-4150-BD4C-2C4E5D598C36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534" name="Line 4">
          <a:extLst>
            <a:ext uri="{FF2B5EF4-FFF2-40B4-BE49-F238E27FC236}">
              <a16:creationId xmlns:a16="http://schemas.microsoft.com/office/drawing/2014/main" id="{1715097D-8385-432E-8147-3BFF0F6BD090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535" name="Line 5">
          <a:extLst>
            <a:ext uri="{FF2B5EF4-FFF2-40B4-BE49-F238E27FC236}">
              <a16:creationId xmlns:a16="http://schemas.microsoft.com/office/drawing/2014/main" id="{72AE0A6F-DACA-4F52-BEA4-983F4D472EF3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679</xdr:row>
      <xdr:rowOff>0</xdr:rowOff>
    </xdr:from>
    <xdr:to>
      <xdr:col>8</xdr:col>
      <xdr:colOff>180975</xdr:colOff>
      <xdr:row>679</xdr:row>
      <xdr:rowOff>0</xdr:rowOff>
    </xdr:to>
    <xdr:sp macro="" textlink="">
      <xdr:nvSpPr>
        <xdr:cNvPr id="1536" name="Line 7">
          <a:extLst>
            <a:ext uri="{FF2B5EF4-FFF2-40B4-BE49-F238E27FC236}">
              <a16:creationId xmlns:a16="http://schemas.microsoft.com/office/drawing/2014/main" id="{8332FE58-FB24-4DB2-8EC5-D7DA930F1E5C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37" name="Line 2">
          <a:extLst>
            <a:ext uri="{FF2B5EF4-FFF2-40B4-BE49-F238E27FC236}">
              <a16:creationId xmlns:a16="http://schemas.microsoft.com/office/drawing/2014/main" id="{593E3CFA-0873-4B57-ADFD-A5FC65419613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38" name="Line 3">
          <a:extLst>
            <a:ext uri="{FF2B5EF4-FFF2-40B4-BE49-F238E27FC236}">
              <a16:creationId xmlns:a16="http://schemas.microsoft.com/office/drawing/2014/main" id="{6C25A96A-5533-491A-BCDD-2D188779AE0B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39" name="Line 4">
          <a:extLst>
            <a:ext uri="{FF2B5EF4-FFF2-40B4-BE49-F238E27FC236}">
              <a16:creationId xmlns:a16="http://schemas.microsoft.com/office/drawing/2014/main" id="{3EA3F2C0-7C1F-4A0C-B3DF-1ADF373FF1B1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540" name="Line 5">
          <a:extLst>
            <a:ext uri="{FF2B5EF4-FFF2-40B4-BE49-F238E27FC236}">
              <a16:creationId xmlns:a16="http://schemas.microsoft.com/office/drawing/2014/main" id="{532BDEE2-DAF7-41F8-8CE5-A6BAAB1926AB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41" name="Line 2">
          <a:extLst>
            <a:ext uri="{FF2B5EF4-FFF2-40B4-BE49-F238E27FC236}">
              <a16:creationId xmlns:a16="http://schemas.microsoft.com/office/drawing/2014/main" id="{0ED870D9-A3D1-45C8-9517-AE20205EF6B2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542" name="Line 3">
          <a:extLst>
            <a:ext uri="{FF2B5EF4-FFF2-40B4-BE49-F238E27FC236}">
              <a16:creationId xmlns:a16="http://schemas.microsoft.com/office/drawing/2014/main" id="{41EFACFD-FCA6-4F4C-B3F0-1426FD66A95B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543" name="Line 4">
          <a:extLst>
            <a:ext uri="{FF2B5EF4-FFF2-40B4-BE49-F238E27FC236}">
              <a16:creationId xmlns:a16="http://schemas.microsoft.com/office/drawing/2014/main" id="{428559CE-A4B7-495B-897F-D78F330DC608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544" name="Line 2">
          <a:extLst>
            <a:ext uri="{FF2B5EF4-FFF2-40B4-BE49-F238E27FC236}">
              <a16:creationId xmlns:a16="http://schemas.microsoft.com/office/drawing/2014/main" id="{543AFFD1-D673-480A-B802-ACDE498D92DE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545" name="Line 3">
          <a:extLst>
            <a:ext uri="{FF2B5EF4-FFF2-40B4-BE49-F238E27FC236}">
              <a16:creationId xmlns:a16="http://schemas.microsoft.com/office/drawing/2014/main" id="{4738CC34-560C-4838-B4CC-3E8AF073FC61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654</xdr:row>
      <xdr:rowOff>0</xdr:rowOff>
    </xdr:from>
    <xdr:to>
      <xdr:col>8</xdr:col>
      <xdr:colOff>180975</xdr:colOff>
      <xdr:row>654</xdr:row>
      <xdr:rowOff>0</xdr:rowOff>
    </xdr:to>
    <xdr:sp macro="" textlink="">
      <xdr:nvSpPr>
        <xdr:cNvPr id="1546" name="Line 4">
          <a:extLst>
            <a:ext uri="{FF2B5EF4-FFF2-40B4-BE49-F238E27FC236}">
              <a16:creationId xmlns:a16="http://schemas.microsoft.com/office/drawing/2014/main" id="{92E8694E-074A-412F-85D0-3282DB9451B7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547" name="Line 2">
          <a:extLst>
            <a:ext uri="{FF2B5EF4-FFF2-40B4-BE49-F238E27FC236}">
              <a16:creationId xmlns:a16="http://schemas.microsoft.com/office/drawing/2014/main" id="{51F8765D-04CB-46AB-AB18-188A0A187389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548" name="Line 3">
          <a:extLst>
            <a:ext uri="{FF2B5EF4-FFF2-40B4-BE49-F238E27FC236}">
              <a16:creationId xmlns:a16="http://schemas.microsoft.com/office/drawing/2014/main" id="{6B10FCF0-D4D1-47F3-9FD3-F2B8F070D05B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658</xdr:row>
      <xdr:rowOff>0</xdr:rowOff>
    </xdr:from>
    <xdr:to>
      <xdr:col>8</xdr:col>
      <xdr:colOff>180975</xdr:colOff>
      <xdr:row>658</xdr:row>
      <xdr:rowOff>0</xdr:rowOff>
    </xdr:to>
    <xdr:sp macro="" textlink="">
      <xdr:nvSpPr>
        <xdr:cNvPr id="1549" name="Line 4">
          <a:extLst>
            <a:ext uri="{FF2B5EF4-FFF2-40B4-BE49-F238E27FC236}">
              <a16:creationId xmlns:a16="http://schemas.microsoft.com/office/drawing/2014/main" id="{5BBD2C42-ADD6-47A2-B663-08F2B6E5131A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550" name="Line 3">
          <a:extLst>
            <a:ext uri="{FF2B5EF4-FFF2-40B4-BE49-F238E27FC236}">
              <a16:creationId xmlns:a16="http://schemas.microsoft.com/office/drawing/2014/main" id="{DFC13316-A008-458F-A158-ABD386677B22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551" name="Line 5">
          <a:extLst>
            <a:ext uri="{FF2B5EF4-FFF2-40B4-BE49-F238E27FC236}">
              <a16:creationId xmlns:a16="http://schemas.microsoft.com/office/drawing/2014/main" id="{37D91CCD-DE34-44C4-A3A8-A034A5BF2D85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552" name="Line 2">
          <a:extLst>
            <a:ext uri="{FF2B5EF4-FFF2-40B4-BE49-F238E27FC236}">
              <a16:creationId xmlns:a16="http://schemas.microsoft.com/office/drawing/2014/main" id="{CF5C8E6A-E937-478D-AEA8-A3FF0290EEA9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553" name="Line 3">
          <a:extLst>
            <a:ext uri="{FF2B5EF4-FFF2-40B4-BE49-F238E27FC236}">
              <a16:creationId xmlns:a16="http://schemas.microsoft.com/office/drawing/2014/main" id="{51F784EA-FDA3-4FF3-9231-9C3FEF379B38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554" name="Line 4">
          <a:extLst>
            <a:ext uri="{FF2B5EF4-FFF2-40B4-BE49-F238E27FC236}">
              <a16:creationId xmlns:a16="http://schemas.microsoft.com/office/drawing/2014/main" id="{947FE949-A0E7-420F-AD75-0AA72F3825F4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555" name="Line 5">
          <a:extLst>
            <a:ext uri="{FF2B5EF4-FFF2-40B4-BE49-F238E27FC236}">
              <a16:creationId xmlns:a16="http://schemas.microsoft.com/office/drawing/2014/main" id="{C287D8BB-922E-41AC-9656-2954765AB7D7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737</xdr:row>
      <xdr:rowOff>0</xdr:rowOff>
    </xdr:from>
    <xdr:to>
      <xdr:col>8</xdr:col>
      <xdr:colOff>180975</xdr:colOff>
      <xdr:row>737</xdr:row>
      <xdr:rowOff>0</xdr:rowOff>
    </xdr:to>
    <xdr:sp macro="" textlink="">
      <xdr:nvSpPr>
        <xdr:cNvPr id="1556" name="Line 7">
          <a:extLst>
            <a:ext uri="{FF2B5EF4-FFF2-40B4-BE49-F238E27FC236}">
              <a16:creationId xmlns:a16="http://schemas.microsoft.com/office/drawing/2014/main" id="{4F315576-72FA-40DE-9DEF-DD96632C6093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57" name="Line 2">
          <a:extLst>
            <a:ext uri="{FF2B5EF4-FFF2-40B4-BE49-F238E27FC236}">
              <a16:creationId xmlns:a16="http://schemas.microsoft.com/office/drawing/2014/main" id="{D5775332-2F1C-4BEC-AA26-A950C682FA1A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58" name="Line 3">
          <a:extLst>
            <a:ext uri="{FF2B5EF4-FFF2-40B4-BE49-F238E27FC236}">
              <a16:creationId xmlns:a16="http://schemas.microsoft.com/office/drawing/2014/main" id="{73F3511C-FB97-4233-98DB-AFD5E8FA668B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59" name="Line 4">
          <a:extLst>
            <a:ext uri="{FF2B5EF4-FFF2-40B4-BE49-F238E27FC236}">
              <a16:creationId xmlns:a16="http://schemas.microsoft.com/office/drawing/2014/main" id="{9151AD0F-8ADC-49FA-980D-3FAE8C4CE696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560" name="Line 5">
          <a:extLst>
            <a:ext uri="{FF2B5EF4-FFF2-40B4-BE49-F238E27FC236}">
              <a16:creationId xmlns:a16="http://schemas.microsoft.com/office/drawing/2014/main" id="{BBF3BB06-9146-4289-B886-8AA37F8E2ABD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61" name="Line 2">
          <a:extLst>
            <a:ext uri="{FF2B5EF4-FFF2-40B4-BE49-F238E27FC236}">
              <a16:creationId xmlns:a16="http://schemas.microsoft.com/office/drawing/2014/main" id="{F34A3852-6D48-4871-ADE7-3918BF07D135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562" name="Line 3">
          <a:extLst>
            <a:ext uri="{FF2B5EF4-FFF2-40B4-BE49-F238E27FC236}">
              <a16:creationId xmlns:a16="http://schemas.microsoft.com/office/drawing/2014/main" id="{1D3C6F33-EF05-465F-BD40-8990AD39B5E0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563" name="Line 4">
          <a:extLst>
            <a:ext uri="{FF2B5EF4-FFF2-40B4-BE49-F238E27FC236}">
              <a16:creationId xmlns:a16="http://schemas.microsoft.com/office/drawing/2014/main" id="{8118D978-7EF4-4BE0-B570-0B8CF8966C4E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564" name="Line 2">
          <a:extLst>
            <a:ext uri="{FF2B5EF4-FFF2-40B4-BE49-F238E27FC236}">
              <a16:creationId xmlns:a16="http://schemas.microsoft.com/office/drawing/2014/main" id="{4877F3D0-E294-4D81-BCFB-284A68B28977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565" name="Line 3">
          <a:extLst>
            <a:ext uri="{FF2B5EF4-FFF2-40B4-BE49-F238E27FC236}">
              <a16:creationId xmlns:a16="http://schemas.microsoft.com/office/drawing/2014/main" id="{684D1540-A224-42D0-BDAF-EB08CFFBC1F8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712</xdr:row>
      <xdr:rowOff>0</xdr:rowOff>
    </xdr:from>
    <xdr:to>
      <xdr:col>8</xdr:col>
      <xdr:colOff>180975</xdr:colOff>
      <xdr:row>712</xdr:row>
      <xdr:rowOff>0</xdr:rowOff>
    </xdr:to>
    <xdr:sp macro="" textlink="">
      <xdr:nvSpPr>
        <xdr:cNvPr id="1566" name="Line 4">
          <a:extLst>
            <a:ext uri="{FF2B5EF4-FFF2-40B4-BE49-F238E27FC236}">
              <a16:creationId xmlns:a16="http://schemas.microsoft.com/office/drawing/2014/main" id="{DC341083-3108-4434-84BF-5D64C43CCE7C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567" name="Line 2">
          <a:extLst>
            <a:ext uri="{FF2B5EF4-FFF2-40B4-BE49-F238E27FC236}">
              <a16:creationId xmlns:a16="http://schemas.microsoft.com/office/drawing/2014/main" id="{5B91578A-5F83-40EE-9C1E-7171AD46A8E7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568" name="Line 3">
          <a:extLst>
            <a:ext uri="{FF2B5EF4-FFF2-40B4-BE49-F238E27FC236}">
              <a16:creationId xmlns:a16="http://schemas.microsoft.com/office/drawing/2014/main" id="{5EB3F402-3A9F-4871-A6B9-D456C52F993D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715</xdr:row>
      <xdr:rowOff>0</xdr:rowOff>
    </xdr:from>
    <xdr:to>
      <xdr:col>8</xdr:col>
      <xdr:colOff>180975</xdr:colOff>
      <xdr:row>715</xdr:row>
      <xdr:rowOff>0</xdr:rowOff>
    </xdr:to>
    <xdr:sp macro="" textlink="">
      <xdr:nvSpPr>
        <xdr:cNvPr id="1569" name="Line 4">
          <a:extLst>
            <a:ext uri="{FF2B5EF4-FFF2-40B4-BE49-F238E27FC236}">
              <a16:creationId xmlns:a16="http://schemas.microsoft.com/office/drawing/2014/main" id="{A14F0730-31D3-4C86-90D3-24E783AD3590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</xdr:row>
      <xdr:rowOff>0</xdr:rowOff>
    </xdr:from>
    <xdr:to>
      <xdr:col>8</xdr:col>
      <xdr:colOff>180975</xdr:colOff>
      <xdr:row>57</xdr:row>
      <xdr:rowOff>0</xdr:rowOff>
    </xdr:to>
    <xdr:sp macro="" textlink="">
      <xdr:nvSpPr>
        <xdr:cNvPr id="1570" name="Line 2">
          <a:extLst>
            <a:ext uri="{FF2B5EF4-FFF2-40B4-BE49-F238E27FC236}">
              <a16:creationId xmlns:a16="http://schemas.microsoft.com/office/drawing/2014/main" id="{CBFA060F-3C39-464C-96CA-25A630D4739A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571" name="Line 3">
          <a:extLst>
            <a:ext uri="{FF2B5EF4-FFF2-40B4-BE49-F238E27FC236}">
              <a16:creationId xmlns:a16="http://schemas.microsoft.com/office/drawing/2014/main" id="{95B8DAC4-B1EC-40E6-BC6F-42392B7BAAD6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572" name="Line 5">
          <a:extLst>
            <a:ext uri="{FF2B5EF4-FFF2-40B4-BE49-F238E27FC236}">
              <a16:creationId xmlns:a16="http://schemas.microsoft.com/office/drawing/2014/main" id="{9B99148F-5F18-4028-8062-C4865118E280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122</xdr:row>
      <xdr:rowOff>0</xdr:rowOff>
    </xdr:from>
    <xdr:to>
      <xdr:col>8</xdr:col>
      <xdr:colOff>180975</xdr:colOff>
      <xdr:row>122</xdr:row>
      <xdr:rowOff>0</xdr:rowOff>
    </xdr:to>
    <xdr:sp macro="" textlink="">
      <xdr:nvSpPr>
        <xdr:cNvPr id="1573" name="Line 2">
          <a:extLst>
            <a:ext uri="{FF2B5EF4-FFF2-40B4-BE49-F238E27FC236}">
              <a16:creationId xmlns:a16="http://schemas.microsoft.com/office/drawing/2014/main" id="{1DB68DBB-6166-400B-A2C5-99D092989A0B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574" name="Line 3">
          <a:extLst>
            <a:ext uri="{FF2B5EF4-FFF2-40B4-BE49-F238E27FC236}">
              <a16:creationId xmlns:a16="http://schemas.microsoft.com/office/drawing/2014/main" id="{51AE30A3-65F7-4D68-B8C3-A205F55A8362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575" name="Line 5">
          <a:extLst>
            <a:ext uri="{FF2B5EF4-FFF2-40B4-BE49-F238E27FC236}">
              <a16:creationId xmlns:a16="http://schemas.microsoft.com/office/drawing/2014/main" id="{BF84164C-2C19-4344-8C8F-5918D43F4E4A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576" name="Line 2">
          <a:extLst>
            <a:ext uri="{FF2B5EF4-FFF2-40B4-BE49-F238E27FC236}">
              <a16:creationId xmlns:a16="http://schemas.microsoft.com/office/drawing/2014/main" id="{FB17872E-4AA4-4B4A-AE50-1E8E4AE0A8D2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577" name="Line 3">
          <a:extLst>
            <a:ext uri="{FF2B5EF4-FFF2-40B4-BE49-F238E27FC236}">
              <a16:creationId xmlns:a16="http://schemas.microsoft.com/office/drawing/2014/main" id="{C3AB073D-283B-4ACB-B2CF-8FAAB2530225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578" name="Line 4">
          <a:extLst>
            <a:ext uri="{FF2B5EF4-FFF2-40B4-BE49-F238E27FC236}">
              <a16:creationId xmlns:a16="http://schemas.microsoft.com/office/drawing/2014/main" id="{F595D1E7-DC0A-4286-AEDF-CC443FE27F6A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107</xdr:row>
      <xdr:rowOff>0</xdr:rowOff>
    </xdr:from>
    <xdr:to>
      <xdr:col>8</xdr:col>
      <xdr:colOff>180975</xdr:colOff>
      <xdr:row>107</xdr:row>
      <xdr:rowOff>0</xdr:rowOff>
    </xdr:to>
    <xdr:sp macro="" textlink="">
      <xdr:nvSpPr>
        <xdr:cNvPr id="1579" name="Line 7">
          <a:extLst>
            <a:ext uri="{FF2B5EF4-FFF2-40B4-BE49-F238E27FC236}">
              <a16:creationId xmlns:a16="http://schemas.microsoft.com/office/drawing/2014/main" id="{B02E0D33-B513-4018-9CAF-AA5E20D167FE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1580" name="Line 2">
          <a:extLst>
            <a:ext uri="{FF2B5EF4-FFF2-40B4-BE49-F238E27FC236}">
              <a16:creationId xmlns:a16="http://schemas.microsoft.com/office/drawing/2014/main" id="{2C44BE57-7455-4C9C-BD4D-CEFC17B210A0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581" name="Line 3">
          <a:extLst>
            <a:ext uri="{FF2B5EF4-FFF2-40B4-BE49-F238E27FC236}">
              <a16:creationId xmlns:a16="http://schemas.microsoft.com/office/drawing/2014/main" id="{0BA548AC-22AF-4AC0-83EA-A39055872753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582" name="Line 5">
          <a:extLst>
            <a:ext uri="{FF2B5EF4-FFF2-40B4-BE49-F238E27FC236}">
              <a16:creationId xmlns:a16="http://schemas.microsoft.com/office/drawing/2014/main" id="{C24BE286-A7FB-4812-863B-3B1DADCE6731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583" name="Line 2">
          <a:extLst>
            <a:ext uri="{FF2B5EF4-FFF2-40B4-BE49-F238E27FC236}">
              <a16:creationId xmlns:a16="http://schemas.microsoft.com/office/drawing/2014/main" id="{3D1D884A-6831-4D8C-A59A-5B9AA334B685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584" name="Line 3">
          <a:extLst>
            <a:ext uri="{FF2B5EF4-FFF2-40B4-BE49-F238E27FC236}">
              <a16:creationId xmlns:a16="http://schemas.microsoft.com/office/drawing/2014/main" id="{9636DBE0-43C0-4F6C-ABC1-18515EC120F5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585" name="Line 4">
          <a:extLst>
            <a:ext uri="{FF2B5EF4-FFF2-40B4-BE49-F238E27FC236}">
              <a16:creationId xmlns:a16="http://schemas.microsoft.com/office/drawing/2014/main" id="{EFE5CDE7-163B-49AF-B6F0-E59EE7C38920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586" name="Line 5">
          <a:extLst>
            <a:ext uri="{FF2B5EF4-FFF2-40B4-BE49-F238E27FC236}">
              <a16:creationId xmlns:a16="http://schemas.microsoft.com/office/drawing/2014/main" id="{67F6D83B-4E7F-4C33-AF42-458B2EAF12E6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587" name="Line 2">
          <a:extLst>
            <a:ext uri="{FF2B5EF4-FFF2-40B4-BE49-F238E27FC236}">
              <a16:creationId xmlns:a16="http://schemas.microsoft.com/office/drawing/2014/main" id="{5B2F5704-3812-4551-A52E-B43CF8DC8ADF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588" name="Line 3">
          <a:extLst>
            <a:ext uri="{FF2B5EF4-FFF2-40B4-BE49-F238E27FC236}">
              <a16:creationId xmlns:a16="http://schemas.microsoft.com/office/drawing/2014/main" id="{99D6BAF2-1A4B-4056-9689-3A210B9DEB2F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589" name="Line 4">
          <a:extLst>
            <a:ext uri="{FF2B5EF4-FFF2-40B4-BE49-F238E27FC236}">
              <a16:creationId xmlns:a16="http://schemas.microsoft.com/office/drawing/2014/main" id="{4F3BA283-D440-437E-A634-945598D7486A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590" name="Line 5">
          <a:extLst>
            <a:ext uri="{FF2B5EF4-FFF2-40B4-BE49-F238E27FC236}">
              <a16:creationId xmlns:a16="http://schemas.microsoft.com/office/drawing/2014/main" id="{BDB64452-56A2-4CD8-985C-E39E1C47ECEF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591" name="Line 2">
          <a:extLst>
            <a:ext uri="{FF2B5EF4-FFF2-40B4-BE49-F238E27FC236}">
              <a16:creationId xmlns:a16="http://schemas.microsoft.com/office/drawing/2014/main" id="{9A65119E-3427-4C2F-9E5D-C1B41F110201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592" name="Line 3">
          <a:extLst>
            <a:ext uri="{FF2B5EF4-FFF2-40B4-BE49-F238E27FC236}">
              <a16:creationId xmlns:a16="http://schemas.microsoft.com/office/drawing/2014/main" id="{A7934A0D-7954-4775-AF2E-9C1CD422B104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593" name="Line 5">
          <a:extLst>
            <a:ext uri="{FF2B5EF4-FFF2-40B4-BE49-F238E27FC236}">
              <a16:creationId xmlns:a16="http://schemas.microsoft.com/office/drawing/2014/main" id="{D4222A8B-04C1-4661-8FA3-C02C144D27F3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594" name="Line 2">
          <a:extLst>
            <a:ext uri="{FF2B5EF4-FFF2-40B4-BE49-F238E27FC236}">
              <a16:creationId xmlns:a16="http://schemas.microsoft.com/office/drawing/2014/main" id="{B2502FD3-6ED4-4914-B21E-FA518D060C1F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595" name="Line 3">
          <a:extLst>
            <a:ext uri="{FF2B5EF4-FFF2-40B4-BE49-F238E27FC236}">
              <a16:creationId xmlns:a16="http://schemas.microsoft.com/office/drawing/2014/main" id="{F1184FA5-EE52-40FA-B77E-B239BFCB790C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596" name="Line 4">
          <a:extLst>
            <a:ext uri="{FF2B5EF4-FFF2-40B4-BE49-F238E27FC236}">
              <a16:creationId xmlns:a16="http://schemas.microsoft.com/office/drawing/2014/main" id="{FBD402ED-955E-432A-9555-368111F9BA2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597" name="Line 5">
          <a:extLst>
            <a:ext uri="{FF2B5EF4-FFF2-40B4-BE49-F238E27FC236}">
              <a16:creationId xmlns:a16="http://schemas.microsoft.com/office/drawing/2014/main" id="{E6D65471-47BF-4AB4-9588-E828FF3C4CA9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598" name="Line 2">
          <a:extLst>
            <a:ext uri="{FF2B5EF4-FFF2-40B4-BE49-F238E27FC236}">
              <a16:creationId xmlns:a16="http://schemas.microsoft.com/office/drawing/2014/main" id="{D0AE4837-4C1F-4A9C-BF3A-7EC0918B0685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599" name="Line 3">
          <a:extLst>
            <a:ext uri="{FF2B5EF4-FFF2-40B4-BE49-F238E27FC236}">
              <a16:creationId xmlns:a16="http://schemas.microsoft.com/office/drawing/2014/main" id="{7C12E7CE-4F6D-4558-8BFC-6D4C61670798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600" name="Line 4">
          <a:extLst>
            <a:ext uri="{FF2B5EF4-FFF2-40B4-BE49-F238E27FC236}">
              <a16:creationId xmlns:a16="http://schemas.microsoft.com/office/drawing/2014/main" id="{74AC4F87-1636-48AC-A098-78315BFF952E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601" name="Line 5">
          <a:extLst>
            <a:ext uri="{FF2B5EF4-FFF2-40B4-BE49-F238E27FC236}">
              <a16:creationId xmlns:a16="http://schemas.microsoft.com/office/drawing/2014/main" id="{7F2A4BAD-B1F8-46F2-B9DB-EC075622EFF5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602" name="Line 2">
          <a:extLst>
            <a:ext uri="{FF2B5EF4-FFF2-40B4-BE49-F238E27FC236}">
              <a16:creationId xmlns:a16="http://schemas.microsoft.com/office/drawing/2014/main" id="{5D9FE3FE-2955-4FFD-97D7-9B56B4A225C0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603" name="Line 3">
          <a:extLst>
            <a:ext uri="{FF2B5EF4-FFF2-40B4-BE49-F238E27FC236}">
              <a16:creationId xmlns:a16="http://schemas.microsoft.com/office/drawing/2014/main" id="{0D9578AF-4234-47CF-9053-621B1C634125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604" name="Line 4">
          <a:extLst>
            <a:ext uri="{FF2B5EF4-FFF2-40B4-BE49-F238E27FC236}">
              <a16:creationId xmlns:a16="http://schemas.microsoft.com/office/drawing/2014/main" id="{FFFD316F-8238-4E3E-858F-F9FFD02C3286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605" name="Line 5">
          <a:extLst>
            <a:ext uri="{FF2B5EF4-FFF2-40B4-BE49-F238E27FC236}">
              <a16:creationId xmlns:a16="http://schemas.microsoft.com/office/drawing/2014/main" id="{22294D2E-E101-48DD-8697-5BADA672873E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606" name="Line 7">
          <a:extLst>
            <a:ext uri="{FF2B5EF4-FFF2-40B4-BE49-F238E27FC236}">
              <a16:creationId xmlns:a16="http://schemas.microsoft.com/office/drawing/2014/main" id="{45AD7FE4-C4BB-473E-A655-3EE3D7B4290B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607" name="Line 8">
          <a:extLst>
            <a:ext uri="{FF2B5EF4-FFF2-40B4-BE49-F238E27FC236}">
              <a16:creationId xmlns:a16="http://schemas.microsoft.com/office/drawing/2014/main" id="{0C2434C1-1212-4B43-9F01-AC296480436F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608" name="Rectangle 7">
          <a:extLst>
            <a:ext uri="{FF2B5EF4-FFF2-40B4-BE49-F238E27FC236}">
              <a16:creationId xmlns:a16="http://schemas.microsoft.com/office/drawing/2014/main" id="{1157EA63-06A8-461F-8DF5-B2B80878F672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609" name="Rectangle 8">
          <a:extLst>
            <a:ext uri="{FF2B5EF4-FFF2-40B4-BE49-F238E27FC236}">
              <a16:creationId xmlns:a16="http://schemas.microsoft.com/office/drawing/2014/main" id="{B2260D22-4398-4FBB-A69E-79AF2DE73E68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610" name="Line 2">
          <a:extLst>
            <a:ext uri="{FF2B5EF4-FFF2-40B4-BE49-F238E27FC236}">
              <a16:creationId xmlns:a16="http://schemas.microsoft.com/office/drawing/2014/main" id="{F2E482B1-80C5-447F-A572-CC3D583C7098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611" name="Line 3">
          <a:extLst>
            <a:ext uri="{FF2B5EF4-FFF2-40B4-BE49-F238E27FC236}">
              <a16:creationId xmlns:a16="http://schemas.microsoft.com/office/drawing/2014/main" id="{80AFBAD3-7D60-4E5F-BC23-C44C99AA90EE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612" name="Line 5">
          <a:extLst>
            <a:ext uri="{FF2B5EF4-FFF2-40B4-BE49-F238E27FC236}">
              <a16:creationId xmlns:a16="http://schemas.microsoft.com/office/drawing/2014/main" id="{311C8E88-32DC-475D-8625-D4C3A84F8B61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613" name="Line 2">
          <a:extLst>
            <a:ext uri="{FF2B5EF4-FFF2-40B4-BE49-F238E27FC236}">
              <a16:creationId xmlns:a16="http://schemas.microsoft.com/office/drawing/2014/main" id="{1D63D79C-DABD-4A61-9404-41239A96C799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614" name="Line 3">
          <a:extLst>
            <a:ext uri="{FF2B5EF4-FFF2-40B4-BE49-F238E27FC236}">
              <a16:creationId xmlns:a16="http://schemas.microsoft.com/office/drawing/2014/main" id="{5EB2568C-F081-4836-8C7E-AC143712B05E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615" name="Line 4">
          <a:extLst>
            <a:ext uri="{FF2B5EF4-FFF2-40B4-BE49-F238E27FC236}">
              <a16:creationId xmlns:a16="http://schemas.microsoft.com/office/drawing/2014/main" id="{27A65CE8-1963-4F3D-ACFD-2B4BC78AA889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616" name="Line 5">
          <a:extLst>
            <a:ext uri="{FF2B5EF4-FFF2-40B4-BE49-F238E27FC236}">
              <a16:creationId xmlns:a16="http://schemas.microsoft.com/office/drawing/2014/main" id="{FD13C10B-DDA1-4F73-9020-39C9D5D066EE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617" name="Line 2">
          <a:extLst>
            <a:ext uri="{FF2B5EF4-FFF2-40B4-BE49-F238E27FC236}">
              <a16:creationId xmlns:a16="http://schemas.microsoft.com/office/drawing/2014/main" id="{518BAA75-A3E6-4602-AED5-9DFBFFE4893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618" name="Line 3">
          <a:extLst>
            <a:ext uri="{FF2B5EF4-FFF2-40B4-BE49-F238E27FC236}">
              <a16:creationId xmlns:a16="http://schemas.microsoft.com/office/drawing/2014/main" id="{6418A3E9-EEDB-4FC4-BB41-D759754E592D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619" name="Line 4">
          <a:extLst>
            <a:ext uri="{FF2B5EF4-FFF2-40B4-BE49-F238E27FC236}">
              <a16:creationId xmlns:a16="http://schemas.microsoft.com/office/drawing/2014/main" id="{033F3E41-9621-4837-96D3-5C642C97A098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620" name="Line 5">
          <a:extLst>
            <a:ext uri="{FF2B5EF4-FFF2-40B4-BE49-F238E27FC236}">
              <a16:creationId xmlns:a16="http://schemas.microsoft.com/office/drawing/2014/main" id="{EBBBD1AF-7EAB-4B3F-BE82-94480EB4C30D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621" name="Line 2">
          <a:extLst>
            <a:ext uri="{FF2B5EF4-FFF2-40B4-BE49-F238E27FC236}">
              <a16:creationId xmlns:a16="http://schemas.microsoft.com/office/drawing/2014/main" id="{6A961728-8049-4095-B71A-A961515F8E60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622" name="Line 3">
          <a:extLst>
            <a:ext uri="{FF2B5EF4-FFF2-40B4-BE49-F238E27FC236}">
              <a16:creationId xmlns:a16="http://schemas.microsoft.com/office/drawing/2014/main" id="{16A37096-DF76-4C10-878F-666811FA2FC3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623" name="Line 4">
          <a:extLst>
            <a:ext uri="{FF2B5EF4-FFF2-40B4-BE49-F238E27FC236}">
              <a16:creationId xmlns:a16="http://schemas.microsoft.com/office/drawing/2014/main" id="{3A2C821E-CC0C-4B56-9FCB-B34D0DF04C1D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624" name="Line 5">
          <a:extLst>
            <a:ext uri="{FF2B5EF4-FFF2-40B4-BE49-F238E27FC236}">
              <a16:creationId xmlns:a16="http://schemas.microsoft.com/office/drawing/2014/main" id="{ACE3C9DD-94D1-41D3-88AA-E0F8766BAD60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625" name="Line 7">
          <a:extLst>
            <a:ext uri="{FF2B5EF4-FFF2-40B4-BE49-F238E27FC236}">
              <a16:creationId xmlns:a16="http://schemas.microsoft.com/office/drawing/2014/main" id="{F813CDB1-65E1-4F7D-8476-F8259C4B4666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626" name="Line 8">
          <a:extLst>
            <a:ext uri="{FF2B5EF4-FFF2-40B4-BE49-F238E27FC236}">
              <a16:creationId xmlns:a16="http://schemas.microsoft.com/office/drawing/2014/main" id="{67C0B243-5909-4954-BE50-F11C78D7ABCA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627" name="Rectangle 7">
          <a:extLst>
            <a:ext uri="{FF2B5EF4-FFF2-40B4-BE49-F238E27FC236}">
              <a16:creationId xmlns:a16="http://schemas.microsoft.com/office/drawing/2014/main" id="{CD5FA1BD-D2A6-4D4B-BDFE-B8F72FEAD987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0500" cy="933450"/>
    <xdr:sp macro="" textlink="">
      <xdr:nvSpPr>
        <xdr:cNvPr id="1628" name="Rectangle 8">
          <a:extLst>
            <a:ext uri="{FF2B5EF4-FFF2-40B4-BE49-F238E27FC236}">
              <a16:creationId xmlns:a16="http://schemas.microsoft.com/office/drawing/2014/main" id="{7D3F63EC-B98F-4CF2-B6A3-BCAFC905C12D}"/>
            </a:ext>
          </a:extLst>
        </xdr:cNvPr>
        <xdr:cNvSpPr>
          <a:spLocks noChangeArrowheads="1"/>
        </xdr:cNvSpPr>
      </xdr:nvSpPr>
      <xdr:spPr bwMode="auto">
        <a:xfrm>
          <a:off x="53244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629" name="Line 3">
          <a:extLst>
            <a:ext uri="{FF2B5EF4-FFF2-40B4-BE49-F238E27FC236}">
              <a16:creationId xmlns:a16="http://schemas.microsoft.com/office/drawing/2014/main" id="{E00B62F9-ED9F-42EC-9CD7-D372D47CD3D0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630" name="Line 5">
          <a:extLst>
            <a:ext uri="{FF2B5EF4-FFF2-40B4-BE49-F238E27FC236}">
              <a16:creationId xmlns:a16="http://schemas.microsoft.com/office/drawing/2014/main" id="{F46B3549-2DE7-452A-A4EA-8E595CE53F32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631" name="Line 2">
          <a:extLst>
            <a:ext uri="{FF2B5EF4-FFF2-40B4-BE49-F238E27FC236}">
              <a16:creationId xmlns:a16="http://schemas.microsoft.com/office/drawing/2014/main" id="{5CFC2278-EEFA-4083-8405-5C37352E28BE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632" name="Line 3">
          <a:extLst>
            <a:ext uri="{FF2B5EF4-FFF2-40B4-BE49-F238E27FC236}">
              <a16:creationId xmlns:a16="http://schemas.microsoft.com/office/drawing/2014/main" id="{92A6E7F5-C27D-40E0-AC50-FD9DB62CF0F3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633" name="Line 4">
          <a:extLst>
            <a:ext uri="{FF2B5EF4-FFF2-40B4-BE49-F238E27FC236}">
              <a16:creationId xmlns:a16="http://schemas.microsoft.com/office/drawing/2014/main" id="{A38BBAB7-4AF0-4696-855A-8359F2B56DB2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634" name="Line 5">
          <a:extLst>
            <a:ext uri="{FF2B5EF4-FFF2-40B4-BE49-F238E27FC236}">
              <a16:creationId xmlns:a16="http://schemas.microsoft.com/office/drawing/2014/main" id="{DC44E3F8-FFFD-4760-920D-9D0D130442F0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1635" name="Line 7">
          <a:extLst>
            <a:ext uri="{FF2B5EF4-FFF2-40B4-BE49-F238E27FC236}">
              <a16:creationId xmlns:a16="http://schemas.microsoft.com/office/drawing/2014/main" id="{B04D10A1-9D9E-4A18-B7C5-D5CD93285EFC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36" name="Line 2">
          <a:extLst>
            <a:ext uri="{FF2B5EF4-FFF2-40B4-BE49-F238E27FC236}">
              <a16:creationId xmlns:a16="http://schemas.microsoft.com/office/drawing/2014/main" id="{054E4B30-3890-4385-A952-3929A0A54216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37" name="Line 3">
          <a:extLst>
            <a:ext uri="{FF2B5EF4-FFF2-40B4-BE49-F238E27FC236}">
              <a16:creationId xmlns:a16="http://schemas.microsoft.com/office/drawing/2014/main" id="{7275BF76-1449-4C27-9DD1-14415557F35D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38" name="Line 4">
          <a:extLst>
            <a:ext uri="{FF2B5EF4-FFF2-40B4-BE49-F238E27FC236}">
              <a16:creationId xmlns:a16="http://schemas.microsoft.com/office/drawing/2014/main" id="{314953F0-EFD5-42D0-B6F0-117B80DEF6BE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639" name="Line 5">
          <a:extLst>
            <a:ext uri="{FF2B5EF4-FFF2-40B4-BE49-F238E27FC236}">
              <a16:creationId xmlns:a16="http://schemas.microsoft.com/office/drawing/2014/main" id="{D5339795-30AC-41C3-92B6-DFF105D1C264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40" name="Line 2">
          <a:extLst>
            <a:ext uri="{FF2B5EF4-FFF2-40B4-BE49-F238E27FC236}">
              <a16:creationId xmlns:a16="http://schemas.microsoft.com/office/drawing/2014/main" id="{0B5D3A89-D8B4-432F-A42A-02194F5134A6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641" name="Line 3">
          <a:extLst>
            <a:ext uri="{FF2B5EF4-FFF2-40B4-BE49-F238E27FC236}">
              <a16:creationId xmlns:a16="http://schemas.microsoft.com/office/drawing/2014/main" id="{BF3D3CA5-F81F-46CB-8C46-D92109B5440B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642" name="Line 4">
          <a:extLst>
            <a:ext uri="{FF2B5EF4-FFF2-40B4-BE49-F238E27FC236}">
              <a16:creationId xmlns:a16="http://schemas.microsoft.com/office/drawing/2014/main" id="{0FC806B7-BF74-49D9-85DB-BD5F20CED0A8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381</xdr:row>
      <xdr:rowOff>0</xdr:rowOff>
    </xdr:from>
    <xdr:to>
      <xdr:col>8</xdr:col>
      <xdr:colOff>180975</xdr:colOff>
      <xdr:row>381</xdr:row>
      <xdr:rowOff>0</xdr:rowOff>
    </xdr:to>
    <xdr:sp macro="" textlink="">
      <xdr:nvSpPr>
        <xdr:cNvPr id="1643" name="Line 5">
          <a:extLst>
            <a:ext uri="{FF2B5EF4-FFF2-40B4-BE49-F238E27FC236}">
              <a16:creationId xmlns:a16="http://schemas.microsoft.com/office/drawing/2014/main" id="{422C3B7D-233A-42EF-9F2B-044283DE1DF3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369</xdr:row>
      <xdr:rowOff>0</xdr:rowOff>
    </xdr:from>
    <xdr:to>
      <xdr:col>8</xdr:col>
      <xdr:colOff>180975</xdr:colOff>
      <xdr:row>369</xdr:row>
      <xdr:rowOff>0</xdr:rowOff>
    </xdr:to>
    <xdr:sp macro="" textlink="">
      <xdr:nvSpPr>
        <xdr:cNvPr id="1644" name="Line 7">
          <a:extLst>
            <a:ext uri="{FF2B5EF4-FFF2-40B4-BE49-F238E27FC236}">
              <a16:creationId xmlns:a16="http://schemas.microsoft.com/office/drawing/2014/main" id="{9EFAD081-31B9-4CA1-95CB-0941058D0ED4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645" name="Line 3">
          <a:extLst>
            <a:ext uri="{FF2B5EF4-FFF2-40B4-BE49-F238E27FC236}">
              <a16:creationId xmlns:a16="http://schemas.microsoft.com/office/drawing/2014/main" id="{05C30781-2620-46D7-AE8C-69DBC133243A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646" name="Line 5">
          <a:extLst>
            <a:ext uri="{FF2B5EF4-FFF2-40B4-BE49-F238E27FC236}">
              <a16:creationId xmlns:a16="http://schemas.microsoft.com/office/drawing/2014/main" id="{140F4DE9-2F47-4A63-B01D-3480921BFDA0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647" name="Line 2">
          <a:extLst>
            <a:ext uri="{FF2B5EF4-FFF2-40B4-BE49-F238E27FC236}">
              <a16:creationId xmlns:a16="http://schemas.microsoft.com/office/drawing/2014/main" id="{C93CEA65-5AC8-4378-9ABC-7BE16F676F1E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648" name="Line 3">
          <a:extLst>
            <a:ext uri="{FF2B5EF4-FFF2-40B4-BE49-F238E27FC236}">
              <a16:creationId xmlns:a16="http://schemas.microsoft.com/office/drawing/2014/main" id="{AC05C903-D384-422C-A55D-43EFB1883B94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649" name="Line 4">
          <a:extLst>
            <a:ext uri="{FF2B5EF4-FFF2-40B4-BE49-F238E27FC236}">
              <a16:creationId xmlns:a16="http://schemas.microsoft.com/office/drawing/2014/main" id="{5D10E43E-3198-4A35-9F2F-EC9AFD51A5D0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650" name="Line 5">
          <a:extLst>
            <a:ext uri="{FF2B5EF4-FFF2-40B4-BE49-F238E27FC236}">
              <a16:creationId xmlns:a16="http://schemas.microsoft.com/office/drawing/2014/main" id="{D3E575C9-2C0A-44A5-8D51-F430A0A463B1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51" name="Line 2">
          <a:extLst>
            <a:ext uri="{FF2B5EF4-FFF2-40B4-BE49-F238E27FC236}">
              <a16:creationId xmlns:a16="http://schemas.microsoft.com/office/drawing/2014/main" id="{2C5C8B9C-60FC-4DE1-A000-35CA52CA851F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52" name="Line 3">
          <a:extLst>
            <a:ext uri="{FF2B5EF4-FFF2-40B4-BE49-F238E27FC236}">
              <a16:creationId xmlns:a16="http://schemas.microsoft.com/office/drawing/2014/main" id="{EBDD8BAC-B4A1-40AF-84FA-BFD115A6F955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53" name="Line 4">
          <a:extLst>
            <a:ext uri="{FF2B5EF4-FFF2-40B4-BE49-F238E27FC236}">
              <a16:creationId xmlns:a16="http://schemas.microsoft.com/office/drawing/2014/main" id="{8BB9256B-E9EC-43FD-9025-A16A768CD4CF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654" name="Line 5">
          <a:extLst>
            <a:ext uri="{FF2B5EF4-FFF2-40B4-BE49-F238E27FC236}">
              <a16:creationId xmlns:a16="http://schemas.microsoft.com/office/drawing/2014/main" id="{9B59C2D5-7659-4AE4-BB4C-8A17E748A8A8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55" name="Line 2">
          <a:extLst>
            <a:ext uri="{FF2B5EF4-FFF2-40B4-BE49-F238E27FC236}">
              <a16:creationId xmlns:a16="http://schemas.microsoft.com/office/drawing/2014/main" id="{DA9E5BF7-F806-4FC3-A89A-FC9A31AB4D8F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656" name="Line 3">
          <a:extLst>
            <a:ext uri="{FF2B5EF4-FFF2-40B4-BE49-F238E27FC236}">
              <a16:creationId xmlns:a16="http://schemas.microsoft.com/office/drawing/2014/main" id="{ED29C496-3A11-4D19-8440-D15EFCBD9649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657" name="Line 4">
          <a:extLst>
            <a:ext uri="{FF2B5EF4-FFF2-40B4-BE49-F238E27FC236}">
              <a16:creationId xmlns:a16="http://schemas.microsoft.com/office/drawing/2014/main" id="{BE120BFE-444F-43F9-B58D-01102AB5B92C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658" name="Line 5">
          <a:extLst>
            <a:ext uri="{FF2B5EF4-FFF2-40B4-BE49-F238E27FC236}">
              <a16:creationId xmlns:a16="http://schemas.microsoft.com/office/drawing/2014/main" id="{DC78A456-27BD-4FCD-86C6-5125FBAE9B5B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1659" name="Line 7">
          <a:extLst>
            <a:ext uri="{FF2B5EF4-FFF2-40B4-BE49-F238E27FC236}">
              <a16:creationId xmlns:a16="http://schemas.microsoft.com/office/drawing/2014/main" id="{DB0A1B1C-315E-42F7-B6C0-58FCB43D366E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660" name="Line 2">
          <a:extLst>
            <a:ext uri="{FF2B5EF4-FFF2-40B4-BE49-F238E27FC236}">
              <a16:creationId xmlns:a16="http://schemas.microsoft.com/office/drawing/2014/main" id="{E08AEC77-D971-4873-AA09-4B88400D188F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661" name="Line 3">
          <a:extLst>
            <a:ext uri="{FF2B5EF4-FFF2-40B4-BE49-F238E27FC236}">
              <a16:creationId xmlns:a16="http://schemas.microsoft.com/office/drawing/2014/main" id="{732C41B9-E2A0-4042-84F2-F0B118B8642E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1662" name="Line 4">
          <a:extLst>
            <a:ext uri="{FF2B5EF4-FFF2-40B4-BE49-F238E27FC236}">
              <a16:creationId xmlns:a16="http://schemas.microsoft.com/office/drawing/2014/main" id="{D5AA3E73-56B0-4FF3-B813-2D85448DB875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663" name="Line 3">
          <a:extLst>
            <a:ext uri="{FF2B5EF4-FFF2-40B4-BE49-F238E27FC236}">
              <a16:creationId xmlns:a16="http://schemas.microsoft.com/office/drawing/2014/main" id="{96CE4D5D-830A-400F-A07F-732AF4E6A332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664" name="Line 5">
          <a:extLst>
            <a:ext uri="{FF2B5EF4-FFF2-40B4-BE49-F238E27FC236}">
              <a16:creationId xmlns:a16="http://schemas.microsoft.com/office/drawing/2014/main" id="{D5DCA644-1CD3-43B0-A89B-3AE2C55079C7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665" name="Line 2">
          <a:extLst>
            <a:ext uri="{FF2B5EF4-FFF2-40B4-BE49-F238E27FC236}">
              <a16:creationId xmlns:a16="http://schemas.microsoft.com/office/drawing/2014/main" id="{456E91FE-94BD-4791-87F8-D849488F65F8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666" name="Line 3">
          <a:extLst>
            <a:ext uri="{FF2B5EF4-FFF2-40B4-BE49-F238E27FC236}">
              <a16:creationId xmlns:a16="http://schemas.microsoft.com/office/drawing/2014/main" id="{3A0B9D91-3D79-4CE5-8112-B656B150F459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667" name="Line 4">
          <a:extLst>
            <a:ext uri="{FF2B5EF4-FFF2-40B4-BE49-F238E27FC236}">
              <a16:creationId xmlns:a16="http://schemas.microsoft.com/office/drawing/2014/main" id="{1034E808-1E5F-4492-95B8-140661B72EE5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668" name="Line 5">
          <a:extLst>
            <a:ext uri="{FF2B5EF4-FFF2-40B4-BE49-F238E27FC236}">
              <a16:creationId xmlns:a16="http://schemas.microsoft.com/office/drawing/2014/main" id="{D47F967C-6BCE-47A4-923F-0328A1295F4E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565</xdr:row>
      <xdr:rowOff>0</xdr:rowOff>
    </xdr:from>
    <xdr:to>
      <xdr:col>8</xdr:col>
      <xdr:colOff>180975</xdr:colOff>
      <xdr:row>565</xdr:row>
      <xdr:rowOff>0</xdr:rowOff>
    </xdr:to>
    <xdr:sp macro="" textlink="">
      <xdr:nvSpPr>
        <xdr:cNvPr id="1669" name="Line 7">
          <a:extLst>
            <a:ext uri="{FF2B5EF4-FFF2-40B4-BE49-F238E27FC236}">
              <a16:creationId xmlns:a16="http://schemas.microsoft.com/office/drawing/2014/main" id="{90374CBF-AED0-41D1-BED3-A7D2ABA6736A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70" name="Line 2">
          <a:extLst>
            <a:ext uri="{FF2B5EF4-FFF2-40B4-BE49-F238E27FC236}">
              <a16:creationId xmlns:a16="http://schemas.microsoft.com/office/drawing/2014/main" id="{8A830374-9846-4E23-861E-99C31651194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71" name="Line 3">
          <a:extLst>
            <a:ext uri="{FF2B5EF4-FFF2-40B4-BE49-F238E27FC236}">
              <a16:creationId xmlns:a16="http://schemas.microsoft.com/office/drawing/2014/main" id="{C238C69F-C580-4399-9C10-F26915946F6A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72" name="Line 4">
          <a:extLst>
            <a:ext uri="{FF2B5EF4-FFF2-40B4-BE49-F238E27FC236}">
              <a16:creationId xmlns:a16="http://schemas.microsoft.com/office/drawing/2014/main" id="{ED3D652E-1809-4568-9AFB-16EC199459E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673" name="Line 5">
          <a:extLst>
            <a:ext uri="{FF2B5EF4-FFF2-40B4-BE49-F238E27FC236}">
              <a16:creationId xmlns:a16="http://schemas.microsoft.com/office/drawing/2014/main" id="{9B917689-591C-4908-A623-DA22F39DEF01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74" name="Line 2">
          <a:extLst>
            <a:ext uri="{FF2B5EF4-FFF2-40B4-BE49-F238E27FC236}">
              <a16:creationId xmlns:a16="http://schemas.microsoft.com/office/drawing/2014/main" id="{2E527BF7-0638-475C-84D3-BE7C7FB171AF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675" name="Line 3">
          <a:extLst>
            <a:ext uri="{FF2B5EF4-FFF2-40B4-BE49-F238E27FC236}">
              <a16:creationId xmlns:a16="http://schemas.microsoft.com/office/drawing/2014/main" id="{FE8EA3EB-9E40-4B29-BD02-D89E555E133C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676" name="Line 4">
          <a:extLst>
            <a:ext uri="{FF2B5EF4-FFF2-40B4-BE49-F238E27FC236}">
              <a16:creationId xmlns:a16="http://schemas.microsoft.com/office/drawing/2014/main" id="{BA52324C-5AC7-4DB3-904D-6E4457C04EB5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677" name="Line 2">
          <a:extLst>
            <a:ext uri="{FF2B5EF4-FFF2-40B4-BE49-F238E27FC236}">
              <a16:creationId xmlns:a16="http://schemas.microsoft.com/office/drawing/2014/main" id="{51175E9A-4CE0-43A6-B154-829F9DD99B2A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678" name="Line 3">
          <a:extLst>
            <a:ext uri="{FF2B5EF4-FFF2-40B4-BE49-F238E27FC236}">
              <a16:creationId xmlns:a16="http://schemas.microsoft.com/office/drawing/2014/main" id="{7750D0D2-7D66-475B-BCD0-7D71D4D59FA3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679" name="Line 4">
          <a:extLst>
            <a:ext uri="{FF2B5EF4-FFF2-40B4-BE49-F238E27FC236}">
              <a16:creationId xmlns:a16="http://schemas.microsoft.com/office/drawing/2014/main" id="{3B97F9FF-0DCF-4816-BE4B-D129AACDC808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680" name="Line 2">
          <a:extLst>
            <a:ext uri="{FF2B5EF4-FFF2-40B4-BE49-F238E27FC236}">
              <a16:creationId xmlns:a16="http://schemas.microsoft.com/office/drawing/2014/main" id="{29A4709C-A6A6-4E83-ABFD-F16946ABEB11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681" name="Line 3">
          <a:extLst>
            <a:ext uri="{FF2B5EF4-FFF2-40B4-BE49-F238E27FC236}">
              <a16:creationId xmlns:a16="http://schemas.microsoft.com/office/drawing/2014/main" id="{E0CC7B3A-9732-495F-B8DF-E55EC8E0B016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682" name="Line 4">
          <a:extLst>
            <a:ext uri="{FF2B5EF4-FFF2-40B4-BE49-F238E27FC236}">
              <a16:creationId xmlns:a16="http://schemas.microsoft.com/office/drawing/2014/main" id="{E9078E08-3797-499E-8C27-D5B0CC7DCD63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683" name="Line 3">
          <a:extLst>
            <a:ext uri="{FF2B5EF4-FFF2-40B4-BE49-F238E27FC236}">
              <a16:creationId xmlns:a16="http://schemas.microsoft.com/office/drawing/2014/main" id="{6C52070B-D309-4310-B394-47C89C66C3BB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684" name="Line 5">
          <a:extLst>
            <a:ext uri="{FF2B5EF4-FFF2-40B4-BE49-F238E27FC236}">
              <a16:creationId xmlns:a16="http://schemas.microsoft.com/office/drawing/2014/main" id="{77C0E53F-7103-4E0A-9AB4-81531247BBE0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685" name="Line 2">
          <a:extLst>
            <a:ext uri="{FF2B5EF4-FFF2-40B4-BE49-F238E27FC236}">
              <a16:creationId xmlns:a16="http://schemas.microsoft.com/office/drawing/2014/main" id="{79392EAE-6DD9-4338-8BF8-67234897A0F9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686" name="Line 3">
          <a:extLst>
            <a:ext uri="{FF2B5EF4-FFF2-40B4-BE49-F238E27FC236}">
              <a16:creationId xmlns:a16="http://schemas.microsoft.com/office/drawing/2014/main" id="{62599CE8-2EA0-4D81-887A-5162FE51909A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687" name="Line 4">
          <a:extLst>
            <a:ext uri="{FF2B5EF4-FFF2-40B4-BE49-F238E27FC236}">
              <a16:creationId xmlns:a16="http://schemas.microsoft.com/office/drawing/2014/main" id="{05849879-1EDE-43AF-843C-62D560121070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688" name="Line 5">
          <a:extLst>
            <a:ext uri="{FF2B5EF4-FFF2-40B4-BE49-F238E27FC236}">
              <a16:creationId xmlns:a16="http://schemas.microsoft.com/office/drawing/2014/main" id="{C86A49C7-870B-4711-A687-D1A555C11B1A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620</xdr:row>
      <xdr:rowOff>0</xdr:rowOff>
    </xdr:from>
    <xdr:to>
      <xdr:col>8</xdr:col>
      <xdr:colOff>180975</xdr:colOff>
      <xdr:row>620</xdr:row>
      <xdr:rowOff>0</xdr:rowOff>
    </xdr:to>
    <xdr:sp macro="" textlink="">
      <xdr:nvSpPr>
        <xdr:cNvPr id="1689" name="Line 7">
          <a:extLst>
            <a:ext uri="{FF2B5EF4-FFF2-40B4-BE49-F238E27FC236}">
              <a16:creationId xmlns:a16="http://schemas.microsoft.com/office/drawing/2014/main" id="{8E36F7CD-2EFE-4FA2-AFB2-5D505FC921A8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90" name="Line 2">
          <a:extLst>
            <a:ext uri="{FF2B5EF4-FFF2-40B4-BE49-F238E27FC236}">
              <a16:creationId xmlns:a16="http://schemas.microsoft.com/office/drawing/2014/main" id="{536E6F4B-3E70-466C-8385-27BEC7FBF2C7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91" name="Line 3">
          <a:extLst>
            <a:ext uri="{FF2B5EF4-FFF2-40B4-BE49-F238E27FC236}">
              <a16:creationId xmlns:a16="http://schemas.microsoft.com/office/drawing/2014/main" id="{2E152EBB-BEE0-4A9E-9C51-C30B5B82FCB2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92" name="Line 4">
          <a:extLst>
            <a:ext uri="{FF2B5EF4-FFF2-40B4-BE49-F238E27FC236}">
              <a16:creationId xmlns:a16="http://schemas.microsoft.com/office/drawing/2014/main" id="{D1FF22B5-F549-4385-8591-C9E216942687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693" name="Line 5">
          <a:extLst>
            <a:ext uri="{FF2B5EF4-FFF2-40B4-BE49-F238E27FC236}">
              <a16:creationId xmlns:a16="http://schemas.microsoft.com/office/drawing/2014/main" id="{D1930812-2974-4B61-990B-0D51C686F5A8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94" name="Line 2">
          <a:extLst>
            <a:ext uri="{FF2B5EF4-FFF2-40B4-BE49-F238E27FC236}">
              <a16:creationId xmlns:a16="http://schemas.microsoft.com/office/drawing/2014/main" id="{374C62F1-64BF-4AFB-A32F-4D11436543C1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695" name="Line 3">
          <a:extLst>
            <a:ext uri="{FF2B5EF4-FFF2-40B4-BE49-F238E27FC236}">
              <a16:creationId xmlns:a16="http://schemas.microsoft.com/office/drawing/2014/main" id="{A959F956-66F3-4504-83B5-D7C390B2E294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696" name="Line 4">
          <a:extLst>
            <a:ext uri="{FF2B5EF4-FFF2-40B4-BE49-F238E27FC236}">
              <a16:creationId xmlns:a16="http://schemas.microsoft.com/office/drawing/2014/main" id="{35E949B0-072E-4034-94BB-44FA0057D480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697" name="Line 2">
          <a:extLst>
            <a:ext uri="{FF2B5EF4-FFF2-40B4-BE49-F238E27FC236}">
              <a16:creationId xmlns:a16="http://schemas.microsoft.com/office/drawing/2014/main" id="{B7EBBA12-63FC-43D2-A980-275852815B64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698" name="Line 3">
          <a:extLst>
            <a:ext uri="{FF2B5EF4-FFF2-40B4-BE49-F238E27FC236}">
              <a16:creationId xmlns:a16="http://schemas.microsoft.com/office/drawing/2014/main" id="{A41ED522-69A3-40DB-82F0-7ADAEAC97941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595</xdr:row>
      <xdr:rowOff>0</xdr:rowOff>
    </xdr:from>
    <xdr:to>
      <xdr:col>8</xdr:col>
      <xdr:colOff>180975</xdr:colOff>
      <xdr:row>595</xdr:row>
      <xdr:rowOff>0</xdr:rowOff>
    </xdr:to>
    <xdr:sp macro="" textlink="">
      <xdr:nvSpPr>
        <xdr:cNvPr id="1699" name="Line 4">
          <a:extLst>
            <a:ext uri="{FF2B5EF4-FFF2-40B4-BE49-F238E27FC236}">
              <a16:creationId xmlns:a16="http://schemas.microsoft.com/office/drawing/2014/main" id="{9508EE0C-FF9F-42F8-A7ED-4F46AA2EF59C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700" name="Line 2">
          <a:extLst>
            <a:ext uri="{FF2B5EF4-FFF2-40B4-BE49-F238E27FC236}">
              <a16:creationId xmlns:a16="http://schemas.microsoft.com/office/drawing/2014/main" id="{DB3C0260-169D-467D-ACA0-FE4B3BCDCC8E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701" name="Line 3">
          <a:extLst>
            <a:ext uri="{FF2B5EF4-FFF2-40B4-BE49-F238E27FC236}">
              <a16:creationId xmlns:a16="http://schemas.microsoft.com/office/drawing/2014/main" id="{D44D4330-BE81-40DC-8AD6-E7A7AD99928B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1702" name="Line 4">
          <a:extLst>
            <a:ext uri="{FF2B5EF4-FFF2-40B4-BE49-F238E27FC236}">
              <a16:creationId xmlns:a16="http://schemas.microsoft.com/office/drawing/2014/main" id="{3EF53A01-20AD-43CB-95D7-D846308C97E6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703" name="Line 3">
          <a:extLst>
            <a:ext uri="{FF2B5EF4-FFF2-40B4-BE49-F238E27FC236}">
              <a16:creationId xmlns:a16="http://schemas.microsoft.com/office/drawing/2014/main" id="{F83E7757-8390-4548-9F6B-CD22683DB36B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704" name="Line 5">
          <a:extLst>
            <a:ext uri="{FF2B5EF4-FFF2-40B4-BE49-F238E27FC236}">
              <a16:creationId xmlns:a16="http://schemas.microsoft.com/office/drawing/2014/main" id="{12778C46-DDF5-4039-A5E8-4E4D72E486A4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705" name="Line 2">
          <a:extLst>
            <a:ext uri="{FF2B5EF4-FFF2-40B4-BE49-F238E27FC236}">
              <a16:creationId xmlns:a16="http://schemas.microsoft.com/office/drawing/2014/main" id="{CA07E0EC-412D-4B7B-9AB0-419D4E6797B1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706" name="Line 3">
          <a:extLst>
            <a:ext uri="{FF2B5EF4-FFF2-40B4-BE49-F238E27FC236}">
              <a16:creationId xmlns:a16="http://schemas.microsoft.com/office/drawing/2014/main" id="{73F3FF86-3DBA-4BE7-8840-B78A074F81AC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707" name="Line 4">
          <a:extLst>
            <a:ext uri="{FF2B5EF4-FFF2-40B4-BE49-F238E27FC236}">
              <a16:creationId xmlns:a16="http://schemas.microsoft.com/office/drawing/2014/main" id="{B326F17C-C3E8-4C07-A968-C09F22ECBB4C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708" name="Line 5">
          <a:extLst>
            <a:ext uri="{FF2B5EF4-FFF2-40B4-BE49-F238E27FC236}">
              <a16:creationId xmlns:a16="http://schemas.microsoft.com/office/drawing/2014/main" id="{1A0AC33E-3105-4E32-B74F-024DCE9361AF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679</xdr:row>
      <xdr:rowOff>0</xdr:rowOff>
    </xdr:from>
    <xdr:to>
      <xdr:col>8</xdr:col>
      <xdr:colOff>180975</xdr:colOff>
      <xdr:row>679</xdr:row>
      <xdr:rowOff>0</xdr:rowOff>
    </xdr:to>
    <xdr:sp macro="" textlink="">
      <xdr:nvSpPr>
        <xdr:cNvPr id="1709" name="Line 7">
          <a:extLst>
            <a:ext uri="{FF2B5EF4-FFF2-40B4-BE49-F238E27FC236}">
              <a16:creationId xmlns:a16="http://schemas.microsoft.com/office/drawing/2014/main" id="{CF903B64-865E-4121-9900-F6D77BAE1B48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10" name="Line 2">
          <a:extLst>
            <a:ext uri="{FF2B5EF4-FFF2-40B4-BE49-F238E27FC236}">
              <a16:creationId xmlns:a16="http://schemas.microsoft.com/office/drawing/2014/main" id="{6D18DB5F-C06F-41E9-9949-C6BC8670A67C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11" name="Line 3">
          <a:extLst>
            <a:ext uri="{FF2B5EF4-FFF2-40B4-BE49-F238E27FC236}">
              <a16:creationId xmlns:a16="http://schemas.microsoft.com/office/drawing/2014/main" id="{F3DECCF1-7E9E-459C-9272-8B3C72845746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12" name="Line 4">
          <a:extLst>
            <a:ext uri="{FF2B5EF4-FFF2-40B4-BE49-F238E27FC236}">
              <a16:creationId xmlns:a16="http://schemas.microsoft.com/office/drawing/2014/main" id="{33553424-892E-4BED-BEA6-E9FA9F61401C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713" name="Line 5">
          <a:extLst>
            <a:ext uri="{FF2B5EF4-FFF2-40B4-BE49-F238E27FC236}">
              <a16:creationId xmlns:a16="http://schemas.microsoft.com/office/drawing/2014/main" id="{D5157880-69F8-48C2-AC47-CC2009499E5B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14" name="Line 2">
          <a:extLst>
            <a:ext uri="{FF2B5EF4-FFF2-40B4-BE49-F238E27FC236}">
              <a16:creationId xmlns:a16="http://schemas.microsoft.com/office/drawing/2014/main" id="{45FAD9A0-4E12-46F6-99A0-DF973C0792BC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715" name="Line 3">
          <a:extLst>
            <a:ext uri="{FF2B5EF4-FFF2-40B4-BE49-F238E27FC236}">
              <a16:creationId xmlns:a16="http://schemas.microsoft.com/office/drawing/2014/main" id="{1D5322A0-42C9-43D7-BB9B-CEFA1D764ED7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716" name="Line 4">
          <a:extLst>
            <a:ext uri="{FF2B5EF4-FFF2-40B4-BE49-F238E27FC236}">
              <a16:creationId xmlns:a16="http://schemas.microsoft.com/office/drawing/2014/main" id="{105277FE-03C4-4330-BB0B-F35A50DD6B42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717" name="Line 2">
          <a:extLst>
            <a:ext uri="{FF2B5EF4-FFF2-40B4-BE49-F238E27FC236}">
              <a16:creationId xmlns:a16="http://schemas.microsoft.com/office/drawing/2014/main" id="{F0635FB0-3850-45C1-AE29-FA61668BAAE1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718" name="Line 3">
          <a:extLst>
            <a:ext uri="{FF2B5EF4-FFF2-40B4-BE49-F238E27FC236}">
              <a16:creationId xmlns:a16="http://schemas.microsoft.com/office/drawing/2014/main" id="{D814218B-18D0-4C8C-9497-E29D40CC529E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654</xdr:row>
      <xdr:rowOff>0</xdr:rowOff>
    </xdr:from>
    <xdr:to>
      <xdr:col>8</xdr:col>
      <xdr:colOff>180975</xdr:colOff>
      <xdr:row>654</xdr:row>
      <xdr:rowOff>0</xdr:rowOff>
    </xdr:to>
    <xdr:sp macro="" textlink="">
      <xdr:nvSpPr>
        <xdr:cNvPr id="1719" name="Line 4">
          <a:extLst>
            <a:ext uri="{FF2B5EF4-FFF2-40B4-BE49-F238E27FC236}">
              <a16:creationId xmlns:a16="http://schemas.microsoft.com/office/drawing/2014/main" id="{297A0048-0238-44C6-96D6-56E7C577AB5E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720" name="Line 2">
          <a:extLst>
            <a:ext uri="{FF2B5EF4-FFF2-40B4-BE49-F238E27FC236}">
              <a16:creationId xmlns:a16="http://schemas.microsoft.com/office/drawing/2014/main" id="{9F90CFE7-FC57-4A03-81DE-DF91FE1BD1B3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721" name="Line 3">
          <a:extLst>
            <a:ext uri="{FF2B5EF4-FFF2-40B4-BE49-F238E27FC236}">
              <a16:creationId xmlns:a16="http://schemas.microsoft.com/office/drawing/2014/main" id="{9DA2A1DD-6A29-4280-A236-5401F6E7CFAF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658</xdr:row>
      <xdr:rowOff>0</xdr:rowOff>
    </xdr:from>
    <xdr:to>
      <xdr:col>8</xdr:col>
      <xdr:colOff>180975</xdr:colOff>
      <xdr:row>658</xdr:row>
      <xdr:rowOff>0</xdr:rowOff>
    </xdr:to>
    <xdr:sp macro="" textlink="">
      <xdr:nvSpPr>
        <xdr:cNvPr id="1722" name="Line 4">
          <a:extLst>
            <a:ext uri="{FF2B5EF4-FFF2-40B4-BE49-F238E27FC236}">
              <a16:creationId xmlns:a16="http://schemas.microsoft.com/office/drawing/2014/main" id="{6F193F87-ED24-4470-BDC6-2C401C83C5DF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723" name="Line 3">
          <a:extLst>
            <a:ext uri="{FF2B5EF4-FFF2-40B4-BE49-F238E27FC236}">
              <a16:creationId xmlns:a16="http://schemas.microsoft.com/office/drawing/2014/main" id="{2BFFF018-6861-4895-B031-1B6B3C80AC3F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724" name="Line 5">
          <a:extLst>
            <a:ext uri="{FF2B5EF4-FFF2-40B4-BE49-F238E27FC236}">
              <a16:creationId xmlns:a16="http://schemas.microsoft.com/office/drawing/2014/main" id="{4855ECD2-7AF3-4FCF-8C9B-7B4028A701FB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725" name="Line 2">
          <a:extLst>
            <a:ext uri="{FF2B5EF4-FFF2-40B4-BE49-F238E27FC236}">
              <a16:creationId xmlns:a16="http://schemas.microsoft.com/office/drawing/2014/main" id="{1F25FEFB-AD63-4B7B-B409-AB2E1C80842F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726" name="Line 3">
          <a:extLst>
            <a:ext uri="{FF2B5EF4-FFF2-40B4-BE49-F238E27FC236}">
              <a16:creationId xmlns:a16="http://schemas.microsoft.com/office/drawing/2014/main" id="{454ABF36-B614-4347-B241-22B31C3A5F3D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727" name="Line 4">
          <a:extLst>
            <a:ext uri="{FF2B5EF4-FFF2-40B4-BE49-F238E27FC236}">
              <a16:creationId xmlns:a16="http://schemas.microsoft.com/office/drawing/2014/main" id="{14AB7008-D4AF-49CD-BD91-0B24B87E2ADC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728" name="Line 5">
          <a:extLst>
            <a:ext uri="{FF2B5EF4-FFF2-40B4-BE49-F238E27FC236}">
              <a16:creationId xmlns:a16="http://schemas.microsoft.com/office/drawing/2014/main" id="{157055ED-E50E-45D2-B233-5C7DC6FCDDFA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737</xdr:row>
      <xdr:rowOff>0</xdr:rowOff>
    </xdr:from>
    <xdr:to>
      <xdr:col>8</xdr:col>
      <xdr:colOff>180975</xdr:colOff>
      <xdr:row>737</xdr:row>
      <xdr:rowOff>0</xdr:rowOff>
    </xdr:to>
    <xdr:sp macro="" textlink="">
      <xdr:nvSpPr>
        <xdr:cNvPr id="1729" name="Line 7">
          <a:extLst>
            <a:ext uri="{FF2B5EF4-FFF2-40B4-BE49-F238E27FC236}">
              <a16:creationId xmlns:a16="http://schemas.microsoft.com/office/drawing/2014/main" id="{5D7B8FB8-84E7-40F6-B4C8-78080ECCEEE8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30" name="Line 2">
          <a:extLst>
            <a:ext uri="{FF2B5EF4-FFF2-40B4-BE49-F238E27FC236}">
              <a16:creationId xmlns:a16="http://schemas.microsoft.com/office/drawing/2014/main" id="{8750F372-303E-483C-8878-8B167227E2EE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31" name="Line 3">
          <a:extLst>
            <a:ext uri="{FF2B5EF4-FFF2-40B4-BE49-F238E27FC236}">
              <a16:creationId xmlns:a16="http://schemas.microsoft.com/office/drawing/2014/main" id="{045321DE-4CD9-465E-9B03-4CC9F3435181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32" name="Line 4">
          <a:extLst>
            <a:ext uri="{FF2B5EF4-FFF2-40B4-BE49-F238E27FC236}">
              <a16:creationId xmlns:a16="http://schemas.microsoft.com/office/drawing/2014/main" id="{A7239664-05DA-41B5-964D-264351CAECE4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733" name="Line 5">
          <a:extLst>
            <a:ext uri="{FF2B5EF4-FFF2-40B4-BE49-F238E27FC236}">
              <a16:creationId xmlns:a16="http://schemas.microsoft.com/office/drawing/2014/main" id="{A918CF25-32CA-4986-A084-3F18D6F623EB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34" name="Line 2">
          <a:extLst>
            <a:ext uri="{FF2B5EF4-FFF2-40B4-BE49-F238E27FC236}">
              <a16:creationId xmlns:a16="http://schemas.microsoft.com/office/drawing/2014/main" id="{A3F54970-AFFD-421E-8871-CABF86F705F2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735" name="Line 3">
          <a:extLst>
            <a:ext uri="{FF2B5EF4-FFF2-40B4-BE49-F238E27FC236}">
              <a16:creationId xmlns:a16="http://schemas.microsoft.com/office/drawing/2014/main" id="{9FC0F2BF-4662-4CA7-AB79-75EB53C44C4E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736" name="Line 4">
          <a:extLst>
            <a:ext uri="{FF2B5EF4-FFF2-40B4-BE49-F238E27FC236}">
              <a16:creationId xmlns:a16="http://schemas.microsoft.com/office/drawing/2014/main" id="{6BC9FED7-2AFF-4C19-BF30-75392EB31C73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737" name="Line 2">
          <a:extLst>
            <a:ext uri="{FF2B5EF4-FFF2-40B4-BE49-F238E27FC236}">
              <a16:creationId xmlns:a16="http://schemas.microsoft.com/office/drawing/2014/main" id="{B9B21611-1F77-41D8-984A-83113821E080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738" name="Line 3">
          <a:extLst>
            <a:ext uri="{FF2B5EF4-FFF2-40B4-BE49-F238E27FC236}">
              <a16:creationId xmlns:a16="http://schemas.microsoft.com/office/drawing/2014/main" id="{85A60E6F-7E4B-484A-8568-4263334C7642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712</xdr:row>
      <xdr:rowOff>0</xdr:rowOff>
    </xdr:from>
    <xdr:to>
      <xdr:col>8</xdr:col>
      <xdr:colOff>180975</xdr:colOff>
      <xdr:row>712</xdr:row>
      <xdr:rowOff>0</xdr:rowOff>
    </xdr:to>
    <xdr:sp macro="" textlink="">
      <xdr:nvSpPr>
        <xdr:cNvPr id="1739" name="Line 4">
          <a:extLst>
            <a:ext uri="{FF2B5EF4-FFF2-40B4-BE49-F238E27FC236}">
              <a16:creationId xmlns:a16="http://schemas.microsoft.com/office/drawing/2014/main" id="{A2CEA06D-C2D0-4905-A532-8C8550923EF1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740" name="Line 2">
          <a:extLst>
            <a:ext uri="{FF2B5EF4-FFF2-40B4-BE49-F238E27FC236}">
              <a16:creationId xmlns:a16="http://schemas.microsoft.com/office/drawing/2014/main" id="{65B8D20C-431C-4B79-AFCA-8A56F5B9F4AA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741" name="Line 3">
          <a:extLst>
            <a:ext uri="{FF2B5EF4-FFF2-40B4-BE49-F238E27FC236}">
              <a16:creationId xmlns:a16="http://schemas.microsoft.com/office/drawing/2014/main" id="{3287BB60-0D7A-493F-9023-ADCCAF6472AF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715</xdr:row>
      <xdr:rowOff>0</xdr:rowOff>
    </xdr:from>
    <xdr:to>
      <xdr:col>8</xdr:col>
      <xdr:colOff>180975</xdr:colOff>
      <xdr:row>715</xdr:row>
      <xdr:rowOff>0</xdr:rowOff>
    </xdr:to>
    <xdr:sp macro="" textlink="">
      <xdr:nvSpPr>
        <xdr:cNvPr id="1742" name="Line 4">
          <a:extLst>
            <a:ext uri="{FF2B5EF4-FFF2-40B4-BE49-F238E27FC236}">
              <a16:creationId xmlns:a16="http://schemas.microsoft.com/office/drawing/2014/main" id="{55D191AE-31BB-4562-90FB-4E2EA4D66D06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</xdr:row>
      <xdr:rowOff>0</xdr:rowOff>
    </xdr:from>
    <xdr:to>
      <xdr:col>8</xdr:col>
      <xdr:colOff>180975</xdr:colOff>
      <xdr:row>57</xdr:row>
      <xdr:rowOff>0</xdr:rowOff>
    </xdr:to>
    <xdr:sp macro="" textlink="">
      <xdr:nvSpPr>
        <xdr:cNvPr id="1743" name="Line 2">
          <a:extLst>
            <a:ext uri="{FF2B5EF4-FFF2-40B4-BE49-F238E27FC236}">
              <a16:creationId xmlns:a16="http://schemas.microsoft.com/office/drawing/2014/main" id="{5644742A-68CD-4421-8D5B-7E239A33B867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744" name="Line 3">
          <a:extLst>
            <a:ext uri="{FF2B5EF4-FFF2-40B4-BE49-F238E27FC236}">
              <a16:creationId xmlns:a16="http://schemas.microsoft.com/office/drawing/2014/main" id="{FAA47058-AFC6-4F96-8936-88F5BD8DFC85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745" name="Line 5">
          <a:extLst>
            <a:ext uri="{FF2B5EF4-FFF2-40B4-BE49-F238E27FC236}">
              <a16:creationId xmlns:a16="http://schemas.microsoft.com/office/drawing/2014/main" id="{A69DCD64-9DB8-4252-A217-56CBDBC7C7C3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122</xdr:row>
      <xdr:rowOff>0</xdr:rowOff>
    </xdr:from>
    <xdr:to>
      <xdr:col>8</xdr:col>
      <xdr:colOff>180975</xdr:colOff>
      <xdr:row>122</xdr:row>
      <xdr:rowOff>0</xdr:rowOff>
    </xdr:to>
    <xdr:sp macro="" textlink="">
      <xdr:nvSpPr>
        <xdr:cNvPr id="1746" name="Line 2">
          <a:extLst>
            <a:ext uri="{FF2B5EF4-FFF2-40B4-BE49-F238E27FC236}">
              <a16:creationId xmlns:a16="http://schemas.microsoft.com/office/drawing/2014/main" id="{313B760B-1A99-43CE-A4FC-F1BB9E21689E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747" name="Line 3">
          <a:extLst>
            <a:ext uri="{FF2B5EF4-FFF2-40B4-BE49-F238E27FC236}">
              <a16:creationId xmlns:a16="http://schemas.microsoft.com/office/drawing/2014/main" id="{61E8987D-243B-4B44-9792-8106C02C36AF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748" name="Line 5">
          <a:extLst>
            <a:ext uri="{FF2B5EF4-FFF2-40B4-BE49-F238E27FC236}">
              <a16:creationId xmlns:a16="http://schemas.microsoft.com/office/drawing/2014/main" id="{8B4D4F60-FF4C-4EB0-9018-8F011163B9E2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749" name="Line 2">
          <a:extLst>
            <a:ext uri="{FF2B5EF4-FFF2-40B4-BE49-F238E27FC236}">
              <a16:creationId xmlns:a16="http://schemas.microsoft.com/office/drawing/2014/main" id="{2B83AE6E-8DAD-4ECA-8BED-606C19065421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750" name="Line 3">
          <a:extLst>
            <a:ext uri="{FF2B5EF4-FFF2-40B4-BE49-F238E27FC236}">
              <a16:creationId xmlns:a16="http://schemas.microsoft.com/office/drawing/2014/main" id="{309305AB-644A-4EE9-B469-3C0709E92923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751" name="Line 4">
          <a:extLst>
            <a:ext uri="{FF2B5EF4-FFF2-40B4-BE49-F238E27FC236}">
              <a16:creationId xmlns:a16="http://schemas.microsoft.com/office/drawing/2014/main" id="{BA039289-01B5-4ED2-9DD0-8B9F097CCC83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107</xdr:row>
      <xdr:rowOff>0</xdr:rowOff>
    </xdr:from>
    <xdr:to>
      <xdr:col>8</xdr:col>
      <xdr:colOff>180975</xdr:colOff>
      <xdr:row>107</xdr:row>
      <xdr:rowOff>0</xdr:rowOff>
    </xdr:to>
    <xdr:sp macro="" textlink="">
      <xdr:nvSpPr>
        <xdr:cNvPr id="1752" name="Line 7">
          <a:extLst>
            <a:ext uri="{FF2B5EF4-FFF2-40B4-BE49-F238E27FC236}">
              <a16:creationId xmlns:a16="http://schemas.microsoft.com/office/drawing/2014/main" id="{DDACCF9B-8EE9-491C-8F2E-7F610497B88C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1753" name="Line 2">
          <a:extLst>
            <a:ext uri="{FF2B5EF4-FFF2-40B4-BE49-F238E27FC236}">
              <a16:creationId xmlns:a16="http://schemas.microsoft.com/office/drawing/2014/main" id="{365CAA6A-7DAB-4004-93E5-EDA6F39F3A70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754" name="Line 3">
          <a:extLst>
            <a:ext uri="{FF2B5EF4-FFF2-40B4-BE49-F238E27FC236}">
              <a16:creationId xmlns:a16="http://schemas.microsoft.com/office/drawing/2014/main" id="{040DB62B-2FAF-4688-AFF4-7A8AA98401DA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755" name="Line 5">
          <a:extLst>
            <a:ext uri="{FF2B5EF4-FFF2-40B4-BE49-F238E27FC236}">
              <a16:creationId xmlns:a16="http://schemas.microsoft.com/office/drawing/2014/main" id="{C4451678-DFB5-45BD-9D48-EBE806B1128F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756" name="Line 2">
          <a:extLst>
            <a:ext uri="{FF2B5EF4-FFF2-40B4-BE49-F238E27FC236}">
              <a16:creationId xmlns:a16="http://schemas.microsoft.com/office/drawing/2014/main" id="{4C9F9FC6-73F5-4BE8-99A4-EC3012E3582E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757" name="Line 3">
          <a:extLst>
            <a:ext uri="{FF2B5EF4-FFF2-40B4-BE49-F238E27FC236}">
              <a16:creationId xmlns:a16="http://schemas.microsoft.com/office/drawing/2014/main" id="{C3CC9C84-A487-43D0-8853-B25E64EDE4F2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758" name="Line 4">
          <a:extLst>
            <a:ext uri="{FF2B5EF4-FFF2-40B4-BE49-F238E27FC236}">
              <a16:creationId xmlns:a16="http://schemas.microsoft.com/office/drawing/2014/main" id="{F531A112-AAA5-4D94-A807-91550136481D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759" name="Line 5">
          <a:extLst>
            <a:ext uri="{FF2B5EF4-FFF2-40B4-BE49-F238E27FC236}">
              <a16:creationId xmlns:a16="http://schemas.microsoft.com/office/drawing/2014/main" id="{4CA47CE4-E7D5-4E93-B13E-B0802EAF46C2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760" name="Line 2">
          <a:extLst>
            <a:ext uri="{FF2B5EF4-FFF2-40B4-BE49-F238E27FC236}">
              <a16:creationId xmlns:a16="http://schemas.microsoft.com/office/drawing/2014/main" id="{401FB512-7E34-4C72-8A9B-C733BA4C444D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761" name="Line 3">
          <a:extLst>
            <a:ext uri="{FF2B5EF4-FFF2-40B4-BE49-F238E27FC236}">
              <a16:creationId xmlns:a16="http://schemas.microsoft.com/office/drawing/2014/main" id="{213C9AD6-50F7-42C7-AC7C-9FEBBFFB13DC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762" name="Line 4">
          <a:extLst>
            <a:ext uri="{FF2B5EF4-FFF2-40B4-BE49-F238E27FC236}">
              <a16:creationId xmlns:a16="http://schemas.microsoft.com/office/drawing/2014/main" id="{C2C20E22-577A-4F43-AE32-29A65687D816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763" name="Line 5">
          <a:extLst>
            <a:ext uri="{FF2B5EF4-FFF2-40B4-BE49-F238E27FC236}">
              <a16:creationId xmlns:a16="http://schemas.microsoft.com/office/drawing/2014/main" id="{6ACC6CCE-A292-4330-B203-482D3FF5AAF1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764" name="Line 2">
          <a:extLst>
            <a:ext uri="{FF2B5EF4-FFF2-40B4-BE49-F238E27FC236}">
              <a16:creationId xmlns:a16="http://schemas.microsoft.com/office/drawing/2014/main" id="{B2665AD5-DA69-4AFB-9B41-66289402AE3B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765" name="Line 3">
          <a:extLst>
            <a:ext uri="{FF2B5EF4-FFF2-40B4-BE49-F238E27FC236}">
              <a16:creationId xmlns:a16="http://schemas.microsoft.com/office/drawing/2014/main" id="{B8272897-0A86-4C7F-B186-D1640D207751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766" name="Line 5">
          <a:extLst>
            <a:ext uri="{FF2B5EF4-FFF2-40B4-BE49-F238E27FC236}">
              <a16:creationId xmlns:a16="http://schemas.microsoft.com/office/drawing/2014/main" id="{3607C34C-2E99-417B-8172-AFEF824DF645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767" name="Line 2">
          <a:extLst>
            <a:ext uri="{FF2B5EF4-FFF2-40B4-BE49-F238E27FC236}">
              <a16:creationId xmlns:a16="http://schemas.microsoft.com/office/drawing/2014/main" id="{295C6E3E-F67A-4F40-AE45-C4502091557C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768" name="Line 3">
          <a:extLst>
            <a:ext uri="{FF2B5EF4-FFF2-40B4-BE49-F238E27FC236}">
              <a16:creationId xmlns:a16="http://schemas.microsoft.com/office/drawing/2014/main" id="{9F8CFF13-20E4-47F7-9F3F-2A9C4FB566DC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769" name="Line 4">
          <a:extLst>
            <a:ext uri="{FF2B5EF4-FFF2-40B4-BE49-F238E27FC236}">
              <a16:creationId xmlns:a16="http://schemas.microsoft.com/office/drawing/2014/main" id="{C6DA3465-7C84-4818-976C-741E216A6645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770" name="Line 5">
          <a:extLst>
            <a:ext uri="{FF2B5EF4-FFF2-40B4-BE49-F238E27FC236}">
              <a16:creationId xmlns:a16="http://schemas.microsoft.com/office/drawing/2014/main" id="{08FDF1E5-0F27-4AAC-91DA-BF2C454D30DE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71" name="Line 2">
          <a:extLst>
            <a:ext uri="{FF2B5EF4-FFF2-40B4-BE49-F238E27FC236}">
              <a16:creationId xmlns:a16="http://schemas.microsoft.com/office/drawing/2014/main" id="{5ECA402E-A08B-4F80-9DA0-0E509C3064F1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72" name="Line 3">
          <a:extLst>
            <a:ext uri="{FF2B5EF4-FFF2-40B4-BE49-F238E27FC236}">
              <a16:creationId xmlns:a16="http://schemas.microsoft.com/office/drawing/2014/main" id="{44EFA982-AC3D-48C6-99AA-DB0B33402D3F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73" name="Line 4">
          <a:extLst>
            <a:ext uri="{FF2B5EF4-FFF2-40B4-BE49-F238E27FC236}">
              <a16:creationId xmlns:a16="http://schemas.microsoft.com/office/drawing/2014/main" id="{DF8148F1-BEB6-43A4-9510-832D1DC24B5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774" name="Line 5">
          <a:extLst>
            <a:ext uri="{FF2B5EF4-FFF2-40B4-BE49-F238E27FC236}">
              <a16:creationId xmlns:a16="http://schemas.microsoft.com/office/drawing/2014/main" id="{3A0133FC-C086-470D-93E2-258695BA9354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775" name="Line 2">
          <a:extLst>
            <a:ext uri="{FF2B5EF4-FFF2-40B4-BE49-F238E27FC236}">
              <a16:creationId xmlns:a16="http://schemas.microsoft.com/office/drawing/2014/main" id="{7454C1D3-AE19-40BA-9A96-5A41311D203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776" name="Line 3">
          <a:extLst>
            <a:ext uri="{FF2B5EF4-FFF2-40B4-BE49-F238E27FC236}">
              <a16:creationId xmlns:a16="http://schemas.microsoft.com/office/drawing/2014/main" id="{9F570B4C-0D3C-42A9-981A-AAFF0205AB57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777" name="Line 4">
          <a:extLst>
            <a:ext uri="{FF2B5EF4-FFF2-40B4-BE49-F238E27FC236}">
              <a16:creationId xmlns:a16="http://schemas.microsoft.com/office/drawing/2014/main" id="{22B0195B-4CAD-4244-952B-60F089F5908A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778" name="Line 5">
          <a:extLst>
            <a:ext uri="{FF2B5EF4-FFF2-40B4-BE49-F238E27FC236}">
              <a16:creationId xmlns:a16="http://schemas.microsoft.com/office/drawing/2014/main" id="{9EF730A1-4404-4DD8-868E-C69EAFDE88D2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779" name="Line 7">
          <a:extLst>
            <a:ext uri="{FF2B5EF4-FFF2-40B4-BE49-F238E27FC236}">
              <a16:creationId xmlns:a16="http://schemas.microsoft.com/office/drawing/2014/main" id="{460189C2-CB18-4879-95C7-B15B95F5CF57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780" name="Line 8">
          <a:extLst>
            <a:ext uri="{FF2B5EF4-FFF2-40B4-BE49-F238E27FC236}">
              <a16:creationId xmlns:a16="http://schemas.microsoft.com/office/drawing/2014/main" id="{EB155389-90C2-436E-8389-725B47CD630A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781" name="Rectangle 7">
          <a:extLst>
            <a:ext uri="{FF2B5EF4-FFF2-40B4-BE49-F238E27FC236}">
              <a16:creationId xmlns:a16="http://schemas.microsoft.com/office/drawing/2014/main" id="{D73A90AF-77FE-44D6-BA86-C8D5E1FF7CAA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38100</xdr:colOff>
      <xdr:row>241</xdr:row>
      <xdr:rowOff>0</xdr:rowOff>
    </xdr:from>
    <xdr:ext cx="190500" cy="933450"/>
    <xdr:sp macro="" textlink="">
      <xdr:nvSpPr>
        <xdr:cNvPr id="1782" name="Rectangle 8">
          <a:extLst>
            <a:ext uri="{FF2B5EF4-FFF2-40B4-BE49-F238E27FC236}">
              <a16:creationId xmlns:a16="http://schemas.microsoft.com/office/drawing/2014/main" id="{601129B5-838F-468A-91DC-B2529DAAF999}"/>
            </a:ext>
          </a:extLst>
        </xdr:cNvPr>
        <xdr:cNvSpPr>
          <a:spLocks noChangeArrowheads="1"/>
        </xdr:cNvSpPr>
      </xdr:nvSpPr>
      <xdr:spPr bwMode="auto">
        <a:xfrm>
          <a:off x="5362575" y="346329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783" name="Line 2">
          <a:extLst>
            <a:ext uri="{FF2B5EF4-FFF2-40B4-BE49-F238E27FC236}">
              <a16:creationId xmlns:a16="http://schemas.microsoft.com/office/drawing/2014/main" id="{4407A0A0-D3CA-400C-92DF-4E8F0B3E3FF5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784" name="Line 3">
          <a:extLst>
            <a:ext uri="{FF2B5EF4-FFF2-40B4-BE49-F238E27FC236}">
              <a16:creationId xmlns:a16="http://schemas.microsoft.com/office/drawing/2014/main" id="{912ABAE4-C21D-485B-8AB8-883C20B26850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785" name="Line 5">
          <a:extLst>
            <a:ext uri="{FF2B5EF4-FFF2-40B4-BE49-F238E27FC236}">
              <a16:creationId xmlns:a16="http://schemas.microsoft.com/office/drawing/2014/main" id="{4A955861-E4E0-4FBC-A848-044C54D1761E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786" name="Line 2">
          <a:extLst>
            <a:ext uri="{FF2B5EF4-FFF2-40B4-BE49-F238E27FC236}">
              <a16:creationId xmlns:a16="http://schemas.microsoft.com/office/drawing/2014/main" id="{1340D040-F85D-4C66-98B2-F5E4B37896D8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787" name="Line 3">
          <a:extLst>
            <a:ext uri="{FF2B5EF4-FFF2-40B4-BE49-F238E27FC236}">
              <a16:creationId xmlns:a16="http://schemas.microsoft.com/office/drawing/2014/main" id="{D0B567A6-785C-41B6-A8CC-A3E5F467AEB7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788" name="Line 4">
          <a:extLst>
            <a:ext uri="{FF2B5EF4-FFF2-40B4-BE49-F238E27FC236}">
              <a16:creationId xmlns:a16="http://schemas.microsoft.com/office/drawing/2014/main" id="{EA943A1F-95FF-4B51-936C-3677EC1A8E87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789" name="Line 5">
          <a:extLst>
            <a:ext uri="{FF2B5EF4-FFF2-40B4-BE49-F238E27FC236}">
              <a16:creationId xmlns:a16="http://schemas.microsoft.com/office/drawing/2014/main" id="{A44BC963-4764-40EB-BCEA-834D210ED629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90" name="Line 2">
          <a:extLst>
            <a:ext uri="{FF2B5EF4-FFF2-40B4-BE49-F238E27FC236}">
              <a16:creationId xmlns:a16="http://schemas.microsoft.com/office/drawing/2014/main" id="{3BC0979D-AB5E-462F-BB10-B19F622AEE47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91" name="Line 3">
          <a:extLst>
            <a:ext uri="{FF2B5EF4-FFF2-40B4-BE49-F238E27FC236}">
              <a16:creationId xmlns:a16="http://schemas.microsoft.com/office/drawing/2014/main" id="{06C241FC-FACF-4815-B796-89F4BBB86AF3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792" name="Line 4">
          <a:extLst>
            <a:ext uri="{FF2B5EF4-FFF2-40B4-BE49-F238E27FC236}">
              <a16:creationId xmlns:a16="http://schemas.microsoft.com/office/drawing/2014/main" id="{F740949F-D7B9-47DD-8120-DACA1AECD8EF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793" name="Line 5">
          <a:extLst>
            <a:ext uri="{FF2B5EF4-FFF2-40B4-BE49-F238E27FC236}">
              <a16:creationId xmlns:a16="http://schemas.microsoft.com/office/drawing/2014/main" id="{0C8564ED-486E-40BA-AB48-858D4577F651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794" name="Line 2">
          <a:extLst>
            <a:ext uri="{FF2B5EF4-FFF2-40B4-BE49-F238E27FC236}">
              <a16:creationId xmlns:a16="http://schemas.microsoft.com/office/drawing/2014/main" id="{BE7D40D3-ED2D-440C-B360-21493545302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795" name="Line 3">
          <a:extLst>
            <a:ext uri="{FF2B5EF4-FFF2-40B4-BE49-F238E27FC236}">
              <a16:creationId xmlns:a16="http://schemas.microsoft.com/office/drawing/2014/main" id="{466BBC2F-9B96-4373-A8EB-135A011FB1C8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796" name="Line 4">
          <a:extLst>
            <a:ext uri="{FF2B5EF4-FFF2-40B4-BE49-F238E27FC236}">
              <a16:creationId xmlns:a16="http://schemas.microsoft.com/office/drawing/2014/main" id="{CFE331A3-DC58-4186-8D1F-4804EDBAAEDB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797" name="Line 5">
          <a:extLst>
            <a:ext uri="{FF2B5EF4-FFF2-40B4-BE49-F238E27FC236}">
              <a16:creationId xmlns:a16="http://schemas.microsoft.com/office/drawing/2014/main" id="{DB980EB7-F184-4FE6-84C0-2C89CD3019BC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798" name="Line 7">
          <a:extLst>
            <a:ext uri="{FF2B5EF4-FFF2-40B4-BE49-F238E27FC236}">
              <a16:creationId xmlns:a16="http://schemas.microsoft.com/office/drawing/2014/main" id="{5D935791-FD3B-4C10-8F07-A3AC4CBB7C97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799" name="Line 8">
          <a:extLst>
            <a:ext uri="{FF2B5EF4-FFF2-40B4-BE49-F238E27FC236}">
              <a16:creationId xmlns:a16="http://schemas.microsoft.com/office/drawing/2014/main" id="{4008F780-1DFE-45D5-B741-76A8011300D4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800" name="Rectangle 7">
          <a:extLst>
            <a:ext uri="{FF2B5EF4-FFF2-40B4-BE49-F238E27FC236}">
              <a16:creationId xmlns:a16="http://schemas.microsoft.com/office/drawing/2014/main" id="{322038D9-6188-4D80-837F-D35D7EC17652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801" name="Line 3">
          <a:extLst>
            <a:ext uri="{FF2B5EF4-FFF2-40B4-BE49-F238E27FC236}">
              <a16:creationId xmlns:a16="http://schemas.microsoft.com/office/drawing/2014/main" id="{F71C95D2-9C1F-4D26-B29D-DBF6CAD7D806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802" name="Line 5">
          <a:extLst>
            <a:ext uri="{FF2B5EF4-FFF2-40B4-BE49-F238E27FC236}">
              <a16:creationId xmlns:a16="http://schemas.microsoft.com/office/drawing/2014/main" id="{9DB9B3C2-795D-481D-8FC8-F7871D7D90D0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803" name="Line 2">
          <a:extLst>
            <a:ext uri="{FF2B5EF4-FFF2-40B4-BE49-F238E27FC236}">
              <a16:creationId xmlns:a16="http://schemas.microsoft.com/office/drawing/2014/main" id="{BBEC4D30-D2AD-4A15-B812-E3BA9236E098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804" name="Line 3">
          <a:extLst>
            <a:ext uri="{FF2B5EF4-FFF2-40B4-BE49-F238E27FC236}">
              <a16:creationId xmlns:a16="http://schemas.microsoft.com/office/drawing/2014/main" id="{4035FEC7-0474-44EE-A5C3-83BFCF6F19CD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805" name="Line 4">
          <a:extLst>
            <a:ext uri="{FF2B5EF4-FFF2-40B4-BE49-F238E27FC236}">
              <a16:creationId xmlns:a16="http://schemas.microsoft.com/office/drawing/2014/main" id="{55F08CB2-3AA7-48CD-96B8-3631878A3E82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806" name="Line 5">
          <a:extLst>
            <a:ext uri="{FF2B5EF4-FFF2-40B4-BE49-F238E27FC236}">
              <a16:creationId xmlns:a16="http://schemas.microsoft.com/office/drawing/2014/main" id="{8375C14E-FC9B-4C8F-BCE6-8FDA9B4C2B8D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1807" name="Line 7">
          <a:extLst>
            <a:ext uri="{FF2B5EF4-FFF2-40B4-BE49-F238E27FC236}">
              <a16:creationId xmlns:a16="http://schemas.microsoft.com/office/drawing/2014/main" id="{C985B90A-F6A3-4785-AE92-26EBFB4FD57F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08" name="Line 2">
          <a:extLst>
            <a:ext uri="{FF2B5EF4-FFF2-40B4-BE49-F238E27FC236}">
              <a16:creationId xmlns:a16="http://schemas.microsoft.com/office/drawing/2014/main" id="{6AC76DEA-EFD1-496A-AB6C-D14F84FD3FAD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09" name="Line 3">
          <a:extLst>
            <a:ext uri="{FF2B5EF4-FFF2-40B4-BE49-F238E27FC236}">
              <a16:creationId xmlns:a16="http://schemas.microsoft.com/office/drawing/2014/main" id="{9E2448FD-0B8D-4427-8B9D-7E4603B997FC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10" name="Line 4">
          <a:extLst>
            <a:ext uri="{FF2B5EF4-FFF2-40B4-BE49-F238E27FC236}">
              <a16:creationId xmlns:a16="http://schemas.microsoft.com/office/drawing/2014/main" id="{7E2ABB1F-90E1-4EF5-A9C2-F097440CB75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811" name="Line 5">
          <a:extLst>
            <a:ext uri="{FF2B5EF4-FFF2-40B4-BE49-F238E27FC236}">
              <a16:creationId xmlns:a16="http://schemas.microsoft.com/office/drawing/2014/main" id="{BB41646B-DCEE-4899-8167-EAE1C7D85E7D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12" name="Line 2">
          <a:extLst>
            <a:ext uri="{FF2B5EF4-FFF2-40B4-BE49-F238E27FC236}">
              <a16:creationId xmlns:a16="http://schemas.microsoft.com/office/drawing/2014/main" id="{B9A89A0E-4B08-4D02-BEB7-A722FFC17D2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813" name="Line 3">
          <a:extLst>
            <a:ext uri="{FF2B5EF4-FFF2-40B4-BE49-F238E27FC236}">
              <a16:creationId xmlns:a16="http://schemas.microsoft.com/office/drawing/2014/main" id="{9B83B943-E77B-489C-AFEF-2BF593959BE4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814" name="Line 4">
          <a:extLst>
            <a:ext uri="{FF2B5EF4-FFF2-40B4-BE49-F238E27FC236}">
              <a16:creationId xmlns:a16="http://schemas.microsoft.com/office/drawing/2014/main" id="{0AE5B0A1-25BF-427A-84AB-E4559ABBC783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381</xdr:row>
      <xdr:rowOff>0</xdr:rowOff>
    </xdr:from>
    <xdr:to>
      <xdr:col>8</xdr:col>
      <xdr:colOff>180975</xdr:colOff>
      <xdr:row>381</xdr:row>
      <xdr:rowOff>0</xdr:rowOff>
    </xdr:to>
    <xdr:sp macro="" textlink="">
      <xdr:nvSpPr>
        <xdr:cNvPr id="1815" name="Line 5">
          <a:extLst>
            <a:ext uri="{FF2B5EF4-FFF2-40B4-BE49-F238E27FC236}">
              <a16:creationId xmlns:a16="http://schemas.microsoft.com/office/drawing/2014/main" id="{9004DE56-045B-45F7-9739-21AEAB0E6AE9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369</xdr:row>
      <xdr:rowOff>0</xdr:rowOff>
    </xdr:from>
    <xdr:to>
      <xdr:col>8</xdr:col>
      <xdr:colOff>180975</xdr:colOff>
      <xdr:row>369</xdr:row>
      <xdr:rowOff>0</xdr:rowOff>
    </xdr:to>
    <xdr:sp macro="" textlink="">
      <xdr:nvSpPr>
        <xdr:cNvPr id="1816" name="Line 7">
          <a:extLst>
            <a:ext uri="{FF2B5EF4-FFF2-40B4-BE49-F238E27FC236}">
              <a16:creationId xmlns:a16="http://schemas.microsoft.com/office/drawing/2014/main" id="{87F864CB-C362-4BF3-807B-EBB15EAE3B65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817" name="Line 3">
          <a:extLst>
            <a:ext uri="{FF2B5EF4-FFF2-40B4-BE49-F238E27FC236}">
              <a16:creationId xmlns:a16="http://schemas.microsoft.com/office/drawing/2014/main" id="{D1B6C747-62FB-49E2-9751-652E8BAFE831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818" name="Line 5">
          <a:extLst>
            <a:ext uri="{FF2B5EF4-FFF2-40B4-BE49-F238E27FC236}">
              <a16:creationId xmlns:a16="http://schemas.microsoft.com/office/drawing/2014/main" id="{0DC61D4A-C532-494C-A197-33B2B22D9D9C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819" name="Line 2">
          <a:extLst>
            <a:ext uri="{FF2B5EF4-FFF2-40B4-BE49-F238E27FC236}">
              <a16:creationId xmlns:a16="http://schemas.microsoft.com/office/drawing/2014/main" id="{440D71FA-3871-4EA8-B991-4C2C481DC636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820" name="Line 3">
          <a:extLst>
            <a:ext uri="{FF2B5EF4-FFF2-40B4-BE49-F238E27FC236}">
              <a16:creationId xmlns:a16="http://schemas.microsoft.com/office/drawing/2014/main" id="{D23D3126-DA8D-49A3-A1F6-04B5B5CBE257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821" name="Line 4">
          <a:extLst>
            <a:ext uri="{FF2B5EF4-FFF2-40B4-BE49-F238E27FC236}">
              <a16:creationId xmlns:a16="http://schemas.microsoft.com/office/drawing/2014/main" id="{0177DDB8-087C-487E-B35C-EA9512639F77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822" name="Line 5">
          <a:extLst>
            <a:ext uri="{FF2B5EF4-FFF2-40B4-BE49-F238E27FC236}">
              <a16:creationId xmlns:a16="http://schemas.microsoft.com/office/drawing/2014/main" id="{582D986B-E1AD-48FF-A6E8-8F364462E00C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3" name="Line 2">
          <a:extLst>
            <a:ext uri="{FF2B5EF4-FFF2-40B4-BE49-F238E27FC236}">
              <a16:creationId xmlns:a16="http://schemas.microsoft.com/office/drawing/2014/main" id="{545DC277-6169-4269-87AC-7025CEC23C37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4" name="Line 3">
          <a:extLst>
            <a:ext uri="{FF2B5EF4-FFF2-40B4-BE49-F238E27FC236}">
              <a16:creationId xmlns:a16="http://schemas.microsoft.com/office/drawing/2014/main" id="{C788CB6F-7949-485D-8F75-233BA3407A1E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5" name="Line 4">
          <a:extLst>
            <a:ext uri="{FF2B5EF4-FFF2-40B4-BE49-F238E27FC236}">
              <a16:creationId xmlns:a16="http://schemas.microsoft.com/office/drawing/2014/main" id="{35678307-424D-468A-9D8E-2A191C9FCFFB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826" name="Line 5">
          <a:extLst>
            <a:ext uri="{FF2B5EF4-FFF2-40B4-BE49-F238E27FC236}">
              <a16:creationId xmlns:a16="http://schemas.microsoft.com/office/drawing/2014/main" id="{E426B4FA-B8CE-49A4-B6DF-D2A0D60503CC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7" name="Line 2">
          <a:extLst>
            <a:ext uri="{FF2B5EF4-FFF2-40B4-BE49-F238E27FC236}">
              <a16:creationId xmlns:a16="http://schemas.microsoft.com/office/drawing/2014/main" id="{7F505964-BC41-42B7-AA87-8FB9FD26EFFB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828" name="Line 3">
          <a:extLst>
            <a:ext uri="{FF2B5EF4-FFF2-40B4-BE49-F238E27FC236}">
              <a16:creationId xmlns:a16="http://schemas.microsoft.com/office/drawing/2014/main" id="{52ED38F5-9027-4B5A-8666-C559CB7A98BD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829" name="Line 4">
          <a:extLst>
            <a:ext uri="{FF2B5EF4-FFF2-40B4-BE49-F238E27FC236}">
              <a16:creationId xmlns:a16="http://schemas.microsoft.com/office/drawing/2014/main" id="{4A3A1C9B-6FA2-4691-A05C-488899DB5F80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830" name="Line 5">
          <a:extLst>
            <a:ext uri="{FF2B5EF4-FFF2-40B4-BE49-F238E27FC236}">
              <a16:creationId xmlns:a16="http://schemas.microsoft.com/office/drawing/2014/main" id="{1F5FAAF0-CCAB-4B24-B860-9A9C210C2ADF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1831" name="Line 7">
          <a:extLst>
            <a:ext uri="{FF2B5EF4-FFF2-40B4-BE49-F238E27FC236}">
              <a16:creationId xmlns:a16="http://schemas.microsoft.com/office/drawing/2014/main" id="{356F9089-5884-4835-8D75-21E5B3AC7187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832" name="Line 2">
          <a:extLst>
            <a:ext uri="{FF2B5EF4-FFF2-40B4-BE49-F238E27FC236}">
              <a16:creationId xmlns:a16="http://schemas.microsoft.com/office/drawing/2014/main" id="{51343397-2C53-4D4F-A024-75AEAA830AF3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1833" name="Line 3">
          <a:extLst>
            <a:ext uri="{FF2B5EF4-FFF2-40B4-BE49-F238E27FC236}">
              <a16:creationId xmlns:a16="http://schemas.microsoft.com/office/drawing/2014/main" id="{B3C844E1-560F-4B6C-B3EE-E028A7EE237B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1834" name="Line 4">
          <a:extLst>
            <a:ext uri="{FF2B5EF4-FFF2-40B4-BE49-F238E27FC236}">
              <a16:creationId xmlns:a16="http://schemas.microsoft.com/office/drawing/2014/main" id="{666B95B8-636D-49FC-8CE5-AF68D0F65006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835" name="Line 3">
          <a:extLst>
            <a:ext uri="{FF2B5EF4-FFF2-40B4-BE49-F238E27FC236}">
              <a16:creationId xmlns:a16="http://schemas.microsoft.com/office/drawing/2014/main" id="{6D48C072-B5E3-48FB-A03F-B49EEEC841D2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1836" name="Line 5">
          <a:extLst>
            <a:ext uri="{FF2B5EF4-FFF2-40B4-BE49-F238E27FC236}">
              <a16:creationId xmlns:a16="http://schemas.microsoft.com/office/drawing/2014/main" id="{38DD3439-9BC4-4279-B0F1-EC0B2D4120C7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837" name="Line 2">
          <a:extLst>
            <a:ext uri="{FF2B5EF4-FFF2-40B4-BE49-F238E27FC236}">
              <a16:creationId xmlns:a16="http://schemas.microsoft.com/office/drawing/2014/main" id="{716CB1A3-EE60-4EED-A622-AB29974B1D1A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838" name="Line 3">
          <a:extLst>
            <a:ext uri="{FF2B5EF4-FFF2-40B4-BE49-F238E27FC236}">
              <a16:creationId xmlns:a16="http://schemas.microsoft.com/office/drawing/2014/main" id="{007B0FCD-3082-4D91-9B21-E2C229D614A4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839" name="Line 4">
          <a:extLst>
            <a:ext uri="{FF2B5EF4-FFF2-40B4-BE49-F238E27FC236}">
              <a16:creationId xmlns:a16="http://schemas.microsoft.com/office/drawing/2014/main" id="{306ECA23-8B76-4412-928B-B12F2301C2CE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840" name="Line 5">
          <a:extLst>
            <a:ext uri="{FF2B5EF4-FFF2-40B4-BE49-F238E27FC236}">
              <a16:creationId xmlns:a16="http://schemas.microsoft.com/office/drawing/2014/main" id="{E509E2AE-1D69-48FF-AB00-228FC11DBF00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565</xdr:row>
      <xdr:rowOff>0</xdr:rowOff>
    </xdr:from>
    <xdr:to>
      <xdr:col>8</xdr:col>
      <xdr:colOff>180975</xdr:colOff>
      <xdr:row>565</xdr:row>
      <xdr:rowOff>0</xdr:rowOff>
    </xdr:to>
    <xdr:sp macro="" textlink="">
      <xdr:nvSpPr>
        <xdr:cNvPr id="1841" name="Line 7">
          <a:extLst>
            <a:ext uri="{FF2B5EF4-FFF2-40B4-BE49-F238E27FC236}">
              <a16:creationId xmlns:a16="http://schemas.microsoft.com/office/drawing/2014/main" id="{9F1D6A5B-1B42-451C-834B-B8E1C11A9868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42" name="Line 2">
          <a:extLst>
            <a:ext uri="{FF2B5EF4-FFF2-40B4-BE49-F238E27FC236}">
              <a16:creationId xmlns:a16="http://schemas.microsoft.com/office/drawing/2014/main" id="{9624E1BE-3BEF-4D46-92B7-41132E3075DF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43" name="Line 3">
          <a:extLst>
            <a:ext uri="{FF2B5EF4-FFF2-40B4-BE49-F238E27FC236}">
              <a16:creationId xmlns:a16="http://schemas.microsoft.com/office/drawing/2014/main" id="{21B465EE-279C-48B4-AF03-6C09FACEBBEA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44" name="Line 4">
          <a:extLst>
            <a:ext uri="{FF2B5EF4-FFF2-40B4-BE49-F238E27FC236}">
              <a16:creationId xmlns:a16="http://schemas.microsoft.com/office/drawing/2014/main" id="{CCD32771-B29C-4492-8904-D60B97F27ED3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845" name="Line 5">
          <a:extLst>
            <a:ext uri="{FF2B5EF4-FFF2-40B4-BE49-F238E27FC236}">
              <a16:creationId xmlns:a16="http://schemas.microsoft.com/office/drawing/2014/main" id="{48AA7701-E8D6-4F1B-801E-CD24AD1F8AC6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46" name="Line 2">
          <a:extLst>
            <a:ext uri="{FF2B5EF4-FFF2-40B4-BE49-F238E27FC236}">
              <a16:creationId xmlns:a16="http://schemas.microsoft.com/office/drawing/2014/main" id="{66B3B0EF-E5B1-4747-ABBD-43E4445D0A5D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1847" name="Line 3">
          <a:extLst>
            <a:ext uri="{FF2B5EF4-FFF2-40B4-BE49-F238E27FC236}">
              <a16:creationId xmlns:a16="http://schemas.microsoft.com/office/drawing/2014/main" id="{5B0BDB21-FAA6-419D-B3D3-520D3A7B57D0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1848" name="Line 4">
          <a:extLst>
            <a:ext uri="{FF2B5EF4-FFF2-40B4-BE49-F238E27FC236}">
              <a16:creationId xmlns:a16="http://schemas.microsoft.com/office/drawing/2014/main" id="{66F06CE3-7F6C-430B-A0BC-2DA6F84D09D0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849" name="Line 2">
          <a:extLst>
            <a:ext uri="{FF2B5EF4-FFF2-40B4-BE49-F238E27FC236}">
              <a16:creationId xmlns:a16="http://schemas.microsoft.com/office/drawing/2014/main" id="{EBCC6B3E-2569-4C97-B065-B66252ECE8DD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850" name="Line 3">
          <a:extLst>
            <a:ext uri="{FF2B5EF4-FFF2-40B4-BE49-F238E27FC236}">
              <a16:creationId xmlns:a16="http://schemas.microsoft.com/office/drawing/2014/main" id="{1BF82ED5-3637-468B-BA72-2A0D6C87CA3B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851" name="Line 4">
          <a:extLst>
            <a:ext uri="{FF2B5EF4-FFF2-40B4-BE49-F238E27FC236}">
              <a16:creationId xmlns:a16="http://schemas.microsoft.com/office/drawing/2014/main" id="{C0EE3F8B-CEF3-4BA4-BB5E-C62DAED47026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852" name="Line 2">
          <a:extLst>
            <a:ext uri="{FF2B5EF4-FFF2-40B4-BE49-F238E27FC236}">
              <a16:creationId xmlns:a16="http://schemas.microsoft.com/office/drawing/2014/main" id="{81C439F0-1388-43E6-8D3B-F6AF1C926FA9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1853" name="Line 3">
          <a:extLst>
            <a:ext uri="{FF2B5EF4-FFF2-40B4-BE49-F238E27FC236}">
              <a16:creationId xmlns:a16="http://schemas.microsoft.com/office/drawing/2014/main" id="{A220080B-E7D6-43AF-BCF6-B7B3EF2DCDE6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854" name="Line 4">
          <a:extLst>
            <a:ext uri="{FF2B5EF4-FFF2-40B4-BE49-F238E27FC236}">
              <a16:creationId xmlns:a16="http://schemas.microsoft.com/office/drawing/2014/main" id="{ED141F03-AFB4-4942-9AC4-ACEFAB67C12A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855" name="Line 3">
          <a:extLst>
            <a:ext uri="{FF2B5EF4-FFF2-40B4-BE49-F238E27FC236}">
              <a16:creationId xmlns:a16="http://schemas.microsoft.com/office/drawing/2014/main" id="{F92C0132-BBDD-4715-B37A-755DEFDC638C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856" name="Line 5">
          <a:extLst>
            <a:ext uri="{FF2B5EF4-FFF2-40B4-BE49-F238E27FC236}">
              <a16:creationId xmlns:a16="http://schemas.microsoft.com/office/drawing/2014/main" id="{2B846B1E-2FF7-482A-A3A0-81F770A4DAA1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857" name="Line 2">
          <a:extLst>
            <a:ext uri="{FF2B5EF4-FFF2-40B4-BE49-F238E27FC236}">
              <a16:creationId xmlns:a16="http://schemas.microsoft.com/office/drawing/2014/main" id="{A6653A54-5363-4065-B3EA-37E3C6D99546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858" name="Line 3">
          <a:extLst>
            <a:ext uri="{FF2B5EF4-FFF2-40B4-BE49-F238E27FC236}">
              <a16:creationId xmlns:a16="http://schemas.microsoft.com/office/drawing/2014/main" id="{5D91209E-1209-42C7-918D-5276F70669A2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859" name="Line 4">
          <a:extLst>
            <a:ext uri="{FF2B5EF4-FFF2-40B4-BE49-F238E27FC236}">
              <a16:creationId xmlns:a16="http://schemas.microsoft.com/office/drawing/2014/main" id="{851AE764-B309-40ED-A5B6-F3DA96C1EA4D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860" name="Line 5">
          <a:extLst>
            <a:ext uri="{FF2B5EF4-FFF2-40B4-BE49-F238E27FC236}">
              <a16:creationId xmlns:a16="http://schemas.microsoft.com/office/drawing/2014/main" id="{446C0505-FD00-4C7C-9490-87E8E290D656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620</xdr:row>
      <xdr:rowOff>0</xdr:rowOff>
    </xdr:from>
    <xdr:to>
      <xdr:col>8</xdr:col>
      <xdr:colOff>180975</xdr:colOff>
      <xdr:row>620</xdr:row>
      <xdr:rowOff>0</xdr:rowOff>
    </xdr:to>
    <xdr:sp macro="" textlink="">
      <xdr:nvSpPr>
        <xdr:cNvPr id="1861" name="Line 7">
          <a:extLst>
            <a:ext uri="{FF2B5EF4-FFF2-40B4-BE49-F238E27FC236}">
              <a16:creationId xmlns:a16="http://schemas.microsoft.com/office/drawing/2014/main" id="{5CA264C0-A260-438A-8CD1-F11748925470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62" name="Line 2">
          <a:extLst>
            <a:ext uri="{FF2B5EF4-FFF2-40B4-BE49-F238E27FC236}">
              <a16:creationId xmlns:a16="http://schemas.microsoft.com/office/drawing/2014/main" id="{9F3F2017-FB8F-42D3-B99F-EE0955019977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63" name="Line 3">
          <a:extLst>
            <a:ext uri="{FF2B5EF4-FFF2-40B4-BE49-F238E27FC236}">
              <a16:creationId xmlns:a16="http://schemas.microsoft.com/office/drawing/2014/main" id="{FA9E8D99-177C-4AC6-89F7-C07A0F243135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64" name="Line 4">
          <a:extLst>
            <a:ext uri="{FF2B5EF4-FFF2-40B4-BE49-F238E27FC236}">
              <a16:creationId xmlns:a16="http://schemas.microsoft.com/office/drawing/2014/main" id="{34C87B88-49FE-4D1C-96B8-74D580DAA055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1865" name="Line 5">
          <a:extLst>
            <a:ext uri="{FF2B5EF4-FFF2-40B4-BE49-F238E27FC236}">
              <a16:creationId xmlns:a16="http://schemas.microsoft.com/office/drawing/2014/main" id="{19944FC4-4DCB-488D-8AEF-48B1BF544D39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66" name="Line 2">
          <a:extLst>
            <a:ext uri="{FF2B5EF4-FFF2-40B4-BE49-F238E27FC236}">
              <a16:creationId xmlns:a16="http://schemas.microsoft.com/office/drawing/2014/main" id="{4143DA23-684B-42D6-B6DC-1F96403C11BF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867" name="Line 3">
          <a:extLst>
            <a:ext uri="{FF2B5EF4-FFF2-40B4-BE49-F238E27FC236}">
              <a16:creationId xmlns:a16="http://schemas.microsoft.com/office/drawing/2014/main" id="{7B156163-748B-4896-86E8-5EBB9FE5BCEB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1868" name="Line 4">
          <a:extLst>
            <a:ext uri="{FF2B5EF4-FFF2-40B4-BE49-F238E27FC236}">
              <a16:creationId xmlns:a16="http://schemas.microsoft.com/office/drawing/2014/main" id="{1E22872E-3F47-4080-8029-F68BFB13317D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869" name="Line 2">
          <a:extLst>
            <a:ext uri="{FF2B5EF4-FFF2-40B4-BE49-F238E27FC236}">
              <a16:creationId xmlns:a16="http://schemas.microsoft.com/office/drawing/2014/main" id="{5A441610-3AC8-4BCA-9499-E896B39D8BC1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870" name="Line 3">
          <a:extLst>
            <a:ext uri="{FF2B5EF4-FFF2-40B4-BE49-F238E27FC236}">
              <a16:creationId xmlns:a16="http://schemas.microsoft.com/office/drawing/2014/main" id="{A3B947CD-09A8-48EF-9B13-6B8A78FF0CF0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595</xdr:row>
      <xdr:rowOff>0</xdr:rowOff>
    </xdr:from>
    <xdr:to>
      <xdr:col>8</xdr:col>
      <xdr:colOff>180975</xdr:colOff>
      <xdr:row>595</xdr:row>
      <xdr:rowOff>0</xdr:rowOff>
    </xdr:to>
    <xdr:sp macro="" textlink="">
      <xdr:nvSpPr>
        <xdr:cNvPr id="1871" name="Line 4">
          <a:extLst>
            <a:ext uri="{FF2B5EF4-FFF2-40B4-BE49-F238E27FC236}">
              <a16:creationId xmlns:a16="http://schemas.microsoft.com/office/drawing/2014/main" id="{E2590377-E9BE-4515-94C1-4B6E49D358F0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872" name="Line 2">
          <a:extLst>
            <a:ext uri="{FF2B5EF4-FFF2-40B4-BE49-F238E27FC236}">
              <a16:creationId xmlns:a16="http://schemas.microsoft.com/office/drawing/2014/main" id="{9FF59082-6E84-4716-A904-1C4E20EEC24C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1873" name="Line 3">
          <a:extLst>
            <a:ext uri="{FF2B5EF4-FFF2-40B4-BE49-F238E27FC236}">
              <a16:creationId xmlns:a16="http://schemas.microsoft.com/office/drawing/2014/main" id="{D00F5CD7-8D42-49F5-BF97-A11EC6AF9D25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1874" name="Line 4">
          <a:extLst>
            <a:ext uri="{FF2B5EF4-FFF2-40B4-BE49-F238E27FC236}">
              <a16:creationId xmlns:a16="http://schemas.microsoft.com/office/drawing/2014/main" id="{EEFC3DDB-2AC9-4962-A3F0-22971E2B732D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875" name="Line 3">
          <a:extLst>
            <a:ext uri="{FF2B5EF4-FFF2-40B4-BE49-F238E27FC236}">
              <a16:creationId xmlns:a16="http://schemas.microsoft.com/office/drawing/2014/main" id="{35AEDDDE-EDA2-475C-BC0E-2E86318F9687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1876" name="Line 5">
          <a:extLst>
            <a:ext uri="{FF2B5EF4-FFF2-40B4-BE49-F238E27FC236}">
              <a16:creationId xmlns:a16="http://schemas.microsoft.com/office/drawing/2014/main" id="{ACDB1340-83D1-4A9B-A2BB-9F9CD14A463C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877" name="Line 2">
          <a:extLst>
            <a:ext uri="{FF2B5EF4-FFF2-40B4-BE49-F238E27FC236}">
              <a16:creationId xmlns:a16="http://schemas.microsoft.com/office/drawing/2014/main" id="{6EAEE66A-B274-47F6-9100-6ABC6C067E45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878" name="Line 3">
          <a:extLst>
            <a:ext uri="{FF2B5EF4-FFF2-40B4-BE49-F238E27FC236}">
              <a16:creationId xmlns:a16="http://schemas.microsoft.com/office/drawing/2014/main" id="{8DA42464-9FF4-49BA-9437-BEBB55568308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879" name="Line 4">
          <a:extLst>
            <a:ext uri="{FF2B5EF4-FFF2-40B4-BE49-F238E27FC236}">
              <a16:creationId xmlns:a16="http://schemas.microsoft.com/office/drawing/2014/main" id="{A8EDE4F5-5EC8-4166-A793-86B828D86630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880" name="Line 5">
          <a:extLst>
            <a:ext uri="{FF2B5EF4-FFF2-40B4-BE49-F238E27FC236}">
              <a16:creationId xmlns:a16="http://schemas.microsoft.com/office/drawing/2014/main" id="{CC1DB882-AEDF-4572-A777-791A300F3170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679</xdr:row>
      <xdr:rowOff>0</xdr:rowOff>
    </xdr:from>
    <xdr:to>
      <xdr:col>8</xdr:col>
      <xdr:colOff>180975</xdr:colOff>
      <xdr:row>679</xdr:row>
      <xdr:rowOff>0</xdr:rowOff>
    </xdr:to>
    <xdr:sp macro="" textlink="">
      <xdr:nvSpPr>
        <xdr:cNvPr id="1881" name="Line 7">
          <a:extLst>
            <a:ext uri="{FF2B5EF4-FFF2-40B4-BE49-F238E27FC236}">
              <a16:creationId xmlns:a16="http://schemas.microsoft.com/office/drawing/2014/main" id="{ACDB4DE5-9D57-4349-8C1B-149A476766D8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82" name="Line 2">
          <a:extLst>
            <a:ext uri="{FF2B5EF4-FFF2-40B4-BE49-F238E27FC236}">
              <a16:creationId xmlns:a16="http://schemas.microsoft.com/office/drawing/2014/main" id="{39454B36-F03D-4585-A906-51DE8106A895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83" name="Line 3">
          <a:extLst>
            <a:ext uri="{FF2B5EF4-FFF2-40B4-BE49-F238E27FC236}">
              <a16:creationId xmlns:a16="http://schemas.microsoft.com/office/drawing/2014/main" id="{85EBC613-91D8-42DB-A9CB-CC9B859CA332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84" name="Line 4">
          <a:extLst>
            <a:ext uri="{FF2B5EF4-FFF2-40B4-BE49-F238E27FC236}">
              <a16:creationId xmlns:a16="http://schemas.microsoft.com/office/drawing/2014/main" id="{F93A545C-87B8-4516-BAC2-FA163B8668B2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1885" name="Line 5">
          <a:extLst>
            <a:ext uri="{FF2B5EF4-FFF2-40B4-BE49-F238E27FC236}">
              <a16:creationId xmlns:a16="http://schemas.microsoft.com/office/drawing/2014/main" id="{AB1466E5-B88D-4C66-B601-6C3D234CEDAD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86" name="Line 2">
          <a:extLst>
            <a:ext uri="{FF2B5EF4-FFF2-40B4-BE49-F238E27FC236}">
              <a16:creationId xmlns:a16="http://schemas.microsoft.com/office/drawing/2014/main" id="{5C5749F9-63B2-4E46-B6A9-17C4360571D1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1887" name="Line 3">
          <a:extLst>
            <a:ext uri="{FF2B5EF4-FFF2-40B4-BE49-F238E27FC236}">
              <a16:creationId xmlns:a16="http://schemas.microsoft.com/office/drawing/2014/main" id="{5EC651AB-8EAA-4863-88A0-12C24F87EF0F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888" name="Line 4">
          <a:extLst>
            <a:ext uri="{FF2B5EF4-FFF2-40B4-BE49-F238E27FC236}">
              <a16:creationId xmlns:a16="http://schemas.microsoft.com/office/drawing/2014/main" id="{F345BDBF-3C8E-4869-B060-290DA1EF755E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889" name="Line 2">
          <a:extLst>
            <a:ext uri="{FF2B5EF4-FFF2-40B4-BE49-F238E27FC236}">
              <a16:creationId xmlns:a16="http://schemas.microsoft.com/office/drawing/2014/main" id="{7A2C5D37-49D7-43E3-85F1-BE6C16B40E39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890" name="Line 3">
          <a:extLst>
            <a:ext uri="{FF2B5EF4-FFF2-40B4-BE49-F238E27FC236}">
              <a16:creationId xmlns:a16="http://schemas.microsoft.com/office/drawing/2014/main" id="{8A4FF30E-DBD3-4233-BF57-AB4E95CCB861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654</xdr:row>
      <xdr:rowOff>0</xdr:rowOff>
    </xdr:from>
    <xdr:to>
      <xdr:col>8</xdr:col>
      <xdr:colOff>180975</xdr:colOff>
      <xdr:row>654</xdr:row>
      <xdr:rowOff>0</xdr:rowOff>
    </xdr:to>
    <xdr:sp macro="" textlink="">
      <xdr:nvSpPr>
        <xdr:cNvPr id="1891" name="Line 4">
          <a:extLst>
            <a:ext uri="{FF2B5EF4-FFF2-40B4-BE49-F238E27FC236}">
              <a16:creationId xmlns:a16="http://schemas.microsoft.com/office/drawing/2014/main" id="{8D993EEA-F02A-4FAA-987E-1A6EC8526221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892" name="Line 2">
          <a:extLst>
            <a:ext uri="{FF2B5EF4-FFF2-40B4-BE49-F238E27FC236}">
              <a16:creationId xmlns:a16="http://schemas.microsoft.com/office/drawing/2014/main" id="{18931387-A4B7-4548-B3DB-C5F2B4ABE2C4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1893" name="Line 3">
          <a:extLst>
            <a:ext uri="{FF2B5EF4-FFF2-40B4-BE49-F238E27FC236}">
              <a16:creationId xmlns:a16="http://schemas.microsoft.com/office/drawing/2014/main" id="{0649704A-F08A-4CC4-9F57-1E4FF79C3432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658</xdr:row>
      <xdr:rowOff>0</xdr:rowOff>
    </xdr:from>
    <xdr:to>
      <xdr:col>8</xdr:col>
      <xdr:colOff>180975</xdr:colOff>
      <xdr:row>658</xdr:row>
      <xdr:rowOff>0</xdr:rowOff>
    </xdr:to>
    <xdr:sp macro="" textlink="">
      <xdr:nvSpPr>
        <xdr:cNvPr id="1894" name="Line 4">
          <a:extLst>
            <a:ext uri="{FF2B5EF4-FFF2-40B4-BE49-F238E27FC236}">
              <a16:creationId xmlns:a16="http://schemas.microsoft.com/office/drawing/2014/main" id="{F583D65D-5031-4F84-92F8-3BF5652E85B1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895" name="Line 3">
          <a:extLst>
            <a:ext uri="{FF2B5EF4-FFF2-40B4-BE49-F238E27FC236}">
              <a16:creationId xmlns:a16="http://schemas.microsoft.com/office/drawing/2014/main" id="{3037B7B2-2AF8-4F02-8330-2C10C866C10E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1896" name="Line 5">
          <a:extLst>
            <a:ext uri="{FF2B5EF4-FFF2-40B4-BE49-F238E27FC236}">
              <a16:creationId xmlns:a16="http://schemas.microsoft.com/office/drawing/2014/main" id="{6221A6F8-E98A-4891-9B06-EF0D107AD2C5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897" name="Line 2">
          <a:extLst>
            <a:ext uri="{FF2B5EF4-FFF2-40B4-BE49-F238E27FC236}">
              <a16:creationId xmlns:a16="http://schemas.microsoft.com/office/drawing/2014/main" id="{CA433675-2E20-41AE-AEEF-D7677A853657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898" name="Line 3">
          <a:extLst>
            <a:ext uri="{FF2B5EF4-FFF2-40B4-BE49-F238E27FC236}">
              <a16:creationId xmlns:a16="http://schemas.microsoft.com/office/drawing/2014/main" id="{CAF400F8-0F70-4CC7-8941-77871D71705F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899" name="Line 4">
          <a:extLst>
            <a:ext uri="{FF2B5EF4-FFF2-40B4-BE49-F238E27FC236}">
              <a16:creationId xmlns:a16="http://schemas.microsoft.com/office/drawing/2014/main" id="{E0DCEA8A-4A5B-454E-A279-F7059A9FD974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900" name="Line 5">
          <a:extLst>
            <a:ext uri="{FF2B5EF4-FFF2-40B4-BE49-F238E27FC236}">
              <a16:creationId xmlns:a16="http://schemas.microsoft.com/office/drawing/2014/main" id="{B8EE8305-F5EB-48C1-BDFD-66122BA99E56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737</xdr:row>
      <xdr:rowOff>0</xdr:rowOff>
    </xdr:from>
    <xdr:to>
      <xdr:col>8</xdr:col>
      <xdr:colOff>180975</xdr:colOff>
      <xdr:row>737</xdr:row>
      <xdr:rowOff>0</xdr:rowOff>
    </xdr:to>
    <xdr:sp macro="" textlink="">
      <xdr:nvSpPr>
        <xdr:cNvPr id="1901" name="Line 7">
          <a:extLst>
            <a:ext uri="{FF2B5EF4-FFF2-40B4-BE49-F238E27FC236}">
              <a16:creationId xmlns:a16="http://schemas.microsoft.com/office/drawing/2014/main" id="{52A09B04-B7E4-4B0E-8178-07355674B297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902" name="Line 2">
          <a:extLst>
            <a:ext uri="{FF2B5EF4-FFF2-40B4-BE49-F238E27FC236}">
              <a16:creationId xmlns:a16="http://schemas.microsoft.com/office/drawing/2014/main" id="{D7FC13A9-E070-4527-81C4-B342C1D4039D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903" name="Line 3">
          <a:extLst>
            <a:ext uri="{FF2B5EF4-FFF2-40B4-BE49-F238E27FC236}">
              <a16:creationId xmlns:a16="http://schemas.microsoft.com/office/drawing/2014/main" id="{61DB4A84-A642-4137-8F67-3F82041A002F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904" name="Line 4">
          <a:extLst>
            <a:ext uri="{FF2B5EF4-FFF2-40B4-BE49-F238E27FC236}">
              <a16:creationId xmlns:a16="http://schemas.microsoft.com/office/drawing/2014/main" id="{15B2AA4D-00A5-41E6-BE9F-057B68412ABE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1905" name="Line 5">
          <a:extLst>
            <a:ext uri="{FF2B5EF4-FFF2-40B4-BE49-F238E27FC236}">
              <a16:creationId xmlns:a16="http://schemas.microsoft.com/office/drawing/2014/main" id="{4C56C81A-5EBE-4748-9559-AC96CD98CC6F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906" name="Line 2">
          <a:extLst>
            <a:ext uri="{FF2B5EF4-FFF2-40B4-BE49-F238E27FC236}">
              <a16:creationId xmlns:a16="http://schemas.microsoft.com/office/drawing/2014/main" id="{D6429C50-06CE-4192-B02B-A6B63D9AACA3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1907" name="Line 3">
          <a:extLst>
            <a:ext uri="{FF2B5EF4-FFF2-40B4-BE49-F238E27FC236}">
              <a16:creationId xmlns:a16="http://schemas.microsoft.com/office/drawing/2014/main" id="{7E7F8DBD-2A23-4214-A8E9-9BF03CAE29C8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1908" name="Line 4">
          <a:extLst>
            <a:ext uri="{FF2B5EF4-FFF2-40B4-BE49-F238E27FC236}">
              <a16:creationId xmlns:a16="http://schemas.microsoft.com/office/drawing/2014/main" id="{C8480D3F-3A24-42C5-8A9C-100CD4257C7D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909" name="Line 2">
          <a:extLst>
            <a:ext uri="{FF2B5EF4-FFF2-40B4-BE49-F238E27FC236}">
              <a16:creationId xmlns:a16="http://schemas.microsoft.com/office/drawing/2014/main" id="{4E0D02AD-3012-4904-B11E-C7BCECFA4B51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910" name="Line 3">
          <a:extLst>
            <a:ext uri="{FF2B5EF4-FFF2-40B4-BE49-F238E27FC236}">
              <a16:creationId xmlns:a16="http://schemas.microsoft.com/office/drawing/2014/main" id="{8171B0C9-F545-4C16-B352-55F889BE2417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712</xdr:row>
      <xdr:rowOff>0</xdr:rowOff>
    </xdr:from>
    <xdr:to>
      <xdr:col>8</xdr:col>
      <xdr:colOff>180975</xdr:colOff>
      <xdr:row>712</xdr:row>
      <xdr:rowOff>0</xdr:rowOff>
    </xdr:to>
    <xdr:sp macro="" textlink="">
      <xdr:nvSpPr>
        <xdr:cNvPr id="1911" name="Line 4">
          <a:extLst>
            <a:ext uri="{FF2B5EF4-FFF2-40B4-BE49-F238E27FC236}">
              <a16:creationId xmlns:a16="http://schemas.microsoft.com/office/drawing/2014/main" id="{942183FD-13C2-4CE0-97FB-2F26A435EC4D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912" name="Line 2">
          <a:extLst>
            <a:ext uri="{FF2B5EF4-FFF2-40B4-BE49-F238E27FC236}">
              <a16:creationId xmlns:a16="http://schemas.microsoft.com/office/drawing/2014/main" id="{2A57077D-41F7-4C82-80D4-D770A62FDF9C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1913" name="Line 3">
          <a:extLst>
            <a:ext uri="{FF2B5EF4-FFF2-40B4-BE49-F238E27FC236}">
              <a16:creationId xmlns:a16="http://schemas.microsoft.com/office/drawing/2014/main" id="{9E300FB7-93FB-4475-9BC5-AEEF82628D39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715</xdr:row>
      <xdr:rowOff>0</xdr:rowOff>
    </xdr:from>
    <xdr:to>
      <xdr:col>8</xdr:col>
      <xdr:colOff>180975</xdr:colOff>
      <xdr:row>715</xdr:row>
      <xdr:rowOff>0</xdr:rowOff>
    </xdr:to>
    <xdr:sp macro="" textlink="">
      <xdr:nvSpPr>
        <xdr:cNvPr id="1914" name="Line 4">
          <a:extLst>
            <a:ext uri="{FF2B5EF4-FFF2-40B4-BE49-F238E27FC236}">
              <a16:creationId xmlns:a16="http://schemas.microsoft.com/office/drawing/2014/main" id="{A54B5C5B-71E6-4F33-8C90-EFE862615EFA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</xdr:row>
      <xdr:rowOff>0</xdr:rowOff>
    </xdr:from>
    <xdr:to>
      <xdr:col>8</xdr:col>
      <xdr:colOff>180975</xdr:colOff>
      <xdr:row>57</xdr:row>
      <xdr:rowOff>0</xdr:rowOff>
    </xdr:to>
    <xdr:sp macro="" textlink="">
      <xdr:nvSpPr>
        <xdr:cNvPr id="1915" name="Line 2">
          <a:extLst>
            <a:ext uri="{FF2B5EF4-FFF2-40B4-BE49-F238E27FC236}">
              <a16:creationId xmlns:a16="http://schemas.microsoft.com/office/drawing/2014/main" id="{9F6973AD-130E-4017-8A26-341FCCA59CF4}"/>
            </a:ext>
          </a:extLst>
        </xdr:cNvPr>
        <xdr:cNvSpPr>
          <a:spLocks noChangeShapeType="1"/>
        </xdr:cNvSpPr>
      </xdr:nvSpPr>
      <xdr:spPr bwMode="auto">
        <a:xfrm>
          <a:off x="5324475" y="7962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916" name="Line 3">
          <a:extLst>
            <a:ext uri="{FF2B5EF4-FFF2-40B4-BE49-F238E27FC236}">
              <a16:creationId xmlns:a16="http://schemas.microsoft.com/office/drawing/2014/main" id="{E61D5FD4-8E61-42C7-AC07-6561833DC88C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</xdr:row>
      <xdr:rowOff>0</xdr:rowOff>
    </xdr:from>
    <xdr:to>
      <xdr:col>8</xdr:col>
      <xdr:colOff>180975</xdr:colOff>
      <xdr:row>38</xdr:row>
      <xdr:rowOff>0</xdr:rowOff>
    </xdr:to>
    <xdr:sp macro="" textlink="">
      <xdr:nvSpPr>
        <xdr:cNvPr id="1917" name="Line 5">
          <a:extLst>
            <a:ext uri="{FF2B5EF4-FFF2-40B4-BE49-F238E27FC236}">
              <a16:creationId xmlns:a16="http://schemas.microsoft.com/office/drawing/2014/main" id="{1F1DEAF4-C717-44BC-AACC-F35DD5F5686C}"/>
            </a:ext>
          </a:extLst>
        </xdr:cNvPr>
        <xdr:cNvSpPr>
          <a:spLocks noChangeShapeType="1"/>
        </xdr:cNvSpPr>
      </xdr:nvSpPr>
      <xdr:spPr bwMode="auto">
        <a:xfrm>
          <a:off x="532447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122</xdr:row>
      <xdr:rowOff>0</xdr:rowOff>
    </xdr:from>
    <xdr:to>
      <xdr:col>8</xdr:col>
      <xdr:colOff>180975</xdr:colOff>
      <xdr:row>122</xdr:row>
      <xdr:rowOff>0</xdr:rowOff>
    </xdr:to>
    <xdr:sp macro="" textlink="">
      <xdr:nvSpPr>
        <xdr:cNvPr id="1918" name="Line 2">
          <a:extLst>
            <a:ext uri="{FF2B5EF4-FFF2-40B4-BE49-F238E27FC236}">
              <a16:creationId xmlns:a16="http://schemas.microsoft.com/office/drawing/2014/main" id="{B0A58E57-6141-48EC-9EF6-94F8F2CC5292}"/>
            </a:ext>
          </a:extLst>
        </xdr:cNvPr>
        <xdr:cNvSpPr>
          <a:spLocks noChangeShapeType="1"/>
        </xdr:cNvSpPr>
      </xdr:nvSpPr>
      <xdr:spPr bwMode="auto">
        <a:xfrm>
          <a:off x="5324475" y="1735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919" name="Line 3">
          <a:extLst>
            <a:ext uri="{FF2B5EF4-FFF2-40B4-BE49-F238E27FC236}">
              <a16:creationId xmlns:a16="http://schemas.microsoft.com/office/drawing/2014/main" id="{50B96F4F-DD1E-4F2F-8C60-91A08B7807C1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94</xdr:row>
      <xdr:rowOff>0</xdr:rowOff>
    </xdr:from>
    <xdr:to>
      <xdr:col>8</xdr:col>
      <xdr:colOff>180975</xdr:colOff>
      <xdr:row>94</xdr:row>
      <xdr:rowOff>0</xdr:rowOff>
    </xdr:to>
    <xdr:sp macro="" textlink="">
      <xdr:nvSpPr>
        <xdr:cNvPr id="1920" name="Line 5">
          <a:extLst>
            <a:ext uri="{FF2B5EF4-FFF2-40B4-BE49-F238E27FC236}">
              <a16:creationId xmlns:a16="http://schemas.microsoft.com/office/drawing/2014/main" id="{7C19B363-3529-4BD2-82A5-8913E59F3C8C}"/>
            </a:ext>
          </a:extLst>
        </xdr:cNvPr>
        <xdr:cNvSpPr>
          <a:spLocks noChangeShapeType="1"/>
        </xdr:cNvSpPr>
      </xdr:nvSpPr>
      <xdr:spPr bwMode="auto">
        <a:xfrm>
          <a:off x="5324475" y="1333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921" name="Line 2">
          <a:extLst>
            <a:ext uri="{FF2B5EF4-FFF2-40B4-BE49-F238E27FC236}">
              <a16:creationId xmlns:a16="http://schemas.microsoft.com/office/drawing/2014/main" id="{9664D97A-69CA-4020-9C28-32E8EF5826A4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922" name="Line 3">
          <a:extLst>
            <a:ext uri="{FF2B5EF4-FFF2-40B4-BE49-F238E27FC236}">
              <a16:creationId xmlns:a16="http://schemas.microsoft.com/office/drawing/2014/main" id="{A3101183-C6DC-4604-ABEE-616748EF0C27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81</xdr:row>
      <xdr:rowOff>0</xdr:rowOff>
    </xdr:from>
    <xdr:to>
      <xdr:col>8</xdr:col>
      <xdr:colOff>180975</xdr:colOff>
      <xdr:row>81</xdr:row>
      <xdr:rowOff>0</xdr:rowOff>
    </xdr:to>
    <xdr:sp macro="" textlink="">
      <xdr:nvSpPr>
        <xdr:cNvPr id="1923" name="Line 4">
          <a:extLst>
            <a:ext uri="{FF2B5EF4-FFF2-40B4-BE49-F238E27FC236}">
              <a16:creationId xmlns:a16="http://schemas.microsoft.com/office/drawing/2014/main" id="{384BE13C-3A16-4A94-808B-98740452F24D}"/>
            </a:ext>
          </a:extLst>
        </xdr:cNvPr>
        <xdr:cNvSpPr>
          <a:spLocks noChangeShapeType="1"/>
        </xdr:cNvSpPr>
      </xdr:nvSpPr>
      <xdr:spPr bwMode="auto">
        <a:xfrm>
          <a:off x="532447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107</xdr:row>
      <xdr:rowOff>0</xdr:rowOff>
    </xdr:from>
    <xdr:to>
      <xdr:col>8</xdr:col>
      <xdr:colOff>180975</xdr:colOff>
      <xdr:row>107</xdr:row>
      <xdr:rowOff>0</xdr:rowOff>
    </xdr:to>
    <xdr:sp macro="" textlink="">
      <xdr:nvSpPr>
        <xdr:cNvPr id="1924" name="Line 7">
          <a:extLst>
            <a:ext uri="{FF2B5EF4-FFF2-40B4-BE49-F238E27FC236}">
              <a16:creationId xmlns:a16="http://schemas.microsoft.com/office/drawing/2014/main" id="{E0D74ACB-064F-4792-9DDF-AAE9333113B9}"/>
            </a:ext>
          </a:extLst>
        </xdr:cNvPr>
        <xdr:cNvSpPr>
          <a:spLocks noChangeShapeType="1"/>
        </xdr:cNvSpPr>
      </xdr:nvSpPr>
      <xdr:spPr bwMode="auto">
        <a:xfrm>
          <a:off x="5324475" y="15192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1925" name="Line 2">
          <a:extLst>
            <a:ext uri="{FF2B5EF4-FFF2-40B4-BE49-F238E27FC236}">
              <a16:creationId xmlns:a16="http://schemas.microsoft.com/office/drawing/2014/main" id="{F585A2D0-AAF1-4834-A12D-DE7369485146}"/>
            </a:ext>
          </a:extLst>
        </xdr:cNvPr>
        <xdr:cNvSpPr>
          <a:spLocks noChangeShapeType="1"/>
        </xdr:cNvSpPr>
      </xdr:nvSpPr>
      <xdr:spPr bwMode="auto">
        <a:xfrm>
          <a:off x="5324475" y="23174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926" name="Line 3">
          <a:extLst>
            <a:ext uri="{FF2B5EF4-FFF2-40B4-BE49-F238E27FC236}">
              <a16:creationId xmlns:a16="http://schemas.microsoft.com/office/drawing/2014/main" id="{55117069-BD9C-43AE-A59A-87234DF45FA8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1927" name="Line 5">
          <a:extLst>
            <a:ext uri="{FF2B5EF4-FFF2-40B4-BE49-F238E27FC236}">
              <a16:creationId xmlns:a16="http://schemas.microsoft.com/office/drawing/2014/main" id="{D800A029-996E-4236-BB73-D9A93864B6A5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928" name="Line 2">
          <a:extLst>
            <a:ext uri="{FF2B5EF4-FFF2-40B4-BE49-F238E27FC236}">
              <a16:creationId xmlns:a16="http://schemas.microsoft.com/office/drawing/2014/main" id="{F6639178-C38C-4FAE-BC9B-0906FBA3732D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929" name="Line 3">
          <a:extLst>
            <a:ext uri="{FF2B5EF4-FFF2-40B4-BE49-F238E27FC236}">
              <a16:creationId xmlns:a16="http://schemas.microsoft.com/office/drawing/2014/main" id="{3CF7D80B-1047-4CC4-83D5-0D32388E878A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144</xdr:row>
      <xdr:rowOff>0</xdr:rowOff>
    </xdr:from>
    <xdr:to>
      <xdr:col>8</xdr:col>
      <xdr:colOff>180975</xdr:colOff>
      <xdr:row>144</xdr:row>
      <xdr:rowOff>0</xdr:rowOff>
    </xdr:to>
    <xdr:sp macro="" textlink="">
      <xdr:nvSpPr>
        <xdr:cNvPr id="1930" name="Line 4">
          <a:extLst>
            <a:ext uri="{FF2B5EF4-FFF2-40B4-BE49-F238E27FC236}">
              <a16:creationId xmlns:a16="http://schemas.microsoft.com/office/drawing/2014/main" id="{C33F09E9-D321-4CED-B5A7-1A52F7FACBA9}"/>
            </a:ext>
          </a:extLst>
        </xdr:cNvPr>
        <xdr:cNvSpPr>
          <a:spLocks noChangeShapeType="1"/>
        </xdr:cNvSpPr>
      </xdr:nvSpPr>
      <xdr:spPr bwMode="auto">
        <a:xfrm>
          <a:off x="5324475" y="20583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931" name="Line 5">
          <a:extLst>
            <a:ext uri="{FF2B5EF4-FFF2-40B4-BE49-F238E27FC236}">
              <a16:creationId xmlns:a16="http://schemas.microsoft.com/office/drawing/2014/main" id="{59C93A16-2D51-44A6-BD2D-A21651EE8AC9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932" name="Line 2">
          <a:extLst>
            <a:ext uri="{FF2B5EF4-FFF2-40B4-BE49-F238E27FC236}">
              <a16:creationId xmlns:a16="http://schemas.microsoft.com/office/drawing/2014/main" id="{6C4EE15D-48A8-43A0-BAE2-588E9415B22B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933" name="Line 3">
          <a:extLst>
            <a:ext uri="{FF2B5EF4-FFF2-40B4-BE49-F238E27FC236}">
              <a16:creationId xmlns:a16="http://schemas.microsoft.com/office/drawing/2014/main" id="{0A5B3973-BFEE-49C9-9716-2A4454DA198A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142</xdr:row>
      <xdr:rowOff>0</xdr:rowOff>
    </xdr:from>
    <xdr:to>
      <xdr:col>8</xdr:col>
      <xdr:colOff>180975</xdr:colOff>
      <xdr:row>142</xdr:row>
      <xdr:rowOff>0</xdr:rowOff>
    </xdr:to>
    <xdr:sp macro="" textlink="">
      <xdr:nvSpPr>
        <xdr:cNvPr id="1934" name="Line 4">
          <a:extLst>
            <a:ext uri="{FF2B5EF4-FFF2-40B4-BE49-F238E27FC236}">
              <a16:creationId xmlns:a16="http://schemas.microsoft.com/office/drawing/2014/main" id="{17389E4D-4D9B-4C64-83B9-A8F8745B4DF3}"/>
            </a:ext>
          </a:extLst>
        </xdr:cNvPr>
        <xdr:cNvSpPr>
          <a:spLocks noChangeShapeType="1"/>
        </xdr:cNvSpPr>
      </xdr:nvSpPr>
      <xdr:spPr bwMode="auto">
        <a:xfrm>
          <a:off x="5324475" y="20297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149</xdr:row>
      <xdr:rowOff>0</xdr:rowOff>
    </xdr:from>
    <xdr:to>
      <xdr:col>8</xdr:col>
      <xdr:colOff>180975</xdr:colOff>
      <xdr:row>149</xdr:row>
      <xdr:rowOff>0</xdr:rowOff>
    </xdr:to>
    <xdr:sp macro="" textlink="">
      <xdr:nvSpPr>
        <xdr:cNvPr id="1935" name="Line 5">
          <a:extLst>
            <a:ext uri="{FF2B5EF4-FFF2-40B4-BE49-F238E27FC236}">
              <a16:creationId xmlns:a16="http://schemas.microsoft.com/office/drawing/2014/main" id="{FB5ABD17-EFD9-44A9-8161-05AFB4EC8993}"/>
            </a:ext>
          </a:extLst>
        </xdr:cNvPr>
        <xdr:cNvSpPr>
          <a:spLocks noChangeShapeType="1"/>
        </xdr:cNvSpPr>
      </xdr:nvSpPr>
      <xdr:spPr bwMode="auto">
        <a:xfrm>
          <a:off x="5324475" y="21297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936" name="Line 2">
          <a:extLst>
            <a:ext uri="{FF2B5EF4-FFF2-40B4-BE49-F238E27FC236}">
              <a16:creationId xmlns:a16="http://schemas.microsoft.com/office/drawing/2014/main" id="{7A3EFF63-342A-4747-9F7B-97BDAADAF014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937" name="Line 3">
          <a:extLst>
            <a:ext uri="{FF2B5EF4-FFF2-40B4-BE49-F238E27FC236}">
              <a16:creationId xmlns:a16="http://schemas.microsoft.com/office/drawing/2014/main" id="{FDDEF47D-5075-4E34-A9B3-0E13973836F2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938" name="Line 5">
          <a:extLst>
            <a:ext uri="{FF2B5EF4-FFF2-40B4-BE49-F238E27FC236}">
              <a16:creationId xmlns:a16="http://schemas.microsoft.com/office/drawing/2014/main" id="{0D6A8A3F-5BD2-4A8C-833E-33BD3F8FF6F3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939" name="Line 2">
          <a:extLst>
            <a:ext uri="{FF2B5EF4-FFF2-40B4-BE49-F238E27FC236}">
              <a16:creationId xmlns:a16="http://schemas.microsoft.com/office/drawing/2014/main" id="{1A7F8F0F-3347-4822-9BED-E2370E7B63E1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940" name="Line 3">
          <a:extLst>
            <a:ext uri="{FF2B5EF4-FFF2-40B4-BE49-F238E27FC236}">
              <a16:creationId xmlns:a16="http://schemas.microsoft.com/office/drawing/2014/main" id="{65A140FF-3EEA-4529-B72A-7778E46957C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941" name="Line 4">
          <a:extLst>
            <a:ext uri="{FF2B5EF4-FFF2-40B4-BE49-F238E27FC236}">
              <a16:creationId xmlns:a16="http://schemas.microsoft.com/office/drawing/2014/main" id="{49110CC3-9A5C-49E3-8CAA-FB3517D85A73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942" name="Line 5">
          <a:extLst>
            <a:ext uri="{FF2B5EF4-FFF2-40B4-BE49-F238E27FC236}">
              <a16:creationId xmlns:a16="http://schemas.microsoft.com/office/drawing/2014/main" id="{577681BF-2246-4D21-A2B0-5D54AC1C5DB8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43" name="Line 2">
          <a:extLst>
            <a:ext uri="{FF2B5EF4-FFF2-40B4-BE49-F238E27FC236}">
              <a16:creationId xmlns:a16="http://schemas.microsoft.com/office/drawing/2014/main" id="{4FCA4F89-99A1-4F73-9509-F4CC7D4057F8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44" name="Line 3">
          <a:extLst>
            <a:ext uri="{FF2B5EF4-FFF2-40B4-BE49-F238E27FC236}">
              <a16:creationId xmlns:a16="http://schemas.microsoft.com/office/drawing/2014/main" id="{591B42D8-C7C5-4BAF-82FB-E0FFCA173986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45" name="Line 4">
          <a:extLst>
            <a:ext uri="{FF2B5EF4-FFF2-40B4-BE49-F238E27FC236}">
              <a16:creationId xmlns:a16="http://schemas.microsoft.com/office/drawing/2014/main" id="{B4758B22-0FE7-42BE-BBFC-0AABB67D7080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946" name="Line 5">
          <a:extLst>
            <a:ext uri="{FF2B5EF4-FFF2-40B4-BE49-F238E27FC236}">
              <a16:creationId xmlns:a16="http://schemas.microsoft.com/office/drawing/2014/main" id="{02BEE7AD-D891-4896-9B2F-AA0E0F2856A7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947" name="Line 2">
          <a:extLst>
            <a:ext uri="{FF2B5EF4-FFF2-40B4-BE49-F238E27FC236}">
              <a16:creationId xmlns:a16="http://schemas.microsoft.com/office/drawing/2014/main" id="{944F21E7-3094-4790-8E98-FFE39CD005BB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948" name="Line 3">
          <a:extLst>
            <a:ext uri="{FF2B5EF4-FFF2-40B4-BE49-F238E27FC236}">
              <a16:creationId xmlns:a16="http://schemas.microsoft.com/office/drawing/2014/main" id="{6DF71775-D6D3-4FB1-8314-A68E0C127BF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949" name="Line 4">
          <a:extLst>
            <a:ext uri="{FF2B5EF4-FFF2-40B4-BE49-F238E27FC236}">
              <a16:creationId xmlns:a16="http://schemas.microsoft.com/office/drawing/2014/main" id="{6404DB4B-CF6C-48EE-8905-82AC05A18B48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950" name="Line 5">
          <a:extLst>
            <a:ext uri="{FF2B5EF4-FFF2-40B4-BE49-F238E27FC236}">
              <a16:creationId xmlns:a16="http://schemas.microsoft.com/office/drawing/2014/main" id="{9106A2AC-40FD-45C5-9D7A-47DAA0F6A197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951" name="Line 7">
          <a:extLst>
            <a:ext uri="{FF2B5EF4-FFF2-40B4-BE49-F238E27FC236}">
              <a16:creationId xmlns:a16="http://schemas.microsoft.com/office/drawing/2014/main" id="{EC3C0DD5-BBF6-4123-8E37-2D4C33698A6C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952" name="Line 8">
          <a:extLst>
            <a:ext uri="{FF2B5EF4-FFF2-40B4-BE49-F238E27FC236}">
              <a16:creationId xmlns:a16="http://schemas.microsoft.com/office/drawing/2014/main" id="{8275C12D-69DA-4D60-A7DE-4C1D8F68AF09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953" name="Rectangle 7">
          <a:extLst>
            <a:ext uri="{FF2B5EF4-FFF2-40B4-BE49-F238E27FC236}">
              <a16:creationId xmlns:a16="http://schemas.microsoft.com/office/drawing/2014/main" id="{1360E8E7-C82C-4845-8524-90F48063DA54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218</xdr:row>
      <xdr:rowOff>0</xdr:rowOff>
    </xdr:from>
    <xdr:to>
      <xdr:col>8</xdr:col>
      <xdr:colOff>180975</xdr:colOff>
      <xdr:row>218</xdr:row>
      <xdr:rowOff>0</xdr:rowOff>
    </xdr:to>
    <xdr:sp macro="" textlink="">
      <xdr:nvSpPr>
        <xdr:cNvPr id="1954" name="Line 2">
          <a:extLst>
            <a:ext uri="{FF2B5EF4-FFF2-40B4-BE49-F238E27FC236}">
              <a16:creationId xmlns:a16="http://schemas.microsoft.com/office/drawing/2014/main" id="{E48DBABB-3086-4D1A-AE85-9D3799A2FCAA}"/>
            </a:ext>
          </a:extLst>
        </xdr:cNvPr>
        <xdr:cNvSpPr>
          <a:spLocks noChangeShapeType="1"/>
        </xdr:cNvSpPr>
      </xdr:nvSpPr>
      <xdr:spPr bwMode="auto">
        <a:xfrm>
          <a:off x="5324475" y="31261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955" name="Line 3">
          <a:extLst>
            <a:ext uri="{FF2B5EF4-FFF2-40B4-BE49-F238E27FC236}">
              <a16:creationId xmlns:a16="http://schemas.microsoft.com/office/drawing/2014/main" id="{A58DECF7-7438-40A4-B80A-196F42065945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194</xdr:row>
      <xdr:rowOff>0</xdr:rowOff>
    </xdr:from>
    <xdr:to>
      <xdr:col>8</xdr:col>
      <xdr:colOff>180975</xdr:colOff>
      <xdr:row>194</xdr:row>
      <xdr:rowOff>0</xdr:rowOff>
    </xdr:to>
    <xdr:sp macro="" textlink="">
      <xdr:nvSpPr>
        <xdr:cNvPr id="1956" name="Line 5">
          <a:extLst>
            <a:ext uri="{FF2B5EF4-FFF2-40B4-BE49-F238E27FC236}">
              <a16:creationId xmlns:a16="http://schemas.microsoft.com/office/drawing/2014/main" id="{9B933979-0245-4F14-9627-4163AE3ECE2D}"/>
            </a:ext>
          </a:extLst>
        </xdr:cNvPr>
        <xdr:cNvSpPr>
          <a:spLocks noChangeShapeType="1"/>
        </xdr:cNvSpPr>
      </xdr:nvSpPr>
      <xdr:spPr bwMode="auto">
        <a:xfrm>
          <a:off x="532447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957" name="Line 2">
          <a:extLst>
            <a:ext uri="{FF2B5EF4-FFF2-40B4-BE49-F238E27FC236}">
              <a16:creationId xmlns:a16="http://schemas.microsoft.com/office/drawing/2014/main" id="{CA5689A6-A849-4141-85DD-60CA31D71FFA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958" name="Line 3">
          <a:extLst>
            <a:ext uri="{FF2B5EF4-FFF2-40B4-BE49-F238E27FC236}">
              <a16:creationId xmlns:a16="http://schemas.microsoft.com/office/drawing/2014/main" id="{4EDC0AA9-C549-4498-830C-9806B8FBACD5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183</xdr:row>
      <xdr:rowOff>0</xdr:rowOff>
    </xdr:from>
    <xdr:to>
      <xdr:col>8</xdr:col>
      <xdr:colOff>180975</xdr:colOff>
      <xdr:row>183</xdr:row>
      <xdr:rowOff>0</xdr:rowOff>
    </xdr:to>
    <xdr:sp macro="" textlink="">
      <xdr:nvSpPr>
        <xdr:cNvPr id="1959" name="Line 4">
          <a:extLst>
            <a:ext uri="{FF2B5EF4-FFF2-40B4-BE49-F238E27FC236}">
              <a16:creationId xmlns:a16="http://schemas.microsoft.com/office/drawing/2014/main" id="{723BE979-7DF1-4188-83CF-30F1BFCFDC02}"/>
            </a:ext>
          </a:extLst>
        </xdr:cNvPr>
        <xdr:cNvSpPr>
          <a:spLocks noChangeShapeType="1"/>
        </xdr:cNvSpPr>
      </xdr:nvSpPr>
      <xdr:spPr bwMode="auto">
        <a:xfrm>
          <a:off x="5324475" y="26260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960" name="Line 5">
          <a:extLst>
            <a:ext uri="{FF2B5EF4-FFF2-40B4-BE49-F238E27FC236}">
              <a16:creationId xmlns:a16="http://schemas.microsoft.com/office/drawing/2014/main" id="{5537394E-A6C8-48A3-A340-14A1429611F1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61" name="Line 2">
          <a:extLst>
            <a:ext uri="{FF2B5EF4-FFF2-40B4-BE49-F238E27FC236}">
              <a16:creationId xmlns:a16="http://schemas.microsoft.com/office/drawing/2014/main" id="{E7165EC0-07B6-44CF-B8D1-7766C35F2511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62" name="Line 3">
          <a:extLst>
            <a:ext uri="{FF2B5EF4-FFF2-40B4-BE49-F238E27FC236}">
              <a16:creationId xmlns:a16="http://schemas.microsoft.com/office/drawing/2014/main" id="{EB8763E8-FC5F-4F94-B4C7-D9594969197E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181</xdr:row>
      <xdr:rowOff>0</xdr:rowOff>
    </xdr:from>
    <xdr:to>
      <xdr:col>8</xdr:col>
      <xdr:colOff>180975</xdr:colOff>
      <xdr:row>181</xdr:row>
      <xdr:rowOff>0</xdr:rowOff>
    </xdr:to>
    <xdr:sp macro="" textlink="">
      <xdr:nvSpPr>
        <xdr:cNvPr id="1963" name="Line 4">
          <a:extLst>
            <a:ext uri="{FF2B5EF4-FFF2-40B4-BE49-F238E27FC236}">
              <a16:creationId xmlns:a16="http://schemas.microsoft.com/office/drawing/2014/main" id="{A397AFD0-AFDF-46A8-9FA8-2F2FA2A5E605}"/>
            </a:ext>
          </a:extLst>
        </xdr:cNvPr>
        <xdr:cNvSpPr>
          <a:spLocks noChangeShapeType="1"/>
        </xdr:cNvSpPr>
      </xdr:nvSpPr>
      <xdr:spPr bwMode="auto">
        <a:xfrm>
          <a:off x="5324475" y="25974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186</xdr:row>
      <xdr:rowOff>0</xdr:rowOff>
    </xdr:from>
    <xdr:to>
      <xdr:col>8</xdr:col>
      <xdr:colOff>180975</xdr:colOff>
      <xdr:row>186</xdr:row>
      <xdr:rowOff>0</xdr:rowOff>
    </xdr:to>
    <xdr:sp macro="" textlink="">
      <xdr:nvSpPr>
        <xdr:cNvPr id="1964" name="Line 5">
          <a:extLst>
            <a:ext uri="{FF2B5EF4-FFF2-40B4-BE49-F238E27FC236}">
              <a16:creationId xmlns:a16="http://schemas.microsoft.com/office/drawing/2014/main" id="{65862958-1202-448C-83D1-36E19808101F}"/>
            </a:ext>
          </a:extLst>
        </xdr:cNvPr>
        <xdr:cNvSpPr>
          <a:spLocks noChangeShapeType="1"/>
        </xdr:cNvSpPr>
      </xdr:nvSpPr>
      <xdr:spPr bwMode="auto">
        <a:xfrm>
          <a:off x="5324475" y="2668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965" name="Line 2">
          <a:extLst>
            <a:ext uri="{FF2B5EF4-FFF2-40B4-BE49-F238E27FC236}">
              <a16:creationId xmlns:a16="http://schemas.microsoft.com/office/drawing/2014/main" id="{B34F6957-CE96-4EFF-9AA9-ABD5073EA172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180</xdr:row>
      <xdr:rowOff>0</xdr:rowOff>
    </xdr:from>
    <xdr:to>
      <xdr:col>8</xdr:col>
      <xdr:colOff>180975</xdr:colOff>
      <xdr:row>180</xdr:row>
      <xdr:rowOff>0</xdr:rowOff>
    </xdr:to>
    <xdr:sp macro="" textlink="">
      <xdr:nvSpPr>
        <xdr:cNvPr id="1966" name="Line 3">
          <a:extLst>
            <a:ext uri="{FF2B5EF4-FFF2-40B4-BE49-F238E27FC236}">
              <a16:creationId xmlns:a16="http://schemas.microsoft.com/office/drawing/2014/main" id="{45A3A6C3-E0CF-48FB-8C28-1CFDAF554FCF}"/>
            </a:ext>
          </a:extLst>
        </xdr:cNvPr>
        <xdr:cNvSpPr>
          <a:spLocks noChangeShapeType="1"/>
        </xdr:cNvSpPr>
      </xdr:nvSpPr>
      <xdr:spPr bwMode="auto">
        <a:xfrm>
          <a:off x="5324475" y="25831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182</xdr:row>
      <xdr:rowOff>0</xdr:rowOff>
    </xdr:from>
    <xdr:to>
      <xdr:col>8</xdr:col>
      <xdr:colOff>180975</xdr:colOff>
      <xdr:row>182</xdr:row>
      <xdr:rowOff>0</xdr:rowOff>
    </xdr:to>
    <xdr:sp macro="" textlink="">
      <xdr:nvSpPr>
        <xdr:cNvPr id="1967" name="Line 4">
          <a:extLst>
            <a:ext uri="{FF2B5EF4-FFF2-40B4-BE49-F238E27FC236}">
              <a16:creationId xmlns:a16="http://schemas.microsoft.com/office/drawing/2014/main" id="{C8C7B051-D4CD-4E38-8CAB-D97BAB80E578}"/>
            </a:ext>
          </a:extLst>
        </xdr:cNvPr>
        <xdr:cNvSpPr>
          <a:spLocks noChangeShapeType="1"/>
        </xdr:cNvSpPr>
      </xdr:nvSpPr>
      <xdr:spPr bwMode="auto">
        <a:xfrm>
          <a:off x="5324475" y="261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266</xdr:row>
      <xdr:rowOff>0</xdr:rowOff>
    </xdr:from>
    <xdr:to>
      <xdr:col>8</xdr:col>
      <xdr:colOff>180975</xdr:colOff>
      <xdr:row>266</xdr:row>
      <xdr:rowOff>0</xdr:rowOff>
    </xdr:to>
    <xdr:sp macro="" textlink="">
      <xdr:nvSpPr>
        <xdr:cNvPr id="1968" name="Line 5">
          <a:extLst>
            <a:ext uri="{FF2B5EF4-FFF2-40B4-BE49-F238E27FC236}">
              <a16:creationId xmlns:a16="http://schemas.microsoft.com/office/drawing/2014/main" id="{D0CAF66E-7EB7-40E0-BA9A-63AD231EFE2C}"/>
            </a:ext>
          </a:extLst>
        </xdr:cNvPr>
        <xdr:cNvSpPr>
          <a:spLocks noChangeShapeType="1"/>
        </xdr:cNvSpPr>
      </xdr:nvSpPr>
      <xdr:spPr bwMode="auto">
        <a:xfrm>
          <a:off x="5324475" y="38223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253</xdr:row>
      <xdr:rowOff>0</xdr:rowOff>
    </xdr:from>
    <xdr:to>
      <xdr:col>8</xdr:col>
      <xdr:colOff>180975</xdr:colOff>
      <xdr:row>253</xdr:row>
      <xdr:rowOff>0</xdr:rowOff>
    </xdr:to>
    <xdr:sp macro="" textlink="">
      <xdr:nvSpPr>
        <xdr:cNvPr id="1969" name="Line 7">
          <a:extLst>
            <a:ext uri="{FF2B5EF4-FFF2-40B4-BE49-F238E27FC236}">
              <a16:creationId xmlns:a16="http://schemas.microsoft.com/office/drawing/2014/main" id="{B51D1497-24FA-4F92-AD43-0D12EAA88B2F}"/>
            </a:ext>
          </a:extLst>
        </xdr:cNvPr>
        <xdr:cNvSpPr>
          <a:spLocks noChangeShapeType="1"/>
        </xdr:cNvSpPr>
      </xdr:nvSpPr>
      <xdr:spPr bwMode="auto">
        <a:xfrm>
          <a:off x="5324475" y="36347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256</xdr:row>
      <xdr:rowOff>0</xdr:rowOff>
    </xdr:from>
    <xdr:to>
      <xdr:col>8</xdr:col>
      <xdr:colOff>180975</xdr:colOff>
      <xdr:row>256</xdr:row>
      <xdr:rowOff>0</xdr:rowOff>
    </xdr:to>
    <xdr:sp macro="" textlink="">
      <xdr:nvSpPr>
        <xdr:cNvPr id="1970" name="Line 8">
          <a:extLst>
            <a:ext uri="{FF2B5EF4-FFF2-40B4-BE49-F238E27FC236}">
              <a16:creationId xmlns:a16="http://schemas.microsoft.com/office/drawing/2014/main" id="{A04F951D-C134-4F7C-9BCD-0BB040DB9A89}"/>
            </a:ext>
          </a:extLst>
        </xdr:cNvPr>
        <xdr:cNvSpPr>
          <a:spLocks noChangeShapeType="1"/>
        </xdr:cNvSpPr>
      </xdr:nvSpPr>
      <xdr:spPr bwMode="auto">
        <a:xfrm>
          <a:off x="5324475" y="36776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180</xdr:row>
      <xdr:rowOff>38100</xdr:rowOff>
    </xdr:from>
    <xdr:ext cx="180975" cy="933450"/>
    <xdr:sp macro="" textlink="">
      <xdr:nvSpPr>
        <xdr:cNvPr id="1971" name="Rectangle 7">
          <a:extLst>
            <a:ext uri="{FF2B5EF4-FFF2-40B4-BE49-F238E27FC236}">
              <a16:creationId xmlns:a16="http://schemas.microsoft.com/office/drawing/2014/main" id="{B1D2B274-44BC-4396-9BCA-95EAE639DB7C}"/>
            </a:ext>
          </a:extLst>
        </xdr:cNvPr>
        <xdr:cNvSpPr>
          <a:spLocks noChangeArrowheads="1"/>
        </xdr:cNvSpPr>
      </xdr:nvSpPr>
      <xdr:spPr bwMode="auto">
        <a:xfrm>
          <a:off x="5324475" y="2586990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973" name="Line 3">
          <a:extLst>
            <a:ext uri="{FF2B5EF4-FFF2-40B4-BE49-F238E27FC236}">
              <a16:creationId xmlns:a16="http://schemas.microsoft.com/office/drawing/2014/main" id="{736265C8-CBB8-49FD-B015-F880D7FB887E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311</xdr:row>
      <xdr:rowOff>0</xdr:rowOff>
    </xdr:from>
    <xdr:to>
      <xdr:col>8</xdr:col>
      <xdr:colOff>180975</xdr:colOff>
      <xdr:row>311</xdr:row>
      <xdr:rowOff>0</xdr:rowOff>
    </xdr:to>
    <xdr:sp macro="" textlink="">
      <xdr:nvSpPr>
        <xdr:cNvPr id="1974" name="Line 5">
          <a:extLst>
            <a:ext uri="{FF2B5EF4-FFF2-40B4-BE49-F238E27FC236}">
              <a16:creationId xmlns:a16="http://schemas.microsoft.com/office/drawing/2014/main" id="{99714829-F3B5-435B-A897-E3A2C610FD22}"/>
            </a:ext>
          </a:extLst>
        </xdr:cNvPr>
        <xdr:cNvSpPr>
          <a:spLocks noChangeShapeType="1"/>
        </xdr:cNvSpPr>
      </xdr:nvSpPr>
      <xdr:spPr bwMode="auto">
        <a:xfrm>
          <a:off x="5324475" y="4473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975" name="Line 2">
          <a:extLst>
            <a:ext uri="{FF2B5EF4-FFF2-40B4-BE49-F238E27FC236}">
              <a16:creationId xmlns:a16="http://schemas.microsoft.com/office/drawing/2014/main" id="{E61B45C4-3313-441D-BECD-FC11D72E011E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976" name="Line 3">
          <a:extLst>
            <a:ext uri="{FF2B5EF4-FFF2-40B4-BE49-F238E27FC236}">
              <a16:creationId xmlns:a16="http://schemas.microsoft.com/office/drawing/2014/main" id="{F7FD494E-54D8-48CC-A39E-59798BB97CF8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977" name="Line 4">
          <a:extLst>
            <a:ext uri="{FF2B5EF4-FFF2-40B4-BE49-F238E27FC236}">
              <a16:creationId xmlns:a16="http://schemas.microsoft.com/office/drawing/2014/main" id="{E0D458DB-24AC-4DBC-A15B-7CE7C5528A2D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978" name="Line 5">
          <a:extLst>
            <a:ext uri="{FF2B5EF4-FFF2-40B4-BE49-F238E27FC236}">
              <a16:creationId xmlns:a16="http://schemas.microsoft.com/office/drawing/2014/main" id="{E424800D-07DA-4116-A523-1E76DBA3DA43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330</xdr:row>
      <xdr:rowOff>0</xdr:rowOff>
    </xdr:from>
    <xdr:to>
      <xdr:col>8</xdr:col>
      <xdr:colOff>180975</xdr:colOff>
      <xdr:row>330</xdr:row>
      <xdr:rowOff>0</xdr:rowOff>
    </xdr:to>
    <xdr:sp macro="" textlink="">
      <xdr:nvSpPr>
        <xdr:cNvPr id="1979" name="Line 7">
          <a:extLst>
            <a:ext uri="{FF2B5EF4-FFF2-40B4-BE49-F238E27FC236}">
              <a16:creationId xmlns:a16="http://schemas.microsoft.com/office/drawing/2014/main" id="{07EB3CCC-FC0D-4135-9BE6-32582128FBA8}"/>
            </a:ext>
          </a:extLst>
        </xdr:cNvPr>
        <xdr:cNvSpPr>
          <a:spLocks noChangeShapeType="1"/>
        </xdr:cNvSpPr>
      </xdr:nvSpPr>
      <xdr:spPr bwMode="auto">
        <a:xfrm>
          <a:off x="5324475" y="47453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80" name="Line 2">
          <a:extLst>
            <a:ext uri="{FF2B5EF4-FFF2-40B4-BE49-F238E27FC236}">
              <a16:creationId xmlns:a16="http://schemas.microsoft.com/office/drawing/2014/main" id="{FDB11AFD-0372-4D42-911B-DC05CA6A58DD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81" name="Line 3">
          <a:extLst>
            <a:ext uri="{FF2B5EF4-FFF2-40B4-BE49-F238E27FC236}">
              <a16:creationId xmlns:a16="http://schemas.microsoft.com/office/drawing/2014/main" id="{5616AC44-FA8F-44D6-84BF-A8B43A0CDE5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82" name="Line 4">
          <a:extLst>
            <a:ext uri="{FF2B5EF4-FFF2-40B4-BE49-F238E27FC236}">
              <a16:creationId xmlns:a16="http://schemas.microsoft.com/office/drawing/2014/main" id="{EC409D49-85A1-48AD-9CF6-CE8984577B73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303</xdr:row>
      <xdr:rowOff>0</xdr:rowOff>
    </xdr:from>
    <xdr:to>
      <xdr:col>8</xdr:col>
      <xdr:colOff>180975</xdr:colOff>
      <xdr:row>303</xdr:row>
      <xdr:rowOff>0</xdr:rowOff>
    </xdr:to>
    <xdr:sp macro="" textlink="">
      <xdr:nvSpPr>
        <xdr:cNvPr id="1983" name="Line 5">
          <a:extLst>
            <a:ext uri="{FF2B5EF4-FFF2-40B4-BE49-F238E27FC236}">
              <a16:creationId xmlns:a16="http://schemas.microsoft.com/office/drawing/2014/main" id="{61E83F3B-7C3A-4620-9FA7-8C5D83AF7CA8}"/>
            </a:ext>
          </a:extLst>
        </xdr:cNvPr>
        <xdr:cNvSpPr>
          <a:spLocks noChangeShapeType="1"/>
        </xdr:cNvSpPr>
      </xdr:nvSpPr>
      <xdr:spPr bwMode="auto">
        <a:xfrm>
          <a:off x="5324475" y="4359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84" name="Line 2">
          <a:extLst>
            <a:ext uri="{FF2B5EF4-FFF2-40B4-BE49-F238E27FC236}">
              <a16:creationId xmlns:a16="http://schemas.microsoft.com/office/drawing/2014/main" id="{1CAD22FE-8741-4391-9FBB-04541FB7ED57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296</xdr:row>
      <xdr:rowOff>0</xdr:rowOff>
    </xdr:from>
    <xdr:to>
      <xdr:col>8</xdr:col>
      <xdr:colOff>180975</xdr:colOff>
      <xdr:row>296</xdr:row>
      <xdr:rowOff>0</xdr:rowOff>
    </xdr:to>
    <xdr:sp macro="" textlink="">
      <xdr:nvSpPr>
        <xdr:cNvPr id="1985" name="Line 3">
          <a:extLst>
            <a:ext uri="{FF2B5EF4-FFF2-40B4-BE49-F238E27FC236}">
              <a16:creationId xmlns:a16="http://schemas.microsoft.com/office/drawing/2014/main" id="{1DF600A4-1799-4639-86FF-393E70FB6EF6}"/>
            </a:ext>
          </a:extLst>
        </xdr:cNvPr>
        <xdr:cNvSpPr>
          <a:spLocks noChangeShapeType="1"/>
        </xdr:cNvSpPr>
      </xdr:nvSpPr>
      <xdr:spPr bwMode="auto">
        <a:xfrm>
          <a:off x="5324475" y="42595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298</xdr:row>
      <xdr:rowOff>0</xdr:rowOff>
    </xdr:from>
    <xdr:to>
      <xdr:col>8</xdr:col>
      <xdr:colOff>180975</xdr:colOff>
      <xdr:row>298</xdr:row>
      <xdr:rowOff>0</xdr:rowOff>
    </xdr:to>
    <xdr:sp macro="" textlink="">
      <xdr:nvSpPr>
        <xdr:cNvPr id="1986" name="Line 4">
          <a:extLst>
            <a:ext uri="{FF2B5EF4-FFF2-40B4-BE49-F238E27FC236}">
              <a16:creationId xmlns:a16="http://schemas.microsoft.com/office/drawing/2014/main" id="{3B514382-8E07-4AA5-9DE2-F024B5B5E2C4}"/>
            </a:ext>
          </a:extLst>
        </xdr:cNvPr>
        <xdr:cNvSpPr>
          <a:spLocks noChangeShapeType="1"/>
        </xdr:cNvSpPr>
      </xdr:nvSpPr>
      <xdr:spPr bwMode="auto">
        <a:xfrm>
          <a:off x="5324475" y="428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381</xdr:row>
      <xdr:rowOff>0</xdr:rowOff>
    </xdr:from>
    <xdr:to>
      <xdr:col>8</xdr:col>
      <xdr:colOff>180975</xdr:colOff>
      <xdr:row>381</xdr:row>
      <xdr:rowOff>0</xdr:rowOff>
    </xdr:to>
    <xdr:sp macro="" textlink="">
      <xdr:nvSpPr>
        <xdr:cNvPr id="1987" name="Line 5">
          <a:extLst>
            <a:ext uri="{FF2B5EF4-FFF2-40B4-BE49-F238E27FC236}">
              <a16:creationId xmlns:a16="http://schemas.microsoft.com/office/drawing/2014/main" id="{94F1412B-0A2D-4E3B-AA3E-BBF5A7074349}"/>
            </a:ext>
          </a:extLst>
        </xdr:cNvPr>
        <xdr:cNvSpPr>
          <a:spLocks noChangeShapeType="1"/>
        </xdr:cNvSpPr>
      </xdr:nvSpPr>
      <xdr:spPr bwMode="auto">
        <a:xfrm>
          <a:off x="5324475" y="54844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369</xdr:row>
      <xdr:rowOff>0</xdr:rowOff>
    </xdr:from>
    <xdr:to>
      <xdr:col>8</xdr:col>
      <xdr:colOff>180975</xdr:colOff>
      <xdr:row>369</xdr:row>
      <xdr:rowOff>0</xdr:rowOff>
    </xdr:to>
    <xdr:sp macro="" textlink="">
      <xdr:nvSpPr>
        <xdr:cNvPr id="1988" name="Line 7">
          <a:extLst>
            <a:ext uri="{FF2B5EF4-FFF2-40B4-BE49-F238E27FC236}">
              <a16:creationId xmlns:a16="http://schemas.microsoft.com/office/drawing/2014/main" id="{F1B13BAF-63CB-4A9C-93D9-701C2A6DE4FE}"/>
            </a:ext>
          </a:extLst>
        </xdr:cNvPr>
        <xdr:cNvSpPr>
          <a:spLocks noChangeShapeType="1"/>
        </xdr:cNvSpPr>
      </xdr:nvSpPr>
      <xdr:spPr bwMode="auto">
        <a:xfrm>
          <a:off x="5324475" y="53111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989" name="Line 3">
          <a:extLst>
            <a:ext uri="{FF2B5EF4-FFF2-40B4-BE49-F238E27FC236}">
              <a16:creationId xmlns:a16="http://schemas.microsoft.com/office/drawing/2014/main" id="{E4BC94A9-AC19-4AB2-B8AF-F2C5E1267593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427</xdr:row>
      <xdr:rowOff>0</xdr:rowOff>
    </xdr:from>
    <xdr:to>
      <xdr:col>8</xdr:col>
      <xdr:colOff>180975</xdr:colOff>
      <xdr:row>427</xdr:row>
      <xdr:rowOff>0</xdr:rowOff>
    </xdr:to>
    <xdr:sp macro="" textlink="">
      <xdr:nvSpPr>
        <xdr:cNvPr id="1990" name="Line 5">
          <a:extLst>
            <a:ext uri="{FF2B5EF4-FFF2-40B4-BE49-F238E27FC236}">
              <a16:creationId xmlns:a16="http://schemas.microsoft.com/office/drawing/2014/main" id="{84B114C5-21B9-4289-B1D0-BFBED69550B0}"/>
            </a:ext>
          </a:extLst>
        </xdr:cNvPr>
        <xdr:cNvSpPr>
          <a:spLocks noChangeShapeType="1"/>
        </xdr:cNvSpPr>
      </xdr:nvSpPr>
      <xdr:spPr bwMode="auto">
        <a:xfrm>
          <a:off x="5324475" y="6150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991" name="Line 2">
          <a:extLst>
            <a:ext uri="{FF2B5EF4-FFF2-40B4-BE49-F238E27FC236}">
              <a16:creationId xmlns:a16="http://schemas.microsoft.com/office/drawing/2014/main" id="{20D410B4-FD63-4C97-B7AC-7B8B6D90A5E8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992" name="Line 3">
          <a:extLst>
            <a:ext uri="{FF2B5EF4-FFF2-40B4-BE49-F238E27FC236}">
              <a16:creationId xmlns:a16="http://schemas.microsoft.com/office/drawing/2014/main" id="{385A31F9-209D-43FA-A5FE-0C4473C5489E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1993" name="Line 4">
          <a:extLst>
            <a:ext uri="{FF2B5EF4-FFF2-40B4-BE49-F238E27FC236}">
              <a16:creationId xmlns:a16="http://schemas.microsoft.com/office/drawing/2014/main" id="{F1008586-B0C6-4DEB-859F-9EAB2DA8D2FB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994" name="Line 5">
          <a:extLst>
            <a:ext uri="{FF2B5EF4-FFF2-40B4-BE49-F238E27FC236}">
              <a16:creationId xmlns:a16="http://schemas.microsoft.com/office/drawing/2014/main" id="{1266274E-48DC-47C6-A356-D5A2149764D6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995" name="Line 2">
          <a:extLst>
            <a:ext uri="{FF2B5EF4-FFF2-40B4-BE49-F238E27FC236}">
              <a16:creationId xmlns:a16="http://schemas.microsoft.com/office/drawing/2014/main" id="{E4086E45-F1B1-485E-B983-E42DFB1CB13E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996" name="Line 3">
          <a:extLst>
            <a:ext uri="{FF2B5EF4-FFF2-40B4-BE49-F238E27FC236}">
              <a16:creationId xmlns:a16="http://schemas.microsoft.com/office/drawing/2014/main" id="{C6507BFD-01C6-4D93-ABED-AC8CFB1F1517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997" name="Line 4">
          <a:extLst>
            <a:ext uri="{FF2B5EF4-FFF2-40B4-BE49-F238E27FC236}">
              <a16:creationId xmlns:a16="http://schemas.microsoft.com/office/drawing/2014/main" id="{D25C794B-C78C-4D3D-AF98-B9CDE0EE7217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417</xdr:row>
      <xdr:rowOff>0</xdr:rowOff>
    </xdr:from>
    <xdr:to>
      <xdr:col>8</xdr:col>
      <xdr:colOff>180975</xdr:colOff>
      <xdr:row>417</xdr:row>
      <xdr:rowOff>0</xdr:rowOff>
    </xdr:to>
    <xdr:sp macro="" textlink="">
      <xdr:nvSpPr>
        <xdr:cNvPr id="1998" name="Line 5">
          <a:extLst>
            <a:ext uri="{FF2B5EF4-FFF2-40B4-BE49-F238E27FC236}">
              <a16:creationId xmlns:a16="http://schemas.microsoft.com/office/drawing/2014/main" id="{E09ADD3B-C971-453F-9978-DED1D91A4077}"/>
            </a:ext>
          </a:extLst>
        </xdr:cNvPr>
        <xdr:cNvSpPr>
          <a:spLocks noChangeShapeType="1"/>
        </xdr:cNvSpPr>
      </xdr:nvSpPr>
      <xdr:spPr bwMode="auto">
        <a:xfrm>
          <a:off x="5324475" y="60074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1999" name="Line 2">
          <a:extLst>
            <a:ext uri="{FF2B5EF4-FFF2-40B4-BE49-F238E27FC236}">
              <a16:creationId xmlns:a16="http://schemas.microsoft.com/office/drawing/2014/main" id="{D2FA9670-D0E2-48FC-ADEA-53FF651E9F16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410</xdr:row>
      <xdr:rowOff>0</xdr:rowOff>
    </xdr:from>
    <xdr:to>
      <xdr:col>8</xdr:col>
      <xdr:colOff>180975</xdr:colOff>
      <xdr:row>410</xdr:row>
      <xdr:rowOff>0</xdr:rowOff>
    </xdr:to>
    <xdr:sp macro="" textlink="">
      <xdr:nvSpPr>
        <xdr:cNvPr id="2000" name="Line 3">
          <a:extLst>
            <a:ext uri="{FF2B5EF4-FFF2-40B4-BE49-F238E27FC236}">
              <a16:creationId xmlns:a16="http://schemas.microsoft.com/office/drawing/2014/main" id="{9BD626AD-47BE-421A-BE44-4F31EFBD697A}"/>
            </a:ext>
          </a:extLst>
        </xdr:cNvPr>
        <xdr:cNvSpPr>
          <a:spLocks noChangeShapeType="1"/>
        </xdr:cNvSpPr>
      </xdr:nvSpPr>
      <xdr:spPr bwMode="auto">
        <a:xfrm>
          <a:off x="5324475" y="59074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2001" name="Line 4">
          <a:extLst>
            <a:ext uri="{FF2B5EF4-FFF2-40B4-BE49-F238E27FC236}">
              <a16:creationId xmlns:a16="http://schemas.microsoft.com/office/drawing/2014/main" id="{A697968F-7564-4D96-B588-A7E17CCAE269}"/>
            </a:ext>
          </a:extLst>
        </xdr:cNvPr>
        <xdr:cNvSpPr>
          <a:spLocks noChangeShapeType="1"/>
        </xdr:cNvSpPr>
      </xdr:nvSpPr>
      <xdr:spPr bwMode="auto">
        <a:xfrm>
          <a:off x="5324475" y="59359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2002" name="Line 5">
          <a:extLst>
            <a:ext uri="{FF2B5EF4-FFF2-40B4-BE49-F238E27FC236}">
              <a16:creationId xmlns:a16="http://schemas.microsoft.com/office/drawing/2014/main" id="{1D474EE6-F638-4EB9-843B-A0186D454BC1}"/>
            </a:ext>
          </a:extLst>
        </xdr:cNvPr>
        <xdr:cNvSpPr>
          <a:spLocks noChangeShapeType="1"/>
        </xdr:cNvSpPr>
      </xdr:nvSpPr>
      <xdr:spPr bwMode="auto">
        <a:xfrm>
          <a:off x="5324475" y="69875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2003" name="Line 7">
          <a:extLst>
            <a:ext uri="{FF2B5EF4-FFF2-40B4-BE49-F238E27FC236}">
              <a16:creationId xmlns:a16="http://schemas.microsoft.com/office/drawing/2014/main" id="{97145A9E-2F65-47A6-8CB0-C6E00FF11ED0}"/>
            </a:ext>
          </a:extLst>
        </xdr:cNvPr>
        <xdr:cNvSpPr>
          <a:spLocks noChangeShapeType="1"/>
        </xdr:cNvSpPr>
      </xdr:nvSpPr>
      <xdr:spPr bwMode="auto">
        <a:xfrm>
          <a:off x="5324475" y="70018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004" name="Line 2">
          <a:extLst>
            <a:ext uri="{FF2B5EF4-FFF2-40B4-BE49-F238E27FC236}">
              <a16:creationId xmlns:a16="http://schemas.microsoft.com/office/drawing/2014/main" id="{20929B74-8D70-4F48-A3AC-77FB31B32DAC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411</xdr:row>
      <xdr:rowOff>0</xdr:rowOff>
    </xdr:from>
    <xdr:to>
      <xdr:col>8</xdr:col>
      <xdr:colOff>180975</xdr:colOff>
      <xdr:row>411</xdr:row>
      <xdr:rowOff>0</xdr:rowOff>
    </xdr:to>
    <xdr:sp macro="" textlink="">
      <xdr:nvSpPr>
        <xdr:cNvPr id="2005" name="Line 3">
          <a:extLst>
            <a:ext uri="{FF2B5EF4-FFF2-40B4-BE49-F238E27FC236}">
              <a16:creationId xmlns:a16="http://schemas.microsoft.com/office/drawing/2014/main" id="{88F20123-5742-4B6F-9FB8-4DE61879FD35}"/>
            </a:ext>
          </a:extLst>
        </xdr:cNvPr>
        <xdr:cNvSpPr>
          <a:spLocks noChangeShapeType="1"/>
        </xdr:cNvSpPr>
      </xdr:nvSpPr>
      <xdr:spPr bwMode="auto">
        <a:xfrm>
          <a:off x="5324475" y="59216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413</xdr:row>
      <xdr:rowOff>0</xdr:rowOff>
    </xdr:from>
    <xdr:to>
      <xdr:col>8</xdr:col>
      <xdr:colOff>180975</xdr:colOff>
      <xdr:row>413</xdr:row>
      <xdr:rowOff>0</xdr:rowOff>
    </xdr:to>
    <xdr:sp macro="" textlink="">
      <xdr:nvSpPr>
        <xdr:cNvPr id="2006" name="Line 4">
          <a:extLst>
            <a:ext uri="{FF2B5EF4-FFF2-40B4-BE49-F238E27FC236}">
              <a16:creationId xmlns:a16="http://schemas.microsoft.com/office/drawing/2014/main" id="{6B74053D-708A-4B5D-868E-13E315BC39B8}"/>
            </a:ext>
          </a:extLst>
        </xdr:cNvPr>
        <xdr:cNvSpPr>
          <a:spLocks noChangeShapeType="1"/>
        </xdr:cNvSpPr>
      </xdr:nvSpPr>
      <xdr:spPr bwMode="auto">
        <a:xfrm>
          <a:off x="5324475" y="59502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2007" name="Line 3">
          <a:extLst>
            <a:ext uri="{FF2B5EF4-FFF2-40B4-BE49-F238E27FC236}">
              <a16:creationId xmlns:a16="http://schemas.microsoft.com/office/drawing/2014/main" id="{BA9EFA77-2DF4-4A71-B8E6-72B733B64E1A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548</xdr:row>
      <xdr:rowOff>0</xdr:rowOff>
    </xdr:from>
    <xdr:to>
      <xdr:col>8</xdr:col>
      <xdr:colOff>180975</xdr:colOff>
      <xdr:row>548</xdr:row>
      <xdr:rowOff>0</xdr:rowOff>
    </xdr:to>
    <xdr:sp macro="" textlink="">
      <xdr:nvSpPr>
        <xdr:cNvPr id="2008" name="Line 5">
          <a:extLst>
            <a:ext uri="{FF2B5EF4-FFF2-40B4-BE49-F238E27FC236}">
              <a16:creationId xmlns:a16="http://schemas.microsoft.com/office/drawing/2014/main" id="{C8BF8F78-0A71-492E-99AF-600790FF73D0}"/>
            </a:ext>
          </a:extLst>
        </xdr:cNvPr>
        <xdr:cNvSpPr>
          <a:spLocks noChangeShapeType="1"/>
        </xdr:cNvSpPr>
      </xdr:nvSpPr>
      <xdr:spPr bwMode="auto">
        <a:xfrm>
          <a:off x="5324475" y="7900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2009" name="Line 2">
          <a:extLst>
            <a:ext uri="{FF2B5EF4-FFF2-40B4-BE49-F238E27FC236}">
              <a16:creationId xmlns:a16="http://schemas.microsoft.com/office/drawing/2014/main" id="{ED20BAF0-71C5-4158-BDE8-071BD547056D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2010" name="Line 3">
          <a:extLst>
            <a:ext uri="{FF2B5EF4-FFF2-40B4-BE49-F238E27FC236}">
              <a16:creationId xmlns:a16="http://schemas.microsoft.com/office/drawing/2014/main" id="{6C7ED0BE-C997-41DA-A92F-E1AA413DF329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2011" name="Line 4">
          <a:extLst>
            <a:ext uri="{FF2B5EF4-FFF2-40B4-BE49-F238E27FC236}">
              <a16:creationId xmlns:a16="http://schemas.microsoft.com/office/drawing/2014/main" id="{82A61E2F-1BF5-40DC-B068-704148676AEF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2012" name="Line 5">
          <a:extLst>
            <a:ext uri="{FF2B5EF4-FFF2-40B4-BE49-F238E27FC236}">
              <a16:creationId xmlns:a16="http://schemas.microsoft.com/office/drawing/2014/main" id="{8F8597B3-09BC-4DDB-B53E-E8A7A8C88687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565</xdr:row>
      <xdr:rowOff>0</xdr:rowOff>
    </xdr:from>
    <xdr:to>
      <xdr:col>8</xdr:col>
      <xdr:colOff>180975</xdr:colOff>
      <xdr:row>565</xdr:row>
      <xdr:rowOff>0</xdr:rowOff>
    </xdr:to>
    <xdr:sp macro="" textlink="">
      <xdr:nvSpPr>
        <xdr:cNvPr id="2013" name="Line 7">
          <a:extLst>
            <a:ext uri="{FF2B5EF4-FFF2-40B4-BE49-F238E27FC236}">
              <a16:creationId xmlns:a16="http://schemas.microsoft.com/office/drawing/2014/main" id="{3AD202E8-6AB8-44FC-A14D-161B1C621C21}"/>
            </a:ext>
          </a:extLst>
        </xdr:cNvPr>
        <xdr:cNvSpPr>
          <a:spLocks noChangeShapeType="1"/>
        </xdr:cNvSpPr>
      </xdr:nvSpPr>
      <xdr:spPr bwMode="auto">
        <a:xfrm>
          <a:off x="5324475" y="814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14" name="Line 2">
          <a:extLst>
            <a:ext uri="{FF2B5EF4-FFF2-40B4-BE49-F238E27FC236}">
              <a16:creationId xmlns:a16="http://schemas.microsoft.com/office/drawing/2014/main" id="{C2C48EC3-AC39-4A91-9917-F402A2E27A4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15" name="Line 3">
          <a:extLst>
            <a:ext uri="{FF2B5EF4-FFF2-40B4-BE49-F238E27FC236}">
              <a16:creationId xmlns:a16="http://schemas.microsoft.com/office/drawing/2014/main" id="{32E864E2-84CF-4ACB-A834-25156E29DD77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16" name="Line 4">
          <a:extLst>
            <a:ext uri="{FF2B5EF4-FFF2-40B4-BE49-F238E27FC236}">
              <a16:creationId xmlns:a16="http://schemas.microsoft.com/office/drawing/2014/main" id="{67DA8204-A3C0-48AA-833F-1F34C3462F22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2017" name="Line 5">
          <a:extLst>
            <a:ext uri="{FF2B5EF4-FFF2-40B4-BE49-F238E27FC236}">
              <a16:creationId xmlns:a16="http://schemas.microsoft.com/office/drawing/2014/main" id="{7A45FC9F-8DE8-406B-9642-51EAD3D0CC3C}"/>
            </a:ext>
          </a:extLst>
        </xdr:cNvPr>
        <xdr:cNvSpPr>
          <a:spLocks noChangeShapeType="1"/>
        </xdr:cNvSpPr>
      </xdr:nvSpPr>
      <xdr:spPr bwMode="auto">
        <a:xfrm>
          <a:off x="5324475" y="7740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18" name="Line 2">
          <a:extLst>
            <a:ext uri="{FF2B5EF4-FFF2-40B4-BE49-F238E27FC236}">
              <a16:creationId xmlns:a16="http://schemas.microsoft.com/office/drawing/2014/main" id="{43B8AE05-58A5-4FDA-B6EC-D43364F717B9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530</xdr:row>
      <xdr:rowOff>0</xdr:rowOff>
    </xdr:from>
    <xdr:to>
      <xdr:col>8</xdr:col>
      <xdr:colOff>180975</xdr:colOff>
      <xdr:row>530</xdr:row>
      <xdr:rowOff>0</xdr:rowOff>
    </xdr:to>
    <xdr:sp macro="" textlink="">
      <xdr:nvSpPr>
        <xdr:cNvPr id="2019" name="Line 3">
          <a:extLst>
            <a:ext uri="{FF2B5EF4-FFF2-40B4-BE49-F238E27FC236}">
              <a16:creationId xmlns:a16="http://schemas.microsoft.com/office/drawing/2014/main" id="{C6537399-8A6E-492E-A3D2-19F6B2F4CC94}"/>
            </a:ext>
          </a:extLst>
        </xdr:cNvPr>
        <xdr:cNvSpPr>
          <a:spLocks noChangeShapeType="1"/>
        </xdr:cNvSpPr>
      </xdr:nvSpPr>
      <xdr:spPr bwMode="auto">
        <a:xfrm>
          <a:off x="5324475" y="76409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532</xdr:row>
      <xdr:rowOff>0</xdr:rowOff>
    </xdr:from>
    <xdr:to>
      <xdr:col>8</xdr:col>
      <xdr:colOff>180975</xdr:colOff>
      <xdr:row>532</xdr:row>
      <xdr:rowOff>0</xdr:rowOff>
    </xdr:to>
    <xdr:sp macro="" textlink="">
      <xdr:nvSpPr>
        <xdr:cNvPr id="2020" name="Line 4">
          <a:extLst>
            <a:ext uri="{FF2B5EF4-FFF2-40B4-BE49-F238E27FC236}">
              <a16:creationId xmlns:a16="http://schemas.microsoft.com/office/drawing/2014/main" id="{FF6B6D6E-129E-43D8-A4B7-49E0C09B7F75}"/>
            </a:ext>
          </a:extLst>
        </xdr:cNvPr>
        <xdr:cNvSpPr>
          <a:spLocks noChangeShapeType="1"/>
        </xdr:cNvSpPr>
      </xdr:nvSpPr>
      <xdr:spPr bwMode="auto">
        <a:xfrm>
          <a:off x="5324475" y="76695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2021" name="Line 2">
          <a:extLst>
            <a:ext uri="{FF2B5EF4-FFF2-40B4-BE49-F238E27FC236}">
              <a16:creationId xmlns:a16="http://schemas.microsoft.com/office/drawing/2014/main" id="{60277747-9CD0-425D-94A0-DC7C20EDB5C5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2022" name="Line 3">
          <a:extLst>
            <a:ext uri="{FF2B5EF4-FFF2-40B4-BE49-F238E27FC236}">
              <a16:creationId xmlns:a16="http://schemas.microsoft.com/office/drawing/2014/main" id="{CFCC50C5-72BE-4C0A-B3BE-DF238A9B2B1B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2023" name="Line 4">
          <a:extLst>
            <a:ext uri="{FF2B5EF4-FFF2-40B4-BE49-F238E27FC236}">
              <a16:creationId xmlns:a16="http://schemas.microsoft.com/office/drawing/2014/main" id="{F7349048-D05B-43D4-86BD-5928669B2B53}"/>
            </a:ext>
          </a:extLst>
        </xdr:cNvPr>
        <xdr:cNvSpPr>
          <a:spLocks noChangeShapeType="1"/>
        </xdr:cNvSpPr>
      </xdr:nvSpPr>
      <xdr:spPr bwMode="auto">
        <a:xfrm>
          <a:off x="5324475" y="76838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2024" name="Line 2">
          <a:extLst>
            <a:ext uri="{FF2B5EF4-FFF2-40B4-BE49-F238E27FC236}">
              <a16:creationId xmlns:a16="http://schemas.microsoft.com/office/drawing/2014/main" id="{26830865-C5F6-4C29-8B0A-8CA0311BD08D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531</xdr:row>
      <xdr:rowOff>0</xdr:rowOff>
    </xdr:from>
    <xdr:to>
      <xdr:col>8</xdr:col>
      <xdr:colOff>180975</xdr:colOff>
      <xdr:row>531</xdr:row>
      <xdr:rowOff>0</xdr:rowOff>
    </xdr:to>
    <xdr:sp macro="" textlink="">
      <xdr:nvSpPr>
        <xdr:cNvPr id="2025" name="Line 3">
          <a:extLst>
            <a:ext uri="{FF2B5EF4-FFF2-40B4-BE49-F238E27FC236}">
              <a16:creationId xmlns:a16="http://schemas.microsoft.com/office/drawing/2014/main" id="{17CEE98C-EA6A-4640-91AD-0CD19CBCB256}"/>
            </a:ext>
          </a:extLst>
        </xdr:cNvPr>
        <xdr:cNvSpPr>
          <a:spLocks noChangeShapeType="1"/>
        </xdr:cNvSpPr>
      </xdr:nvSpPr>
      <xdr:spPr bwMode="auto">
        <a:xfrm>
          <a:off x="5324475" y="76552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2026" name="Line 4">
          <a:extLst>
            <a:ext uri="{FF2B5EF4-FFF2-40B4-BE49-F238E27FC236}">
              <a16:creationId xmlns:a16="http://schemas.microsoft.com/office/drawing/2014/main" id="{69EBCD01-9591-4932-9AF0-F1D1705CE40E}"/>
            </a:ext>
          </a:extLst>
        </xdr:cNvPr>
        <xdr:cNvSpPr>
          <a:spLocks noChangeShapeType="1"/>
        </xdr:cNvSpPr>
      </xdr:nvSpPr>
      <xdr:spPr bwMode="auto">
        <a:xfrm>
          <a:off x="5324475" y="7726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2027" name="Line 3">
          <a:extLst>
            <a:ext uri="{FF2B5EF4-FFF2-40B4-BE49-F238E27FC236}">
              <a16:creationId xmlns:a16="http://schemas.microsoft.com/office/drawing/2014/main" id="{9844024D-5017-46F6-8500-02C539B14EDE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2028" name="Line 5">
          <a:extLst>
            <a:ext uri="{FF2B5EF4-FFF2-40B4-BE49-F238E27FC236}">
              <a16:creationId xmlns:a16="http://schemas.microsoft.com/office/drawing/2014/main" id="{29BE95E0-C741-4497-8716-718D8137D32A}"/>
            </a:ext>
          </a:extLst>
        </xdr:cNvPr>
        <xdr:cNvSpPr>
          <a:spLocks noChangeShapeType="1"/>
        </xdr:cNvSpPr>
      </xdr:nvSpPr>
      <xdr:spPr bwMode="auto">
        <a:xfrm>
          <a:off x="5324475" y="87801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2029" name="Line 2">
          <a:extLst>
            <a:ext uri="{FF2B5EF4-FFF2-40B4-BE49-F238E27FC236}">
              <a16:creationId xmlns:a16="http://schemas.microsoft.com/office/drawing/2014/main" id="{56D25193-0F07-44CF-ABDC-59E6B2B2A0C9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2030" name="Line 3">
          <a:extLst>
            <a:ext uri="{FF2B5EF4-FFF2-40B4-BE49-F238E27FC236}">
              <a16:creationId xmlns:a16="http://schemas.microsoft.com/office/drawing/2014/main" id="{E7EFD59D-E94F-450C-B2B2-A06ED2914B2F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2031" name="Line 4">
          <a:extLst>
            <a:ext uri="{FF2B5EF4-FFF2-40B4-BE49-F238E27FC236}">
              <a16:creationId xmlns:a16="http://schemas.microsoft.com/office/drawing/2014/main" id="{44300E68-A043-4EFB-8271-BD78A877F03D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2032" name="Line 5">
          <a:extLst>
            <a:ext uri="{FF2B5EF4-FFF2-40B4-BE49-F238E27FC236}">
              <a16:creationId xmlns:a16="http://schemas.microsoft.com/office/drawing/2014/main" id="{A6C097F5-53E0-4712-B109-501833CABD48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620</xdr:row>
      <xdr:rowOff>0</xdr:rowOff>
    </xdr:from>
    <xdr:to>
      <xdr:col>8</xdr:col>
      <xdr:colOff>180975</xdr:colOff>
      <xdr:row>620</xdr:row>
      <xdr:rowOff>0</xdr:rowOff>
    </xdr:to>
    <xdr:sp macro="" textlink="">
      <xdr:nvSpPr>
        <xdr:cNvPr id="2033" name="Line 7">
          <a:extLst>
            <a:ext uri="{FF2B5EF4-FFF2-40B4-BE49-F238E27FC236}">
              <a16:creationId xmlns:a16="http://schemas.microsoft.com/office/drawing/2014/main" id="{B2C8AA8F-B146-4C33-9781-231102D7643A}"/>
            </a:ext>
          </a:extLst>
        </xdr:cNvPr>
        <xdr:cNvSpPr>
          <a:spLocks noChangeShapeType="1"/>
        </xdr:cNvSpPr>
      </xdr:nvSpPr>
      <xdr:spPr bwMode="auto">
        <a:xfrm>
          <a:off x="5324475" y="89382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34" name="Line 2">
          <a:extLst>
            <a:ext uri="{FF2B5EF4-FFF2-40B4-BE49-F238E27FC236}">
              <a16:creationId xmlns:a16="http://schemas.microsoft.com/office/drawing/2014/main" id="{B1DBD547-BD46-4B45-A52B-B8FE0F3A4657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35" name="Line 3">
          <a:extLst>
            <a:ext uri="{FF2B5EF4-FFF2-40B4-BE49-F238E27FC236}">
              <a16:creationId xmlns:a16="http://schemas.microsoft.com/office/drawing/2014/main" id="{7F3AC3C2-F0BA-4B0F-9353-63A2510C7440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36" name="Line 4">
          <a:extLst>
            <a:ext uri="{FF2B5EF4-FFF2-40B4-BE49-F238E27FC236}">
              <a16:creationId xmlns:a16="http://schemas.microsoft.com/office/drawing/2014/main" id="{65851C23-615E-407E-9F1C-6C14A5F6EF0B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599</xdr:row>
      <xdr:rowOff>0</xdr:rowOff>
    </xdr:from>
    <xdr:to>
      <xdr:col>8</xdr:col>
      <xdr:colOff>180975</xdr:colOff>
      <xdr:row>599</xdr:row>
      <xdr:rowOff>0</xdr:rowOff>
    </xdr:to>
    <xdr:sp macro="" textlink="">
      <xdr:nvSpPr>
        <xdr:cNvPr id="2037" name="Line 5">
          <a:extLst>
            <a:ext uri="{FF2B5EF4-FFF2-40B4-BE49-F238E27FC236}">
              <a16:creationId xmlns:a16="http://schemas.microsoft.com/office/drawing/2014/main" id="{DBAA2208-0C3A-4A40-B0A8-AAF9E1763240}"/>
            </a:ext>
          </a:extLst>
        </xdr:cNvPr>
        <xdr:cNvSpPr>
          <a:spLocks noChangeShapeType="1"/>
        </xdr:cNvSpPr>
      </xdr:nvSpPr>
      <xdr:spPr bwMode="auto">
        <a:xfrm>
          <a:off x="5324475" y="86372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38" name="Line 2">
          <a:extLst>
            <a:ext uri="{FF2B5EF4-FFF2-40B4-BE49-F238E27FC236}">
              <a16:creationId xmlns:a16="http://schemas.microsoft.com/office/drawing/2014/main" id="{9ECC9269-DBE7-407B-8BE5-0ACCF743FB82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2039" name="Line 3">
          <a:extLst>
            <a:ext uri="{FF2B5EF4-FFF2-40B4-BE49-F238E27FC236}">
              <a16:creationId xmlns:a16="http://schemas.microsoft.com/office/drawing/2014/main" id="{1904F6F4-52DA-4798-A1A7-BCFB6718A746}"/>
            </a:ext>
          </a:extLst>
        </xdr:cNvPr>
        <xdr:cNvSpPr>
          <a:spLocks noChangeShapeType="1"/>
        </xdr:cNvSpPr>
      </xdr:nvSpPr>
      <xdr:spPr bwMode="auto">
        <a:xfrm>
          <a:off x="5324475" y="85372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594</xdr:row>
      <xdr:rowOff>0</xdr:rowOff>
    </xdr:from>
    <xdr:to>
      <xdr:col>8</xdr:col>
      <xdr:colOff>180975</xdr:colOff>
      <xdr:row>594</xdr:row>
      <xdr:rowOff>0</xdr:rowOff>
    </xdr:to>
    <xdr:sp macro="" textlink="">
      <xdr:nvSpPr>
        <xdr:cNvPr id="2040" name="Line 4">
          <a:extLst>
            <a:ext uri="{FF2B5EF4-FFF2-40B4-BE49-F238E27FC236}">
              <a16:creationId xmlns:a16="http://schemas.microsoft.com/office/drawing/2014/main" id="{68112F8E-A661-4026-8E03-5828E44D47AF}"/>
            </a:ext>
          </a:extLst>
        </xdr:cNvPr>
        <xdr:cNvSpPr>
          <a:spLocks noChangeShapeType="1"/>
        </xdr:cNvSpPr>
      </xdr:nvSpPr>
      <xdr:spPr bwMode="auto">
        <a:xfrm>
          <a:off x="5324475" y="85658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2041" name="Line 2">
          <a:extLst>
            <a:ext uri="{FF2B5EF4-FFF2-40B4-BE49-F238E27FC236}">
              <a16:creationId xmlns:a16="http://schemas.microsoft.com/office/drawing/2014/main" id="{08DA35F5-FF48-4F53-9256-B161EE61FB86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2042" name="Line 3">
          <a:extLst>
            <a:ext uri="{FF2B5EF4-FFF2-40B4-BE49-F238E27FC236}">
              <a16:creationId xmlns:a16="http://schemas.microsoft.com/office/drawing/2014/main" id="{8CA3C77B-BC41-4150-A9E9-633A7BE95AB3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595</xdr:row>
      <xdr:rowOff>0</xdr:rowOff>
    </xdr:from>
    <xdr:to>
      <xdr:col>8</xdr:col>
      <xdr:colOff>180975</xdr:colOff>
      <xdr:row>595</xdr:row>
      <xdr:rowOff>0</xdr:rowOff>
    </xdr:to>
    <xdr:sp macro="" textlink="">
      <xdr:nvSpPr>
        <xdr:cNvPr id="2043" name="Line 4">
          <a:extLst>
            <a:ext uri="{FF2B5EF4-FFF2-40B4-BE49-F238E27FC236}">
              <a16:creationId xmlns:a16="http://schemas.microsoft.com/office/drawing/2014/main" id="{8A3FD99A-79ED-4492-9E69-FF4208819657}"/>
            </a:ext>
          </a:extLst>
        </xdr:cNvPr>
        <xdr:cNvSpPr>
          <a:spLocks noChangeShapeType="1"/>
        </xdr:cNvSpPr>
      </xdr:nvSpPr>
      <xdr:spPr bwMode="auto">
        <a:xfrm>
          <a:off x="5324475" y="85801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2044" name="Line 2">
          <a:extLst>
            <a:ext uri="{FF2B5EF4-FFF2-40B4-BE49-F238E27FC236}">
              <a16:creationId xmlns:a16="http://schemas.microsoft.com/office/drawing/2014/main" id="{C478D85F-4E06-4270-A50D-710D45C25A5E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593</xdr:row>
      <xdr:rowOff>0</xdr:rowOff>
    </xdr:from>
    <xdr:to>
      <xdr:col>8</xdr:col>
      <xdr:colOff>180975</xdr:colOff>
      <xdr:row>593</xdr:row>
      <xdr:rowOff>0</xdr:rowOff>
    </xdr:to>
    <xdr:sp macro="" textlink="">
      <xdr:nvSpPr>
        <xdr:cNvPr id="2045" name="Line 3">
          <a:extLst>
            <a:ext uri="{FF2B5EF4-FFF2-40B4-BE49-F238E27FC236}">
              <a16:creationId xmlns:a16="http://schemas.microsoft.com/office/drawing/2014/main" id="{81EAB7EF-40D0-4068-9FA7-9950FC998377}"/>
            </a:ext>
          </a:extLst>
        </xdr:cNvPr>
        <xdr:cNvSpPr>
          <a:spLocks noChangeShapeType="1"/>
        </xdr:cNvSpPr>
      </xdr:nvSpPr>
      <xdr:spPr bwMode="auto">
        <a:xfrm>
          <a:off x="5324475" y="85515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598</xdr:row>
      <xdr:rowOff>0</xdr:rowOff>
    </xdr:from>
    <xdr:to>
      <xdr:col>8</xdr:col>
      <xdr:colOff>180975</xdr:colOff>
      <xdr:row>598</xdr:row>
      <xdr:rowOff>0</xdr:rowOff>
    </xdr:to>
    <xdr:sp macro="" textlink="">
      <xdr:nvSpPr>
        <xdr:cNvPr id="2046" name="Line 4">
          <a:extLst>
            <a:ext uri="{FF2B5EF4-FFF2-40B4-BE49-F238E27FC236}">
              <a16:creationId xmlns:a16="http://schemas.microsoft.com/office/drawing/2014/main" id="{39DD91D0-0723-4C6D-A9C9-15B5BECFB5CD}"/>
            </a:ext>
          </a:extLst>
        </xdr:cNvPr>
        <xdr:cNvSpPr>
          <a:spLocks noChangeShapeType="1"/>
        </xdr:cNvSpPr>
      </xdr:nvSpPr>
      <xdr:spPr bwMode="auto">
        <a:xfrm>
          <a:off x="5324475" y="8622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2047" name="Line 3">
          <a:extLst>
            <a:ext uri="{FF2B5EF4-FFF2-40B4-BE49-F238E27FC236}">
              <a16:creationId xmlns:a16="http://schemas.microsoft.com/office/drawing/2014/main" id="{D9CF375A-D4E2-4E4E-A515-03AAC7CF4118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669</xdr:row>
      <xdr:rowOff>0</xdr:rowOff>
    </xdr:from>
    <xdr:to>
      <xdr:col>8</xdr:col>
      <xdr:colOff>180975</xdr:colOff>
      <xdr:row>669</xdr:row>
      <xdr:rowOff>0</xdr:rowOff>
    </xdr:to>
    <xdr:sp macro="" textlink="">
      <xdr:nvSpPr>
        <xdr:cNvPr id="2048" name="Line 5">
          <a:extLst>
            <a:ext uri="{FF2B5EF4-FFF2-40B4-BE49-F238E27FC236}">
              <a16:creationId xmlns:a16="http://schemas.microsoft.com/office/drawing/2014/main" id="{F1C1D6D7-369A-436B-8F60-F0B16921FAB0}"/>
            </a:ext>
          </a:extLst>
        </xdr:cNvPr>
        <xdr:cNvSpPr>
          <a:spLocks noChangeShapeType="1"/>
        </xdr:cNvSpPr>
      </xdr:nvSpPr>
      <xdr:spPr bwMode="auto">
        <a:xfrm>
          <a:off x="5324475" y="96478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2049" name="Line 2">
          <a:extLst>
            <a:ext uri="{FF2B5EF4-FFF2-40B4-BE49-F238E27FC236}">
              <a16:creationId xmlns:a16="http://schemas.microsoft.com/office/drawing/2014/main" id="{3C2780A4-C7FD-4B3F-9904-ED42B80D5009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2050" name="Line 3">
          <a:extLst>
            <a:ext uri="{FF2B5EF4-FFF2-40B4-BE49-F238E27FC236}">
              <a16:creationId xmlns:a16="http://schemas.microsoft.com/office/drawing/2014/main" id="{F7293901-CE1F-4F96-B875-6F1954F8A99F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2051" name="Line 4">
          <a:extLst>
            <a:ext uri="{FF2B5EF4-FFF2-40B4-BE49-F238E27FC236}">
              <a16:creationId xmlns:a16="http://schemas.microsoft.com/office/drawing/2014/main" id="{D344F67C-D715-4F87-BC41-CDFF61707907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2052" name="Line 5">
          <a:extLst>
            <a:ext uri="{FF2B5EF4-FFF2-40B4-BE49-F238E27FC236}">
              <a16:creationId xmlns:a16="http://schemas.microsoft.com/office/drawing/2014/main" id="{5AB4D6EA-35E9-492B-BF62-FF02D52DD83F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679</xdr:row>
      <xdr:rowOff>0</xdr:rowOff>
    </xdr:from>
    <xdr:to>
      <xdr:col>8</xdr:col>
      <xdr:colOff>180975</xdr:colOff>
      <xdr:row>679</xdr:row>
      <xdr:rowOff>0</xdr:rowOff>
    </xdr:to>
    <xdr:sp macro="" textlink="">
      <xdr:nvSpPr>
        <xdr:cNvPr id="2053" name="Line 7">
          <a:extLst>
            <a:ext uri="{FF2B5EF4-FFF2-40B4-BE49-F238E27FC236}">
              <a16:creationId xmlns:a16="http://schemas.microsoft.com/office/drawing/2014/main" id="{B99E2BDD-4812-4736-93F9-F72E95EAAB47}"/>
            </a:ext>
          </a:extLst>
        </xdr:cNvPr>
        <xdr:cNvSpPr>
          <a:spLocks noChangeShapeType="1"/>
        </xdr:cNvSpPr>
      </xdr:nvSpPr>
      <xdr:spPr bwMode="auto">
        <a:xfrm>
          <a:off x="532447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54" name="Line 2">
          <a:extLst>
            <a:ext uri="{FF2B5EF4-FFF2-40B4-BE49-F238E27FC236}">
              <a16:creationId xmlns:a16="http://schemas.microsoft.com/office/drawing/2014/main" id="{1D3F96C3-9714-40A2-B7F4-34117F227187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55" name="Line 3">
          <a:extLst>
            <a:ext uri="{FF2B5EF4-FFF2-40B4-BE49-F238E27FC236}">
              <a16:creationId xmlns:a16="http://schemas.microsoft.com/office/drawing/2014/main" id="{C2C501F7-6762-4207-B960-DEA83B81064D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56" name="Line 4">
          <a:extLst>
            <a:ext uri="{FF2B5EF4-FFF2-40B4-BE49-F238E27FC236}">
              <a16:creationId xmlns:a16="http://schemas.microsoft.com/office/drawing/2014/main" id="{D3C4E16C-3475-43C5-8205-9FB0DB43101E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659</xdr:row>
      <xdr:rowOff>0</xdr:rowOff>
    </xdr:from>
    <xdr:to>
      <xdr:col>8</xdr:col>
      <xdr:colOff>180975</xdr:colOff>
      <xdr:row>659</xdr:row>
      <xdr:rowOff>0</xdr:rowOff>
    </xdr:to>
    <xdr:sp macro="" textlink="">
      <xdr:nvSpPr>
        <xdr:cNvPr id="2057" name="Line 5">
          <a:extLst>
            <a:ext uri="{FF2B5EF4-FFF2-40B4-BE49-F238E27FC236}">
              <a16:creationId xmlns:a16="http://schemas.microsoft.com/office/drawing/2014/main" id="{5B701F2F-01F6-457D-B045-31F20067B78E}"/>
            </a:ext>
          </a:extLst>
        </xdr:cNvPr>
        <xdr:cNvSpPr>
          <a:spLocks noChangeShapeType="1"/>
        </xdr:cNvSpPr>
      </xdr:nvSpPr>
      <xdr:spPr bwMode="auto">
        <a:xfrm>
          <a:off x="5324475" y="95049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58" name="Line 2">
          <a:extLst>
            <a:ext uri="{FF2B5EF4-FFF2-40B4-BE49-F238E27FC236}">
              <a16:creationId xmlns:a16="http://schemas.microsoft.com/office/drawing/2014/main" id="{D8DF8DD0-8CD3-4ACE-9DF8-91CB0E834D87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651</xdr:row>
      <xdr:rowOff>0</xdr:rowOff>
    </xdr:from>
    <xdr:to>
      <xdr:col>8</xdr:col>
      <xdr:colOff>180975</xdr:colOff>
      <xdr:row>651</xdr:row>
      <xdr:rowOff>0</xdr:rowOff>
    </xdr:to>
    <xdr:sp macro="" textlink="">
      <xdr:nvSpPr>
        <xdr:cNvPr id="2059" name="Line 3">
          <a:extLst>
            <a:ext uri="{FF2B5EF4-FFF2-40B4-BE49-F238E27FC236}">
              <a16:creationId xmlns:a16="http://schemas.microsoft.com/office/drawing/2014/main" id="{4BDFE99A-8366-4B75-BF42-304E3BFA4FC0}"/>
            </a:ext>
          </a:extLst>
        </xdr:cNvPr>
        <xdr:cNvSpPr>
          <a:spLocks noChangeShapeType="1"/>
        </xdr:cNvSpPr>
      </xdr:nvSpPr>
      <xdr:spPr bwMode="auto">
        <a:xfrm>
          <a:off x="5324475" y="939069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2060" name="Line 4">
          <a:extLst>
            <a:ext uri="{FF2B5EF4-FFF2-40B4-BE49-F238E27FC236}">
              <a16:creationId xmlns:a16="http://schemas.microsoft.com/office/drawing/2014/main" id="{0EF13AC3-5F6B-4701-A5C4-D3F8F0E0160A}"/>
            </a:ext>
          </a:extLst>
        </xdr:cNvPr>
        <xdr:cNvSpPr>
          <a:spLocks noChangeShapeType="1"/>
        </xdr:cNvSpPr>
      </xdr:nvSpPr>
      <xdr:spPr bwMode="auto">
        <a:xfrm>
          <a:off x="5324475" y="94192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2061" name="Line 2">
          <a:extLst>
            <a:ext uri="{FF2B5EF4-FFF2-40B4-BE49-F238E27FC236}">
              <a16:creationId xmlns:a16="http://schemas.microsoft.com/office/drawing/2014/main" id="{DCC29A02-15BF-448E-9956-DC1AA2D7A070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2062" name="Line 3">
          <a:extLst>
            <a:ext uri="{FF2B5EF4-FFF2-40B4-BE49-F238E27FC236}">
              <a16:creationId xmlns:a16="http://schemas.microsoft.com/office/drawing/2014/main" id="{D65F46B5-1793-4C0A-8A93-36A391FDC495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654</xdr:row>
      <xdr:rowOff>0</xdr:rowOff>
    </xdr:from>
    <xdr:to>
      <xdr:col>8</xdr:col>
      <xdr:colOff>180975</xdr:colOff>
      <xdr:row>654</xdr:row>
      <xdr:rowOff>0</xdr:rowOff>
    </xdr:to>
    <xdr:sp macro="" textlink="">
      <xdr:nvSpPr>
        <xdr:cNvPr id="2063" name="Line 4">
          <a:extLst>
            <a:ext uri="{FF2B5EF4-FFF2-40B4-BE49-F238E27FC236}">
              <a16:creationId xmlns:a16="http://schemas.microsoft.com/office/drawing/2014/main" id="{9997D2D2-09A7-45BE-8838-8424D889DE4B}"/>
            </a:ext>
          </a:extLst>
        </xdr:cNvPr>
        <xdr:cNvSpPr>
          <a:spLocks noChangeShapeType="1"/>
        </xdr:cNvSpPr>
      </xdr:nvSpPr>
      <xdr:spPr bwMode="auto">
        <a:xfrm>
          <a:off x="5324475" y="94335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2064" name="Line 2">
          <a:extLst>
            <a:ext uri="{FF2B5EF4-FFF2-40B4-BE49-F238E27FC236}">
              <a16:creationId xmlns:a16="http://schemas.microsoft.com/office/drawing/2014/main" id="{23196E28-522D-4BEA-9F12-DE1C83F7F409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652</xdr:row>
      <xdr:rowOff>0</xdr:rowOff>
    </xdr:from>
    <xdr:to>
      <xdr:col>8</xdr:col>
      <xdr:colOff>180975</xdr:colOff>
      <xdr:row>652</xdr:row>
      <xdr:rowOff>0</xdr:rowOff>
    </xdr:to>
    <xdr:sp macro="" textlink="">
      <xdr:nvSpPr>
        <xdr:cNvPr id="2065" name="Line 3">
          <a:extLst>
            <a:ext uri="{FF2B5EF4-FFF2-40B4-BE49-F238E27FC236}">
              <a16:creationId xmlns:a16="http://schemas.microsoft.com/office/drawing/2014/main" id="{E0C3C4A5-1758-4914-A5F1-19D7F3073365}"/>
            </a:ext>
          </a:extLst>
        </xdr:cNvPr>
        <xdr:cNvSpPr>
          <a:spLocks noChangeShapeType="1"/>
        </xdr:cNvSpPr>
      </xdr:nvSpPr>
      <xdr:spPr bwMode="auto">
        <a:xfrm>
          <a:off x="5324475" y="94049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658</xdr:row>
      <xdr:rowOff>0</xdr:rowOff>
    </xdr:from>
    <xdr:to>
      <xdr:col>8</xdr:col>
      <xdr:colOff>180975</xdr:colOff>
      <xdr:row>658</xdr:row>
      <xdr:rowOff>0</xdr:rowOff>
    </xdr:to>
    <xdr:sp macro="" textlink="">
      <xdr:nvSpPr>
        <xdr:cNvPr id="2066" name="Line 4">
          <a:extLst>
            <a:ext uri="{FF2B5EF4-FFF2-40B4-BE49-F238E27FC236}">
              <a16:creationId xmlns:a16="http://schemas.microsoft.com/office/drawing/2014/main" id="{60CEEA47-05D5-464E-B482-4C6708555A71}"/>
            </a:ext>
          </a:extLst>
        </xdr:cNvPr>
        <xdr:cNvSpPr>
          <a:spLocks noChangeShapeType="1"/>
        </xdr:cNvSpPr>
      </xdr:nvSpPr>
      <xdr:spPr bwMode="auto">
        <a:xfrm>
          <a:off x="5324475" y="94907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2067" name="Line 3">
          <a:extLst>
            <a:ext uri="{FF2B5EF4-FFF2-40B4-BE49-F238E27FC236}">
              <a16:creationId xmlns:a16="http://schemas.microsoft.com/office/drawing/2014/main" id="{1D655D1F-EEBA-49B2-A95F-E5C63FB3EAF8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726</xdr:row>
      <xdr:rowOff>0</xdr:rowOff>
    </xdr:from>
    <xdr:to>
      <xdr:col>8</xdr:col>
      <xdr:colOff>180975</xdr:colOff>
      <xdr:row>726</xdr:row>
      <xdr:rowOff>0</xdr:rowOff>
    </xdr:to>
    <xdr:sp macro="" textlink="">
      <xdr:nvSpPr>
        <xdr:cNvPr id="2068" name="Line 5">
          <a:extLst>
            <a:ext uri="{FF2B5EF4-FFF2-40B4-BE49-F238E27FC236}">
              <a16:creationId xmlns:a16="http://schemas.microsoft.com/office/drawing/2014/main" id="{BB78B46B-30AF-441B-8700-D8219E128773}"/>
            </a:ext>
          </a:extLst>
        </xdr:cNvPr>
        <xdr:cNvSpPr>
          <a:spLocks noChangeShapeType="1"/>
        </xdr:cNvSpPr>
      </xdr:nvSpPr>
      <xdr:spPr bwMode="auto">
        <a:xfrm>
          <a:off x="5324475" y="104727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2069" name="Line 2">
          <a:extLst>
            <a:ext uri="{FF2B5EF4-FFF2-40B4-BE49-F238E27FC236}">
              <a16:creationId xmlns:a16="http://schemas.microsoft.com/office/drawing/2014/main" id="{84EADD88-D825-4A3A-BC22-B0F7D87BD817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2070" name="Line 3">
          <a:extLst>
            <a:ext uri="{FF2B5EF4-FFF2-40B4-BE49-F238E27FC236}">
              <a16:creationId xmlns:a16="http://schemas.microsoft.com/office/drawing/2014/main" id="{0C7E2AF0-751E-4FB5-9887-AB97AC4262A5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2071" name="Line 4">
          <a:extLst>
            <a:ext uri="{FF2B5EF4-FFF2-40B4-BE49-F238E27FC236}">
              <a16:creationId xmlns:a16="http://schemas.microsoft.com/office/drawing/2014/main" id="{B0703EBC-99FC-4372-882A-19F069A91232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2072" name="Line 5">
          <a:extLst>
            <a:ext uri="{FF2B5EF4-FFF2-40B4-BE49-F238E27FC236}">
              <a16:creationId xmlns:a16="http://schemas.microsoft.com/office/drawing/2014/main" id="{72D059C4-5CC3-4B28-916A-4E8CC400634E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737</xdr:row>
      <xdr:rowOff>0</xdr:rowOff>
    </xdr:from>
    <xdr:to>
      <xdr:col>8</xdr:col>
      <xdr:colOff>180975</xdr:colOff>
      <xdr:row>737</xdr:row>
      <xdr:rowOff>0</xdr:rowOff>
    </xdr:to>
    <xdr:sp macro="" textlink="">
      <xdr:nvSpPr>
        <xdr:cNvPr id="2073" name="Line 7">
          <a:extLst>
            <a:ext uri="{FF2B5EF4-FFF2-40B4-BE49-F238E27FC236}">
              <a16:creationId xmlns:a16="http://schemas.microsoft.com/office/drawing/2014/main" id="{C2ACFD26-F37C-4D11-A4F6-113E9ED6F28A}"/>
            </a:ext>
          </a:extLst>
        </xdr:cNvPr>
        <xdr:cNvSpPr>
          <a:spLocks noChangeShapeType="1"/>
        </xdr:cNvSpPr>
      </xdr:nvSpPr>
      <xdr:spPr bwMode="auto">
        <a:xfrm>
          <a:off x="532447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74" name="Line 2">
          <a:extLst>
            <a:ext uri="{FF2B5EF4-FFF2-40B4-BE49-F238E27FC236}">
              <a16:creationId xmlns:a16="http://schemas.microsoft.com/office/drawing/2014/main" id="{5335214E-BDA4-41EC-AF76-404E7E99E577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75" name="Line 3">
          <a:extLst>
            <a:ext uri="{FF2B5EF4-FFF2-40B4-BE49-F238E27FC236}">
              <a16:creationId xmlns:a16="http://schemas.microsoft.com/office/drawing/2014/main" id="{5AA352A6-AB75-4397-ABD3-C2D6F5B61CB0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76" name="Line 4">
          <a:extLst>
            <a:ext uri="{FF2B5EF4-FFF2-40B4-BE49-F238E27FC236}">
              <a16:creationId xmlns:a16="http://schemas.microsoft.com/office/drawing/2014/main" id="{8D275612-8AFE-48C4-B34D-245789891879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716</xdr:row>
      <xdr:rowOff>0</xdr:rowOff>
    </xdr:from>
    <xdr:to>
      <xdr:col>8</xdr:col>
      <xdr:colOff>180975</xdr:colOff>
      <xdr:row>716</xdr:row>
      <xdr:rowOff>0</xdr:rowOff>
    </xdr:to>
    <xdr:sp macro="" textlink="">
      <xdr:nvSpPr>
        <xdr:cNvPr id="2077" name="Line 5">
          <a:extLst>
            <a:ext uri="{FF2B5EF4-FFF2-40B4-BE49-F238E27FC236}">
              <a16:creationId xmlns:a16="http://schemas.microsoft.com/office/drawing/2014/main" id="{B944830C-7DFF-4CAD-B4FC-887CC37B4688}"/>
            </a:ext>
          </a:extLst>
        </xdr:cNvPr>
        <xdr:cNvSpPr>
          <a:spLocks noChangeShapeType="1"/>
        </xdr:cNvSpPr>
      </xdr:nvSpPr>
      <xdr:spPr bwMode="auto">
        <a:xfrm>
          <a:off x="5324475" y="103298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78" name="Line 2">
          <a:extLst>
            <a:ext uri="{FF2B5EF4-FFF2-40B4-BE49-F238E27FC236}">
              <a16:creationId xmlns:a16="http://schemas.microsoft.com/office/drawing/2014/main" id="{38719D6C-23F7-4B21-9D32-3847F78C8AB9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709</xdr:row>
      <xdr:rowOff>0</xdr:rowOff>
    </xdr:from>
    <xdr:to>
      <xdr:col>8</xdr:col>
      <xdr:colOff>180975</xdr:colOff>
      <xdr:row>709</xdr:row>
      <xdr:rowOff>0</xdr:rowOff>
    </xdr:to>
    <xdr:sp macro="" textlink="">
      <xdr:nvSpPr>
        <xdr:cNvPr id="2079" name="Line 3">
          <a:extLst>
            <a:ext uri="{FF2B5EF4-FFF2-40B4-BE49-F238E27FC236}">
              <a16:creationId xmlns:a16="http://schemas.microsoft.com/office/drawing/2014/main" id="{7E7CA7A2-95CC-44FA-888D-27F7D049DA82}"/>
            </a:ext>
          </a:extLst>
        </xdr:cNvPr>
        <xdr:cNvSpPr>
          <a:spLocks noChangeShapeType="1"/>
        </xdr:cNvSpPr>
      </xdr:nvSpPr>
      <xdr:spPr bwMode="auto">
        <a:xfrm>
          <a:off x="5324475" y="10229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711</xdr:row>
      <xdr:rowOff>0</xdr:rowOff>
    </xdr:from>
    <xdr:to>
      <xdr:col>8</xdr:col>
      <xdr:colOff>180975</xdr:colOff>
      <xdr:row>711</xdr:row>
      <xdr:rowOff>0</xdr:rowOff>
    </xdr:to>
    <xdr:sp macro="" textlink="">
      <xdr:nvSpPr>
        <xdr:cNvPr id="2080" name="Line 4">
          <a:extLst>
            <a:ext uri="{FF2B5EF4-FFF2-40B4-BE49-F238E27FC236}">
              <a16:creationId xmlns:a16="http://schemas.microsoft.com/office/drawing/2014/main" id="{DC0B55B3-B95D-4621-8EFE-BB30B2EE6544}"/>
            </a:ext>
          </a:extLst>
        </xdr:cNvPr>
        <xdr:cNvSpPr>
          <a:spLocks noChangeShapeType="1"/>
        </xdr:cNvSpPr>
      </xdr:nvSpPr>
      <xdr:spPr bwMode="auto">
        <a:xfrm>
          <a:off x="5324475" y="10258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2081" name="Line 2">
          <a:extLst>
            <a:ext uri="{FF2B5EF4-FFF2-40B4-BE49-F238E27FC236}">
              <a16:creationId xmlns:a16="http://schemas.microsoft.com/office/drawing/2014/main" id="{083884F0-59C8-4E5C-B825-28493631852C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2082" name="Line 3">
          <a:extLst>
            <a:ext uri="{FF2B5EF4-FFF2-40B4-BE49-F238E27FC236}">
              <a16:creationId xmlns:a16="http://schemas.microsoft.com/office/drawing/2014/main" id="{8ECE2CED-AA9F-446A-AE0C-50818145AEE8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712</xdr:row>
      <xdr:rowOff>0</xdr:rowOff>
    </xdr:from>
    <xdr:to>
      <xdr:col>8</xdr:col>
      <xdr:colOff>180975</xdr:colOff>
      <xdr:row>712</xdr:row>
      <xdr:rowOff>0</xdr:rowOff>
    </xdr:to>
    <xdr:sp macro="" textlink="">
      <xdr:nvSpPr>
        <xdr:cNvPr id="2083" name="Line 4">
          <a:extLst>
            <a:ext uri="{FF2B5EF4-FFF2-40B4-BE49-F238E27FC236}">
              <a16:creationId xmlns:a16="http://schemas.microsoft.com/office/drawing/2014/main" id="{5D79CE14-3F31-45C0-ADAD-F554BC061776}"/>
            </a:ext>
          </a:extLst>
        </xdr:cNvPr>
        <xdr:cNvSpPr>
          <a:spLocks noChangeShapeType="1"/>
        </xdr:cNvSpPr>
      </xdr:nvSpPr>
      <xdr:spPr bwMode="auto">
        <a:xfrm>
          <a:off x="5324475" y="102727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2084" name="Line 2">
          <a:extLst>
            <a:ext uri="{FF2B5EF4-FFF2-40B4-BE49-F238E27FC236}">
              <a16:creationId xmlns:a16="http://schemas.microsoft.com/office/drawing/2014/main" id="{3C9A5497-AC0B-423B-82EF-F0E7110CD480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710</xdr:row>
      <xdr:rowOff>0</xdr:rowOff>
    </xdr:from>
    <xdr:to>
      <xdr:col>8</xdr:col>
      <xdr:colOff>180975</xdr:colOff>
      <xdr:row>710</xdr:row>
      <xdr:rowOff>0</xdr:rowOff>
    </xdr:to>
    <xdr:sp macro="" textlink="">
      <xdr:nvSpPr>
        <xdr:cNvPr id="2085" name="Line 3">
          <a:extLst>
            <a:ext uri="{FF2B5EF4-FFF2-40B4-BE49-F238E27FC236}">
              <a16:creationId xmlns:a16="http://schemas.microsoft.com/office/drawing/2014/main" id="{1A742B60-D3A5-4A41-BC8F-A8775EB88355}"/>
            </a:ext>
          </a:extLst>
        </xdr:cNvPr>
        <xdr:cNvSpPr>
          <a:spLocks noChangeShapeType="1"/>
        </xdr:cNvSpPr>
      </xdr:nvSpPr>
      <xdr:spPr bwMode="auto">
        <a:xfrm>
          <a:off x="5324475" y="10244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715</xdr:row>
      <xdr:rowOff>0</xdr:rowOff>
    </xdr:from>
    <xdr:to>
      <xdr:col>8</xdr:col>
      <xdr:colOff>180975</xdr:colOff>
      <xdr:row>715</xdr:row>
      <xdr:rowOff>0</xdr:rowOff>
    </xdr:to>
    <xdr:sp macro="" textlink="">
      <xdr:nvSpPr>
        <xdr:cNvPr id="2086" name="Line 4">
          <a:extLst>
            <a:ext uri="{FF2B5EF4-FFF2-40B4-BE49-F238E27FC236}">
              <a16:creationId xmlns:a16="http://schemas.microsoft.com/office/drawing/2014/main" id="{A7709D28-745B-4B03-B483-B5AE6609F5D7}"/>
            </a:ext>
          </a:extLst>
        </xdr:cNvPr>
        <xdr:cNvSpPr>
          <a:spLocks noChangeShapeType="1"/>
        </xdr:cNvSpPr>
      </xdr:nvSpPr>
      <xdr:spPr bwMode="auto">
        <a:xfrm>
          <a:off x="5324475" y="103155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116</xdr:row>
      <xdr:rowOff>0</xdr:rowOff>
    </xdr:from>
    <xdr:to>
      <xdr:col>8</xdr:col>
      <xdr:colOff>180975</xdr:colOff>
      <xdr:row>116</xdr:row>
      <xdr:rowOff>0</xdr:rowOff>
    </xdr:to>
    <xdr:sp macro="" textlink="">
      <xdr:nvSpPr>
        <xdr:cNvPr id="2087" name="Line 2">
          <a:extLst>
            <a:ext uri="{FF2B5EF4-FFF2-40B4-BE49-F238E27FC236}">
              <a16:creationId xmlns:a16="http://schemas.microsoft.com/office/drawing/2014/main" id="{BC816B11-24CB-4CFF-BED2-3207AE9D013E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116</xdr:row>
      <xdr:rowOff>0</xdr:rowOff>
    </xdr:from>
    <xdr:to>
      <xdr:col>8</xdr:col>
      <xdr:colOff>180975</xdr:colOff>
      <xdr:row>116</xdr:row>
      <xdr:rowOff>0</xdr:rowOff>
    </xdr:to>
    <xdr:sp macro="" textlink="">
      <xdr:nvSpPr>
        <xdr:cNvPr id="2088" name="Line 2">
          <a:extLst>
            <a:ext uri="{FF2B5EF4-FFF2-40B4-BE49-F238E27FC236}">
              <a16:creationId xmlns:a16="http://schemas.microsoft.com/office/drawing/2014/main" id="{A25CD8E1-CFC9-4A39-A2EF-49F23A8C5613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116</xdr:row>
      <xdr:rowOff>0</xdr:rowOff>
    </xdr:from>
    <xdr:to>
      <xdr:col>8</xdr:col>
      <xdr:colOff>180975</xdr:colOff>
      <xdr:row>116</xdr:row>
      <xdr:rowOff>0</xdr:rowOff>
    </xdr:to>
    <xdr:sp macro="" textlink="">
      <xdr:nvSpPr>
        <xdr:cNvPr id="2089" name="Line 2">
          <a:extLst>
            <a:ext uri="{FF2B5EF4-FFF2-40B4-BE49-F238E27FC236}">
              <a16:creationId xmlns:a16="http://schemas.microsoft.com/office/drawing/2014/main" id="{BC970D73-9ED0-45DF-8D0B-D58104E9B817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116</xdr:row>
      <xdr:rowOff>0</xdr:rowOff>
    </xdr:from>
    <xdr:to>
      <xdr:col>8</xdr:col>
      <xdr:colOff>180975</xdr:colOff>
      <xdr:row>116</xdr:row>
      <xdr:rowOff>0</xdr:rowOff>
    </xdr:to>
    <xdr:sp macro="" textlink="">
      <xdr:nvSpPr>
        <xdr:cNvPr id="2090" name="Line 2">
          <a:extLst>
            <a:ext uri="{FF2B5EF4-FFF2-40B4-BE49-F238E27FC236}">
              <a16:creationId xmlns:a16="http://schemas.microsoft.com/office/drawing/2014/main" id="{C4DF1EC2-C1C1-4316-951A-8567879063A6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116</xdr:row>
      <xdr:rowOff>0</xdr:rowOff>
    </xdr:from>
    <xdr:to>
      <xdr:col>8</xdr:col>
      <xdr:colOff>180975</xdr:colOff>
      <xdr:row>116</xdr:row>
      <xdr:rowOff>0</xdr:rowOff>
    </xdr:to>
    <xdr:sp macro="" textlink="">
      <xdr:nvSpPr>
        <xdr:cNvPr id="2091" name="Line 2">
          <a:extLst>
            <a:ext uri="{FF2B5EF4-FFF2-40B4-BE49-F238E27FC236}">
              <a16:creationId xmlns:a16="http://schemas.microsoft.com/office/drawing/2014/main" id="{CA968D20-4781-4398-8DBC-D3D744414A3F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116</xdr:row>
      <xdr:rowOff>0</xdr:rowOff>
    </xdr:from>
    <xdr:to>
      <xdr:col>8</xdr:col>
      <xdr:colOff>180975</xdr:colOff>
      <xdr:row>116</xdr:row>
      <xdr:rowOff>0</xdr:rowOff>
    </xdr:to>
    <xdr:sp macro="" textlink="">
      <xdr:nvSpPr>
        <xdr:cNvPr id="2092" name="Line 2">
          <a:extLst>
            <a:ext uri="{FF2B5EF4-FFF2-40B4-BE49-F238E27FC236}">
              <a16:creationId xmlns:a16="http://schemas.microsoft.com/office/drawing/2014/main" id="{4EABEA3A-9AF7-474A-B426-9D271F2A898C}"/>
            </a:ext>
          </a:extLst>
        </xdr:cNvPr>
        <xdr:cNvSpPr>
          <a:spLocks noChangeShapeType="1"/>
        </xdr:cNvSpPr>
      </xdr:nvSpPr>
      <xdr:spPr bwMode="auto">
        <a:xfrm>
          <a:off x="532447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2093" name="Line 2">
          <a:extLst>
            <a:ext uri="{FF2B5EF4-FFF2-40B4-BE49-F238E27FC236}">
              <a16:creationId xmlns:a16="http://schemas.microsoft.com/office/drawing/2014/main" id="{C6C193EC-4879-4077-84FC-3ED3A008851D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2094" name="Line 2">
          <a:extLst>
            <a:ext uri="{FF2B5EF4-FFF2-40B4-BE49-F238E27FC236}">
              <a16:creationId xmlns:a16="http://schemas.microsoft.com/office/drawing/2014/main" id="{D2F06121-EAE5-4E76-B8D3-1031928BAEF4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2095" name="Line 2">
          <a:extLst>
            <a:ext uri="{FF2B5EF4-FFF2-40B4-BE49-F238E27FC236}">
              <a16:creationId xmlns:a16="http://schemas.microsoft.com/office/drawing/2014/main" id="{B81CE059-BABD-49B0-839C-B59A45719AB1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2096" name="Line 2">
          <a:extLst>
            <a:ext uri="{FF2B5EF4-FFF2-40B4-BE49-F238E27FC236}">
              <a16:creationId xmlns:a16="http://schemas.microsoft.com/office/drawing/2014/main" id="{0B660398-1415-4999-9CE4-2CEBE1BE4ECA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2097" name="Line 2">
          <a:extLst>
            <a:ext uri="{FF2B5EF4-FFF2-40B4-BE49-F238E27FC236}">
              <a16:creationId xmlns:a16="http://schemas.microsoft.com/office/drawing/2014/main" id="{534DDE14-E8E8-4EA9-93F4-28E02DE38F19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120</xdr:row>
      <xdr:rowOff>0</xdr:rowOff>
    </xdr:from>
    <xdr:to>
      <xdr:col>8</xdr:col>
      <xdr:colOff>180975</xdr:colOff>
      <xdr:row>120</xdr:row>
      <xdr:rowOff>0</xdr:rowOff>
    </xdr:to>
    <xdr:sp macro="" textlink="">
      <xdr:nvSpPr>
        <xdr:cNvPr id="2098" name="Line 2">
          <a:extLst>
            <a:ext uri="{FF2B5EF4-FFF2-40B4-BE49-F238E27FC236}">
              <a16:creationId xmlns:a16="http://schemas.microsoft.com/office/drawing/2014/main" id="{747286BE-DE9E-4CA9-85D7-D72ACE3AA959}"/>
            </a:ext>
          </a:extLst>
        </xdr:cNvPr>
        <xdr:cNvSpPr>
          <a:spLocks noChangeShapeType="1"/>
        </xdr:cNvSpPr>
      </xdr:nvSpPr>
      <xdr:spPr bwMode="auto">
        <a:xfrm>
          <a:off x="5324475" y="1706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155</xdr:row>
      <xdr:rowOff>0</xdr:rowOff>
    </xdr:from>
    <xdr:to>
      <xdr:col>8</xdr:col>
      <xdr:colOff>180975</xdr:colOff>
      <xdr:row>155</xdr:row>
      <xdr:rowOff>0</xdr:rowOff>
    </xdr:to>
    <xdr:sp macro="" textlink="">
      <xdr:nvSpPr>
        <xdr:cNvPr id="2099" name="Line 2">
          <a:extLst>
            <a:ext uri="{FF2B5EF4-FFF2-40B4-BE49-F238E27FC236}">
              <a16:creationId xmlns:a16="http://schemas.microsoft.com/office/drawing/2014/main" id="{4AD6A103-87A4-4EAE-9F43-312C78734B58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155</xdr:row>
      <xdr:rowOff>0</xdr:rowOff>
    </xdr:from>
    <xdr:to>
      <xdr:col>8</xdr:col>
      <xdr:colOff>180975</xdr:colOff>
      <xdr:row>155</xdr:row>
      <xdr:rowOff>0</xdr:rowOff>
    </xdr:to>
    <xdr:sp macro="" textlink="">
      <xdr:nvSpPr>
        <xdr:cNvPr id="2100" name="Line 2">
          <a:extLst>
            <a:ext uri="{FF2B5EF4-FFF2-40B4-BE49-F238E27FC236}">
              <a16:creationId xmlns:a16="http://schemas.microsoft.com/office/drawing/2014/main" id="{BB892519-46A9-45C3-A3BD-82B30B4B5C4B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155</xdr:row>
      <xdr:rowOff>0</xdr:rowOff>
    </xdr:from>
    <xdr:to>
      <xdr:col>8</xdr:col>
      <xdr:colOff>180975</xdr:colOff>
      <xdr:row>155</xdr:row>
      <xdr:rowOff>0</xdr:rowOff>
    </xdr:to>
    <xdr:sp macro="" textlink="">
      <xdr:nvSpPr>
        <xdr:cNvPr id="2101" name="Line 2">
          <a:extLst>
            <a:ext uri="{FF2B5EF4-FFF2-40B4-BE49-F238E27FC236}">
              <a16:creationId xmlns:a16="http://schemas.microsoft.com/office/drawing/2014/main" id="{3461FEF9-CEDB-4F77-A019-E8310A67B17B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155</xdr:row>
      <xdr:rowOff>0</xdr:rowOff>
    </xdr:from>
    <xdr:to>
      <xdr:col>8</xdr:col>
      <xdr:colOff>180975</xdr:colOff>
      <xdr:row>155</xdr:row>
      <xdr:rowOff>0</xdr:rowOff>
    </xdr:to>
    <xdr:sp macro="" textlink="">
      <xdr:nvSpPr>
        <xdr:cNvPr id="2102" name="Line 2">
          <a:extLst>
            <a:ext uri="{FF2B5EF4-FFF2-40B4-BE49-F238E27FC236}">
              <a16:creationId xmlns:a16="http://schemas.microsoft.com/office/drawing/2014/main" id="{51E5053A-D56A-4E29-804B-C931881A35D3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155</xdr:row>
      <xdr:rowOff>0</xdr:rowOff>
    </xdr:from>
    <xdr:to>
      <xdr:col>8</xdr:col>
      <xdr:colOff>180975</xdr:colOff>
      <xdr:row>155</xdr:row>
      <xdr:rowOff>0</xdr:rowOff>
    </xdr:to>
    <xdr:sp macro="" textlink="">
      <xdr:nvSpPr>
        <xdr:cNvPr id="2103" name="Line 2">
          <a:extLst>
            <a:ext uri="{FF2B5EF4-FFF2-40B4-BE49-F238E27FC236}">
              <a16:creationId xmlns:a16="http://schemas.microsoft.com/office/drawing/2014/main" id="{5F53C70F-062D-4384-870F-2FE915A28483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155</xdr:row>
      <xdr:rowOff>0</xdr:rowOff>
    </xdr:from>
    <xdr:to>
      <xdr:col>8</xdr:col>
      <xdr:colOff>180975</xdr:colOff>
      <xdr:row>155</xdr:row>
      <xdr:rowOff>0</xdr:rowOff>
    </xdr:to>
    <xdr:sp macro="" textlink="">
      <xdr:nvSpPr>
        <xdr:cNvPr id="2104" name="Line 2">
          <a:extLst>
            <a:ext uri="{FF2B5EF4-FFF2-40B4-BE49-F238E27FC236}">
              <a16:creationId xmlns:a16="http://schemas.microsoft.com/office/drawing/2014/main" id="{2F618A80-E31E-4072-BE5B-578D7F373518}"/>
            </a:ext>
          </a:extLst>
        </xdr:cNvPr>
        <xdr:cNvSpPr>
          <a:spLocks noChangeShapeType="1"/>
        </xdr:cNvSpPr>
      </xdr:nvSpPr>
      <xdr:spPr bwMode="auto">
        <a:xfrm>
          <a:off x="5324475" y="22174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2105" name="Line 2">
          <a:extLst>
            <a:ext uri="{FF2B5EF4-FFF2-40B4-BE49-F238E27FC236}">
              <a16:creationId xmlns:a16="http://schemas.microsoft.com/office/drawing/2014/main" id="{AB4D50EB-C515-41EC-8F19-76ABCEAD345A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2106" name="Line 2">
          <a:extLst>
            <a:ext uri="{FF2B5EF4-FFF2-40B4-BE49-F238E27FC236}">
              <a16:creationId xmlns:a16="http://schemas.microsoft.com/office/drawing/2014/main" id="{4D1D1101-2920-4A62-8E12-B59177BC79F6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2107" name="Line 2">
          <a:extLst>
            <a:ext uri="{FF2B5EF4-FFF2-40B4-BE49-F238E27FC236}">
              <a16:creationId xmlns:a16="http://schemas.microsoft.com/office/drawing/2014/main" id="{FC1E5FD5-E918-4978-89CC-FFE3691E2D3F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2108" name="Line 2">
          <a:extLst>
            <a:ext uri="{FF2B5EF4-FFF2-40B4-BE49-F238E27FC236}">
              <a16:creationId xmlns:a16="http://schemas.microsoft.com/office/drawing/2014/main" id="{0CB8E1D6-CD3F-41C1-9AB9-172BFC8C757D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2109" name="Line 2">
          <a:extLst>
            <a:ext uri="{FF2B5EF4-FFF2-40B4-BE49-F238E27FC236}">
              <a16:creationId xmlns:a16="http://schemas.microsoft.com/office/drawing/2014/main" id="{74C084BC-0D6B-4E68-8F1F-793C7F782915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159</xdr:row>
      <xdr:rowOff>0</xdr:rowOff>
    </xdr:from>
    <xdr:to>
      <xdr:col>8</xdr:col>
      <xdr:colOff>180975</xdr:colOff>
      <xdr:row>159</xdr:row>
      <xdr:rowOff>0</xdr:rowOff>
    </xdr:to>
    <xdr:sp macro="" textlink="">
      <xdr:nvSpPr>
        <xdr:cNvPr id="2110" name="Line 2">
          <a:extLst>
            <a:ext uri="{FF2B5EF4-FFF2-40B4-BE49-F238E27FC236}">
              <a16:creationId xmlns:a16="http://schemas.microsoft.com/office/drawing/2014/main" id="{86A99A25-BF59-45D7-86E1-60DD0F8F8E93}"/>
            </a:ext>
          </a:extLst>
        </xdr:cNvPr>
        <xdr:cNvSpPr>
          <a:spLocks noChangeShapeType="1"/>
        </xdr:cNvSpPr>
      </xdr:nvSpPr>
      <xdr:spPr bwMode="auto">
        <a:xfrm>
          <a:off x="5324475" y="22745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B79BB737-F439-427B-95E0-FE66EC783C18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6B790925-1CE5-43CB-8470-E66153E7C025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4" name="Line 5">
          <a:extLst>
            <a:ext uri="{FF2B5EF4-FFF2-40B4-BE49-F238E27FC236}">
              <a16:creationId xmlns:a16="http://schemas.microsoft.com/office/drawing/2014/main" id="{9D007DD6-078A-48A8-B2D0-66628EF32980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5" name="Line 3">
          <a:extLst>
            <a:ext uri="{FF2B5EF4-FFF2-40B4-BE49-F238E27FC236}">
              <a16:creationId xmlns:a16="http://schemas.microsoft.com/office/drawing/2014/main" id="{4655250C-F6D9-4B63-A706-6FFF072FD3BD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EC96A402-8B76-4624-9BAC-9E9E80CDA6B2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7" name="Line 2">
          <a:extLst>
            <a:ext uri="{FF2B5EF4-FFF2-40B4-BE49-F238E27FC236}">
              <a16:creationId xmlns:a16="http://schemas.microsoft.com/office/drawing/2014/main" id="{7DD44B39-D493-45F8-9688-4F03439224B4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8" name="Line 3">
          <a:extLst>
            <a:ext uri="{FF2B5EF4-FFF2-40B4-BE49-F238E27FC236}">
              <a16:creationId xmlns:a16="http://schemas.microsoft.com/office/drawing/2014/main" id="{55F8A50F-CEA4-4ECD-9EA4-FA1FBD4CD0FF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9" name="Line 4">
          <a:extLst>
            <a:ext uri="{FF2B5EF4-FFF2-40B4-BE49-F238E27FC236}">
              <a16:creationId xmlns:a16="http://schemas.microsoft.com/office/drawing/2014/main" id="{F7EB5135-5410-4859-98A3-61D482669166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78</xdr:row>
      <xdr:rowOff>0</xdr:rowOff>
    </xdr:from>
    <xdr:to>
      <xdr:col>8</xdr:col>
      <xdr:colOff>180975</xdr:colOff>
      <xdr:row>78</xdr:row>
      <xdr:rowOff>0</xdr:rowOff>
    </xdr:to>
    <xdr:sp macro="" textlink="">
      <xdr:nvSpPr>
        <xdr:cNvPr id="10" name="Line 5">
          <a:extLst>
            <a:ext uri="{FF2B5EF4-FFF2-40B4-BE49-F238E27FC236}">
              <a16:creationId xmlns:a16="http://schemas.microsoft.com/office/drawing/2014/main" id="{8F5BE309-7110-4EF6-9805-16D63D32EB47}"/>
            </a:ext>
          </a:extLst>
        </xdr:cNvPr>
        <xdr:cNvSpPr>
          <a:spLocks noChangeShapeType="1"/>
        </xdr:cNvSpPr>
      </xdr:nvSpPr>
      <xdr:spPr bwMode="auto">
        <a:xfrm>
          <a:off x="492442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98</xdr:row>
      <xdr:rowOff>0</xdr:rowOff>
    </xdr:from>
    <xdr:to>
      <xdr:col>8</xdr:col>
      <xdr:colOff>180975</xdr:colOff>
      <xdr:row>98</xdr:row>
      <xdr:rowOff>0</xdr:rowOff>
    </xdr:to>
    <xdr:sp macro="" textlink="">
      <xdr:nvSpPr>
        <xdr:cNvPr id="11" name="Line 7">
          <a:extLst>
            <a:ext uri="{FF2B5EF4-FFF2-40B4-BE49-F238E27FC236}">
              <a16:creationId xmlns:a16="http://schemas.microsoft.com/office/drawing/2014/main" id="{8FA2387A-3907-4536-A1DA-4A7690DDA9BA}"/>
            </a:ext>
          </a:extLst>
        </xdr:cNvPr>
        <xdr:cNvSpPr>
          <a:spLocks noChangeShapeType="1"/>
        </xdr:cNvSpPr>
      </xdr:nvSpPr>
      <xdr:spPr bwMode="auto">
        <a:xfrm>
          <a:off x="4924425" y="149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FC5E7AC-87E8-43A3-919A-351D7E07459D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14" name="Line 5">
          <a:extLst>
            <a:ext uri="{FF2B5EF4-FFF2-40B4-BE49-F238E27FC236}">
              <a16:creationId xmlns:a16="http://schemas.microsoft.com/office/drawing/2014/main" id="{28A755BA-6839-48FC-BF37-1B871201C6B0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B2D7EF8-311E-4A17-AA63-14BD2F1672D9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B8741F41-08BC-4753-AD44-42B8C3CCBD9F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17" name="Line 4">
          <a:extLst>
            <a:ext uri="{FF2B5EF4-FFF2-40B4-BE49-F238E27FC236}">
              <a16:creationId xmlns:a16="http://schemas.microsoft.com/office/drawing/2014/main" id="{AEF9B00C-8411-4E34-BD83-88593181FDF2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18" name="Line 5">
          <a:extLst>
            <a:ext uri="{FF2B5EF4-FFF2-40B4-BE49-F238E27FC236}">
              <a16:creationId xmlns:a16="http://schemas.microsoft.com/office/drawing/2014/main" id="{669703DF-1C08-4143-BEB2-957C3333072A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20" name="Line 2">
          <a:extLst>
            <a:ext uri="{FF2B5EF4-FFF2-40B4-BE49-F238E27FC236}">
              <a16:creationId xmlns:a16="http://schemas.microsoft.com/office/drawing/2014/main" id="{2F451B1D-6C33-4B32-8551-48A6D1D7D0B3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21" name="Line 3">
          <a:extLst>
            <a:ext uri="{FF2B5EF4-FFF2-40B4-BE49-F238E27FC236}">
              <a16:creationId xmlns:a16="http://schemas.microsoft.com/office/drawing/2014/main" id="{37D71DD1-26F3-4D4E-943C-12F7E393B043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22" name="Line 4">
          <a:extLst>
            <a:ext uri="{FF2B5EF4-FFF2-40B4-BE49-F238E27FC236}">
              <a16:creationId xmlns:a16="http://schemas.microsoft.com/office/drawing/2014/main" id="{674B1F73-BFCD-4221-9767-E5256563055D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23" name="Line 5">
          <a:extLst>
            <a:ext uri="{FF2B5EF4-FFF2-40B4-BE49-F238E27FC236}">
              <a16:creationId xmlns:a16="http://schemas.microsoft.com/office/drawing/2014/main" id="{9FA45690-B012-4E5A-90D6-4F946E966426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F483E4E9-BCCC-4152-B524-1DEC9DF0A7C9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249EEFF-26CD-4555-A836-F4D4217760C8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6" name="Line 5">
          <a:extLst>
            <a:ext uri="{FF2B5EF4-FFF2-40B4-BE49-F238E27FC236}">
              <a16:creationId xmlns:a16="http://schemas.microsoft.com/office/drawing/2014/main" id="{1825DC77-9DC2-4BA8-BA0A-095E6B3B2285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3AA3337B-DE87-446E-97F9-7FFC016A73CA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3157ADB-1F7E-49FD-9F0E-9DDE7D58CC82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9" name="Line 4">
          <a:extLst>
            <a:ext uri="{FF2B5EF4-FFF2-40B4-BE49-F238E27FC236}">
              <a16:creationId xmlns:a16="http://schemas.microsoft.com/office/drawing/2014/main" id="{0541D0E2-E30B-4926-8D2B-BCADAED3565A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30" name="Line 5">
          <a:extLst>
            <a:ext uri="{FF2B5EF4-FFF2-40B4-BE49-F238E27FC236}">
              <a16:creationId xmlns:a16="http://schemas.microsoft.com/office/drawing/2014/main" id="{FD402415-6273-44B3-B066-FD79B380A94F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31" name="Line 7">
          <a:extLst>
            <a:ext uri="{FF2B5EF4-FFF2-40B4-BE49-F238E27FC236}">
              <a16:creationId xmlns:a16="http://schemas.microsoft.com/office/drawing/2014/main" id="{90BA1483-D349-4215-9D82-4F8EA46B89BF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E381AF4D-0F9F-4AFB-9270-6EEA185D1969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33" name="Line 3">
          <a:extLst>
            <a:ext uri="{FF2B5EF4-FFF2-40B4-BE49-F238E27FC236}">
              <a16:creationId xmlns:a16="http://schemas.microsoft.com/office/drawing/2014/main" id="{19E29C20-A644-40F3-88C1-3322CF425E83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34" name="Line 4">
          <a:extLst>
            <a:ext uri="{FF2B5EF4-FFF2-40B4-BE49-F238E27FC236}">
              <a16:creationId xmlns:a16="http://schemas.microsoft.com/office/drawing/2014/main" id="{F86B2F66-56F5-4866-B21A-C627B32582BB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35" name="Line 5">
          <a:extLst>
            <a:ext uri="{FF2B5EF4-FFF2-40B4-BE49-F238E27FC236}">
              <a16:creationId xmlns:a16="http://schemas.microsoft.com/office/drawing/2014/main" id="{A4E8C5DF-9CB3-420D-A02F-BCBB5871DE46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F4F7E90C-69A8-44C3-AE63-A6B80B6B06D3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FFC05EC-3612-408B-84F8-34F2278B59C8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38" name="Line 4">
          <a:extLst>
            <a:ext uri="{FF2B5EF4-FFF2-40B4-BE49-F238E27FC236}">
              <a16:creationId xmlns:a16="http://schemas.microsoft.com/office/drawing/2014/main" id="{0327796E-8CAC-4F9A-9148-E2E7ADB8D18B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40" name="Line 7">
          <a:extLst>
            <a:ext uri="{FF2B5EF4-FFF2-40B4-BE49-F238E27FC236}">
              <a16:creationId xmlns:a16="http://schemas.microsoft.com/office/drawing/2014/main" id="{BD1D5C1F-35F5-4235-8C8F-3A4E91CDD17B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41" name="Line 8">
          <a:extLst>
            <a:ext uri="{FF2B5EF4-FFF2-40B4-BE49-F238E27FC236}">
              <a16:creationId xmlns:a16="http://schemas.microsoft.com/office/drawing/2014/main" id="{2F44FB03-776D-49E2-9D16-CBE846C546BB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42" name="Rectangle 7">
          <a:extLst>
            <a:ext uri="{FF2B5EF4-FFF2-40B4-BE49-F238E27FC236}">
              <a16:creationId xmlns:a16="http://schemas.microsoft.com/office/drawing/2014/main" id="{B65C048F-4513-4B9D-93B7-966140757E68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43" name="Rectangle 8">
          <a:extLst>
            <a:ext uri="{FF2B5EF4-FFF2-40B4-BE49-F238E27FC236}">
              <a16:creationId xmlns:a16="http://schemas.microsoft.com/office/drawing/2014/main" id="{CE99C7B2-9DCA-4154-B15C-5FDB4979DDBC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44" name="Line 2">
          <a:extLst>
            <a:ext uri="{FF2B5EF4-FFF2-40B4-BE49-F238E27FC236}">
              <a16:creationId xmlns:a16="http://schemas.microsoft.com/office/drawing/2014/main" id="{5510DC92-239E-4CFA-AE62-CC63796F571D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45" name="Line 3">
          <a:extLst>
            <a:ext uri="{FF2B5EF4-FFF2-40B4-BE49-F238E27FC236}">
              <a16:creationId xmlns:a16="http://schemas.microsoft.com/office/drawing/2014/main" id="{ED359747-D1B3-4C65-9FEC-174684610EE1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46" name="Line 5">
          <a:extLst>
            <a:ext uri="{FF2B5EF4-FFF2-40B4-BE49-F238E27FC236}">
              <a16:creationId xmlns:a16="http://schemas.microsoft.com/office/drawing/2014/main" id="{CC2F6D6E-F257-4416-BF67-41BA794541D2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47" name="Line 2">
          <a:extLst>
            <a:ext uri="{FF2B5EF4-FFF2-40B4-BE49-F238E27FC236}">
              <a16:creationId xmlns:a16="http://schemas.microsoft.com/office/drawing/2014/main" id="{94E038D5-8DFD-492E-BCC4-E5BA0471E1FF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48" name="Line 3">
          <a:extLst>
            <a:ext uri="{FF2B5EF4-FFF2-40B4-BE49-F238E27FC236}">
              <a16:creationId xmlns:a16="http://schemas.microsoft.com/office/drawing/2014/main" id="{A5021638-3DEF-4B18-B851-09B4F66AF56B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49" name="Line 4">
          <a:extLst>
            <a:ext uri="{FF2B5EF4-FFF2-40B4-BE49-F238E27FC236}">
              <a16:creationId xmlns:a16="http://schemas.microsoft.com/office/drawing/2014/main" id="{6440C1B6-13E3-432C-A86C-517747D48FD2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50" name="Line 5">
          <a:extLst>
            <a:ext uri="{FF2B5EF4-FFF2-40B4-BE49-F238E27FC236}">
              <a16:creationId xmlns:a16="http://schemas.microsoft.com/office/drawing/2014/main" id="{016A65A4-9223-4AAF-9AE5-5450DFE1EC3F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51" name="Line 7">
          <a:extLst>
            <a:ext uri="{FF2B5EF4-FFF2-40B4-BE49-F238E27FC236}">
              <a16:creationId xmlns:a16="http://schemas.microsoft.com/office/drawing/2014/main" id="{C5A927AA-0C5E-4B91-8A05-3FF9B087F26C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2" name="Line 2">
          <a:extLst>
            <a:ext uri="{FF2B5EF4-FFF2-40B4-BE49-F238E27FC236}">
              <a16:creationId xmlns:a16="http://schemas.microsoft.com/office/drawing/2014/main" id="{B52AF5E4-C64C-4C67-A554-AB872FC64639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3" name="Line 3">
          <a:extLst>
            <a:ext uri="{FF2B5EF4-FFF2-40B4-BE49-F238E27FC236}">
              <a16:creationId xmlns:a16="http://schemas.microsoft.com/office/drawing/2014/main" id="{6B09D358-D0F8-464B-BD55-81D614B4B5AB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4" name="Line 4">
          <a:extLst>
            <a:ext uri="{FF2B5EF4-FFF2-40B4-BE49-F238E27FC236}">
              <a16:creationId xmlns:a16="http://schemas.microsoft.com/office/drawing/2014/main" id="{03D3AEA9-FDBF-4567-BB64-4A6FD5C8AE10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55" name="Line 5">
          <a:extLst>
            <a:ext uri="{FF2B5EF4-FFF2-40B4-BE49-F238E27FC236}">
              <a16:creationId xmlns:a16="http://schemas.microsoft.com/office/drawing/2014/main" id="{AE636869-5FF4-491B-B0A8-35F3C500528B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56" name="Line 2">
          <a:extLst>
            <a:ext uri="{FF2B5EF4-FFF2-40B4-BE49-F238E27FC236}">
              <a16:creationId xmlns:a16="http://schemas.microsoft.com/office/drawing/2014/main" id="{41B7E9DF-A79A-495A-833D-E28C7B306650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57" name="Line 3">
          <a:extLst>
            <a:ext uri="{FF2B5EF4-FFF2-40B4-BE49-F238E27FC236}">
              <a16:creationId xmlns:a16="http://schemas.microsoft.com/office/drawing/2014/main" id="{F127A15A-6071-4945-A290-2110F9F3CA85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58" name="Line 4">
          <a:extLst>
            <a:ext uri="{FF2B5EF4-FFF2-40B4-BE49-F238E27FC236}">
              <a16:creationId xmlns:a16="http://schemas.microsoft.com/office/drawing/2014/main" id="{9E632684-02AA-483D-BDB5-9166981BB022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60" name="Line 7">
          <a:extLst>
            <a:ext uri="{FF2B5EF4-FFF2-40B4-BE49-F238E27FC236}">
              <a16:creationId xmlns:a16="http://schemas.microsoft.com/office/drawing/2014/main" id="{347A462F-2D9B-432B-8451-54620EED4334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61" name="Line 8">
          <a:extLst>
            <a:ext uri="{FF2B5EF4-FFF2-40B4-BE49-F238E27FC236}">
              <a16:creationId xmlns:a16="http://schemas.microsoft.com/office/drawing/2014/main" id="{DF682713-240C-41BA-AE3E-1ED33BC8442D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62" name="Rectangle 7">
          <a:extLst>
            <a:ext uri="{FF2B5EF4-FFF2-40B4-BE49-F238E27FC236}">
              <a16:creationId xmlns:a16="http://schemas.microsoft.com/office/drawing/2014/main" id="{3464A7A1-44D6-443C-9B46-60EA8B8C404F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63" name="Rectangle 8">
          <a:extLst>
            <a:ext uri="{FF2B5EF4-FFF2-40B4-BE49-F238E27FC236}">
              <a16:creationId xmlns:a16="http://schemas.microsoft.com/office/drawing/2014/main" id="{5E516FD3-933B-4B4D-B85B-E42DC1BF690C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33A6620A-812C-4979-9377-C3918D19AB61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65" name="Line 5">
          <a:extLst>
            <a:ext uri="{FF2B5EF4-FFF2-40B4-BE49-F238E27FC236}">
              <a16:creationId xmlns:a16="http://schemas.microsoft.com/office/drawing/2014/main" id="{DD11EA21-CB7C-4549-898B-3255C21840C7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9C6C77B-1829-4838-8612-524987AA5BB8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67E7C04A-33E6-4C38-863A-A792A7585D9B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68" name="Line 4">
          <a:extLst>
            <a:ext uri="{FF2B5EF4-FFF2-40B4-BE49-F238E27FC236}">
              <a16:creationId xmlns:a16="http://schemas.microsoft.com/office/drawing/2014/main" id="{F5249210-5E6D-46C9-9089-F4AC58BFCD1D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69" name="Line 5">
          <a:extLst>
            <a:ext uri="{FF2B5EF4-FFF2-40B4-BE49-F238E27FC236}">
              <a16:creationId xmlns:a16="http://schemas.microsoft.com/office/drawing/2014/main" id="{69A99BD1-0992-4EC3-8B20-F6322097B8D9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1" name="Line 2">
          <a:extLst>
            <a:ext uri="{FF2B5EF4-FFF2-40B4-BE49-F238E27FC236}">
              <a16:creationId xmlns:a16="http://schemas.microsoft.com/office/drawing/2014/main" id="{74953136-66D8-43F4-80CD-4CCF827F7548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2" name="Line 3">
          <a:extLst>
            <a:ext uri="{FF2B5EF4-FFF2-40B4-BE49-F238E27FC236}">
              <a16:creationId xmlns:a16="http://schemas.microsoft.com/office/drawing/2014/main" id="{9B9AC6DD-5DD8-4560-89FA-2312F71BD46C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3" name="Line 4">
          <a:extLst>
            <a:ext uri="{FF2B5EF4-FFF2-40B4-BE49-F238E27FC236}">
              <a16:creationId xmlns:a16="http://schemas.microsoft.com/office/drawing/2014/main" id="{26978107-E7A5-48D4-8F0F-E1B6EC6D5FE3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74" name="Line 5">
          <a:extLst>
            <a:ext uri="{FF2B5EF4-FFF2-40B4-BE49-F238E27FC236}">
              <a16:creationId xmlns:a16="http://schemas.microsoft.com/office/drawing/2014/main" id="{D2AB2B44-E9D3-468D-969D-1785F5A3331C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D670F85-AB3E-4979-A6FA-463EAF292D86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A34E391E-C330-4A1A-82DB-0F5816528D62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77" name="Line 4">
          <a:extLst>
            <a:ext uri="{FF2B5EF4-FFF2-40B4-BE49-F238E27FC236}">
              <a16:creationId xmlns:a16="http://schemas.microsoft.com/office/drawing/2014/main" id="{AB453271-0F67-4041-84C6-232289FAA980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342</xdr:row>
      <xdr:rowOff>0</xdr:rowOff>
    </xdr:from>
    <xdr:to>
      <xdr:col>8</xdr:col>
      <xdr:colOff>180975</xdr:colOff>
      <xdr:row>342</xdr:row>
      <xdr:rowOff>0</xdr:rowOff>
    </xdr:to>
    <xdr:sp macro="" textlink="">
      <xdr:nvSpPr>
        <xdr:cNvPr id="79" name="Line 7">
          <a:extLst>
            <a:ext uri="{FF2B5EF4-FFF2-40B4-BE49-F238E27FC236}">
              <a16:creationId xmlns:a16="http://schemas.microsoft.com/office/drawing/2014/main" id="{FCD12BC5-0E56-4746-A04F-DC1966BD5CE9}"/>
            </a:ext>
          </a:extLst>
        </xdr:cNvPr>
        <xdr:cNvSpPr>
          <a:spLocks noChangeShapeType="1"/>
        </xdr:cNvSpPr>
      </xdr:nvSpPr>
      <xdr:spPr bwMode="auto">
        <a:xfrm>
          <a:off x="4924425" y="571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80" name="Line 3">
          <a:extLst>
            <a:ext uri="{FF2B5EF4-FFF2-40B4-BE49-F238E27FC236}">
              <a16:creationId xmlns:a16="http://schemas.microsoft.com/office/drawing/2014/main" id="{A2C60F11-1873-46E7-B5EB-B34147204EB0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81" name="Line 5">
          <a:extLst>
            <a:ext uri="{FF2B5EF4-FFF2-40B4-BE49-F238E27FC236}">
              <a16:creationId xmlns:a16="http://schemas.microsoft.com/office/drawing/2014/main" id="{89051B88-877E-4BA1-9CB1-65AAFCA27A05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82" name="Line 2">
          <a:extLst>
            <a:ext uri="{FF2B5EF4-FFF2-40B4-BE49-F238E27FC236}">
              <a16:creationId xmlns:a16="http://schemas.microsoft.com/office/drawing/2014/main" id="{F277EEE2-AAC9-4C03-9E53-4414D7CF1864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83" name="Line 3">
          <a:extLst>
            <a:ext uri="{FF2B5EF4-FFF2-40B4-BE49-F238E27FC236}">
              <a16:creationId xmlns:a16="http://schemas.microsoft.com/office/drawing/2014/main" id="{93F734CC-714C-4232-8378-FF54E5093B2C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84" name="Line 4">
          <a:extLst>
            <a:ext uri="{FF2B5EF4-FFF2-40B4-BE49-F238E27FC236}">
              <a16:creationId xmlns:a16="http://schemas.microsoft.com/office/drawing/2014/main" id="{A43C67D5-3C3F-4721-AB61-9EB55132C139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85" name="Line 5">
          <a:extLst>
            <a:ext uri="{FF2B5EF4-FFF2-40B4-BE49-F238E27FC236}">
              <a16:creationId xmlns:a16="http://schemas.microsoft.com/office/drawing/2014/main" id="{F20D8DCE-8424-4E03-865F-B1A5CBDFE826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86" name="Line 7">
          <a:extLst>
            <a:ext uri="{FF2B5EF4-FFF2-40B4-BE49-F238E27FC236}">
              <a16:creationId xmlns:a16="http://schemas.microsoft.com/office/drawing/2014/main" id="{CCACBA21-3EBC-481B-AB55-03B02375492D}"/>
            </a:ext>
          </a:extLst>
        </xdr:cNvPr>
        <xdr:cNvSpPr>
          <a:spLocks noChangeShapeType="1"/>
        </xdr:cNvSpPr>
      </xdr:nvSpPr>
      <xdr:spPr bwMode="auto">
        <a:xfrm>
          <a:off x="4924425" y="69942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570BFAA-F647-4313-A89B-B3A114620F7C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1AB7AC6-5598-4335-BACB-FCF6E5B0D594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89" name="Line 4">
          <a:extLst>
            <a:ext uri="{FF2B5EF4-FFF2-40B4-BE49-F238E27FC236}">
              <a16:creationId xmlns:a16="http://schemas.microsoft.com/office/drawing/2014/main" id="{80C61461-61BC-4943-9473-83892835153C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90" name="Line 5">
          <a:extLst>
            <a:ext uri="{FF2B5EF4-FFF2-40B4-BE49-F238E27FC236}">
              <a16:creationId xmlns:a16="http://schemas.microsoft.com/office/drawing/2014/main" id="{2A4A84A2-FF99-45E2-9028-35406ADD8E25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1" name="Line 2">
          <a:extLst>
            <a:ext uri="{FF2B5EF4-FFF2-40B4-BE49-F238E27FC236}">
              <a16:creationId xmlns:a16="http://schemas.microsoft.com/office/drawing/2014/main" id="{40FEEDF6-8211-4FE7-B1E1-365C46BEC570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2" name="Line 3">
          <a:extLst>
            <a:ext uri="{FF2B5EF4-FFF2-40B4-BE49-F238E27FC236}">
              <a16:creationId xmlns:a16="http://schemas.microsoft.com/office/drawing/2014/main" id="{E82A9D2E-0AF5-43D4-A47E-1F4068F66688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93" name="Line 4">
          <a:extLst>
            <a:ext uri="{FF2B5EF4-FFF2-40B4-BE49-F238E27FC236}">
              <a16:creationId xmlns:a16="http://schemas.microsoft.com/office/drawing/2014/main" id="{1F155FD7-FDEE-4CF4-924C-88289C1C80E2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94" name="Line 5">
          <a:extLst>
            <a:ext uri="{FF2B5EF4-FFF2-40B4-BE49-F238E27FC236}">
              <a16:creationId xmlns:a16="http://schemas.microsoft.com/office/drawing/2014/main" id="{9A123321-3D96-4B81-AE3B-12DC9740790C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95" name="Line 7">
          <a:extLst>
            <a:ext uri="{FF2B5EF4-FFF2-40B4-BE49-F238E27FC236}">
              <a16:creationId xmlns:a16="http://schemas.microsoft.com/office/drawing/2014/main" id="{918B64C1-4D7C-49F6-BC24-C348649332BB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3E9A3373-A783-49FD-ADD0-4EDCDCBD578A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7161F05-7D3D-4BD9-9969-0129EEBF6831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376</xdr:row>
      <xdr:rowOff>0</xdr:rowOff>
    </xdr:from>
    <xdr:to>
      <xdr:col>8</xdr:col>
      <xdr:colOff>180975</xdr:colOff>
      <xdr:row>376</xdr:row>
      <xdr:rowOff>0</xdr:rowOff>
    </xdr:to>
    <xdr:sp macro="" textlink="">
      <xdr:nvSpPr>
        <xdr:cNvPr id="98" name="Line 4">
          <a:extLst>
            <a:ext uri="{FF2B5EF4-FFF2-40B4-BE49-F238E27FC236}">
              <a16:creationId xmlns:a16="http://schemas.microsoft.com/office/drawing/2014/main" id="{C8016D4E-3EAA-49AB-A0A4-43F388806875}"/>
            </a:ext>
          </a:extLst>
        </xdr:cNvPr>
        <xdr:cNvSpPr>
          <a:spLocks noChangeShapeType="1"/>
        </xdr:cNvSpPr>
      </xdr:nvSpPr>
      <xdr:spPr bwMode="auto">
        <a:xfrm>
          <a:off x="4924425" y="636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99" name="Line 3">
          <a:extLst>
            <a:ext uri="{FF2B5EF4-FFF2-40B4-BE49-F238E27FC236}">
              <a16:creationId xmlns:a16="http://schemas.microsoft.com/office/drawing/2014/main" id="{37759B08-2D3D-4A9C-A234-8E2398D1F808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100" name="Line 5">
          <a:extLst>
            <a:ext uri="{FF2B5EF4-FFF2-40B4-BE49-F238E27FC236}">
              <a16:creationId xmlns:a16="http://schemas.microsoft.com/office/drawing/2014/main" id="{42670E7E-0B50-4A07-81D6-EC6D36BF6D09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01" name="Line 2">
          <a:extLst>
            <a:ext uri="{FF2B5EF4-FFF2-40B4-BE49-F238E27FC236}">
              <a16:creationId xmlns:a16="http://schemas.microsoft.com/office/drawing/2014/main" id="{C45F2311-A8DF-4CF6-B8B6-5EB13B462A57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02" name="Line 3">
          <a:extLst>
            <a:ext uri="{FF2B5EF4-FFF2-40B4-BE49-F238E27FC236}">
              <a16:creationId xmlns:a16="http://schemas.microsoft.com/office/drawing/2014/main" id="{4149E999-ED9F-44D5-8BD9-CFE6F96D679E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03" name="Line 4">
          <a:extLst>
            <a:ext uri="{FF2B5EF4-FFF2-40B4-BE49-F238E27FC236}">
              <a16:creationId xmlns:a16="http://schemas.microsoft.com/office/drawing/2014/main" id="{2F77CCEF-1A8B-408C-B253-0B0983E63A24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104" name="Line 5">
          <a:extLst>
            <a:ext uri="{FF2B5EF4-FFF2-40B4-BE49-F238E27FC236}">
              <a16:creationId xmlns:a16="http://schemas.microsoft.com/office/drawing/2014/main" id="{5B434FC7-A6AC-43E6-8AD1-9239F67CAB46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105" name="Line 7">
          <a:extLst>
            <a:ext uri="{FF2B5EF4-FFF2-40B4-BE49-F238E27FC236}">
              <a16:creationId xmlns:a16="http://schemas.microsoft.com/office/drawing/2014/main" id="{28A1B1B5-E12C-4323-8B54-1C1FC835A6AE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109" name="Line 5">
          <a:extLst>
            <a:ext uri="{FF2B5EF4-FFF2-40B4-BE49-F238E27FC236}">
              <a16:creationId xmlns:a16="http://schemas.microsoft.com/office/drawing/2014/main" id="{B514F4C1-ADE4-455E-80A9-0B9461E89E0B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112" name="Line 4">
          <a:extLst>
            <a:ext uri="{FF2B5EF4-FFF2-40B4-BE49-F238E27FC236}">
              <a16:creationId xmlns:a16="http://schemas.microsoft.com/office/drawing/2014/main" id="{6E158CBD-E57D-4314-ADEA-E9C21B8AEA5B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13" name="Line 2">
          <a:extLst>
            <a:ext uri="{FF2B5EF4-FFF2-40B4-BE49-F238E27FC236}">
              <a16:creationId xmlns:a16="http://schemas.microsoft.com/office/drawing/2014/main" id="{53827CB7-4C7A-40B6-9568-CF8EBB1E0C06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14" name="Line 3">
          <a:extLst>
            <a:ext uri="{FF2B5EF4-FFF2-40B4-BE49-F238E27FC236}">
              <a16:creationId xmlns:a16="http://schemas.microsoft.com/office/drawing/2014/main" id="{93B5ED52-DED2-41EC-8F1C-3F572AA50C2A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115" name="Line 4">
          <a:extLst>
            <a:ext uri="{FF2B5EF4-FFF2-40B4-BE49-F238E27FC236}">
              <a16:creationId xmlns:a16="http://schemas.microsoft.com/office/drawing/2014/main" id="{F02A3591-5E02-4E18-A478-7921E4B85DFB}"/>
            </a:ext>
          </a:extLst>
        </xdr:cNvPr>
        <xdr:cNvSpPr>
          <a:spLocks noChangeShapeType="1"/>
        </xdr:cNvSpPr>
      </xdr:nvSpPr>
      <xdr:spPr bwMode="auto">
        <a:xfrm>
          <a:off x="4924425" y="86144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16" name="Line 2">
          <a:extLst>
            <a:ext uri="{FF2B5EF4-FFF2-40B4-BE49-F238E27FC236}">
              <a16:creationId xmlns:a16="http://schemas.microsoft.com/office/drawing/2014/main" id="{C9D8E7BE-E6FF-4724-BBA6-0BF325F7384E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17" name="Line 3">
          <a:extLst>
            <a:ext uri="{FF2B5EF4-FFF2-40B4-BE49-F238E27FC236}">
              <a16:creationId xmlns:a16="http://schemas.microsoft.com/office/drawing/2014/main" id="{5E39006F-0C5D-4F82-AF21-72AC29F1E6AF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489</xdr:row>
      <xdr:rowOff>0</xdr:rowOff>
    </xdr:from>
    <xdr:to>
      <xdr:col>8</xdr:col>
      <xdr:colOff>180975</xdr:colOff>
      <xdr:row>489</xdr:row>
      <xdr:rowOff>0</xdr:rowOff>
    </xdr:to>
    <xdr:sp macro="" textlink="">
      <xdr:nvSpPr>
        <xdr:cNvPr id="118" name="Line 4">
          <a:extLst>
            <a:ext uri="{FF2B5EF4-FFF2-40B4-BE49-F238E27FC236}">
              <a16:creationId xmlns:a16="http://schemas.microsoft.com/office/drawing/2014/main" id="{5D9AA6A3-9803-43BA-900A-0158ACFB3667}"/>
            </a:ext>
          </a:extLst>
        </xdr:cNvPr>
        <xdr:cNvSpPr>
          <a:spLocks noChangeShapeType="1"/>
        </xdr:cNvSpPr>
      </xdr:nvSpPr>
      <xdr:spPr bwMode="auto">
        <a:xfrm>
          <a:off x="4924425" y="86582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119" name="Line 3">
          <a:extLst>
            <a:ext uri="{FF2B5EF4-FFF2-40B4-BE49-F238E27FC236}">
              <a16:creationId xmlns:a16="http://schemas.microsoft.com/office/drawing/2014/main" id="{CAFA4078-3406-41BF-9C66-DA4DECF4C2FD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120" name="Line 5">
          <a:extLst>
            <a:ext uri="{FF2B5EF4-FFF2-40B4-BE49-F238E27FC236}">
              <a16:creationId xmlns:a16="http://schemas.microsoft.com/office/drawing/2014/main" id="{B7BA70B0-AC62-42CD-A222-A2013D05F46F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21" name="Line 2">
          <a:extLst>
            <a:ext uri="{FF2B5EF4-FFF2-40B4-BE49-F238E27FC236}">
              <a16:creationId xmlns:a16="http://schemas.microsoft.com/office/drawing/2014/main" id="{D0AC1E3B-D826-4439-9B98-D190E17C5A35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22" name="Line 3">
          <a:extLst>
            <a:ext uri="{FF2B5EF4-FFF2-40B4-BE49-F238E27FC236}">
              <a16:creationId xmlns:a16="http://schemas.microsoft.com/office/drawing/2014/main" id="{C837B233-81B6-4FBA-9C5A-E7290605E0FF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23" name="Line 4">
          <a:extLst>
            <a:ext uri="{FF2B5EF4-FFF2-40B4-BE49-F238E27FC236}">
              <a16:creationId xmlns:a16="http://schemas.microsoft.com/office/drawing/2014/main" id="{6B0034AF-E3A1-46D9-A762-B5C373484560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124" name="Line 5">
          <a:extLst>
            <a:ext uri="{FF2B5EF4-FFF2-40B4-BE49-F238E27FC236}">
              <a16:creationId xmlns:a16="http://schemas.microsoft.com/office/drawing/2014/main" id="{A399C8B3-E277-4691-BF1D-62C05041D7C9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25" name="Line 7">
          <a:extLst>
            <a:ext uri="{FF2B5EF4-FFF2-40B4-BE49-F238E27FC236}">
              <a16:creationId xmlns:a16="http://schemas.microsoft.com/office/drawing/2014/main" id="{83CB0DA2-3702-44A1-B057-69F1E901931A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B6BC2B0-59CC-4F54-8D0F-057359348BFF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A96590C-41EF-4991-9C6C-5D8110D91D38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28" name="Line 4">
          <a:extLst>
            <a:ext uri="{FF2B5EF4-FFF2-40B4-BE49-F238E27FC236}">
              <a16:creationId xmlns:a16="http://schemas.microsoft.com/office/drawing/2014/main" id="{9FA396B5-7B6C-4192-8E30-DD21A0593543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129" name="Line 5">
          <a:extLst>
            <a:ext uri="{FF2B5EF4-FFF2-40B4-BE49-F238E27FC236}">
              <a16:creationId xmlns:a16="http://schemas.microsoft.com/office/drawing/2014/main" id="{E844B412-A8C4-4859-AA1E-169D7CC822F2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30" name="Line 2">
          <a:extLst>
            <a:ext uri="{FF2B5EF4-FFF2-40B4-BE49-F238E27FC236}">
              <a16:creationId xmlns:a16="http://schemas.microsoft.com/office/drawing/2014/main" id="{0A439CC5-E85B-44D9-9F3E-AF999CB73B5A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31" name="Line 3">
          <a:extLst>
            <a:ext uri="{FF2B5EF4-FFF2-40B4-BE49-F238E27FC236}">
              <a16:creationId xmlns:a16="http://schemas.microsoft.com/office/drawing/2014/main" id="{C59D47E5-FDA1-49CE-8091-B1A77F95421C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32" name="Line 4">
          <a:extLst>
            <a:ext uri="{FF2B5EF4-FFF2-40B4-BE49-F238E27FC236}">
              <a16:creationId xmlns:a16="http://schemas.microsoft.com/office/drawing/2014/main" id="{9D470EC8-D8BE-4279-8E19-84F708F515ED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33" name="Line 2">
          <a:extLst>
            <a:ext uri="{FF2B5EF4-FFF2-40B4-BE49-F238E27FC236}">
              <a16:creationId xmlns:a16="http://schemas.microsoft.com/office/drawing/2014/main" id="{BD350D05-F1E6-4817-B2F7-DCCAF122EB6C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34" name="Line 3">
          <a:extLst>
            <a:ext uri="{FF2B5EF4-FFF2-40B4-BE49-F238E27FC236}">
              <a16:creationId xmlns:a16="http://schemas.microsoft.com/office/drawing/2014/main" id="{4A1916BF-E8D6-4463-A533-49A5982A3053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538</xdr:row>
      <xdr:rowOff>0</xdr:rowOff>
    </xdr:from>
    <xdr:to>
      <xdr:col>8</xdr:col>
      <xdr:colOff>180975</xdr:colOff>
      <xdr:row>538</xdr:row>
      <xdr:rowOff>0</xdr:rowOff>
    </xdr:to>
    <xdr:sp macro="" textlink="">
      <xdr:nvSpPr>
        <xdr:cNvPr id="135" name="Line 4">
          <a:extLst>
            <a:ext uri="{FF2B5EF4-FFF2-40B4-BE49-F238E27FC236}">
              <a16:creationId xmlns:a16="http://schemas.microsoft.com/office/drawing/2014/main" id="{7C41ECE4-5B18-4BD8-9C46-C0C5ACE9BD56}"/>
            </a:ext>
          </a:extLst>
        </xdr:cNvPr>
        <xdr:cNvSpPr>
          <a:spLocks noChangeShapeType="1"/>
        </xdr:cNvSpPr>
      </xdr:nvSpPr>
      <xdr:spPr bwMode="auto">
        <a:xfrm>
          <a:off x="4924425" y="9496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36" name="Line 2">
          <a:extLst>
            <a:ext uri="{FF2B5EF4-FFF2-40B4-BE49-F238E27FC236}">
              <a16:creationId xmlns:a16="http://schemas.microsoft.com/office/drawing/2014/main" id="{3471AEA1-FDF6-41CF-A9DA-FD7D3A43907A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37" name="Line 3">
          <a:extLst>
            <a:ext uri="{FF2B5EF4-FFF2-40B4-BE49-F238E27FC236}">
              <a16:creationId xmlns:a16="http://schemas.microsoft.com/office/drawing/2014/main" id="{F1DDAF40-1E2C-4588-83E1-69406CD9E62F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541</xdr:row>
      <xdr:rowOff>0</xdr:rowOff>
    </xdr:from>
    <xdr:to>
      <xdr:col>8</xdr:col>
      <xdr:colOff>180975</xdr:colOff>
      <xdr:row>541</xdr:row>
      <xdr:rowOff>0</xdr:rowOff>
    </xdr:to>
    <xdr:sp macro="" textlink="">
      <xdr:nvSpPr>
        <xdr:cNvPr id="138" name="Line 4">
          <a:extLst>
            <a:ext uri="{FF2B5EF4-FFF2-40B4-BE49-F238E27FC236}">
              <a16:creationId xmlns:a16="http://schemas.microsoft.com/office/drawing/2014/main" id="{94FB8C7B-EC74-4ACE-83FB-79FBF3A4EFDF}"/>
            </a:ext>
          </a:extLst>
        </xdr:cNvPr>
        <xdr:cNvSpPr>
          <a:spLocks noChangeShapeType="1"/>
        </xdr:cNvSpPr>
      </xdr:nvSpPr>
      <xdr:spPr bwMode="auto">
        <a:xfrm>
          <a:off x="4924425" y="9540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B5DE714E-BB38-4506-BFA2-70F67762113A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140" name="Line 5">
          <a:extLst>
            <a:ext uri="{FF2B5EF4-FFF2-40B4-BE49-F238E27FC236}">
              <a16:creationId xmlns:a16="http://schemas.microsoft.com/office/drawing/2014/main" id="{128F04B0-4775-4B6F-BD4A-DF35D042D8B5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76390895-20D1-4E96-A431-E24FC89568F2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E4B5E5D8-5A83-4436-9DCC-F370C2996CB0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43" name="Line 4">
          <a:extLst>
            <a:ext uri="{FF2B5EF4-FFF2-40B4-BE49-F238E27FC236}">
              <a16:creationId xmlns:a16="http://schemas.microsoft.com/office/drawing/2014/main" id="{7ACFD427-95FC-4E99-844A-A460F71A6DC7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44" name="Line 5">
          <a:extLst>
            <a:ext uri="{FF2B5EF4-FFF2-40B4-BE49-F238E27FC236}">
              <a16:creationId xmlns:a16="http://schemas.microsoft.com/office/drawing/2014/main" id="{A7008EDD-6FD6-43A3-9DF2-CEA0EB0B3ED6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45" name="Line 7">
          <a:extLst>
            <a:ext uri="{FF2B5EF4-FFF2-40B4-BE49-F238E27FC236}">
              <a16:creationId xmlns:a16="http://schemas.microsoft.com/office/drawing/2014/main" id="{19369739-EE1D-4744-8CC1-508DA91B94DC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49" name="Line 5">
          <a:extLst>
            <a:ext uri="{FF2B5EF4-FFF2-40B4-BE49-F238E27FC236}">
              <a16:creationId xmlns:a16="http://schemas.microsoft.com/office/drawing/2014/main" id="{717B78F7-7ADA-4539-A53D-802A75A8FE77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52" name="Line 4">
          <a:extLst>
            <a:ext uri="{FF2B5EF4-FFF2-40B4-BE49-F238E27FC236}">
              <a16:creationId xmlns:a16="http://schemas.microsoft.com/office/drawing/2014/main" id="{1844C031-56BC-4778-8B56-A28221CA8AD2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588</xdr:row>
      <xdr:rowOff>0</xdr:rowOff>
    </xdr:from>
    <xdr:to>
      <xdr:col>8</xdr:col>
      <xdr:colOff>180975</xdr:colOff>
      <xdr:row>588</xdr:row>
      <xdr:rowOff>0</xdr:rowOff>
    </xdr:to>
    <xdr:sp macro="" textlink="">
      <xdr:nvSpPr>
        <xdr:cNvPr id="155" name="Line 4">
          <a:extLst>
            <a:ext uri="{FF2B5EF4-FFF2-40B4-BE49-F238E27FC236}">
              <a16:creationId xmlns:a16="http://schemas.microsoft.com/office/drawing/2014/main" id="{09F6271E-C9ED-4E66-B8B4-28EC201A33CA}"/>
            </a:ext>
          </a:extLst>
        </xdr:cNvPr>
        <xdr:cNvSpPr>
          <a:spLocks noChangeShapeType="1"/>
        </xdr:cNvSpPr>
      </xdr:nvSpPr>
      <xdr:spPr bwMode="auto">
        <a:xfrm>
          <a:off x="4924425" y="103498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58" name="Line 4">
          <a:extLst>
            <a:ext uri="{FF2B5EF4-FFF2-40B4-BE49-F238E27FC236}">
              <a16:creationId xmlns:a16="http://schemas.microsoft.com/office/drawing/2014/main" id="{77126F94-1846-49BB-B8AE-490FA74875FD}"/>
            </a:ext>
          </a:extLst>
        </xdr:cNvPr>
        <xdr:cNvSpPr>
          <a:spLocks noChangeShapeType="1"/>
        </xdr:cNvSpPr>
      </xdr:nvSpPr>
      <xdr:spPr bwMode="auto">
        <a:xfrm>
          <a:off x="4924425" y="10393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59" name="Line 3">
          <a:extLst>
            <a:ext uri="{FF2B5EF4-FFF2-40B4-BE49-F238E27FC236}">
              <a16:creationId xmlns:a16="http://schemas.microsoft.com/office/drawing/2014/main" id="{A268A110-0CB3-4D9A-A336-803016C1A44A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60" name="Line 5">
          <a:extLst>
            <a:ext uri="{FF2B5EF4-FFF2-40B4-BE49-F238E27FC236}">
              <a16:creationId xmlns:a16="http://schemas.microsoft.com/office/drawing/2014/main" id="{F465FCC0-3DDD-4400-85E4-69D7A2860D70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61" name="Line 2">
          <a:extLst>
            <a:ext uri="{FF2B5EF4-FFF2-40B4-BE49-F238E27FC236}">
              <a16:creationId xmlns:a16="http://schemas.microsoft.com/office/drawing/2014/main" id="{E8C7A392-1380-4C51-B6AE-18839EC92E88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62" name="Line 3">
          <a:extLst>
            <a:ext uri="{FF2B5EF4-FFF2-40B4-BE49-F238E27FC236}">
              <a16:creationId xmlns:a16="http://schemas.microsoft.com/office/drawing/2014/main" id="{24BA1C77-4645-4753-98E7-14936806EF60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63" name="Line 4">
          <a:extLst>
            <a:ext uri="{FF2B5EF4-FFF2-40B4-BE49-F238E27FC236}">
              <a16:creationId xmlns:a16="http://schemas.microsoft.com/office/drawing/2014/main" id="{1C0CC8D7-0082-4AB1-A9AD-6C7650819B93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164" name="Line 5">
          <a:extLst>
            <a:ext uri="{FF2B5EF4-FFF2-40B4-BE49-F238E27FC236}">
              <a16:creationId xmlns:a16="http://schemas.microsoft.com/office/drawing/2014/main" id="{482A6B52-E909-4922-AA9C-DB2F54FB4A7F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664</xdr:row>
      <xdr:rowOff>0</xdr:rowOff>
    </xdr:from>
    <xdr:to>
      <xdr:col>8</xdr:col>
      <xdr:colOff>180975</xdr:colOff>
      <xdr:row>664</xdr:row>
      <xdr:rowOff>0</xdr:rowOff>
    </xdr:to>
    <xdr:sp macro="" textlink="">
      <xdr:nvSpPr>
        <xdr:cNvPr id="165" name="Line 7">
          <a:extLst>
            <a:ext uri="{FF2B5EF4-FFF2-40B4-BE49-F238E27FC236}">
              <a16:creationId xmlns:a16="http://schemas.microsoft.com/office/drawing/2014/main" id="{044F67D9-2913-4DC4-803A-ACFD6C5C7C55}"/>
            </a:ext>
          </a:extLst>
        </xdr:cNvPr>
        <xdr:cNvSpPr>
          <a:spLocks noChangeShapeType="1"/>
        </xdr:cNvSpPr>
      </xdr:nvSpPr>
      <xdr:spPr bwMode="auto">
        <a:xfrm>
          <a:off x="4924425" y="11574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169" name="Line 5">
          <a:extLst>
            <a:ext uri="{FF2B5EF4-FFF2-40B4-BE49-F238E27FC236}">
              <a16:creationId xmlns:a16="http://schemas.microsoft.com/office/drawing/2014/main" id="{3CC1F99E-5699-4D15-A0F5-34BBB00CA512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72" name="Line 4">
          <a:extLst>
            <a:ext uri="{FF2B5EF4-FFF2-40B4-BE49-F238E27FC236}">
              <a16:creationId xmlns:a16="http://schemas.microsoft.com/office/drawing/2014/main" id="{81DD3640-005B-4C4D-8256-CD5922950EC5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73" name="Line 2">
          <a:extLst>
            <a:ext uri="{FF2B5EF4-FFF2-40B4-BE49-F238E27FC236}">
              <a16:creationId xmlns:a16="http://schemas.microsoft.com/office/drawing/2014/main" id="{9BA42BDE-B538-4ED9-9D09-BC0982C97901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74" name="Line 3">
          <a:extLst>
            <a:ext uri="{FF2B5EF4-FFF2-40B4-BE49-F238E27FC236}">
              <a16:creationId xmlns:a16="http://schemas.microsoft.com/office/drawing/2014/main" id="{D2D37DA4-2173-42E2-9C00-0372CF17E6CF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639</xdr:row>
      <xdr:rowOff>0</xdr:rowOff>
    </xdr:from>
    <xdr:to>
      <xdr:col>8</xdr:col>
      <xdr:colOff>180975</xdr:colOff>
      <xdr:row>639</xdr:row>
      <xdr:rowOff>0</xdr:rowOff>
    </xdr:to>
    <xdr:sp macro="" textlink="">
      <xdr:nvSpPr>
        <xdr:cNvPr id="175" name="Line 4">
          <a:extLst>
            <a:ext uri="{FF2B5EF4-FFF2-40B4-BE49-F238E27FC236}">
              <a16:creationId xmlns:a16="http://schemas.microsoft.com/office/drawing/2014/main" id="{067411FD-EC9F-4634-8718-8B811BE0D08F}"/>
            </a:ext>
          </a:extLst>
        </xdr:cNvPr>
        <xdr:cNvSpPr>
          <a:spLocks noChangeShapeType="1"/>
        </xdr:cNvSpPr>
      </xdr:nvSpPr>
      <xdr:spPr bwMode="auto">
        <a:xfrm>
          <a:off x="4924425" y="11217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76" name="Line 2">
          <a:extLst>
            <a:ext uri="{FF2B5EF4-FFF2-40B4-BE49-F238E27FC236}">
              <a16:creationId xmlns:a16="http://schemas.microsoft.com/office/drawing/2014/main" id="{A9FA3EC9-4D1B-4D12-B460-7142181B956B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15CF7B7D-2C53-46E1-855E-030023D9238B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642</xdr:row>
      <xdr:rowOff>0</xdr:rowOff>
    </xdr:from>
    <xdr:to>
      <xdr:col>8</xdr:col>
      <xdr:colOff>180975</xdr:colOff>
      <xdr:row>642</xdr:row>
      <xdr:rowOff>0</xdr:rowOff>
    </xdr:to>
    <xdr:sp macro="" textlink="">
      <xdr:nvSpPr>
        <xdr:cNvPr id="178" name="Line 4">
          <a:extLst>
            <a:ext uri="{FF2B5EF4-FFF2-40B4-BE49-F238E27FC236}">
              <a16:creationId xmlns:a16="http://schemas.microsoft.com/office/drawing/2014/main" id="{227964F1-AC35-4949-90FC-8BCB86816C36}"/>
            </a:ext>
          </a:extLst>
        </xdr:cNvPr>
        <xdr:cNvSpPr>
          <a:spLocks noChangeShapeType="1"/>
        </xdr:cNvSpPr>
      </xdr:nvSpPr>
      <xdr:spPr bwMode="auto">
        <a:xfrm>
          <a:off x="4924425" y="11260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179" name="Line 2">
          <a:extLst>
            <a:ext uri="{FF2B5EF4-FFF2-40B4-BE49-F238E27FC236}">
              <a16:creationId xmlns:a16="http://schemas.microsoft.com/office/drawing/2014/main" id="{6316BF67-8DC7-4223-ACB9-FF0B7F060D38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180" name="Line 3">
          <a:extLst>
            <a:ext uri="{FF2B5EF4-FFF2-40B4-BE49-F238E27FC236}">
              <a16:creationId xmlns:a16="http://schemas.microsoft.com/office/drawing/2014/main" id="{57D17EE9-CBA0-47AB-9D9C-863AFC65B5D1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181" name="Line 5">
          <a:extLst>
            <a:ext uri="{FF2B5EF4-FFF2-40B4-BE49-F238E27FC236}">
              <a16:creationId xmlns:a16="http://schemas.microsoft.com/office/drawing/2014/main" id="{CC47D669-C1B5-417D-A80E-3B25B5446628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182" name="Line 3">
          <a:extLst>
            <a:ext uri="{FF2B5EF4-FFF2-40B4-BE49-F238E27FC236}">
              <a16:creationId xmlns:a16="http://schemas.microsoft.com/office/drawing/2014/main" id="{6034C1D4-E2C5-4A03-9812-CADE0DBA4536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183" name="Line 5">
          <a:extLst>
            <a:ext uri="{FF2B5EF4-FFF2-40B4-BE49-F238E27FC236}">
              <a16:creationId xmlns:a16="http://schemas.microsoft.com/office/drawing/2014/main" id="{DDFBA4C1-A1AA-4CBD-96EA-005D4DEBDAC8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184" name="Line 2">
          <a:extLst>
            <a:ext uri="{FF2B5EF4-FFF2-40B4-BE49-F238E27FC236}">
              <a16:creationId xmlns:a16="http://schemas.microsoft.com/office/drawing/2014/main" id="{6895479D-A27A-4F42-B173-628FB341A471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B92678BB-C6A7-4CF4-BB80-729ED9398300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186" name="Line 4">
          <a:extLst>
            <a:ext uri="{FF2B5EF4-FFF2-40B4-BE49-F238E27FC236}">
              <a16:creationId xmlns:a16="http://schemas.microsoft.com/office/drawing/2014/main" id="{3193CE93-6C38-492F-9891-62C998C79B67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78</xdr:row>
      <xdr:rowOff>0</xdr:rowOff>
    </xdr:from>
    <xdr:to>
      <xdr:col>8</xdr:col>
      <xdr:colOff>180975</xdr:colOff>
      <xdr:row>78</xdr:row>
      <xdr:rowOff>0</xdr:rowOff>
    </xdr:to>
    <xdr:sp macro="" textlink="">
      <xdr:nvSpPr>
        <xdr:cNvPr id="187" name="Line 5">
          <a:extLst>
            <a:ext uri="{FF2B5EF4-FFF2-40B4-BE49-F238E27FC236}">
              <a16:creationId xmlns:a16="http://schemas.microsoft.com/office/drawing/2014/main" id="{A45D6B1F-0EBE-4F2A-81D9-DCD4B2C8414D}"/>
            </a:ext>
          </a:extLst>
        </xdr:cNvPr>
        <xdr:cNvSpPr>
          <a:spLocks noChangeShapeType="1"/>
        </xdr:cNvSpPr>
      </xdr:nvSpPr>
      <xdr:spPr bwMode="auto">
        <a:xfrm>
          <a:off x="492442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98</xdr:row>
      <xdr:rowOff>0</xdr:rowOff>
    </xdr:from>
    <xdr:to>
      <xdr:col>8</xdr:col>
      <xdr:colOff>180975</xdr:colOff>
      <xdr:row>98</xdr:row>
      <xdr:rowOff>0</xdr:rowOff>
    </xdr:to>
    <xdr:sp macro="" textlink="">
      <xdr:nvSpPr>
        <xdr:cNvPr id="188" name="Line 7">
          <a:extLst>
            <a:ext uri="{FF2B5EF4-FFF2-40B4-BE49-F238E27FC236}">
              <a16:creationId xmlns:a16="http://schemas.microsoft.com/office/drawing/2014/main" id="{0C410DA4-F027-4223-973F-F26C05E3D1DD}"/>
            </a:ext>
          </a:extLst>
        </xdr:cNvPr>
        <xdr:cNvSpPr>
          <a:spLocks noChangeShapeType="1"/>
        </xdr:cNvSpPr>
      </xdr:nvSpPr>
      <xdr:spPr bwMode="auto">
        <a:xfrm>
          <a:off x="4924425" y="149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2B7F7E2-2D72-4C35-B7B4-DD90FB5BA477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191" name="Line 5">
          <a:extLst>
            <a:ext uri="{FF2B5EF4-FFF2-40B4-BE49-F238E27FC236}">
              <a16:creationId xmlns:a16="http://schemas.microsoft.com/office/drawing/2014/main" id="{5850AD3F-A17A-49EF-A747-3DF57E065216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EF715391-1ED4-4F35-B939-15C8B7F7FA5A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654A9FAC-6B06-4195-B8FC-CE6299DA11AD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194" name="Line 4">
          <a:extLst>
            <a:ext uri="{FF2B5EF4-FFF2-40B4-BE49-F238E27FC236}">
              <a16:creationId xmlns:a16="http://schemas.microsoft.com/office/drawing/2014/main" id="{FB26FAB2-83CE-47D2-A4D8-5E9A3ACE84AB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195" name="Line 5">
          <a:extLst>
            <a:ext uri="{FF2B5EF4-FFF2-40B4-BE49-F238E27FC236}">
              <a16:creationId xmlns:a16="http://schemas.microsoft.com/office/drawing/2014/main" id="{60CB8996-A32D-444B-ADBD-769E0DF7EC64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197" name="Line 2">
          <a:extLst>
            <a:ext uri="{FF2B5EF4-FFF2-40B4-BE49-F238E27FC236}">
              <a16:creationId xmlns:a16="http://schemas.microsoft.com/office/drawing/2014/main" id="{FD4FDE25-810F-4A71-B15E-17E4DF563A96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198" name="Line 3">
          <a:extLst>
            <a:ext uri="{FF2B5EF4-FFF2-40B4-BE49-F238E27FC236}">
              <a16:creationId xmlns:a16="http://schemas.microsoft.com/office/drawing/2014/main" id="{DBEEC9F3-BD0B-47D2-BC10-A74890E001AE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199" name="Line 4">
          <a:extLst>
            <a:ext uri="{FF2B5EF4-FFF2-40B4-BE49-F238E27FC236}">
              <a16:creationId xmlns:a16="http://schemas.microsoft.com/office/drawing/2014/main" id="{61140291-2147-4CC2-BA5E-6AD4A73A46AB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200" name="Line 5">
          <a:extLst>
            <a:ext uri="{FF2B5EF4-FFF2-40B4-BE49-F238E27FC236}">
              <a16:creationId xmlns:a16="http://schemas.microsoft.com/office/drawing/2014/main" id="{599A4073-ECD5-496C-8697-EF89088C8AAD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9F36D58-AFE7-4784-A3EB-C624FA2A085D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EFE714F5-ECBF-45BD-AEFD-E68EDE03AFFB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03" name="Line 5">
          <a:extLst>
            <a:ext uri="{FF2B5EF4-FFF2-40B4-BE49-F238E27FC236}">
              <a16:creationId xmlns:a16="http://schemas.microsoft.com/office/drawing/2014/main" id="{B817784A-DC17-4DBE-B313-1A42BBC4DF28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04B94A2A-8333-476D-B828-AB0D58FA0E09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C9D6CDE6-9063-4E46-8780-8284C57371E9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06" name="Line 4">
          <a:extLst>
            <a:ext uri="{FF2B5EF4-FFF2-40B4-BE49-F238E27FC236}">
              <a16:creationId xmlns:a16="http://schemas.microsoft.com/office/drawing/2014/main" id="{08DDF4BD-04CE-4931-97A9-1F71B58390E2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207" name="Line 5">
          <a:extLst>
            <a:ext uri="{FF2B5EF4-FFF2-40B4-BE49-F238E27FC236}">
              <a16:creationId xmlns:a16="http://schemas.microsoft.com/office/drawing/2014/main" id="{556EC91F-2E3B-491C-8D1F-FB6EACCACC86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208" name="Line 7">
          <a:extLst>
            <a:ext uri="{FF2B5EF4-FFF2-40B4-BE49-F238E27FC236}">
              <a16:creationId xmlns:a16="http://schemas.microsoft.com/office/drawing/2014/main" id="{69AABF61-DD82-45F8-A2B1-370C7D45B2FD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209" name="Line 2">
          <a:extLst>
            <a:ext uri="{FF2B5EF4-FFF2-40B4-BE49-F238E27FC236}">
              <a16:creationId xmlns:a16="http://schemas.microsoft.com/office/drawing/2014/main" id="{D70CBDB2-506A-4694-8914-D615CFC638F8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210" name="Line 3">
          <a:extLst>
            <a:ext uri="{FF2B5EF4-FFF2-40B4-BE49-F238E27FC236}">
              <a16:creationId xmlns:a16="http://schemas.microsoft.com/office/drawing/2014/main" id="{D8EB8FF5-1DA8-4A21-A0BF-915746D9A6A2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211" name="Line 4">
          <a:extLst>
            <a:ext uri="{FF2B5EF4-FFF2-40B4-BE49-F238E27FC236}">
              <a16:creationId xmlns:a16="http://schemas.microsoft.com/office/drawing/2014/main" id="{020CAE15-85D8-4C4B-9079-2BA250CC3C72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212" name="Line 5">
          <a:extLst>
            <a:ext uri="{FF2B5EF4-FFF2-40B4-BE49-F238E27FC236}">
              <a16:creationId xmlns:a16="http://schemas.microsoft.com/office/drawing/2014/main" id="{E8B2E9E4-5013-4AF8-B951-D63DED03E0C0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3CA786A-F00F-44D7-BC8C-36C36AEACFDE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44D94196-EBBB-4132-8FFB-54898E963B17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215" name="Line 4">
          <a:extLst>
            <a:ext uri="{FF2B5EF4-FFF2-40B4-BE49-F238E27FC236}">
              <a16:creationId xmlns:a16="http://schemas.microsoft.com/office/drawing/2014/main" id="{830FB20F-FF6D-40D6-9485-F065A7E2FEE6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217" name="Line 7">
          <a:extLst>
            <a:ext uri="{FF2B5EF4-FFF2-40B4-BE49-F238E27FC236}">
              <a16:creationId xmlns:a16="http://schemas.microsoft.com/office/drawing/2014/main" id="{7A476C7B-62E9-4B39-9644-9CC5B04D7853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218" name="Line 8">
          <a:extLst>
            <a:ext uri="{FF2B5EF4-FFF2-40B4-BE49-F238E27FC236}">
              <a16:creationId xmlns:a16="http://schemas.microsoft.com/office/drawing/2014/main" id="{4E46E031-8271-4788-AE5F-19AD3351142E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219" name="Rectangle 7">
          <a:extLst>
            <a:ext uri="{FF2B5EF4-FFF2-40B4-BE49-F238E27FC236}">
              <a16:creationId xmlns:a16="http://schemas.microsoft.com/office/drawing/2014/main" id="{C76E88E4-57CC-4844-978E-4C85AE1FBBB1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220" name="Rectangle 8">
          <a:extLst>
            <a:ext uri="{FF2B5EF4-FFF2-40B4-BE49-F238E27FC236}">
              <a16:creationId xmlns:a16="http://schemas.microsoft.com/office/drawing/2014/main" id="{DCDAC545-F838-4C9F-9566-7C67FBA90297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221" name="Line 2">
          <a:extLst>
            <a:ext uri="{FF2B5EF4-FFF2-40B4-BE49-F238E27FC236}">
              <a16:creationId xmlns:a16="http://schemas.microsoft.com/office/drawing/2014/main" id="{158FFEB7-9067-4B93-8246-5DF62519EBAF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22" name="Line 3">
          <a:extLst>
            <a:ext uri="{FF2B5EF4-FFF2-40B4-BE49-F238E27FC236}">
              <a16:creationId xmlns:a16="http://schemas.microsoft.com/office/drawing/2014/main" id="{53901F3F-E06C-48E8-9E07-EE28C4950E6E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223" name="Line 5">
          <a:extLst>
            <a:ext uri="{FF2B5EF4-FFF2-40B4-BE49-F238E27FC236}">
              <a16:creationId xmlns:a16="http://schemas.microsoft.com/office/drawing/2014/main" id="{46102EC0-6C08-4539-8439-E415CA5FF84E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24" name="Line 2">
          <a:extLst>
            <a:ext uri="{FF2B5EF4-FFF2-40B4-BE49-F238E27FC236}">
              <a16:creationId xmlns:a16="http://schemas.microsoft.com/office/drawing/2014/main" id="{5E39FF7F-2CFC-4A93-B41B-02429214A1AD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1784848F-3A60-409A-A824-F6D28014057C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226" name="Line 4">
          <a:extLst>
            <a:ext uri="{FF2B5EF4-FFF2-40B4-BE49-F238E27FC236}">
              <a16:creationId xmlns:a16="http://schemas.microsoft.com/office/drawing/2014/main" id="{5BC070FE-E921-42E0-AAE1-4959A4E67DD0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227" name="Line 5">
          <a:extLst>
            <a:ext uri="{FF2B5EF4-FFF2-40B4-BE49-F238E27FC236}">
              <a16:creationId xmlns:a16="http://schemas.microsoft.com/office/drawing/2014/main" id="{7E3A6002-9B6F-4B79-930F-5296003A7768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228" name="Line 7">
          <a:extLst>
            <a:ext uri="{FF2B5EF4-FFF2-40B4-BE49-F238E27FC236}">
              <a16:creationId xmlns:a16="http://schemas.microsoft.com/office/drawing/2014/main" id="{7B03CBF0-028A-4080-AB1F-31C1141DF8CB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229" name="Line 2">
          <a:extLst>
            <a:ext uri="{FF2B5EF4-FFF2-40B4-BE49-F238E27FC236}">
              <a16:creationId xmlns:a16="http://schemas.microsoft.com/office/drawing/2014/main" id="{1C9C9BBB-8CE0-4BD1-895D-71C3388A90B2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230" name="Line 3">
          <a:extLst>
            <a:ext uri="{FF2B5EF4-FFF2-40B4-BE49-F238E27FC236}">
              <a16:creationId xmlns:a16="http://schemas.microsoft.com/office/drawing/2014/main" id="{81DFDEB0-A81B-43D6-BAE4-6DEB924C56E1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231" name="Line 4">
          <a:extLst>
            <a:ext uri="{FF2B5EF4-FFF2-40B4-BE49-F238E27FC236}">
              <a16:creationId xmlns:a16="http://schemas.microsoft.com/office/drawing/2014/main" id="{42FF730C-7390-4F17-BEB4-B918B5E13AE9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232" name="Line 5">
          <a:extLst>
            <a:ext uri="{FF2B5EF4-FFF2-40B4-BE49-F238E27FC236}">
              <a16:creationId xmlns:a16="http://schemas.microsoft.com/office/drawing/2014/main" id="{EC7DAA55-52F8-42F0-8991-F5D378689781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233" name="Line 2">
          <a:extLst>
            <a:ext uri="{FF2B5EF4-FFF2-40B4-BE49-F238E27FC236}">
              <a16:creationId xmlns:a16="http://schemas.microsoft.com/office/drawing/2014/main" id="{047663C5-7209-4845-9572-3363BE5BC4AC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234" name="Line 3">
          <a:extLst>
            <a:ext uri="{FF2B5EF4-FFF2-40B4-BE49-F238E27FC236}">
              <a16:creationId xmlns:a16="http://schemas.microsoft.com/office/drawing/2014/main" id="{F0BFB049-00AA-4434-853B-ACEA31AA8BF8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235" name="Line 4">
          <a:extLst>
            <a:ext uri="{FF2B5EF4-FFF2-40B4-BE49-F238E27FC236}">
              <a16:creationId xmlns:a16="http://schemas.microsoft.com/office/drawing/2014/main" id="{61D4974D-9671-4417-B91E-E1CFB5B0CAF9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237" name="Line 7">
          <a:extLst>
            <a:ext uri="{FF2B5EF4-FFF2-40B4-BE49-F238E27FC236}">
              <a16:creationId xmlns:a16="http://schemas.microsoft.com/office/drawing/2014/main" id="{27FCEC0E-AB92-4378-A485-539E1417D0BD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238" name="Line 8">
          <a:extLst>
            <a:ext uri="{FF2B5EF4-FFF2-40B4-BE49-F238E27FC236}">
              <a16:creationId xmlns:a16="http://schemas.microsoft.com/office/drawing/2014/main" id="{BEB7E811-2EB2-4723-AE60-EAC6631DB566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239" name="Rectangle 7">
          <a:extLst>
            <a:ext uri="{FF2B5EF4-FFF2-40B4-BE49-F238E27FC236}">
              <a16:creationId xmlns:a16="http://schemas.microsoft.com/office/drawing/2014/main" id="{9E10F0CF-F6A3-410D-A732-F139FBA502D7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240" name="Rectangle 8">
          <a:extLst>
            <a:ext uri="{FF2B5EF4-FFF2-40B4-BE49-F238E27FC236}">
              <a16:creationId xmlns:a16="http://schemas.microsoft.com/office/drawing/2014/main" id="{4060E94B-26EF-4C21-80DD-46E52F985523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7CDB349-EC87-489C-BD61-4C192A3BCC76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242" name="Line 5">
          <a:extLst>
            <a:ext uri="{FF2B5EF4-FFF2-40B4-BE49-F238E27FC236}">
              <a16:creationId xmlns:a16="http://schemas.microsoft.com/office/drawing/2014/main" id="{68753F5A-D60B-4E29-964E-61B0128C2E46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C3EE5F50-C4C8-40BD-A5E5-F29BAC732AC8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4C8DE756-10D6-4934-A017-DC0C0D9D05AC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245" name="Line 4">
          <a:extLst>
            <a:ext uri="{FF2B5EF4-FFF2-40B4-BE49-F238E27FC236}">
              <a16:creationId xmlns:a16="http://schemas.microsoft.com/office/drawing/2014/main" id="{BDF4A082-BE32-4806-AD45-32E4B3F642B3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246" name="Line 5">
          <a:extLst>
            <a:ext uri="{FF2B5EF4-FFF2-40B4-BE49-F238E27FC236}">
              <a16:creationId xmlns:a16="http://schemas.microsoft.com/office/drawing/2014/main" id="{95FF8575-E72E-4A76-9219-A5917E0D7CBD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248" name="Line 2">
          <a:extLst>
            <a:ext uri="{FF2B5EF4-FFF2-40B4-BE49-F238E27FC236}">
              <a16:creationId xmlns:a16="http://schemas.microsoft.com/office/drawing/2014/main" id="{5F2903B9-C8B8-4AD6-B9AB-FA16847D8A7D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55512C96-DECB-4DDF-BE97-F5413640309F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250" name="Line 4">
          <a:extLst>
            <a:ext uri="{FF2B5EF4-FFF2-40B4-BE49-F238E27FC236}">
              <a16:creationId xmlns:a16="http://schemas.microsoft.com/office/drawing/2014/main" id="{0CE0B6D5-E301-4F76-A107-AB394689198D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251" name="Line 5">
          <a:extLst>
            <a:ext uri="{FF2B5EF4-FFF2-40B4-BE49-F238E27FC236}">
              <a16:creationId xmlns:a16="http://schemas.microsoft.com/office/drawing/2014/main" id="{C781DF67-0375-4B3D-BADF-23688AC76D3F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0A45213-E4EC-467E-8DC8-AAB75E6586DC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340BCDD7-173E-4424-990C-FA8F2EF9B04C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254" name="Line 4">
          <a:extLst>
            <a:ext uri="{FF2B5EF4-FFF2-40B4-BE49-F238E27FC236}">
              <a16:creationId xmlns:a16="http://schemas.microsoft.com/office/drawing/2014/main" id="{7FEB2BCE-B7DE-4279-93F4-BD59E38CD60C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342</xdr:row>
      <xdr:rowOff>0</xdr:rowOff>
    </xdr:from>
    <xdr:to>
      <xdr:col>8</xdr:col>
      <xdr:colOff>180975</xdr:colOff>
      <xdr:row>342</xdr:row>
      <xdr:rowOff>0</xdr:rowOff>
    </xdr:to>
    <xdr:sp macro="" textlink="">
      <xdr:nvSpPr>
        <xdr:cNvPr id="256" name="Line 7">
          <a:extLst>
            <a:ext uri="{FF2B5EF4-FFF2-40B4-BE49-F238E27FC236}">
              <a16:creationId xmlns:a16="http://schemas.microsoft.com/office/drawing/2014/main" id="{978D2A45-B1B2-4893-9D5F-43256217FA48}"/>
            </a:ext>
          </a:extLst>
        </xdr:cNvPr>
        <xdr:cNvSpPr>
          <a:spLocks noChangeShapeType="1"/>
        </xdr:cNvSpPr>
      </xdr:nvSpPr>
      <xdr:spPr bwMode="auto">
        <a:xfrm>
          <a:off x="4924425" y="571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2A308AFD-3A87-4B59-A0E0-6688D761930C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258" name="Line 5">
          <a:extLst>
            <a:ext uri="{FF2B5EF4-FFF2-40B4-BE49-F238E27FC236}">
              <a16:creationId xmlns:a16="http://schemas.microsoft.com/office/drawing/2014/main" id="{258BA51C-1E9A-4C3D-84E6-889EDEEB4B89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259" name="Line 2">
          <a:extLst>
            <a:ext uri="{FF2B5EF4-FFF2-40B4-BE49-F238E27FC236}">
              <a16:creationId xmlns:a16="http://schemas.microsoft.com/office/drawing/2014/main" id="{E4D0878A-949C-477B-9A3C-2739846023D6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260" name="Line 3">
          <a:extLst>
            <a:ext uri="{FF2B5EF4-FFF2-40B4-BE49-F238E27FC236}">
              <a16:creationId xmlns:a16="http://schemas.microsoft.com/office/drawing/2014/main" id="{22F7A6C6-9B98-47C4-99CD-DDD90C164C02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261" name="Line 4">
          <a:extLst>
            <a:ext uri="{FF2B5EF4-FFF2-40B4-BE49-F238E27FC236}">
              <a16:creationId xmlns:a16="http://schemas.microsoft.com/office/drawing/2014/main" id="{C83474E8-C34C-43C8-8BC9-AE1C997265C5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262" name="Line 5">
          <a:extLst>
            <a:ext uri="{FF2B5EF4-FFF2-40B4-BE49-F238E27FC236}">
              <a16:creationId xmlns:a16="http://schemas.microsoft.com/office/drawing/2014/main" id="{67B3FDAC-AC2E-4F63-8C44-0A8105591B2F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263" name="Line 7">
          <a:extLst>
            <a:ext uri="{FF2B5EF4-FFF2-40B4-BE49-F238E27FC236}">
              <a16:creationId xmlns:a16="http://schemas.microsoft.com/office/drawing/2014/main" id="{852E4C15-7A47-4483-8C36-007930D99720}"/>
            </a:ext>
          </a:extLst>
        </xdr:cNvPr>
        <xdr:cNvSpPr>
          <a:spLocks noChangeShapeType="1"/>
        </xdr:cNvSpPr>
      </xdr:nvSpPr>
      <xdr:spPr bwMode="auto">
        <a:xfrm>
          <a:off x="4924425" y="69942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D11EC6E-927B-4F9A-A55E-849F030E3D87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F76351D-88B0-4AFB-9C41-8597D850047F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266" name="Line 4">
          <a:extLst>
            <a:ext uri="{FF2B5EF4-FFF2-40B4-BE49-F238E27FC236}">
              <a16:creationId xmlns:a16="http://schemas.microsoft.com/office/drawing/2014/main" id="{590AAEBD-F94C-4B76-9254-110061E57074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267" name="Line 5">
          <a:extLst>
            <a:ext uri="{FF2B5EF4-FFF2-40B4-BE49-F238E27FC236}">
              <a16:creationId xmlns:a16="http://schemas.microsoft.com/office/drawing/2014/main" id="{17A8CCBE-8D50-453F-BB3C-E56D57551F9E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268" name="Line 2">
          <a:extLst>
            <a:ext uri="{FF2B5EF4-FFF2-40B4-BE49-F238E27FC236}">
              <a16:creationId xmlns:a16="http://schemas.microsoft.com/office/drawing/2014/main" id="{EB9DED70-37A6-4E2F-B073-A740EFBC7D4F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269" name="Line 3">
          <a:extLst>
            <a:ext uri="{FF2B5EF4-FFF2-40B4-BE49-F238E27FC236}">
              <a16:creationId xmlns:a16="http://schemas.microsoft.com/office/drawing/2014/main" id="{F7D17280-5DC9-4DCC-BED3-56CD3FA46FC2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270" name="Line 4">
          <a:extLst>
            <a:ext uri="{FF2B5EF4-FFF2-40B4-BE49-F238E27FC236}">
              <a16:creationId xmlns:a16="http://schemas.microsoft.com/office/drawing/2014/main" id="{B8FA7F78-95C8-4CDC-99DD-6A3EB5CE72AA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271" name="Line 5">
          <a:extLst>
            <a:ext uri="{FF2B5EF4-FFF2-40B4-BE49-F238E27FC236}">
              <a16:creationId xmlns:a16="http://schemas.microsoft.com/office/drawing/2014/main" id="{DB034D3D-9A8E-405E-BA09-40FDDD8D4ABD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272" name="Line 7">
          <a:extLst>
            <a:ext uri="{FF2B5EF4-FFF2-40B4-BE49-F238E27FC236}">
              <a16:creationId xmlns:a16="http://schemas.microsoft.com/office/drawing/2014/main" id="{0F7B035F-D723-47F4-9070-7CDAA256618B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0C6DF8A5-4236-4F5A-9C41-95EE79F07B37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1F7C5E67-5196-4E3B-91DF-2496C7FE520F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376</xdr:row>
      <xdr:rowOff>0</xdr:rowOff>
    </xdr:from>
    <xdr:to>
      <xdr:col>8</xdr:col>
      <xdr:colOff>180975</xdr:colOff>
      <xdr:row>376</xdr:row>
      <xdr:rowOff>0</xdr:rowOff>
    </xdr:to>
    <xdr:sp macro="" textlink="">
      <xdr:nvSpPr>
        <xdr:cNvPr id="275" name="Line 4">
          <a:extLst>
            <a:ext uri="{FF2B5EF4-FFF2-40B4-BE49-F238E27FC236}">
              <a16:creationId xmlns:a16="http://schemas.microsoft.com/office/drawing/2014/main" id="{3A60368D-C3D6-4119-AB91-8F53DA5B437F}"/>
            </a:ext>
          </a:extLst>
        </xdr:cNvPr>
        <xdr:cNvSpPr>
          <a:spLocks noChangeShapeType="1"/>
        </xdr:cNvSpPr>
      </xdr:nvSpPr>
      <xdr:spPr bwMode="auto">
        <a:xfrm>
          <a:off x="4924425" y="636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276" name="Line 3">
          <a:extLst>
            <a:ext uri="{FF2B5EF4-FFF2-40B4-BE49-F238E27FC236}">
              <a16:creationId xmlns:a16="http://schemas.microsoft.com/office/drawing/2014/main" id="{A0A658E7-5213-4A32-988D-0595A87F16CD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277" name="Line 5">
          <a:extLst>
            <a:ext uri="{FF2B5EF4-FFF2-40B4-BE49-F238E27FC236}">
              <a16:creationId xmlns:a16="http://schemas.microsoft.com/office/drawing/2014/main" id="{F13D7CFD-D82E-41DF-AFCE-6A499DDC3596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278" name="Line 2">
          <a:extLst>
            <a:ext uri="{FF2B5EF4-FFF2-40B4-BE49-F238E27FC236}">
              <a16:creationId xmlns:a16="http://schemas.microsoft.com/office/drawing/2014/main" id="{39C1CDC9-95E6-4340-8FFD-E49507CBEBC4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279" name="Line 3">
          <a:extLst>
            <a:ext uri="{FF2B5EF4-FFF2-40B4-BE49-F238E27FC236}">
              <a16:creationId xmlns:a16="http://schemas.microsoft.com/office/drawing/2014/main" id="{A9B7CC8C-6507-4EC6-AD4C-C352C0BCA735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280" name="Line 4">
          <a:extLst>
            <a:ext uri="{FF2B5EF4-FFF2-40B4-BE49-F238E27FC236}">
              <a16:creationId xmlns:a16="http://schemas.microsoft.com/office/drawing/2014/main" id="{0D8C5396-499C-44FD-A6AC-903F1EFC41BE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281" name="Line 5">
          <a:extLst>
            <a:ext uri="{FF2B5EF4-FFF2-40B4-BE49-F238E27FC236}">
              <a16:creationId xmlns:a16="http://schemas.microsoft.com/office/drawing/2014/main" id="{922D4301-451A-4E03-819D-56735B53B4F2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282" name="Line 7">
          <a:extLst>
            <a:ext uri="{FF2B5EF4-FFF2-40B4-BE49-F238E27FC236}">
              <a16:creationId xmlns:a16="http://schemas.microsoft.com/office/drawing/2014/main" id="{FCCC12C9-5411-41F9-9FC5-3BFAF577E860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286" name="Line 5">
          <a:extLst>
            <a:ext uri="{FF2B5EF4-FFF2-40B4-BE49-F238E27FC236}">
              <a16:creationId xmlns:a16="http://schemas.microsoft.com/office/drawing/2014/main" id="{22ED02CB-49D5-44A5-8C8C-6946C2905A86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289" name="Line 4">
          <a:extLst>
            <a:ext uri="{FF2B5EF4-FFF2-40B4-BE49-F238E27FC236}">
              <a16:creationId xmlns:a16="http://schemas.microsoft.com/office/drawing/2014/main" id="{E1EE6533-D912-4B9C-9649-5EB5A15866EB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290" name="Line 2">
          <a:extLst>
            <a:ext uri="{FF2B5EF4-FFF2-40B4-BE49-F238E27FC236}">
              <a16:creationId xmlns:a16="http://schemas.microsoft.com/office/drawing/2014/main" id="{F3E9A20C-4989-4EF0-8C71-F35395D447CE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291" name="Line 3">
          <a:extLst>
            <a:ext uri="{FF2B5EF4-FFF2-40B4-BE49-F238E27FC236}">
              <a16:creationId xmlns:a16="http://schemas.microsoft.com/office/drawing/2014/main" id="{2075F1ED-5C20-423D-AB02-AABD0CCA8393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292" name="Line 4">
          <a:extLst>
            <a:ext uri="{FF2B5EF4-FFF2-40B4-BE49-F238E27FC236}">
              <a16:creationId xmlns:a16="http://schemas.microsoft.com/office/drawing/2014/main" id="{64A654B5-1A36-4204-9A6C-692D03167D99}"/>
            </a:ext>
          </a:extLst>
        </xdr:cNvPr>
        <xdr:cNvSpPr>
          <a:spLocks noChangeShapeType="1"/>
        </xdr:cNvSpPr>
      </xdr:nvSpPr>
      <xdr:spPr bwMode="auto">
        <a:xfrm>
          <a:off x="4924425" y="86144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293" name="Line 2">
          <a:extLst>
            <a:ext uri="{FF2B5EF4-FFF2-40B4-BE49-F238E27FC236}">
              <a16:creationId xmlns:a16="http://schemas.microsoft.com/office/drawing/2014/main" id="{0BE06457-CC79-41FF-B35A-5FC6F62A7AEE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294" name="Line 3">
          <a:extLst>
            <a:ext uri="{FF2B5EF4-FFF2-40B4-BE49-F238E27FC236}">
              <a16:creationId xmlns:a16="http://schemas.microsoft.com/office/drawing/2014/main" id="{7326769A-57DB-49C6-AF9E-4226F44533C4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489</xdr:row>
      <xdr:rowOff>0</xdr:rowOff>
    </xdr:from>
    <xdr:to>
      <xdr:col>8</xdr:col>
      <xdr:colOff>180975</xdr:colOff>
      <xdr:row>489</xdr:row>
      <xdr:rowOff>0</xdr:rowOff>
    </xdr:to>
    <xdr:sp macro="" textlink="">
      <xdr:nvSpPr>
        <xdr:cNvPr id="295" name="Line 4">
          <a:extLst>
            <a:ext uri="{FF2B5EF4-FFF2-40B4-BE49-F238E27FC236}">
              <a16:creationId xmlns:a16="http://schemas.microsoft.com/office/drawing/2014/main" id="{E7417729-B955-4A2B-8E81-C6324F0F3FED}"/>
            </a:ext>
          </a:extLst>
        </xdr:cNvPr>
        <xdr:cNvSpPr>
          <a:spLocks noChangeShapeType="1"/>
        </xdr:cNvSpPr>
      </xdr:nvSpPr>
      <xdr:spPr bwMode="auto">
        <a:xfrm>
          <a:off x="4924425" y="86582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296" name="Line 3">
          <a:extLst>
            <a:ext uri="{FF2B5EF4-FFF2-40B4-BE49-F238E27FC236}">
              <a16:creationId xmlns:a16="http://schemas.microsoft.com/office/drawing/2014/main" id="{DB76A311-896E-4F7C-97AC-B85824928C76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297" name="Line 5">
          <a:extLst>
            <a:ext uri="{FF2B5EF4-FFF2-40B4-BE49-F238E27FC236}">
              <a16:creationId xmlns:a16="http://schemas.microsoft.com/office/drawing/2014/main" id="{17BB78AF-E2C1-4064-A3F1-CA9E7142C92C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298" name="Line 2">
          <a:extLst>
            <a:ext uri="{FF2B5EF4-FFF2-40B4-BE49-F238E27FC236}">
              <a16:creationId xmlns:a16="http://schemas.microsoft.com/office/drawing/2014/main" id="{199C875E-0A25-41DC-8C53-6941F6CEA475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299" name="Line 3">
          <a:extLst>
            <a:ext uri="{FF2B5EF4-FFF2-40B4-BE49-F238E27FC236}">
              <a16:creationId xmlns:a16="http://schemas.microsoft.com/office/drawing/2014/main" id="{341C1031-1D08-4BF6-A340-6A3269057904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300" name="Line 4">
          <a:extLst>
            <a:ext uri="{FF2B5EF4-FFF2-40B4-BE49-F238E27FC236}">
              <a16:creationId xmlns:a16="http://schemas.microsoft.com/office/drawing/2014/main" id="{6AD83D11-4FFA-4E66-A986-2C5B209DD967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301" name="Line 5">
          <a:extLst>
            <a:ext uri="{FF2B5EF4-FFF2-40B4-BE49-F238E27FC236}">
              <a16:creationId xmlns:a16="http://schemas.microsoft.com/office/drawing/2014/main" id="{85E00705-F0A5-42C4-8E2A-73C2BF01C681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302" name="Line 7">
          <a:extLst>
            <a:ext uri="{FF2B5EF4-FFF2-40B4-BE49-F238E27FC236}">
              <a16:creationId xmlns:a16="http://schemas.microsoft.com/office/drawing/2014/main" id="{B538C5F9-FB57-44E3-BDEE-D01B594EB2EB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303" name="Line 2">
          <a:extLst>
            <a:ext uri="{FF2B5EF4-FFF2-40B4-BE49-F238E27FC236}">
              <a16:creationId xmlns:a16="http://schemas.microsoft.com/office/drawing/2014/main" id="{1ED62E4D-02C0-40D3-BF6B-C9788B457A35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304" name="Line 3">
          <a:extLst>
            <a:ext uri="{FF2B5EF4-FFF2-40B4-BE49-F238E27FC236}">
              <a16:creationId xmlns:a16="http://schemas.microsoft.com/office/drawing/2014/main" id="{6050F6F4-A8EF-4586-8874-35F858EC2419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305" name="Line 4">
          <a:extLst>
            <a:ext uri="{FF2B5EF4-FFF2-40B4-BE49-F238E27FC236}">
              <a16:creationId xmlns:a16="http://schemas.microsoft.com/office/drawing/2014/main" id="{46028951-93E0-4346-BB9F-229E389A90F1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306" name="Line 5">
          <a:extLst>
            <a:ext uri="{FF2B5EF4-FFF2-40B4-BE49-F238E27FC236}">
              <a16:creationId xmlns:a16="http://schemas.microsoft.com/office/drawing/2014/main" id="{39B55196-3C43-465B-9B4C-507AA6633ED7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307" name="Line 2">
          <a:extLst>
            <a:ext uri="{FF2B5EF4-FFF2-40B4-BE49-F238E27FC236}">
              <a16:creationId xmlns:a16="http://schemas.microsoft.com/office/drawing/2014/main" id="{C1AE64D3-F3A0-45AE-AC73-9F154F6AA795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308" name="Line 3">
          <a:extLst>
            <a:ext uri="{FF2B5EF4-FFF2-40B4-BE49-F238E27FC236}">
              <a16:creationId xmlns:a16="http://schemas.microsoft.com/office/drawing/2014/main" id="{222307AF-6D50-4C92-B1BB-5C3DA7630DE1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309" name="Line 4">
          <a:extLst>
            <a:ext uri="{FF2B5EF4-FFF2-40B4-BE49-F238E27FC236}">
              <a16:creationId xmlns:a16="http://schemas.microsoft.com/office/drawing/2014/main" id="{D49C2C93-F293-4563-8826-C61AE1D819F0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310" name="Line 2">
          <a:extLst>
            <a:ext uri="{FF2B5EF4-FFF2-40B4-BE49-F238E27FC236}">
              <a16:creationId xmlns:a16="http://schemas.microsoft.com/office/drawing/2014/main" id="{BDD7F865-E2E5-495D-8F9B-F70BDA10D346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311" name="Line 3">
          <a:extLst>
            <a:ext uri="{FF2B5EF4-FFF2-40B4-BE49-F238E27FC236}">
              <a16:creationId xmlns:a16="http://schemas.microsoft.com/office/drawing/2014/main" id="{2A93AE26-ED4A-4DEA-97D8-00ADC63DE924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538</xdr:row>
      <xdr:rowOff>0</xdr:rowOff>
    </xdr:from>
    <xdr:to>
      <xdr:col>8</xdr:col>
      <xdr:colOff>180975</xdr:colOff>
      <xdr:row>538</xdr:row>
      <xdr:rowOff>0</xdr:rowOff>
    </xdr:to>
    <xdr:sp macro="" textlink="">
      <xdr:nvSpPr>
        <xdr:cNvPr id="312" name="Line 4">
          <a:extLst>
            <a:ext uri="{FF2B5EF4-FFF2-40B4-BE49-F238E27FC236}">
              <a16:creationId xmlns:a16="http://schemas.microsoft.com/office/drawing/2014/main" id="{3948986D-91DC-43FE-A63B-15AC1B7347B6}"/>
            </a:ext>
          </a:extLst>
        </xdr:cNvPr>
        <xdr:cNvSpPr>
          <a:spLocks noChangeShapeType="1"/>
        </xdr:cNvSpPr>
      </xdr:nvSpPr>
      <xdr:spPr bwMode="auto">
        <a:xfrm>
          <a:off x="4924425" y="9496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313" name="Line 2">
          <a:extLst>
            <a:ext uri="{FF2B5EF4-FFF2-40B4-BE49-F238E27FC236}">
              <a16:creationId xmlns:a16="http://schemas.microsoft.com/office/drawing/2014/main" id="{0C319902-BBBF-4547-B3C1-30D2003634B9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314" name="Line 3">
          <a:extLst>
            <a:ext uri="{FF2B5EF4-FFF2-40B4-BE49-F238E27FC236}">
              <a16:creationId xmlns:a16="http://schemas.microsoft.com/office/drawing/2014/main" id="{E034BCB5-CED1-4350-9F5D-D3C4D4989EF4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541</xdr:row>
      <xdr:rowOff>0</xdr:rowOff>
    </xdr:from>
    <xdr:to>
      <xdr:col>8</xdr:col>
      <xdr:colOff>180975</xdr:colOff>
      <xdr:row>541</xdr:row>
      <xdr:rowOff>0</xdr:rowOff>
    </xdr:to>
    <xdr:sp macro="" textlink="">
      <xdr:nvSpPr>
        <xdr:cNvPr id="315" name="Line 4">
          <a:extLst>
            <a:ext uri="{FF2B5EF4-FFF2-40B4-BE49-F238E27FC236}">
              <a16:creationId xmlns:a16="http://schemas.microsoft.com/office/drawing/2014/main" id="{1EE8F528-74CE-44B3-8534-1CD28A16AED6}"/>
            </a:ext>
          </a:extLst>
        </xdr:cNvPr>
        <xdr:cNvSpPr>
          <a:spLocks noChangeShapeType="1"/>
        </xdr:cNvSpPr>
      </xdr:nvSpPr>
      <xdr:spPr bwMode="auto">
        <a:xfrm>
          <a:off x="4924425" y="9540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316" name="Line 3">
          <a:extLst>
            <a:ext uri="{FF2B5EF4-FFF2-40B4-BE49-F238E27FC236}">
              <a16:creationId xmlns:a16="http://schemas.microsoft.com/office/drawing/2014/main" id="{2F8DD0B3-0A95-4E0C-8B6D-E53C284D182B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317" name="Line 5">
          <a:extLst>
            <a:ext uri="{FF2B5EF4-FFF2-40B4-BE49-F238E27FC236}">
              <a16:creationId xmlns:a16="http://schemas.microsoft.com/office/drawing/2014/main" id="{2C603628-8E67-4AF4-A603-F62327D0946C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318" name="Line 2">
          <a:extLst>
            <a:ext uri="{FF2B5EF4-FFF2-40B4-BE49-F238E27FC236}">
              <a16:creationId xmlns:a16="http://schemas.microsoft.com/office/drawing/2014/main" id="{A16B0AD2-9721-4D0F-9D13-CF477EE15749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319" name="Line 3">
          <a:extLst>
            <a:ext uri="{FF2B5EF4-FFF2-40B4-BE49-F238E27FC236}">
              <a16:creationId xmlns:a16="http://schemas.microsoft.com/office/drawing/2014/main" id="{5CC34668-9461-4964-A5B8-555F841475BF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320" name="Line 4">
          <a:extLst>
            <a:ext uri="{FF2B5EF4-FFF2-40B4-BE49-F238E27FC236}">
              <a16:creationId xmlns:a16="http://schemas.microsoft.com/office/drawing/2014/main" id="{DBBCFCF9-3780-4AEE-8F26-4EFF9B8E2199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321" name="Line 5">
          <a:extLst>
            <a:ext uri="{FF2B5EF4-FFF2-40B4-BE49-F238E27FC236}">
              <a16:creationId xmlns:a16="http://schemas.microsoft.com/office/drawing/2014/main" id="{3D247B25-3C3A-4984-AFA4-CD3843FC6FC1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322" name="Line 7">
          <a:extLst>
            <a:ext uri="{FF2B5EF4-FFF2-40B4-BE49-F238E27FC236}">
              <a16:creationId xmlns:a16="http://schemas.microsoft.com/office/drawing/2014/main" id="{08D71416-C745-460F-BA8C-E010DECC95B1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326" name="Line 5">
          <a:extLst>
            <a:ext uri="{FF2B5EF4-FFF2-40B4-BE49-F238E27FC236}">
              <a16:creationId xmlns:a16="http://schemas.microsoft.com/office/drawing/2014/main" id="{23C8F4A5-F267-4893-8EA8-4A851B91E129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329" name="Line 4">
          <a:extLst>
            <a:ext uri="{FF2B5EF4-FFF2-40B4-BE49-F238E27FC236}">
              <a16:creationId xmlns:a16="http://schemas.microsoft.com/office/drawing/2014/main" id="{69D997DC-B998-44DF-93D3-52592598F48B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588</xdr:row>
      <xdr:rowOff>0</xdr:rowOff>
    </xdr:from>
    <xdr:to>
      <xdr:col>8</xdr:col>
      <xdr:colOff>180975</xdr:colOff>
      <xdr:row>588</xdr:row>
      <xdr:rowOff>0</xdr:rowOff>
    </xdr:to>
    <xdr:sp macro="" textlink="">
      <xdr:nvSpPr>
        <xdr:cNvPr id="332" name="Line 4">
          <a:extLst>
            <a:ext uri="{FF2B5EF4-FFF2-40B4-BE49-F238E27FC236}">
              <a16:creationId xmlns:a16="http://schemas.microsoft.com/office/drawing/2014/main" id="{782C5A3C-F4A8-4BD7-BB38-1EBC079E5E2A}"/>
            </a:ext>
          </a:extLst>
        </xdr:cNvPr>
        <xdr:cNvSpPr>
          <a:spLocks noChangeShapeType="1"/>
        </xdr:cNvSpPr>
      </xdr:nvSpPr>
      <xdr:spPr bwMode="auto">
        <a:xfrm>
          <a:off x="4924425" y="103498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335" name="Line 4">
          <a:extLst>
            <a:ext uri="{FF2B5EF4-FFF2-40B4-BE49-F238E27FC236}">
              <a16:creationId xmlns:a16="http://schemas.microsoft.com/office/drawing/2014/main" id="{DF469EED-298A-4B1F-89CD-F35A3AFDFC15}"/>
            </a:ext>
          </a:extLst>
        </xdr:cNvPr>
        <xdr:cNvSpPr>
          <a:spLocks noChangeShapeType="1"/>
        </xdr:cNvSpPr>
      </xdr:nvSpPr>
      <xdr:spPr bwMode="auto">
        <a:xfrm>
          <a:off x="4924425" y="10393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336" name="Line 3">
          <a:extLst>
            <a:ext uri="{FF2B5EF4-FFF2-40B4-BE49-F238E27FC236}">
              <a16:creationId xmlns:a16="http://schemas.microsoft.com/office/drawing/2014/main" id="{6710E494-46A4-489E-BB2F-699E6A3435E8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337" name="Line 5">
          <a:extLst>
            <a:ext uri="{FF2B5EF4-FFF2-40B4-BE49-F238E27FC236}">
              <a16:creationId xmlns:a16="http://schemas.microsoft.com/office/drawing/2014/main" id="{EF28A47B-4B2B-4310-A6A3-623998AB8D94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338" name="Line 2">
          <a:extLst>
            <a:ext uri="{FF2B5EF4-FFF2-40B4-BE49-F238E27FC236}">
              <a16:creationId xmlns:a16="http://schemas.microsoft.com/office/drawing/2014/main" id="{B379E205-CA47-459D-8203-A77175611FE7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339" name="Line 3">
          <a:extLst>
            <a:ext uri="{FF2B5EF4-FFF2-40B4-BE49-F238E27FC236}">
              <a16:creationId xmlns:a16="http://schemas.microsoft.com/office/drawing/2014/main" id="{6343E2CD-5CF2-45E3-A83A-9ECBA3D8EF34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340" name="Line 4">
          <a:extLst>
            <a:ext uri="{FF2B5EF4-FFF2-40B4-BE49-F238E27FC236}">
              <a16:creationId xmlns:a16="http://schemas.microsoft.com/office/drawing/2014/main" id="{545C089E-5168-40E6-A569-6E3BCE298B6D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341" name="Line 5">
          <a:extLst>
            <a:ext uri="{FF2B5EF4-FFF2-40B4-BE49-F238E27FC236}">
              <a16:creationId xmlns:a16="http://schemas.microsoft.com/office/drawing/2014/main" id="{DAA5EC42-39FD-4012-916F-6B298CE10BF5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664</xdr:row>
      <xdr:rowOff>0</xdr:rowOff>
    </xdr:from>
    <xdr:to>
      <xdr:col>8</xdr:col>
      <xdr:colOff>180975</xdr:colOff>
      <xdr:row>664</xdr:row>
      <xdr:rowOff>0</xdr:rowOff>
    </xdr:to>
    <xdr:sp macro="" textlink="">
      <xdr:nvSpPr>
        <xdr:cNvPr id="342" name="Line 7">
          <a:extLst>
            <a:ext uri="{FF2B5EF4-FFF2-40B4-BE49-F238E27FC236}">
              <a16:creationId xmlns:a16="http://schemas.microsoft.com/office/drawing/2014/main" id="{1AA5C965-2942-4D78-8353-25AE58AF4AF1}"/>
            </a:ext>
          </a:extLst>
        </xdr:cNvPr>
        <xdr:cNvSpPr>
          <a:spLocks noChangeShapeType="1"/>
        </xdr:cNvSpPr>
      </xdr:nvSpPr>
      <xdr:spPr bwMode="auto">
        <a:xfrm>
          <a:off x="4924425" y="11574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346" name="Line 5">
          <a:extLst>
            <a:ext uri="{FF2B5EF4-FFF2-40B4-BE49-F238E27FC236}">
              <a16:creationId xmlns:a16="http://schemas.microsoft.com/office/drawing/2014/main" id="{C8E485AA-AF1D-49E2-AEF6-CF2DA0CFEB44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349" name="Line 4">
          <a:extLst>
            <a:ext uri="{FF2B5EF4-FFF2-40B4-BE49-F238E27FC236}">
              <a16:creationId xmlns:a16="http://schemas.microsoft.com/office/drawing/2014/main" id="{CA4A097D-13BE-410B-BA75-EFF2C8F6411A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350" name="Line 2">
          <a:extLst>
            <a:ext uri="{FF2B5EF4-FFF2-40B4-BE49-F238E27FC236}">
              <a16:creationId xmlns:a16="http://schemas.microsoft.com/office/drawing/2014/main" id="{AF9F2190-6A45-423D-A039-89E814EC1FFF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351" name="Line 3">
          <a:extLst>
            <a:ext uri="{FF2B5EF4-FFF2-40B4-BE49-F238E27FC236}">
              <a16:creationId xmlns:a16="http://schemas.microsoft.com/office/drawing/2014/main" id="{8D405FC0-7B67-4EBD-95D7-DD27228961B8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639</xdr:row>
      <xdr:rowOff>0</xdr:rowOff>
    </xdr:from>
    <xdr:to>
      <xdr:col>8</xdr:col>
      <xdr:colOff>180975</xdr:colOff>
      <xdr:row>639</xdr:row>
      <xdr:rowOff>0</xdr:rowOff>
    </xdr:to>
    <xdr:sp macro="" textlink="">
      <xdr:nvSpPr>
        <xdr:cNvPr id="352" name="Line 4">
          <a:extLst>
            <a:ext uri="{FF2B5EF4-FFF2-40B4-BE49-F238E27FC236}">
              <a16:creationId xmlns:a16="http://schemas.microsoft.com/office/drawing/2014/main" id="{3DE65008-3BF2-4970-9865-A8E4E6E6AA0E}"/>
            </a:ext>
          </a:extLst>
        </xdr:cNvPr>
        <xdr:cNvSpPr>
          <a:spLocks noChangeShapeType="1"/>
        </xdr:cNvSpPr>
      </xdr:nvSpPr>
      <xdr:spPr bwMode="auto">
        <a:xfrm>
          <a:off x="4924425" y="11217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353" name="Line 2">
          <a:extLst>
            <a:ext uri="{FF2B5EF4-FFF2-40B4-BE49-F238E27FC236}">
              <a16:creationId xmlns:a16="http://schemas.microsoft.com/office/drawing/2014/main" id="{656CA2B7-FED9-47E8-8315-7592606C56CF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354" name="Line 3">
          <a:extLst>
            <a:ext uri="{FF2B5EF4-FFF2-40B4-BE49-F238E27FC236}">
              <a16:creationId xmlns:a16="http://schemas.microsoft.com/office/drawing/2014/main" id="{CE3F7215-FCB1-430B-8BA4-9D05AEEF1200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642</xdr:row>
      <xdr:rowOff>0</xdr:rowOff>
    </xdr:from>
    <xdr:to>
      <xdr:col>8</xdr:col>
      <xdr:colOff>180975</xdr:colOff>
      <xdr:row>642</xdr:row>
      <xdr:rowOff>0</xdr:rowOff>
    </xdr:to>
    <xdr:sp macro="" textlink="">
      <xdr:nvSpPr>
        <xdr:cNvPr id="355" name="Line 4">
          <a:extLst>
            <a:ext uri="{FF2B5EF4-FFF2-40B4-BE49-F238E27FC236}">
              <a16:creationId xmlns:a16="http://schemas.microsoft.com/office/drawing/2014/main" id="{5543F220-F019-488A-BEDC-91A608200CB1}"/>
            </a:ext>
          </a:extLst>
        </xdr:cNvPr>
        <xdr:cNvSpPr>
          <a:spLocks noChangeShapeType="1"/>
        </xdr:cNvSpPr>
      </xdr:nvSpPr>
      <xdr:spPr bwMode="auto">
        <a:xfrm>
          <a:off x="4924425" y="11260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356" name="Line 2">
          <a:extLst>
            <a:ext uri="{FF2B5EF4-FFF2-40B4-BE49-F238E27FC236}">
              <a16:creationId xmlns:a16="http://schemas.microsoft.com/office/drawing/2014/main" id="{9B6A0E91-9EEB-469D-A294-A72E8937D7E5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357" name="Line 3">
          <a:extLst>
            <a:ext uri="{FF2B5EF4-FFF2-40B4-BE49-F238E27FC236}">
              <a16:creationId xmlns:a16="http://schemas.microsoft.com/office/drawing/2014/main" id="{4FCA2E2C-FAB8-412D-9034-B26E71928508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358" name="Line 5">
          <a:extLst>
            <a:ext uri="{FF2B5EF4-FFF2-40B4-BE49-F238E27FC236}">
              <a16:creationId xmlns:a16="http://schemas.microsoft.com/office/drawing/2014/main" id="{7143B40B-860B-4E2A-8C36-6B84253EF59C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359" name="Line 3">
          <a:extLst>
            <a:ext uri="{FF2B5EF4-FFF2-40B4-BE49-F238E27FC236}">
              <a16:creationId xmlns:a16="http://schemas.microsoft.com/office/drawing/2014/main" id="{E8731DEF-CCCE-4A6D-84DC-97EAE02DC2B4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360" name="Line 5">
          <a:extLst>
            <a:ext uri="{FF2B5EF4-FFF2-40B4-BE49-F238E27FC236}">
              <a16:creationId xmlns:a16="http://schemas.microsoft.com/office/drawing/2014/main" id="{B01CAEEB-743A-4ACB-BF09-C6A55F2247CB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361" name="Line 2">
          <a:extLst>
            <a:ext uri="{FF2B5EF4-FFF2-40B4-BE49-F238E27FC236}">
              <a16:creationId xmlns:a16="http://schemas.microsoft.com/office/drawing/2014/main" id="{2553B56B-A3ED-4C4F-AE0E-C48AAE4750C6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362" name="Line 3">
          <a:extLst>
            <a:ext uri="{FF2B5EF4-FFF2-40B4-BE49-F238E27FC236}">
              <a16:creationId xmlns:a16="http://schemas.microsoft.com/office/drawing/2014/main" id="{81CDD5AA-8C77-4B55-B839-1EC198C90597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363" name="Line 4">
          <a:extLst>
            <a:ext uri="{FF2B5EF4-FFF2-40B4-BE49-F238E27FC236}">
              <a16:creationId xmlns:a16="http://schemas.microsoft.com/office/drawing/2014/main" id="{6C963643-3BF0-489C-A184-A9F18EEE8AD9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78</xdr:row>
      <xdr:rowOff>0</xdr:rowOff>
    </xdr:from>
    <xdr:to>
      <xdr:col>8</xdr:col>
      <xdr:colOff>180975</xdr:colOff>
      <xdr:row>78</xdr:row>
      <xdr:rowOff>0</xdr:rowOff>
    </xdr:to>
    <xdr:sp macro="" textlink="">
      <xdr:nvSpPr>
        <xdr:cNvPr id="364" name="Line 5">
          <a:extLst>
            <a:ext uri="{FF2B5EF4-FFF2-40B4-BE49-F238E27FC236}">
              <a16:creationId xmlns:a16="http://schemas.microsoft.com/office/drawing/2014/main" id="{673F224D-5D23-4DDF-9C00-FF7AD1C26A5D}"/>
            </a:ext>
          </a:extLst>
        </xdr:cNvPr>
        <xdr:cNvSpPr>
          <a:spLocks noChangeShapeType="1"/>
        </xdr:cNvSpPr>
      </xdr:nvSpPr>
      <xdr:spPr bwMode="auto">
        <a:xfrm>
          <a:off x="492442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98</xdr:row>
      <xdr:rowOff>0</xdr:rowOff>
    </xdr:from>
    <xdr:to>
      <xdr:col>8</xdr:col>
      <xdr:colOff>180975</xdr:colOff>
      <xdr:row>98</xdr:row>
      <xdr:rowOff>0</xdr:rowOff>
    </xdr:to>
    <xdr:sp macro="" textlink="">
      <xdr:nvSpPr>
        <xdr:cNvPr id="365" name="Line 7">
          <a:extLst>
            <a:ext uri="{FF2B5EF4-FFF2-40B4-BE49-F238E27FC236}">
              <a16:creationId xmlns:a16="http://schemas.microsoft.com/office/drawing/2014/main" id="{0456F989-A979-4BC0-B9CD-9079CDA3BF1B}"/>
            </a:ext>
          </a:extLst>
        </xdr:cNvPr>
        <xdr:cNvSpPr>
          <a:spLocks noChangeShapeType="1"/>
        </xdr:cNvSpPr>
      </xdr:nvSpPr>
      <xdr:spPr bwMode="auto">
        <a:xfrm>
          <a:off x="4924425" y="149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367" name="Line 3">
          <a:extLst>
            <a:ext uri="{FF2B5EF4-FFF2-40B4-BE49-F238E27FC236}">
              <a16:creationId xmlns:a16="http://schemas.microsoft.com/office/drawing/2014/main" id="{EAB65563-083D-42A8-A4BC-4325F6811C52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368" name="Line 5">
          <a:extLst>
            <a:ext uri="{FF2B5EF4-FFF2-40B4-BE49-F238E27FC236}">
              <a16:creationId xmlns:a16="http://schemas.microsoft.com/office/drawing/2014/main" id="{48F2D5A6-7969-4C04-BE02-472D439DE54D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369" name="Line 2">
          <a:extLst>
            <a:ext uri="{FF2B5EF4-FFF2-40B4-BE49-F238E27FC236}">
              <a16:creationId xmlns:a16="http://schemas.microsoft.com/office/drawing/2014/main" id="{0A6582E9-724A-4620-9B5B-801711B41931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370" name="Line 3">
          <a:extLst>
            <a:ext uri="{FF2B5EF4-FFF2-40B4-BE49-F238E27FC236}">
              <a16:creationId xmlns:a16="http://schemas.microsoft.com/office/drawing/2014/main" id="{1EDF5445-7C74-47B9-A193-7354F8EADFB4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371" name="Line 4">
          <a:extLst>
            <a:ext uri="{FF2B5EF4-FFF2-40B4-BE49-F238E27FC236}">
              <a16:creationId xmlns:a16="http://schemas.microsoft.com/office/drawing/2014/main" id="{5F5777C5-2B3D-4228-8FEA-EEEDC9E1FE8F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372" name="Line 5">
          <a:extLst>
            <a:ext uri="{FF2B5EF4-FFF2-40B4-BE49-F238E27FC236}">
              <a16:creationId xmlns:a16="http://schemas.microsoft.com/office/drawing/2014/main" id="{BC63DA07-6B31-494B-9FA5-0B3B090D87F5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374" name="Line 2">
          <a:extLst>
            <a:ext uri="{FF2B5EF4-FFF2-40B4-BE49-F238E27FC236}">
              <a16:creationId xmlns:a16="http://schemas.microsoft.com/office/drawing/2014/main" id="{B6A5333A-F0FA-4100-8ABB-56C07678F18A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375" name="Line 3">
          <a:extLst>
            <a:ext uri="{FF2B5EF4-FFF2-40B4-BE49-F238E27FC236}">
              <a16:creationId xmlns:a16="http://schemas.microsoft.com/office/drawing/2014/main" id="{BACE67A3-CE05-4FC3-9309-1C764DE8223A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376" name="Line 4">
          <a:extLst>
            <a:ext uri="{FF2B5EF4-FFF2-40B4-BE49-F238E27FC236}">
              <a16:creationId xmlns:a16="http://schemas.microsoft.com/office/drawing/2014/main" id="{3B6CF7ED-65B1-4874-B430-47D60DAD57DE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377" name="Line 5">
          <a:extLst>
            <a:ext uri="{FF2B5EF4-FFF2-40B4-BE49-F238E27FC236}">
              <a16:creationId xmlns:a16="http://schemas.microsoft.com/office/drawing/2014/main" id="{EF3C1F80-1850-48CE-AFC6-1D670E3EF2E4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378" name="Line 2">
          <a:extLst>
            <a:ext uri="{FF2B5EF4-FFF2-40B4-BE49-F238E27FC236}">
              <a16:creationId xmlns:a16="http://schemas.microsoft.com/office/drawing/2014/main" id="{E2EC03BA-FB52-4C6D-8CF3-77086FCA5F0C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79" name="Line 3">
          <a:extLst>
            <a:ext uri="{FF2B5EF4-FFF2-40B4-BE49-F238E27FC236}">
              <a16:creationId xmlns:a16="http://schemas.microsoft.com/office/drawing/2014/main" id="{8FB6BA63-9C4A-41E4-A897-8C75081F7B25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80" name="Line 5">
          <a:extLst>
            <a:ext uri="{FF2B5EF4-FFF2-40B4-BE49-F238E27FC236}">
              <a16:creationId xmlns:a16="http://schemas.microsoft.com/office/drawing/2014/main" id="{CD06DA87-BFBA-4CBD-99D4-508761B8832E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381" name="Line 2">
          <a:extLst>
            <a:ext uri="{FF2B5EF4-FFF2-40B4-BE49-F238E27FC236}">
              <a16:creationId xmlns:a16="http://schemas.microsoft.com/office/drawing/2014/main" id="{44AD4C05-7A68-48C7-8EBF-BD3464EF7B55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382" name="Line 3">
          <a:extLst>
            <a:ext uri="{FF2B5EF4-FFF2-40B4-BE49-F238E27FC236}">
              <a16:creationId xmlns:a16="http://schemas.microsoft.com/office/drawing/2014/main" id="{7EF81F93-5911-4520-9E65-448C6248A9EC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383" name="Line 4">
          <a:extLst>
            <a:ext uri="{FF2B5EF4-FFF2-40B4-BE49-F238E27FC236}">
              <a16:creationId xmlns:a16="http://schemas.microsoft.com/office/drawing/2014/main" id="{AAEF313D-3AC1-4898-B0D8-D77E885BB3E4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384" name="Line 5">
          <a:extLst>
            <a:ext uri="{FF2B5EF4-FFF2-40B4-BE49-F238E27FC236}">
              <a16:creationId xmlns:a16="http://schemas.microsoft.com/office/drawing/2014/main" id="{51043ADA-14BA-4C70-87C2-2544D0CD2C26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385" name="Line 7">
          <a:extLst>
            <a:ext uri="{FF2B5EF4-FFF2-40B4-BE49-F238E27FC236}">
              <a16:creationId xmlns:a16="http://schemas.microsoft.com/office/drawing/2014/main" id="{3D952D8F-5A40-44A9-A8B4-4C43A33F7C1F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386" name="Line 2">
          <a:extLst>
            <a:ext uri="{FF2B5EF4-FFF2-40B4-BE49-F238E27FC236}">
              <a16:creationId xmlns:a16="http://schemas.microsoft.com/office/drawing/2014/main" id="{6A1A7C67-04F3-40E7-87E8-4E491BBBC0BD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387" name="Line 3">
          <a:extLst>
            <a:ext uri="{FF2B5EF4-FFF2-40B4-BE49-F238E27FC236}">
              <a16:creationId xmlns:a16="http://schemas.microsoft.com/office/drawing/2014/main" id="{A0FBA86A-9E5B-4261-A307-C99A60AF19C4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388" name="Line 4">
          <a:extLst>
            <a:ext uri="{FF2B5EF4-FFF2-40B4-BE49-F238E27FC236}">
              <a16:creationId xmlns:a16="http://schemas.microsoft.com/office/drawing/2014/main" id="{AA49AF25-2F5E-4F99-8197-5FACCC4E25F1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389" name="Line 5">
          <a:extLst>
            <a:ext uri="{FF2B5EF4-FFF2-40B4-BE49-F238E27FC236}">
              <a16:creationId xmlns:a16="http://schemas.microsoft.com/office/drawing/2014/main" id="{EEBCAA5D-51A7-4BC2-8482-C7CB43FBB887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390" name="Line 2">
          <a:extLst>
            <a:ext uri="{FF2B5EF4-FFF2-40B4-BE49-F238E27FC236}">
              <a16:creationId xmlns:a16="http://schemas.microsoft.com/office/drawing/2014/main" id="{201A0B3B-8E98-4E4E-8BD5-3EF8D44338FD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391" name="Line 3">
          <a:extLst>
            <a:ext uri="{FF2B5EF4-FFF2-40B4-BE49-F238E27FC236}">
              <a16:creationId xmlns:a16="http://schemas.microsoft.com/office/drawing/2014/main" id="{7C0D6FB7-5EDE-4C00-AE35-44DB6454D01F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392" name="Line 4">
          <a:extLst>
            <a:ext uri="{FF2B5EF4-FFF2-40B4-BE49-F238E27FC236}">
              <a16:creationId xmlns:a16="http://schemas.microsoft.com/office/drawing/2014/main" id="{C448E0FF-67BC-4A5A-94A6-3E0FCD9A7498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394" name="Line 7">
          <a:extLst>
            <a:ext uri="{FF2B5EF4-FFF2-40B4-BE49-F238E27FC236}">
              <a16:creationId xmlns:a16="http://schemas.microsoft.com/office/drawing/2014/main" id="{F5BD3E08-E41A-43A5-B51E-6BF9803C7AE0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395" name="Line 8">
          <a:extLst>
            <a:ext uri="{FF2B5EF4-FFF2-40B4-BE49-F238E27FC236}">
              <a16:creationId xmlns:a16="http://schemas.microsoft.com/office/drawing/2014/main" id="{04A5ADC7-8DF8-4DC5-9E91-B85BFFE0D979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396" name="Rectangle 7">
          <a:extLst>
            <a:ext uri="{FF2B5EF4-FFF2-40B4-BE49-F238E27FC236}">
              <a16:creationId xmlns:a16="http://schemas.microsoft.com/office/drawing/2014/main" id="{CA44DB72-1379-4451-B437-B974408CFF25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397" name="Rectangle 8">
          <a:extLst>
            <a:ext uri="{FF2B5EF4-FFF2-40B4-BE49-F238E27FC236}">
              <a16:creationId xmlns:a16="http://schemas.microsoft.com/office/drawing/2014/main" id="{50560D93-C3F6-4E1A-ABA8-951AA9F6D267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398" name="Line 2">
          <a:extLst>
            <a:ext uri="{FF2B5EF4-FFF2-40B4-BE49-F238E27FC236}">
              <a16:creationId xmlns:a16="http://schemas.microsoft.com/office/drawing/2014/main" id="{A5D20545-E7DC-4F9E-AF3A-CFB785FD17A4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399" name="Line 3">
          <a:extLst>
            <a:ext uri="{FF2B5EF4-FFF2-40B4-BE49-F238E27FC236}">
              <a16:creationId xmlns:a16="http://schemas.microsoft.com/office/drawing/2014/main" id="{B912B23F-3AC9-4E57-99F2-00F2C126F25B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400" name="Line 5">
          <a:extLst>
            <a:ext uri="{FF2B5EF4-FFF2-40B4-BE49-F238E27FC236}">
              <a16:creationId xmlns:a16="http://schemas.microsoft.com/office/drawing/2014/main" id="{E5E6E051-211F-4684-83A4-95602898BDC1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401" name="Line 2">
          <a:extLst>
            <a:ext uri="{FF2B5EF4-FFF2-40B4-BE49-F238E27FC236}">
              <a16:creationId xmlns:a16="http://schemas.microsoft.com/office/drawing/2014/main" id="{566A66CB-845F-45C2-B3AD-4867976C443B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402" name="Line 3">
          <a:extLst>
            <a:ext uri="{FF2B5EF4-FFF2-40B4-BE49-F238E27FC236}">
              <a16:creationId xmlns:a16="http://schemas.microsoft.com/office/drawing/2014/main" id="{6A6FBC58-7912-4442-B61C-3F6759C6EFA3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403" name="Line 4">
          <a:extLst>
            <a:ext uri="{FF2B5EF4-FFF2-40B4-BE49-F238E27FC236}">
              <a16:creationId xmlns:a16="http://schemas.microsoft.com/office/drawing/2014/main" id="{097416B0-D89E-4E4A-801B-3794F37BBCBE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404" name="Line 5">
          <a:extLst>
            <a:ext uri="{FF2B5EF4-FFF2-40B4-BE49-F238E27FC236}">
              <a16:creationId xmlns:a16="http://schemas.microsoft.com/office/drawing/2014/main" id="{6CD27ED9-67AD-4B49-8633-D470ADA368D3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405" name="Line 7">
          <a:extLst>
            <a:ext uri="{FF2B5EF4-FFF2-40B4-BE49-F238E27FC236}">
              <a16:creationId xmlns:a16="http://schemas.microsoft.com/office/drawing/2014/main" id="{27B4D205-F684-424A-9976-39D201BCE745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406" name="Line 2">
          <a:extLst>
            <a:ext uri="{FF2B5EF4-FFF2-40B4-BE49-F238E27FC236}">
              <a16:creationId xmlns:a16="http://schemas.microsoft.com/office/drawing/2014/main" id="{82AD3281-E1E4-46F4-B460-178C9D507D1D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407" name="Line 3">
          <a:extLst>
            <a:ext uri="{FF2B5EF4-FFF2-40B4-BE49-F238E27FC236}">
              <a16:creationId xmlns:a16="http://schemas.microsoft.com/office/drawing/2014/main" id="{5094D328-6D76-4288-9AB0-2F124B86E48E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408" name="Line 4">
          <a:extLst>
            <a:ext uri="{FF2B5EF4-FFF2-40B4-BE49-F238E27FC236}">
              <a16:creationId xmlns:a16="http://schemas.microsoft.com/office/drawing/2014/main" id="{21B9842C-104C-4D12-A1F9-DF0A9F4CAD8B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409" name="Line 5">
          <a:extLst>
            <a:ext uri="{FF2B5EF4-FFF2-40B4-BE49-F238E27FC236}">
              <a16:creationId xmlns:a16="http://schemas.microsoft.com/office/drawing/2014/main" id="{8F4A1493-F333-4E55-9957-A924CAB4026C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410" name="Line 2">
          <a:extLst>
            <a:ext uri="{FF2B5EF4-FFF2-40B4-BE49-F238E27FC236}">
              <a16:creationId xmlns:a16="http://schemas.microsoft.com/office/drawing/2014/main" id="{DB234CEB-353C-45EF-A79C-03979E4EF703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411" name="Line 3">
          <a:extLst>
            <a:ext uri="{FF2B5EF4-FFF2-40B4-BE49-F238E27FC236}">
              <a16:creationId xmlns:a16="http://schemas.microsoft.com/office/drawing/2014/main" id="{D1C41AFF-7580-4F6B-BDF2-049CC0C382AF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412" name="Line 4">
          <a:extLst>
            <a:ext uri="{FF2B5EF4-FFF2-40B4-BE49-F238E27FC236}">
              <a16:creationId xmlns:a16="http://schemas.microsoft.com/office/drawing/2014/main" id="{E304BF1F-BBE2-4502-9430-CF97A9CA8F98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414" name="Line 7">
          <a:extLst>
            <a:ext uri="{FF2B5EF4-FFF2-40B4-BE49-F238E27FC236}">
              <a16:creationId xmlns:a16="http://schemas.microsoft.com/office/drawing/2014/main" id="{EBF59DC0-696A-4055-A7F4-8DDA4E0D5001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415" name="Line 8">
          <a:extLst>
            <a:ext uri="{FF2B5EF4-FFF2-40B4-BE49-F238E27FC236}">
              <a16:creationId xmlns:a16="http://schemas.microsoft.com/office/drawing/2014/main" id="{CA58FA3C-24AE-4B79-AEF8-A3CC3B908EB9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416" name="Rectangle 7">
          <a:extLst>
            <a:ext uri="{FF2B5EF4-FFF2-40B4-BE49-F238E27FC236}">
              <a16:creationId xmlns:a16="http://schemas.microsoft.com/office/drawing/2014/main" id="{1C7EA85B-2B92-49DF-8556-92F2D18C78A7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417" name="Rectangle 8">
          <a:extLst>
            <a:ext uri="{FF2B5EF4-FFF2-40B4-BE49-F238E27FC236}">
              <a16:creationId xmlns:a16="http://schemas.microsoft.com/office/drawing/2014/main" id="{DB02B28F-BF0E-409F-A0B6-32E070E908E9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418" name="Line 3">
          <a:extLst>
            <a:ext uri="{FF2B5EF4-FFF2-40B4-BE49-F238E27FC236}">
              <a16:creationId xmlns:a16="http://schemas.microsoft.com/office/drawing/2014/main" id="{6B5202B6-7810-476B-910A-B6877B66C628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419" name="Line 5">
          <a:extLst>
            <a:ext uri="{FF2B5EF4-FFF2-40B4-BE49-F238E27FC236}">
              <a16:creationId xmlns:a16="http://schemas.microsoft.com/office/drawing/2014/main" id="{14859FC9-36F2-424E-945F-52C3AF9CEE4D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420" name="Line 2">
          <a:extLst>
            <a:ext uri="{FF2B5EF4-FFF2-40B4-BE49-F238E27FC236}">
              <a16:creationId xmlns:a16="http://schemas.microsoft.com/office/drawing/2014/main" id="{38B5045D-6613-4A57-A247-C9782A75FC64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421" name="Line 3">
          <a:extLst>
            <a:ext uri="{FF2B5EF4-FFF2-40B4-BE49-F238E27FC236}">
              <a16:creationId xmlns:a16="http://schemas.microsoft.com/office/drawing/2014/main" id="{6EED0E47-C36E-46C2-B2AD-5CC78D8F10A3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422" name="Line 4">
          <a:extLst>
            <a:ext uri="{FF2B5EF4-FFF2-40B4-BE49-F238E27FC236}">
              <a16:creationId xmlns:a16="http://schemas.microsoft.com/office/drawing/2014/main" id="{8ECC677C-AC3C-4C6D-AFFB-E21FFDCF0E41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423" name="Line 5">
          <a:extLst>
            <a:ext uri="{FF2B5EF4-FFF2-40B4-BE49-F238E27FC236}">
              <a16:creationId xmlns:a16="http://schemas.microsoft.com/office/drawing/2014/main" id="{59FC0814-81C6-4834-B6D3-C286DB7E0F66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425" name="Line 2">
          <a:extLst>
            <a:ext uri="{FF2B5EF4-FFF2-40B4-BE49-F238E27FC236}">
              <a16:creationId xmlns:a16="http://schemas.microsoft.com/office/drawing/2014/main" id="{F25BE485-6E5E-4D8F-9F90-BA025B2DE9E7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426" name="Line 3">
          <a:extLst>
            <a:ext uri="{FF2B5EF4-FFF2-40B4-BE49-F238E27FC236}">
              <a16:creationId xmlns:a16="http://schemas.microsoft.com/office/drawing/2014/main" id="{43DC2C66-8F7D-4EAB-8D15-A394B5BC8697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427" name="Line 4">
          <a:extLst>
            <a:ext uri="{FF2B5EF4-FFF2-40B4-BE49-F238E27FC236}">
              <a16:creationId xmlns:a16="http://schemas.microsoft.com/office/drawing/2014/main" id="{5DD3D8B1-6D8D-41F8-BFFF-93B99868E06F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428" name="Line 5">
          <a:extLst>
            <a:ext uri="{FF2B5EF4-FFF2-40B4-BE49-F238E27FC236}">
              <a16:creationId xmlns:a16="http://schemas.microsoft.com/office/drawing/2014/main" id="{DEEE6006-910D-44C6-AA75-7B45EF816197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429" name="Line 2">
          <a:extLst>
            <a:ext uri="{FF2B5EF4-FFF2-40B4-BE49-F238E27FC236}">
              <a16:creationId xmlns:a16="http://schemas.microsoft.com/office/drawing/2014/main" id="{41C5B3FC-1E5A-4E31-BEA6-577670380279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430" name="Line 3">
          <a:extLst>
            <a:ext uri="{FF2B5EF4-FFF2-40B4-BE49-F238E27FC236}">
              <a16:creationId xmlns:a16="http://schemas.microsoft.com/office/drawing/2014/main" id="{4FBFA520-88AD-44B6-93B2-606371FD2E77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431" name="Line 4">
          <a:extLst>
            <a:ext uri="{FF2B5EF4-FFF2-40B4-BE49-F238E27FC236}">
              <a16:creationId xmlns:a16="http://schemas.microsoft.com/office/drawing/2014/main" id="{F24EEBF5-3C67-46A3-8202-709EAC0DABFB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342</xdr:row>
      <xdr:rowOff>0</xdr:rowOff>
    </xdr:from>
    <xdr:to>
      <xdr:col>8</xdr:col>
      <xdr:colOff>180975</xdr:colOff>
      <xdr:row>342</xdr:row>
      <xdr:rowOff>0</xdr:rowOff>
    </xdr:to>
    <xdr:sp macro="" textlink="">
      <xdr:nvSpPr>
        <xdr:cNvPr id="433" name="Line 7">
          <a:extLst>
            <a:ext uri="{FF2B5EF4-FFF2-40B4-BE49-F238E27FC236}">
              <a16:creationId xmlns:a16="http://schemas.microsoft.com/office/drawing/2014/main" id="{EC2F6CEA-916F-42A3-82AC-8276DF3C65C5}"/>
            </a:ext>
          </a:extLst>
        </xdr:cNvPr>
        <xdr:cNvSpPr>
          <a:spLocks noChangeShapeType="1"/>
        </xdr:cNvSpPr>
      </xdr:nvSpPr>
      <xdr:spPr bwMode="auto">
        <a:xfrm>
          <a:off x="4924425" y="571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434" name="Line 3">
          <a:extLst>
            <a:ext uri="{FF2B5EF4-FFF2-40B4-BE49-F238E27FC236}">
              <a16:creationId xmlns:a16="http://schemas.microsoft.com/office/drawing/2014/main" id="{08E041A4-B1F0-4042-9CFF-6C7F8D5454BF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435" name="Line 5">
          <a:extLst>
            <a:ext uri="{FF2B5EF4-FFF2-40B4-BE49-F238E27FC236}">
              <a16:creationId xmlns:a16="http://schemas.microsoft.com/office/drawing/2014/main" id="{ADF30291-752E-430A-A0D0-1EC7BF9B0EA6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436" name="Line 2">
          <a:extLst>
            <a:ext uri="{FF2B5EF4-FFF2-40B4-BE49-F238E27FC236}">
              <a16:creationId xmlns:a16="http://schemas.microsoft.com/office/drawing/2014/main" id="{0E1A8440-E590-4887-A5CD-70076A15EFC1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437" name="Line 3">
          <a:extLst>
            <a:ext uri="{FF2B5EF4-FFF2-40B4-BE49-F238E27FC236}">
              <a16:creationId xmlns:a16="http://schemas.microsoft.com/office/drawing/2014/main" id="{440A7DEC-0FDC-4B45-BC32-A9465A6CF203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438" name="Line 4">
          <a:extLst>
            <a:ext uri="{FF2B5EF4-FFF2-40B4-BE49-F238E27FC236}">
              <a16:creationId xmlns:a16="http://schemas.microsoft.com/office/drawing/2014/main" id="{5C65389C-FB4C-477C-B128-5AFC683979BE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439" name="Line 5">
          <a:extLst>
            <a:ext uri="{FF2B5EF4-FFF2-40B4-BE49-F238E27FC236}">
              <a16:creationId xmlns:a16="http://schemas.microsoft.com/office/drawing/2014/main" id="{81661BE0-1C86-4DAA-BAF4-4588A5A06BDC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440" name="Line 7">
          <a:extLst>
            <a:ext uri="{FF2B5EF4-FFF2-40B4-BE49-F238E27FC236}">
              <a16:creationId xmlns:a16="http://schemas.microsoft.com/office/drawing/2014/main" id="{52819AF3-39CA-4BF0-B893-CBFB48F1FD6A}"/>
            </a:ext>
          </a:extLst>
        </xdr:cNvPr>
        <xdr:cNvSpPr>
          <a:spLocks noChangeShapeType="1"/>
        </xdr:cNvSpPr>
      </xdr:nvSpPr>
      <xdr:spPr bwMode="auto">
        <a:xfrm>
          <a:off x="4924425" y="69942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441" name="Line 2">
          <a:extLst>
            <a:ext uri="{FF2B5EF4-FFF2-40B4-BE49-F238E27FC236}">
              <a16:creationId xmlns:a16="http://schemas.microsoft.com/office/drawing/2014/main" id="{E4816F9B-227D-444D-8688-AAD0E47C0A02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442" name="Line 3">
          <a:extLst>
            <a:ext uri="{FF2B5EF4-FFF2-40B4-BE49-F238E27FC236}">
              <a16:creationId xmlns:a16="http://schemas.microsoft.com/office/drawing/2014/main" id="{BC72CBCA-69EC-4A56-BE6F-404C172C9FC0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443" name="Line 4">
          <a:extLst>
            <a:ext uri="{FF2B5EF4-FFF2-40B4-BE49-F238E27FC236}">
              <a16:creationId xmlns:a16="http://schemas.microsoft.com/office/drawing/2014/main" id="{30D05A86-FBDA-46F7-9C41-6C30C4361D56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444" name="Line 5">
          <a:extLst>
            <a:ext uri="{FF2B5EF4-FFF2-40B4-BE49-F238E27FC236}">
              <a16:creationId xmlns:a16="http://schemas.microsoft.com/office/drawing/2014/main" id="{F5AEF65F-2E08-4D17-B294-5C3F70A33D4E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445" name="Line 2">
          <a:extLst>
            <a:ext uri="{FF2B5EF4-FFF2-40B4-BE49-F238E27FC236}">
              <a16:creationId xmlns:a16="http://schemas.microsoft.com/office/drawing/2014/main" id="{E3BF664C-5ACA-4900-83B6-558D6B812AC4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446" name="Line 3">
          <a:extLst>
            <a:ext uri="{FF2B5EF4-FFF2-40B4-BE49-F238E27FC236}">
              <a16:creationId xmlns:a16="http://schemas.microsoft.com/office/drawing/2014/main" id="{40B42892-FBFF-4AAF-9F1A-4A2F1794FD1C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447" name="Line 4">
          <a:extLst>
            <a:ext uri="{FF2B5EF4-FFF2-40B4-BE49-F238E27FC236}">
              <a16:creationId xmlns:a16="http://schemas.microsoft.com/office/drawing/2014/main" id="{474BAA4B-9DB1-4865-BDE5-A76BC06625EF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448" name="Line 5">
          <a:extLst>
            <a:ext uri="{FF2B5EF4-FFF2-40B4-BE49-F238E27FC236}">
              <a16:creationId xmlns:a16="http://schemas.microsoft.com/office/drawing/2014/main" id="{FD89A37F-5F2B-483E-98B9-0EA7B414F3E7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449" name="Line 7">
          <a:extLst>
            <a:ext uri="{FF2B5EF4-FFF2-40B4-BE49-F238E27FC236}">
              <a16:creationId xmlns:a16="http://schemas.microsoft.com/office/drawing/2014/main" id="{968C8DF7-AE98-48AF-8771-3FEB9B3B92CE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450" name="Line 2">
          <a:extLst>
            <a:ext uri="{FF2B5EF4-FFF2-40B4-BE49-F238E27FC236}">
              <a16:creationId xmlns:a16="http://schemas.microsoft.com/office/drawing/2014/main" id="{E87234D3-2E5C-42D6-9130-32F7BBDCF538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451" name="Line 3">
          <a:extLst>
            <a:ext uri="{FF2B5EF4-FFF2-40B4-BE49-F238E27FC236}">
              <a16:creationId xmlns:a16="http://schemas.microsoft.com/office/drawing/2014/main" id="{2E9B63F2-4B73-4FE0-8F08-BFA2F2E6E202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376</xdr:row>
      <xdr:rowOff>0</xdr:rowOff>
    </xdr:from>
    <xdr:to>
      <xdr:col>8</xdr:col>
      <xdr:colOff>180975</xdr:colOff>
      <xdr:row>376</xdr:row>
      <xdr:rowOff>0</xdr:rowOff>
    </xdr:to>
    <xdr:sp macro="" textlink="">
      <xdr:nvSpPr>
        <xdr:cNvPr id="452" name="Line 4">
          <a:extLst>
            <a:ext uri="{FF2B5EF4-FFF2-40B4-BE49-F238E27FC236}">
              <a16:creationId xmlns:a16="http://schemas.microsoft.com/office/drawing/2014/main" id="{96604027-9F2D-4E6B-A381-B30A35F4B44E}"/>
            </a:ext>
          </a:extLst>
        </xdr:cNvPr>
        <xdr:cNvSpPr>
          <a:spLocks noChangeShapeType="1"/>
        </xdr:cNvSpPr>
      </xdr:nvSpPr>
      <xdr:spPr bwMode="auto">
        <a:xfrm>
          <a:off x="4924425" y="636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453" name="Line 3">
          <a:extLst>
            <a:ext uri="{FF2B5EF4-FFF2-40B4-BE49-F238E27FC236}">
              <a16:creationId xmlns:a16="http://schemas.microsoft.com/office/drawing/2014/main" id="{E360B559-E668-4DD9-AF03-EE393D57474C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454" name="Line 5">
          <a:extLst>
            <a:ext uri="{FF2B5EF4-FFF2-40B4-BE49-F238E27FC236}">
              <a16:creationId xmlns:a16="http://schemas.microsoft.com/office/drawing/2014/main" id="{C067DCAC-9742-4ED8-8A64-645028676A54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455" name="Line 2">
          <a:extLst>
            <a:ext uri="{FF2B5EF4-FFF2-40B4-BE49-F238E27FC236}">
              <a16:creationId xmlns:a16="http://schemas.microsoft.com/office/drawing/2014/main" id="{0F52D713-B6B3-4276-A8CC-064D69925469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456" name="Line 3">
          <a:extLst>
            <a:ext uri="{FF2B5EF4-FFF2-40B4-BE49-F238E27FC236}">
              <a16:creationId xmlns:a16="http://schemas.microsoft.com/office/drawing/2014/main" id="{0975160F-1D10-4F8A-AC65-13A8D3B9F5B1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457" name="Line 4">
          <a:extLst>
            <a:ext uri="{FF2B5EF4-FFF2-40B4-BE49-F238E27FC236}">
              <a16:creationId xmlns:a16="http://schemas.microsoft.com/office/drawing/2014/main" id="{8D9D1CB5-189F-46C4-8049-8882B08E8B91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458" name="Line 5">
          <a:extLst>
            <a:ext uri="{FF2B5EF4-FFF2-40B4-BE49-F238E27FC236}">
              <a16:creationId xmlns:a16="http://schemas.microsoft.com/office/drawing/2014/main" id="{C6A8EC45-8041-4CEE-9F17-F1ECE7850820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459" name="Line 7">
          <a:extLst>
            <a:ext uri="{FF2B5EF4-FFF2-40B4-BE49-F238E27FC236}">
              <a16:creationId xmlns:a16="http://schemas.microsoft.com/office/drawing/2014/main" id="{99A56A48-2187-44B3-86A8-132116B8E949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463" name="Line 5">
          <a:extLst>
            <a:ext uri="{FF2B5EF4-FFF2-40B4-BE49-F238E27FC236}">
              <a16:creationId xmlns:a16="http://schemas.microsoft.com/office/drawing/2014/main" id="{75C1D488-4B93-4B00-B943-88C59E3B55C4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466" name="Line 4">
          <a:extLst>
            <a:ext uri="{FF2B5EF4-FFF2-40B4-BE49-F238E27FC236}">
              <a16:creationId xmlns:a16="http://schemas.microsoft.com/office/drawing/2014/main" id="{A15E52F3-43C4-404F-A497-A8F691BB7D3C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467" name="Line 2">
          <a:extLst>
            <a:ext uri="{FF2B5EF4-FFF2-40B4-BE49-F238E27FC236}">
              <a16:creationId xmlns:a16="http://schemas.microsoft.com/office/drawing/2014/main" id="{4E61E81F-8FC2-49A5-8F6B-15E51CA44FCE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468" name="Line 3">
          <a:extLst>
            <a:ext uri="{FF2B5EF4-FFF2-40B4-BE49-F238E27FC236}">
              <a16:creationId xmlns:a16="http://schemas.microsoft.com/office/drawing/2014/main" id="{FABE3F49-4344-4431-B0A0-468D5D438D01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469" name="Line 4">
          <a:extLst>
            <a:ext uri="{FF2B5EF4-FFF2-40B4-BE49-F238E27FC236}">
              <a16:creationId xmlns:a16="http://schemas.microsoft.com/office/drawing/2014/main" id="{68AE560E-3FDC-4B0B-983C-48728576707C}"/>
            </a:ext>
          </a:extLst>
        </xdr:cNvPr>
        <xdr:cNvSpPr>
          <a:spLocks noChangeShapeType="1"/>
        </xdr:cNvSpPr>
      </xdr:nvSpPr>
      <xdr:spPr bwMode="auto">
        <a:xfrm>
          <a:off x="4924425" y="86144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470" name="Line 2">
          <a:extLst>
            <a:ext uri="{FF2B5EF4-FFF2-40B4-BE49-F238E27FC236}">
              <a16:creationId xmlns:a16="http://schemas.microsoft.com/office/drawing/2014/main" id="{9E1B9666-4C33-4634-973C-8A1962557710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471" name="Line 3">
          <a:extLst>
            <a:ext uri="{FF2B5EF4-FFF2-40B4-BE49-F238E27FC236}">
              <a16:creationId xmlns:a16="http://schemas.microsoft.com/office/drawing/2014/main" id="{85CA5DB0-8E0D-4F09-AD2E-75ED87E54DC9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489</xdr:row>
      <xdr:rowOff>0</xdr:rowOff>
    </xdr:from>
    <xdr:to>
      <xdr:col>8</xdr:col>
      <xdr:colOff>180975</xdr:colOff>
      <xdr:row>489</xdr:row>
      <xdr:rowOff>0</xdr:rowOff>
    </xdr:to>
    <xdr:sp macro="" textlink="">
      <xdr:nvSpPr>
        <xdr:cNvPr id="472" name="Line 4">
          <a:extLst>
            <a:ext uri="{FF2B5EF4-FFF2-40B4-BE49-F238E27FC236}">
              <a16:creationId xmlns:a16="http://schemas.microsoft.com/office/drawing/2014/main" id="{B361E22B-01D7-4976-9D2D-06CF692F7605}"/>
            </a:ext>
          </a:extLst>
        </xdr:cNvPr>
        <xdr:cNvSpPr>
          <a:spLocks noChangeShapeType="1"/>
        </xdr:cNvSpPr>
      </xdr:nvSpPr>
      <xdr:spPr bwMode="auto">
        <a:xfrm>
          <a:off x="4924425" y="86582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473" name="Line 3">
          <a:extLst>
            <a:ext uri="{FF2B5EF4-FFF2-40B4-BE49-F238E27FC236}">
              <a16:creationId xmlns:a16="http://schemas.microsoft.com/office/drawing/2014/main" id="{F8162154-6120-4C21-BA8B-A34A95576EEF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474" name="Line 5">
          <a:extLst>
            <a:ext uri="{FF2B5EF4-FFF2-40B4-BE49-F238E27FC236}">
              <a16:creationId xmlns:a16="http://schemas.microsoft.com/office/drawing/2014/main" id="{8E2BA360-39BA-4922-80BF-1996D58E16A6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475" name="Line 2">
          <a:extLst>
            <a:ext uri="{FF2B5EF4-FFF2-40B4-BE49-F238E27FC236}">
              <a16:creationId xmlns:a16="http://schemas.microsoft.com/office/drawing/2014/main" id="{C3542D67-FF84-42FA-9F8D-C60FCA19B310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476" name="Line 3">
          <a:extLst>
            <a:ext uri="{FF2B5EF4-FFF2-40B4-BE49-F238E27FC236}">
              <a16:creationId xmlns:a16="http://schemas.microsoft.com/office/drawing/2014/main" id="{5F1B0BBD-55C0-4A81-A464-4879317312D1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477" name="Line 4">
          <a:extLst>
            <a:ext uri="{FF2B5EF4-FFF2-40B4-BE49-F238E27FC236}">
              <a16:creationId xmlns:a16="http://schemas.microsoft.com/office/drawing/2014/main" id="{B599668B-B759-4EC9-ACA7-E26754BEBD23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478" name="Line 5">
          <a:extLst>
            <a:ext uri="{FF2B5EF4-FFF2-40B4-BE49-F238E27FC236}">
              <a16:creationId xmlns:a16="http://schemas.microsoft.com/office/drawing/2014/main" id="{CE1FA842-F941-43AE-A473-A6F38A97722E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479" name="Line 7">
          <a:extLst>
            <a:ext uri="{FF2B5EF4-FFF2-40B4-BE49-F238E27FC236}">
              <a16:creationId xmlns:a16="http://schemas.microsoft.com/office/drawing/2014/main" id="{9D2E1B63-9406-431D-907A-7A685592E34B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480" name="Line 2">
          <a:extLst>
            <a:ext uri="{FF2B5EF4-FFF2-40B4-BE49-F238E27FC236}">
              <a16:creationId xmlns:a16="http://schemas.microsoft.com/office/drawing/2014/main" id="{678E0838-C59E-499D-A52C-CF3936CF8317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481" name="Line 3">
          <a:extLst>
            <a:ext uri="{FF2B5EF4-FFF2-40B4-BE49-F238E27FC236}">
              <a16:creationId xmlns:a16="http://schemas.microsoft.com/office/drawing/2014/main" id="{F5620BE0-49D8-461C-8BF4-F58ADD65CF17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482" name="Line 4">
          <a:extLst>
            <a:ext uri="{FF2B5EF4-FFF2-40B4-BE49-F238E27FC236}">
              <a16:creationId xmlns:a16="http://schemas.microsoft.com/office/drawing/2014/main" id="{11CE849E-F1D5-4C7B-8EEF-5279FE06A23F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483" name="Line 5">
          <a:extLst>
            <a:ext uri="{FF2B5EF4-FFF2-40B4-BE49-F238E27FC236}">
              <a16:creationId xmlns:a16="http://schemas.microsoft.com/office/drawing/2014/main" id="{20FC06A7-048E-4510-8DE7-09A39A8C58D6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484" name="Line 2">
          <a:extLst>
            <a:ext uri="{FF2B5EF4-FFF2-40B4-BE49-F238E27FC236}">
              <a16:creationId xmlns:a16="http://schemas.microsoft.com/office/drawing/2014/main" id="{2821C579-13DF-401C-AD7E-291423DEDDDC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485" name="Line 3">
          <a:extLst>
            <a:ext uri="{FF2B5EF4-FFF2-40B4-BE49-F238E27FC236}">
              <a16:creationId xmlns:a16="http://schemas.microsoft.com/office/drawing/2014/main" id="{AD0E56A6-257E-463D-8287-AAD0EA18C590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486" name="Line 4">
          <a:extLst>
            <a:ext uri="{FF2B5EF4-FFF2-40B4-BE49-F238E27FC236}">
              <a16:creationId xmlns:a16="http://schemas.microsoft.com/office/drawing/2014/main" id="{147246A9-35CC-48B7-BF7D-8969471351E1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487" name="Line 2">
          <a:extLst>
            <a:ext uri="{FF2B5EF4-FFF2-40B4-BE49-F238E27FC236}">
              <a16:creationId xmlns:a16="http://schemas.microsoft.com/office/drawing/2014/main" id="{90B7EAA1-2A73-4279-9F94-146F4F23FE58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488" name="Line 3">
          <a:extLst>
            <a:ext uri="{FF2B5EF4-FFF2-40B4-BE49-F238E27FC236}">
              <a16:creationId xmlns:a16="http://schemas.microsoft.com/office/drawing/2014/main" id="{75E8B139-209D-4563-9BF6-9DFA1EADDB02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538</xdr:row>
      <xdr:rowOff>0</xdr:rowOff>
    </xdr:from>
    <xdr:to>
      <xdr:col>8</xdr:col>
      <xdr:colOff>180975</xdr:colOff>
      <xdr:row>538</xdr:row>
      <xdr:rowOff>0</xdr:rowOff>
    </xdr:to>
    <xdr:sp macro="" textlink="">
      <xdr:nvSpPr>
        <xdr:cNvPr id="489" name="Line 4">
          <a:extLst>
            <a:ext uri="{FF2B5EF4-FFF2-40B4-BE49-F238E27FC236}">
              <a16:creationId xmlns:a16="http://schemas.microsoft.com/office/drawing/2014/main" id="{839FEA2B-01A2-44B7-A698-1BF35AF395A0}"/>
            </a:ext>
          </a:extLst>
        </xdr:cNvPr>
        <xdr:cNvSpPr>
          <a:spLocks noChangeShapeType="1"/>
        </xdr:cNvSpPr>
      </xdr:nvSpPr>
      <xdr:spPr bwMode="auto">
        <a:xfrm>
          <a:off x="4924425" y="9496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490" name="Line 2">
          <a:extLst>
            <a:ext uri="{FF2B5EF4-FFF2-40B4-BE49-F238E27FC236}">
              <a16:creationId xmlns:a16="http://schemas.microsoft.com/office/drawing/2014/main" id="{75BE47B3-4517-46C0-89A0-E391164A2C4D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491" name="Line 3">
          <a:extLst>
            <a:ext uri="{FF2B5EF4-FFF2-40B4-BE49-F238E27FC236}">
              <a16:creationId xmlns:a16="http://schemas.microsoft.com/office/drawing/2014/main" id="{7E8F2310-45D3-4131-9FDF-2929279438C7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541</xdr:row>
      <xdr:rowOff>0</xdr:rowOff>
    </xdr:from>
    <xdr:to>
      <xdr:col>8</xdr:col>
      <xdr:colOff>180975</xdr:colOff>
      <xdr:row>541</xdr:row>
      <xdr:rowOff>0</xdr:rowOff>
    </xdr:to>
    <xdr:sp macro="" textlink="">
      <xdr:nvSpPr>
        <xdr:cNvPr id="492" name="Line 4">
          <a:extLst>
            <a:ext uri="{FF2B5EF4-FFF2-40B4-BE49-F238E27FC236}">
              <a16:creationId xmlns:a16="http://schemas.microsoft.com/office/drawing/2014/main" id="{B4478C84-7A37-4615-95FC-77089EDF0540}"/>
            </a:ext>
          </a:extLst>
        </xdr:cNvPr>
        <xdr:cNvSpPr>
          <a:spLocks noChangeShapeType="1"/>
        </xdr:cNvSpPr>
      </xdr:nvSpPr>
      <xdr:spPr bwMode="auto">
        <a:xfrm>
          <a:off x="4924425" y="9540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493" name="Line 3">
          <a:extLst>
            <a:ext uri="{FF2B5EF4-FFF2-40B4-BE49-F238E27FC236}">
              <a16:creationId xmlns:a16="http://schemas.microsoft.com/office/drawing/2014/main" id="{430CB754-0B79-4CEB-B8DF-6F1F36137013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494" name="Line 5">
          <a:extLst>
            <a:ext uri="{FF2B5EF4-FFF2-40B4-BE49-F238E27FC236}">
              <a16:creationId xmlns:a16="http://schemas.microsoft.com/office/drawing/2014/main" id="{29AE889B-1BC1-4451-BC9D-D2DCA38A832E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495" name="Line 2">
          <a:extLst>
            <a:ext uri="{FF2B5EF4-FFF2-40B4-BE49-F238E27FC236}">
              <a16:creationId xmlns:a16="http://schemas.microsoft.com/office/drawing/2014/main" id="{5697C86C-2695-46D4-BA80-E2FBBDF4BAE9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496" name="Line 3">
          <a:extLst>
            <a:ext uri="{FF2B5EF4-FFF2-40B4-BE49-F238E27FC236}">
              <a16:creationId xmlns:a16="http://schemas.microsoft.com/office/drawing/2014/main" id="{DA835D5C-6279-4D83-B1EC-FDA92A4A2FA0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497" name="Line 4">
          <a:extLst>
            <a:ext uri="{FF2B5EF4-FFF2-40B4-BE49-F238E27FC236}">
              <a16:creationId xmlns:a16="http://schemas.microsoft.com/office/drawing/2014/main" id="{4EB9E5A8-886F-4C34-99E6-C27466CEBBF3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498" name="Line 5">
          <a:extLst>
            <a:ext uri="{FF2B5EF4-FFF2-40B4-BE49-F238E27FC236}">
              <a16:creationId xmlns:a16="http://schemas.microsoft.com/office/drawing/2014/main" id="{7FC4A003-70CE-400C-AAE7-FB80C32F6DCE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499" name="Line 7">
          <a:extLst>
            <a:ext uri="{FF2B5EF4-FFF2-40B4-BE49-F238E27FC236}">
              <a16:creationId xmlns:a16="http://schemas.microsoft.com/office/drawing/2014/main" id="{3D07689F-4C6B-4AE6-A5AA-49DE3C6B7764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503" name="Line 5">
          <a:extLst>
            <a:ext uri="{FF2B5EF4-FFF2-40B4-BE49-F238E27FC236}">
              <a16:creationId xmlns:a16="http://schemas.microsoft.com/office/drawing/2014/main" id="{BAED78A1-F6EE-4ED9-AA04-68BC5F6F6A56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506" name="Line 4">
          <a:extLst>
            <a:ext uri="{FF2B5EF4-FFF2-40B4-BE49-F238E27FC236}">
              <a16:creationId xmlns:a16="http://schemas.microsoft.com/office/drawing/2014/main" id="{24DEDFE2-370E-4F6E-94D2-9317FAFB6D4D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588</xdr:row>
      <xdr:rowOff>0</xdr:rowOff>
    </xdr:from>
    <xdr:to>
      <xdr:col>8</xdr:col>
      <xdr:colOff>180975</xdr:colOff>
      <xdr:row>588</xdr:row>
      <xdr:rowOff>0</xdr:rowOff>
    </xdr:to>
    <xdr:sp macro="" textlink="">
      <xdr:nvSpPr>
        <xdr:cNvPr id="509" name="Line 4">
          <a:extLst>
            <a:ext uri="{FF2B5EF4-FFF2-40B4-BE49-F238E27FC236}">
              <a16:creationId xmlns:a16="http://schemas.microsoft.com/office/drawing/2014/main" id="{C46D7312-F8F4-48DC-B971-1ABB09C768C6}"/>
            </a:ext>
          </a:extLst>
        </xdr:cNvPr>
        <xdr:cNvSpPr>
          <a:spLocks noChangeShapeType="1"/>
        </xdr:cNvSpPr>
      </xdr:nvSpPr>
      <xdr:spPr bwMode="auto">
        <a:xfrm>
          <a:off x="4924425" y="103498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512" name="Line 4">
          <a:extLst>
            <a:ext uri="{FF2B5EF4-FFF2-40B4-BE49-F238E27FC236}">
              <a16:creationId xmlns:a16="http://schemas.microsoft.com/office/drawing/2014/main" id="{9073A3ED-9625-475D-8514-D72DAD3CDEB4}"/>
            </a:ext>
          </a:extLst>
        </xdr:cNvPr>
        <xdr:cNvSpPr>
          <a:spLocks noChangeShapeType="1"/>
        </xdr:cNvSpPr>
      </xdr:nvSpPr>
      <xdr:spPr bwMode="auto">
        <a:xfrm>
          <a:off x="4924425" y="10393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513" name="Line 3">
          <a:extLst>
            <a:ext uri="{FF2B5EF4-FFF2-40B4-BE49-F238E27FC236}">
              <a16:creationId xmlns:a16="http://schemas.microsoft.com/office/drawing/2014/main" id="{AA49FFBF-C8BA-4288-AE5A-91ED51824150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514" name="Line 5">
          <a:extLst>
            <a:ext uri="{FF2B5EF4-FFF2-40B4-BE49-F238E27FC236}">
              <a16:creationId xmlns:a16="http://schemas.microsoft.com/office/drawing/2014/main" id="{7BF56B71-9AB0-4DF4-8AD5-24432D74D368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515" name="Line 2">
          <a:extLst>
            <a:ext uri="{FF2B5EF4-FFF2-40B4-BE49-F238E27FC236}">
              <a16:creationId xmlns:a16="http://schemas.microsoft.com/office/drawing/2014/main" id="{C17FD842-8C4D-47B6-A0DF-3BEE9A8FCF39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516" name="Line 3">
          <a:extLst>
            <a:ext uri="{FF2B5EF4-FFF2-40B4-BE49-F238E27FC236}">
              <a16:creationId xmlns:a16="http://schemas.microsoft.com/office/drawing/2014/main" id="{53B18788-B8EA-48DD-87AB-9600EA5C5C2C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517" name="Line 4">
          <a:extLst>
            <a:ext uri="{FF2B5EF4-FFF2-40B4-BE49-F238E27FC236}">
              <a16:creationId xmlns:a16="http://schemas.microsoft.com/office/drawing/2014/main" id="{17FD0AE1-F4E9-499A-BA69-F225008DC42B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518" name="Line 5">
          <a:extLst>
            <a:ext uri="{FF2B5EF4-FFF2-40B4-BE49-F238E27FC236}">
              <a16:creationId xmlns:a16="http://schemas.microsoft.com/office/drawing/2014/main" id="{2CE27520-5E2D-450D-8BA3-04E9200A841C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664</xdr:row>
      <xdr:rowOff>0</xdr:rowOff>
    </xdr:from>
    <xdr:to>
      <xdr:col>8</xdr:col>
      <xdr:colOff>180975</xdr:colOff>
      <xdr:row>664</xdr:row>
      <xdr:rowOff>0</xdr:rowOff>
    </xdr:to>
    <xdr:sp macro="" textlink="">
      <xdr:nvSpPr>
        <xdr:cNvPr id="519" name="Line 7">
          <a:extLst>
            <a:ext uri="{FF2B5EF4-FFF2-40B4-BE49-F238E27FC236}">
              <a16:creationId xmlns:a16="http://schemas.microsoft.com/office/drawing/2014/main" id="{B0278369-D15F-40CD-BE94-02FEB56C8DA2}"/>
            </a:ext>
          </a:extLst>
        </xdr:cNvPr>
        <xdr:cNvSpPr>
          <a:spLocks noChangeShapeType="1"/>
        </xdr:cNvSpPr>
      </xdr:nvSpPr>
      <xdr:spPr bwMode="auto">
        <a:xfrm>
          <a:off x="4924425" y="11574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523" name="Line 5">
          <a:extLst>
            <a:ext uri="{FF2B5EF4-FFF2-40B4-BE49-F238E27FC236}">
              <a16:creationId xmlns:a16="http://schemas.microsoft.com/office/drawing/2014/main" id="{E2ED15A2-20BE-49A0-A0CB-1C7D9D1861CA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526" name="Line 4">
          <a:extLst>
            <a:ext uri="{FF2B5EF4-FFF2-40B4-BE49-F238E27FC236}">
              <a16:creationId xmlns:a16="http://schemas.microsoft.com/office/drawing/2014/main" id="{0428F5A8-0F2E-40D0-9BBB-2191BD14A7B9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527" name="Line 2">
          <a:extLst>
            <a:ext uri="{FF2B5EF4-FFF2-40B4-BE49-F238E27FC236}">
              <a16:creationId xmlns:a16="http://schemas.microsoft.com/office/drawing/2014/main" id="{5FB1866C-6AAF-40C5-A35E-7D65DCC96DD2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528" name="Line 3">
          <a:extLst>
            <a:ext uri="{FF2B5EF4-FFF2-40B4-BE49-F238E27FC236}">
              <a16:creationId xmlns:a16="http://schemas.microsoft.com/office/drawing/2014/main" id="{C4EE34B4-01DD-4F65-BA5A-F6CDEE7E6229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639</xdr:row>
      <xdr:rowOff>0</xdr:rowOff>
    </xdr:from>
    <xdr:to>
      <xdr:col>8</xdr:col>
      <xdr:colOff>180975</xdr:colOff>
      <xdr:row>639</xdr:row>
      <xdr:rowOff>0</xdr:rowOff>
    </xdr:to>
    <xdr:sp macro="" textlink="">
      <xdr:nvSpPr>
        <xdr:cNvPr id="529" name="Line 4">
          <a:extLst>
            <a:ext uri="{FF2B5EF4-FFF2-40B4-BE49-F238E27FC236}">
              <a16:creationId xmlns:a16="http://schemas.microsoft.com/office/drawing/2014/main" id="{ED60F52D-1967-4BE3-ACAC-14C28359AB43}"/>
            </a:ext>
          </a:extLst>
        </xdr:cNvPr>
        <xdr:cNvSpPr>
          <a:spLocks noChangeShapeType="1"/>
        </xdr:cNvSpPr>
      </xdr:nvSpPr>
      <xdr:spPr bwMode="auto">
        <a:xfrm>
          <a:off x="4924425" y="11217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530" name="Line 2">
          <a:extLst>
            <a:ext uri="{FF2B5EF4-FFF2-40B4-BE49-F238E27FC236}">
              <a16:creationId xmlns:a16="http://schemas.microsoft.com/office/drawing/2014/main" id="{C538F96A-D8FF-437E-9751-BF76AA503AEC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531" name="Line 3">
          <a:extLst>
            <a:ext uri="{FF2B5EF4-FFF2-40B4-BE49-F238E27FC236}">
              <a16:creationId xmlns:a16="http://schemas.microsoft.com/office/drawing/2014/main" id="{CDC9EF38-1ADB-4B55-A396-B51C2C474AE7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642</xdr:row>
      <xdr:rowOff>0</xdr:rowOff>
    </xdr:from>
    <xdr:to>
      <xdr:col>8</xdr:col>
      <xdr:colOff>180975</xdr:colOff>
      <xdr:row>642</xdr:row>
      <xdr:rowOff>0</xdr:rowOff>
    </xdr:to>
    <xdr:sp macro="" textlink="">
      <xdr:nvSpPr>
        <xdr:cNvPr id="532" name="Line 4">
          <a:extLst>
            <a:ext uri="{FF2B5EF4-FFF2-40B4-BE49-F238E27FC236}">
              <a16:creationId xmlns:a16="http://schemas.microsoft.com/office/drawing/2014/main" id="{4A647B97-0A6B-48E7-9F54-EE811609B801}"/>
            </a:ext>
          </a:extLst>
        </xdr:cNvPr>
        <xdr:cNvSpPr>
          <a:spLocks noChangeShapeType="1"/>
        </xdr:cNvSpPr>
      </xdr:nvSpPr>
      <xdr:spPr bwMode="auto">
        <a:xfrm>
          <a:off x="4924425" y="11260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533" name="Line 2">
          <a:extLst>
            <a:ext uri="{FF2B5EF4-FFF2-40B4-BE49-F238E27FC236}">
              <a16:creationId xmlns:a16="http://schemas.microsoft.com/office/drawing/2014/main" id="{14536278-03FB-4873-B073-4721222D2935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534" name="Line 3">
          <a:extLst>
            <a:ext uri="{FF2B5EF4-FFF2-40B4-BE49-F238E27FC236}">
              <a16:creationId xmlns:a16="http://schemas.microsoft.com/office/drawing/2014/main" id="{B6BEB69F-9A54-4724-93EC-F920AB266F61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535" name="Line 5">
          <a:extLst>
            <a:ext uri="{FF2B5EF4-FFF2-40B4-BE49-F238E27FC236}">
              <a16:creationId xmlns:a16="http://schemas.microsoft.com/office/drawing/2014/main" id="{9B53DF4C-5DC5-49BD-9A1B-404731CF8B3B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536" name="Line 3">
          <a:extLst>
            <a:ext uri="{FF2B5EF4-FFF2-40B4-BE49-F238E27FC236}">
              <a16:creationId xmlns:a16="http://schemas.microsoft.com/office/drawing/2014/main" id="{5572F69D-F654-4BE4-A222-50362E0DE1C6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537" name="Line 5">
          <a:extLst>
            <a:ext uri="{FF2B5EF4-FFF2-40B4-BE49-F238E27FC236}">
              <a16:creationId xmlns:a16="http://schemas.microsoft.com/office/drawing/2014/main" id="{942EAA97-5D62-4DBC-9397-D012E8F99C6D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538" name="Line 2">
          <a:extLst>
            <a:ext uri="{FF2B5EF4-FFF2-40B4-BE49-F238E27FC236}">
              <a16:creationId xmlns:a16="http://schemas.microsoft.com/office/drawing/2014/main" id="{10F2A828-4C5B-4ABE-B736-7F801EF792B8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539" name="Line 3">
          <a:extLst>
            <a:ext uri="{FF2B5EF4-FFF2-40B4-BE49-F238E27FC236}">
              <a16:creationId xmlns:a16="http://schemas.microsoft.com/office/drawing/2014/main" id="{6510955A-1D9C-4208-A6EC-3C8424326895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540" name="Line 4">
          <a:extLst>
            <a:ext uri="{FF2B5EF4-FFF2-40B4-BE49-F238E27FC236}">
              <a16:creationId xmlns:a16="http://schemas.microsoft.com/office/drawing/2014/main" id="{55996F2C-EC25-491B-8BEF-5B568677BDCA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78</xdr:row>
      <xdr:rowOff>0</xdr:rowOff>
    </xdr:from>
    <xdr:to>
      <xdr:col>8</xdr:col>
      <xdr:colOff>180975</xdr:colOff>
      <xdr:row>78</xdr:row>
      <xdr:rowOff>0</xdr:rowOff>
    </xdr:to>
    <xdr:sp macro="" textlink="">
      <xdr:nvSpPr>
        <xdr:cNvPr id="541" name="Line 5">
          <a:extLst>
            <a:ext uri="{FF2B5EF4-FFF2-40B4-BE49-F238E27FC236}">
              <a16:creationId xmlns:a16="http://schemas.microsoft.com/office/drawing/2014/main" id="{3AAE2B7A-2713-48E8-8F13-3DA53A26A02D}"/>
            </a:ext>
          </a:extLst>
        </xdr:cNvPr>
        <xdr:cNvSpPr>
          <a:spLocks noChangeShapeType="1"/>
        </xdr:cNvSpPr>
      </xdr:nvSpPr>
      <xdr:spPr bwMode="auto">
        <a:xfrm>
          <a:off x="492442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98</xdr:row>
      <xdr:rowOff>0</xdr:rowOff>
    </xdr:from>
    <xdr:to>
      <xdr:col>8</xdr:col>
      <xdr:colOff>180975</xdr:colOff>
      <xdr:row>98</xdr:row>
      <xdr:rowOff>0</xdr:rowOff>
    </xdr:to>
    <xdr:sp macro="" textlink="">
      <xdr:nvSpPr>
        <xdr:cNvPr id="542" name="Line 7">
          <a:extLst>
            <a:ext uri="{FF2B5EF4-FFF2-40B4-BE49-F238E27FC236}">
              <a16:creationId xmlns:a16="http://schemas.microsoft.com/office/drawing/2014/main" id="{70C0D12F-BBB3-4E05-BFE0-5C22BD66287A}"/>
            </a:ext>
          </a:extLst>
        </xdr:cNvPr>
        <xdr:cNvSpPr>
          <a:spLocks noChangeShapeType="1"/>
        </xdr:cNvSpPr>
      </xdr:nvSpPr>
      <xdr:spPr bwMode="auto">
        <a:xfrm>
          <a:off x="4924425" y="149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544" name="Line 3">
          <a:extLst>
            <a:ext uri="{FF2B5EF4-FFF2-40B4-BE49-F238E27FC236}">
              <a16:creationId xmlns:a16="http://schemas.microsoft.com/office/drawing/2014/main" id="{FE9E3315-541E-4583-982F-A51E3F71BE62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545" name="Line 5">
          <a:extLst>
            <a:ext uri="{FF2B5EF4-FFF2-40B4-BE49-F238E27FC236}">
              <a16:creationId xmlns:a16="http://schemas.microsoft.com/office/drawing/2014/main" id="{D7A44169-7800-4C00-A50A-97FF49D844D2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546" name="Line 2">
          <a:extLst>
            <a:ext uri="{FF2B5EF4-FFF2-40B4-BE49-F238E27FC236}">
              <a16:creationId xmlns:a16="http://schemas.microsoft.com/office/drawing/2014/main" id="{AFE1F679-4C88-4652-9C10-06563212E1ED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547" name="Line 3">
          <a:extLst>
            <a:ext uri="{FF2B5EF4-FFF2-40B4-BE49-F238E27FC236}">
              <a16:creationId xmlns:a16="http://schemas.microsoft.com/office/drawing/2014/main" id="{394B86D7-1945-43BF-943A-DD0E029A5D0C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548" name="Line 4">
          <a:extLst>
            <a:ext uri="{FF2B5EF4-FFF2-40B4-BE49-F238E27FC236}">
              <a16:creationId xmlns:a16="http://schemas.microsoft.com/office/drawing/2014/main" id="{D40694B2-D895-4229-96BB-656C27A3C2B1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549" name="Line 5">
          <a:extLst>
            <a:ext uri="{FF2B5EF4-FFF2-40B4-BE49-F238E27FC236}">
              <a16:creationId xmlns:a16="http://schemas.microsoft.com/office/drawing/2014/main" id="{8D844CC7-C455-4D4A-B964-963DEE9ABC6F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551" name="Line 2">
          <a:extLst>
            <a:ext uri="{FF2B5EF4-FFF2-40B4-BE49-F238E27FC236}">
              <a16:creationId xmlns:a16="http://schemas.microsoft.com/office/drawing/2014/main" id="{6DA71E78-4B72-46A3-997D-336C371EC239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552" name="Line 3">
          <a:extLst>
            <a:ext uri="{FF2B5EF4-FFF2-40B4-BE49-F238E27FC236}">
              <a16:creationId xmlns:a16="http://schemas.microsoft.com/office/drawing/2014/main" id="{255A6CAC-FCD1-4CE1-963B-434F8E09E409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553" name="Line 4">
          <a:extLst>
            <a:ext uri="{FF2B5EF4-FFF2-40B4-BE49-F238E27FC236}">
              <a16:creationId xmlns:a16="http://schemas.microsoft.com/office/drawing/2014/main" id="{9D64BF58-466C-4D28-862C-CFA4FFE13088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554" name="Line 5">
          <a:extLst>
            <a:ext uri="{FF2B5EF4-FFF2-40B4-BE49-F238E27FC236}">
              <a16:creationId xmlns:a16="http://schemas.microsoft.com/office/drawing/2014/main" id="{A4BB6209-2B09-463B-A92D-55E7C39F7084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555" name="Line 2">
          <a:extLst>
            <a:ext uri="{FF2B5EF4-FFF2-40B4-BE49-F238E27FC236}">
              <a16:creationId xmlns:a16="http://schemas.microsoft.com/office/drawing/2014/main" id="{F3D5DDCE-6D6E-4DEE-914E-141980CA6F30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56" name="Line 3">
          <a:extLst>
            <a:ext uri="{FF2B5EF4-FFF2-40B4-BE49-F238E27FC236}">
              <a16:creationId xmlns:a16="http://schemas.microsoft.com/office/drawing/2014/main" id="{54F0693B-65ED-45E5-A937-FEF5F0574036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57" name="Line 5">
          <a:extLst>
            <a:ext uri="{FF2B5EF4-FFF2-40B4-BE49-F238E27FC236}">
              <a16:creationId xmlns:a16="http://schemas.microsoft.com/office/drawing/2014/main" id="{B4755F6F-B3E2-44D9-A81E-7E911BB236FE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558" name="Line 2">
          <a:extLst>
            <a:ext uri="{FF2B5EF4-FFF2-40B4-BE49-F238E27FC236}">
              <a16:creationId xmlns:a16="http://schemas.microsoft.com/office/drawing/2014/main" id="{8E183AE3-C2EC-40B9-B36E-715CBFEDE08C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559" name="Line 3">
          <a:extLst>
            <a:ext uri="{FF2B5EF4-FFF2-40B4-BE49-F238E27FC236}">
              <a16:creationId xmlns:a16="http://schemas.microsoft.com/office/drawing/2014/main" id="{2A5A97BF-0AED-4A5A-8B87-63CFA74860B7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560" name="Line 4">
          <a:extLst>
            <a:ext uri="{FF2B5EF4-FFF2-40B4-BE49-F238E27FC236}">
              <a16:creationId xmlns:a16="http://schemas.microsoft.com/office/drawing/2014/main" id="{364276B4-16A1-456F-9FA0-451BB432713E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561" name="Line 5">
          <a:extLst>
            <a:ext uri="{FF2B5EF4-FFF2-40B4-BE49-F238E27FC236}">
              <a16:creationId xmlns:a16="http://schemas.microsoft.com/office/drawing/2014/main" id="{5E112A53-5085-45FD-8AE8-AC70506792BE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562" name="Line 7">
          <a:extLst>
            <a:ext uri="{FF2B5EF4-FFF2-40B4-BE49-F238E27FC236}">
              <a16:creationId xmlns:a16="http://schemas.microsoft.com/office/drawing/2014/main" id="{675B40D7-7E72-4D53-86DF-571F68C63E84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63" name="Line 2">
          <a:extLst>
            <a:ext uri="{FF2B5EF4-FFF2-40B4-BE49-F238E27FC236}">
              <a16:creationId xmlns:a16="http://schemas.microsoft.com/office/drawing/2014/main" id="{801A9BC3-3CA4-4C0D-8C1A-EBA408478290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64" name="Line 3">
          <a:extLst>
            <a:ext uri="{FF2B5EF4-FFF2-40B4-BE49-F238E27FC236}">
              <a16:creationId xmlns:a16="http://schemas.microsoft.com/office/drawing/2014/main" id="{A66BFCA6-6B76-48E7-A93D-054F503C5669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65" name="Line 4">
          <a:extLst>
            <a:ext uri="{FF2B5EF4-FFF2-40B4-BE49-F238E27FC236}">
              <a16:creationId xmlns:a16="http://schemas.microsoft.com/office/drawing/2014/main" id="{E1768488-3D24-4C83-B3E1-ECE79BA6E08E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566" name="Line 5">
          <a:extLst>
            <a:ext uri="{FF2B5EF4-FFF2-40B4-BE49-F238E27FC236}">
              <a16:creationId xmlns:a16="http://schemas.microsoft.com/office/drawing/2014/main" id="{9602EC94-70E7-43FD-83C1-8BE0F1CE6FAD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567" name="Line 2">
          <a:extLst>
            <a:ext uri="{FF2B5EF4-FFF2-40B4-BE49-F238E27FC236}">
              <a16:creationId xmlns:a16="http://schemas.microsoft.com/office/drawing/2014/main" id="{ED92217A-CE4D-4C78-9181-598B53F40F07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568" name="Line 3">
          <a:extLst>
            <a:ext uri="{FF2B5EF4-FFF2-40B4-BE49-F238E27FC236}">
              <a16:creationId xmlns:a16="http://schemas.microsoft.com/office/drawing/2014/main" id="{C49654C3-4A2D-48AE-A460-0560753C6BB9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569" name="Line 4">
          <a:extLst>
            <a:ext uri="{FF2B5EF4-FFF2-40B4-BE49-F238E27FC236}">
              <a16:creationId xmlns:a16="http://schemas.microsoft.com/office/drawing/2014/main" id="{2793C8AE-1E32-4338-B505-B1C4A18CE0C6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571" name="Line 7">
          <a:extLst>
            <a:ext uri="{FF2B5EF4-FFF2-40B4-BE49-F238E27FC236}">
              <a16:creationId xmlns:a16="http://schemas.microsoft.com/office/drawing/2014/main" id="{A35E0B11-B2D6-42D5-9F6F-6850D325F7C2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572" name="Line 8">
          <a:extLst>
            <a:ext uri="{FF2B5EF4-FFF2-40B4-BE49-F238E27FC236}">
              <a16:creationId xmlns:a16="http://schemas.microsoft.com/office/drawing/2014/main" id="{BF32B2F2-2635-4980-B3C9-9C35131D9ED5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573" name="Rectangle 7">
          <a:extLst>
            <a:ext uri="{FF2B5EF4-FFF2-40B4-BE49-F238E27FC236}">
              <a16:creationId xmlns:a16="http://schemas.microsoft.com/office/drawing/2014/main" id="{D0F58778-34A6-4EF1-B87A-7F2AAC62ACD7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574" name="Rectangle 8">
          <a:extLst>
            <a:ext uri="{FF2B5EF4-FFF2-40B4-BE49-F238E27FC236}">
              <a16:creationId xmlns:a16="http://schemas.microsoft.com/office/drawing/2014/main" id="{551C713C-240C-4980-9248-E822C8A11684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575" name="Line 2">
          <a:extLst>
            <a:ext uri="{FF2B5EF4-FFF2-40B4-BE49-F238E27FC236}">
              <a16:creationId xmlns:a16="http://schemas.microsoft.com/office/drawing/2014/main" id="{890CA601-BE4F-468D-9638-089DB0C4A0C5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76" name="Line 3">
          <a:extLst>
            <a:ext uri="{FF2B5EF4-FFF2-40B4-BE49-F238E27FC236}">
              <a16:creationId xmlns:a16="http://schemas.microsoft.com/office/drawing/2014/main" id="{D6A42D94-1391-4865-8E8A-DC1A8DE30740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577" name="Line 5">
          <a:extLst>
            <a:ext uri="{FF2B5EF4-FFF2-40B4-BE49-F238E27FC236}">
              <a16:creationId xmlns:a16="http://schemas.microsoft.com/office/drawing/2014/main" id="{32CBFCF6-A820-4BBD-98F6-56C625370B40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578" name="Line 2">
          <a:extLst>
            <a:ext uri="{FF2B5EF4-FFF2-40B4-BE49-F238E27FC236}">
              <a16:creationId xmlns:a16="http://schemas.microsoft.com/office/drawing/2014/main" id="{B58525D4-CFB4-4074-AC5B-E990D3108D5B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579" name="Line 3">
          <a:extLst>
            <a:ext uri="{FF2B5EF4-FFF2-40B4-BE49-F238E27FC236}">
              <a16:creationId xmlns:a16="http://schemas.microsoft.com/office/drawing/2014/main" id="{57F9C738-6EFB-491A-BF30-EE89AEA96E33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580" name="Line 4">
          <a:extLst>
            <a:ext uri="{FF2B5EF4-FFF2-40B4-BE49-F238E27FC236}">
              <a16:creationId xmlns:a16="http://schemas.microsoft.com/office/drawing/2014/main" id="{BFDEAC98-5117-49A2-BA06-86960FF2B0FE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581" name="Line 5">
          <a:extLst>
            <a:ext uri="{FF2B5EF4-FFF2-40B4-BE49-F238E27FC236}">
              <a16:creationId xmlns:a16="http://schemas.microsoft.com/office/drawing/2014/main" id="{556A9BE8-0097-4607-B171-3034767BD71A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582" name="Line 7">
          <a:extLst>
            <a:ext uri="{FF2B5EF4-FFF2-40B4-BE49-F238E27FC236}">
              <a16:creationId xmlns:a16="http://schemas.microsoft.com/office/drawing/2014/main" id="{196D3BA1-C06E-4670-A80A-8DE79D5FC10B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83" name="Line 2">
          <a:extLst>
            <a:ext uri="{FF2B5EF4-FFF2-40B4-BE49-F238E27FC236}">
              <a16:creationId xmlns:a16="http://schemas.microsoft.com/office/drawing/2014/main" id="{87B6BD17-F1CA-43DF-B2AD-7B9DC9153148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84" name="Line 3">
          <a:extLst>
            <a:ext uri="{FF2B5EF4-FFF2-40B4-BE49-F238E27FC236}">
              <a16:creationId xmlns:a16="http://schemas.microsoft.com/office/drawing/2014/main" id="{2AE2B8F1-3B78-4753-9586-D951010F69C1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585" name="Line 4">
          <a:extLst>
            <a:ext uri="{FF2B5EF4-FFF2-40B4-BE49-F238E27FC236}">
              <a16:creationId xmlns:a16="http://schemas.microsoft.com/office/drawing/2014/main" id="{2F8498D0-DC83-485F-AD62-44185B9E7F4A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586" name="Line 5">
          <a:extLst>
            <a:ext uri="{FF2B5EF4-FFF2-40B4-BE49-F238E27FC236}">
              <a16:creationId xmlns:a16="http://schemas.microsoft.com/office/drawing/2014/main" id="{EDE620DB-FD25-4302-AD59-DA102D1EF9AF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587" name="Line 2">
          <a:extLst>
            <a:ext uri="{FF2B5EF4-FFF2-40B4-BE49-F238E27FC236}">
              <a16:creationId xmlns:a16="http://schemas.microsoft.com/office/drawing/2014/main" id="{5A0E2C3E-9676-432B-8391-3900A6CD201A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588" name="Line 3">
          <a:extLst>
            <a:ext uri="{FF2B5EF4-FFF2-40B4-BE49-F238E27FC236}">
              <a16:creationId xmlns:a16="http://schemas.microsoft.com/office/drawing/2014/main" id="{2E938AEF-ECD0-496C-B61D-FCBB6AEF6643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589" name="Line 4">
          <a:extLst>
            <a:ext uri="{FF2B5EF4-FFF2-40B4-BE49-F238E27FC236}">
              <a16:creationId xmlns:a16="http://schemas.microsoft.com/office/drawing/2014/main" id="{A58415FB-3B4C-44DA-8622-1405324FE58A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591" name="Line 7">
          <a:extLst>
            <a:ext uri="{FF2B5EF4-FFF2-40B4-BE49-F238E27FC236}">
              <a16:creationId xmlns:a16="http://schemas.microsoft.com/office/drawing/2014/main" id="{F41B8412-C794-428E-B371-FD13B6CD8E80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592" name="Line 8">
          <a:extLst>
            <a:ext uri="{FF2B5EF4-FFF2-40B4-BE49-F238E27FC236}">
              <a16:creationId xmlns:a16="http://schemas.microsoft.com/office/drawing/2014/main" id="{908F8B7C-20A7-4499-A86C-A51295A258DE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593" name="Rectangle 7">
          <a:extLst>
            <a:ext uri="{FF2B5EF4-FFF2-40B4-BE49-F238E27FC236}">
              <a16:creationId xmlns:a16="http://schemas.microsoft.com/office/drawing/2014/main" id="{3E92BA54-1809-4BC8-87C7-56BD0574F9DD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594" name="Rectangle 8">
          <a:extLst>
            <a:ext uri="{FF2B5EF4-FFF2-40B4-BE49-F238E27FC236}">
              <a16:creationId xmlns:a16="http://schemas.microsoft.com/office/drawing/2014/main" id="{3C56E432-FBB2-4986-B42B-8A088FFE4524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595" name="Line 3">
          <a:extLst>
            <a:ext uri="{FF2B5EF4-FFF2-40B4-BE49-F238E27FC236}">
              <a16:creationId xmlns:a16="http://schemas.microsoft.com/office/drawing/2014/main" id="{1ADFC380-C406-464C-AB27-44CB55EB97AA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596" name="Line 5">
          <a:extLst>
            <a:ext uri="{FF2B5EF4-FFF2-40B4-BE49-F238E27FC236}">
              <a16:creationId xmlns:a16="http://schemas.microsoft.com/office/drawing/2014/main" id="{F397E6E4-46F2-4382-92A6-A581620D3DA2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597" name="Line 2">
          <a:extLst>
            <a:ext uri="{FF2B5EF4-FFF2-40B4-BE49-F238E27FC236}">
              <a16:creationId xmlns:a16="http://schemas.microsoft.com/office/drawing/2014/main" id="{89A854DF-B661-47FC-9967-FDD601BEA53C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598" name="Line 3">
          <a:extLst>
            <a:ext uri="{FF2B5EF4-FFF2-40B4-BE49-F238E27FC236}">
              <a16:creationId xmlns:a16="http://schemas.microsoft.com/office/drawing/2014/main" id="{E6C88985-2B5D-4D5A-B290-2D84C7FC1BBB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599" name="Line 4">
          <a:extLst>
            <a:ext uri="{FF2B5EF4-FFF2-40B4-BE49-F238E27FC236}">
              <a16:creationId xmlns:a16="http://schemas.microsoft.com/office/drawing/2014/main" id="{0918D6A7-236B-4685-9EBF-6DD1977F98DC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600" name="Line 5">
          <a:extLst>
            <a:ext uri="{FF2B5EF4-FFF2-40B4-BE49-F238E27FC236}">
              <a16:creationId xmlns:a16="http://schemas.microsoft.com/office/drawing/2014/main" id="{B6ADD7D8-41D8-4184-B3B9-71DAA7F2E4C3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602" name="Line 2">
          <a:extLst>
            <a:ext uri="{FF2B5EF4-FFF2-40B4-BE49-F238E27FC236}">
              <a16:creationId xmlns:a16="http://schemas.microsoft.com/office/drawing/2014/main" id="{25AB6745-9B43-4C7F-A339-E4A3CC0CAAAD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603" name="Line 3">
          <a:extLst>
            <a:ext uri="{FF2B5EF4-FFF2-40B4-BE49-F238E27FC236}">
              <a16:creationId xmlns:a16="http://schemas.microsoft.com/office/drawing/2014/main" id="{3844C491-02A0-45A4-A5F5-1497DE8E5D79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604" name="Line 4">
          <a:extLst>
            <a:ext uri="{FF2B5EF4-FFF2-40B4-BE49-F238E27FC236}">
              <a16:creationId xmlns:a16="http://schemas.microsoft.com/office/drawing/2014/main" id="{17DE0E16-AD1F-4BCE-8A7E-597A4A641D56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605" name="Line 5">
          <a:extLst>
            <a:ext uri="{FF2B5EF4-FFF2-40B4-BE49-F238E27FC236}">
              <a16:creationId xmlns:a16="http://schemas.microsoft.com/office/drawing/2014/main" id="{8A891011-55CE-4053-9F24-C0A1849D6C02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606" name="Line 2">
          <a:extLst>
            <a:ext uri="{FF2B5EF4-FFF2-40B4-BE49-F238E27FC236}">
              <a16:creationId xmlns:a16="http://schemas.microsoft.com/office/drawing/2014/main" id="{B2E826D9-106C-4547-B2A8-889840232247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607" name="Line 3">
          <a:extLst>
            <a:ext uri="{FF2B5EF4-FFF2-40B4-BE49-F238E27FC236}">
              <a16:creationId xmlns:a16="http://schemas.microsoft.com/office/drawing/2014/main" id="{D5FB8BF6-5E94-4E2D-916D-2148B34D4B10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608" name="Line 4">
          <a:extLst>
            <a:ext uri="{FF2B5EF4-FFF2-40B4-BE49-F238E27FC236}">
              <a16:creationId xmlns:a16="http://schemas.microsoft.com/office/drawing/2014/main" id="{0290D7AC-A1B7-4781-87C1-95E322AD3C7D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342</xdr:row>
      <xdr:rowOff>0</xdr:rowOff>
    </xdr:from>
    <xdr:to>
      <xdr:col>8</xdr:col>
      <xdr:colOff>180975</xdr:colOff>
      <xdr:row>342</xdr:row>
      <xdr:rowOff>0</xdr:rowOff>
    </xdr:to>
    <xdr:sp macro="" textlink="">
      <xdr:nvSpPr>
        <xdr:cNvPr id="610" name="Line 7">
          <a:extLst>
            <a:ext uri="{FF2B5EF4-FFF2-40B4-BE49-F238E27FC236}">
              <a16:creationId xmlns:a16="http://schemas.microsoft.com/office/drawing/2014/main" id="{EB54DC0E-0706-45BB-8B09-C4477196BE3A}"/>
            </a:ext>
          </a:extLst>
        </xdr:cNvPr>
        <xdr:cNvSpPr>
          <a:spLocks noChangeShapeType="1"/>
        </xdr:cNvSpPr>
      </xdr:nvSpPr>
      <xdr:spPr bwMode="auto">
        <a:xfrm>
          <a:off x="4924425" y="571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611" name="Line 3">
          <a:extLst>
            <a:ext uri="{FF2B5EF4-FFF2-40B4-BE49-F238E27FC236}">
              <a16:creationId xmlns:a16="http://schemas.microsoft.com/office/drawing/2014/main" id="{E3A3AFEF-9E3A-4A03-AAE9-7A3F6858D4A8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612" name="Line 5">
          <a:extLst>
            <a:ext uri="{FF2B5EF4-FFF2-40B4-BE49-F238E27FC236}">
              <a16:creationId xmlns:a16="http://schemas.microsoft.com/office/drawing/2014/main" id="{CA15A7AC-1070-4CC4-9588-59A205D11E66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613" name="Line 2">
          <a:extLst>
            <a:ext uri="{FF2B5EF4-FFF2-40B4-BE49-F238E27FC236}">
              <a16:creationId xmlns:a16="http://schemas.microsoft.com/office/drawing/2014/main" id="{5444442B-4F1F-40EC-BE5B-D9109467B22E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614" name="Line 3">
          <a:extLst>
            <a:ext uri="{FF2B5EF4-FFF2-40B4-BE49-F238E27FC236}">
              <a16:creationId xmlns:a16="http://schemas.microsoft.com/office/drawing/2014/main" id="{B2A55F71-02DA-4D34-89E6-AE48F905FEC2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615" name="Line 4">
          <a:extLst>
            <a:ext uri="{FF2B5EF4-FFF2-40B4-BE49-F238E27FC236}">
              <a16:creationId xmlns:a16="http://schemas.microsoft.com/office/drawing/2014/main" id="{2310B5F0-CFBC-40E4-9EE4-CCAC3270D147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616" name="Line 5">
          <a:extLst>
            <a:ext uri="{FF2B5EF4-FFF2-40B4-BE49-F238E27FC236}">
              <a16:creationId xmlns:a16="http://schemas.microsoft.com/office/drawing/2014/main" id="{5FD7F3F3-E044-4AB8-B817-D7B942C96ACA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617" name="Line 7">
          <a:extLst>
            <a:ext uri="{FF2B5EF4-FFF2-40B4-BE49-F238E27FC236}">
              <a16:creationId xmlns:a16="http://schemas.microsoft.com/office/drawing/2014/main" id="{28F17FCA-821F-4E59-90D6-05AB2E4041B0}"/>
            </a:ext>
          </a:extLst>
        </xdr:cNvPr>
        <xdr:cNvSpPr>
          <a:spLocks noChangeShapeType="1"/>
        </xdr:cNvSpPr>
      </xdr:nvSpPr>
      <xdr:spPr bwMode="auto">
        <a:xfrm>
          <a:off x="4924425" y="69942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618" name="Line 2">
          <a:extLst>
            <a:ext uri="{FF2B5EF4-FFF2-40B4-BE49-F238E27FC236}">
              <a16:creationId xmlns:a16="http://schemas.microsoft.com/office/drawing/2014/main" id="{D80F05B0-6A2D-4092-B911-6FB839032550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619" name="Line 3">
          <a:extLst>
            <a:ext uri="{FF2B5EF4-FFF2-40B4-BE49-F238E27FC236}">
              <a16:creationId xmlns:a16="http://schemas.microsoft.com/office/drawing/2014/main" id="{0FBE6D65-96CD-48C1-B440-B4C2786D1ADC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620" name="Line 4">
          <a:extLst>
            <a:ext uri="{FF2B5EF4-FFF2-40B4-BE49-F238E27FC236}">
              <a16:creationId xmlns:a16="http://schemas.microsoft.com/office/drawing/2014/main" id="{89BC19F9-1918-40DF-BB2B-5838AEA526BE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621" name="Line 5">
          <a:extLst>
            <a:ext uri="{FF2B5EF4-FFF2-40B4-BE49-F238E27FC236}">
              <a16:creationId xmlns:a16="http://schemas.microsoft.com/office/drawing/2014/main" id="{DF0ED15A-AC06-4FE6-A6AA-2437B1B7A801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622" name="Line 2">
          <a:extLst>
            <a:ext uri="{FF2B5EF4-FFF2-40B4-BE49-F238E27FC236}">
              <a16:creationId xmlns:a16="http://schemas.microsoft.com/office/drawing/2014/main" id="{11CD603C-F357-4935-A829-305953E723F8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623" name="Line 3">
          <a:extLst>
            <a:ext uri="{FF2B5EF4-FFF2-40B4-BE49-F238E27FC236}">
              <a16:creationId xmlns:a16="http://schemas.microsoft.com/office/drawing/2014/main" id="{93483EB3-73A8-41EE-8F55-05B0255B74A1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624" name="Line 4">
          <a:extLst>
            <a:ext uri="{FF2B5EF4-FFF2-40B4-BE49-F238E27FC236}">
              <a16:creationId xmlns:a16="http://schemas.microsoft.com/office/drawing/2014/main" id="{AFB992E1-F481-4E3D-8092-ACC88E9024E3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625" name="Line 5">
          <a:extLst>
            <a:ext uri="{FF2B5EF4-FFF2-40B4-BE49-F238E27FC236}">
              <a16:creationId xmlns:a16="http://schemas.microsoft.com/office/drawing/2014/main" id="{4442EE43-A0E9-4E1C-82E0-8A942E2D671F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626" name="Line 7">
          <a:extLst>
            <a:ext uri="{FF2B5EF4-FFF2-40B4-BE49-F238E27FC236}">
              <a16:creationId xmlns:a16="http://schemas.microsoft.com/office/drawing/2014/main" id="{9588B300-6F9E-41E4-8EBF-B7E69CDF368F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627" name="Line 2">
          <a:extLst>
            <a:ext uri="{FF2B5EF4-FFF2-40B4-BE49-F238E27FC236}">
              <a16:creationId xmlns:a16="http://schemas.microsoft.com/office/drawing/2014/main" id="{0B66654B-61F4-49E7-9AD5-DC046FDA9946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628" name="Line 3">
          <a:extLst>
            <a:ext uri="{FF2B5EF4-FFF2-40B4-BE49-F238E27FC236}">
              <a16:creationId xmlns:a16="http://schemas.microsoft.com/office/drawing/2014/main" id="{2C32F635-D729-44D3-89E2-08517C32AAFB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376</xdr:row>
      <xdr:rowOff>0</xdr:rowOff>
    </xdr:from>
    <xdr:to>
      <xdr:col>8</xdr:col>
      <xdr:colOff>180975</xdr:colOff>
      <xdr:row>376</xdr:row>
      <xdr:rowOff>0</xdr:rowOff>
    </xdr:to>
    <xdr:sp macro="" textlink="">
      <xdr:nvSpPr>
        <xdr:cNvPr id="629" name="Line 4">
          <a:extLst>
            <a:ext uri="{FF2B5EF4-FFF2-40B4-BE49-F238E27FC236}">
              <a16:creationId xmlns:a16="http://schemas.microsoft.com/office/drawing/2014/main" id="{125BDBE2-754B-4EAB-8AB9-C772BBACF813}"/>
            </a:ext>
          </a:extLst>
        </xdr:cNvPr>
        <xdr:cNvSpPr>
          <a:spLocks noChangeShapeType="1"/>
        </xdr:cNvSpPr>
      </xdr:nvSpPr>
      <xdr:spPr bwMode="auto">
        <a:xfrm>
          <a:off x="4924425" y="636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630" name="Line 3">
          <a:extLst>
            <a:ext uri="{FF2B5EF4-FFF2-40B4-BE49-F238E27FC236}">
              <a16:creationId xmlns:a16="http://schemas.microsoft.com/office/drawing/2014/main" id="{57234281-D6DE-45DA-960E-86851E8174C0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631" name="Line 5">
          <a:extLst>
            <a:ext uri="{FF2B5EF4-FFF2-40B4-BE49-F238E27FC236}">
              <a16:creationId xmlns:a16="http://schemas.microsoft.com/office/drawing/2014/main" id="{12781EED-307E-4163-B898-8B2A7EB3B319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632" name="Line 2">
          <a:extLst>
            <a:ext uri="{FF2B5EF4-FFF2-40B4-BE49-F238E27FC236}">
              <a16:creationId xmlns:a16="http://schemas.microsoft.com/office/drawing/2014/main" id="{47C58ED3-6B11-43ED-9D5B-AA24F52CDA17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633" name="Line 3">
          <a:extLst>
            <a:ext uri="{FF2B5EF4-FFF2-40B4-BE49-F238E27FC236}">
              <a16:creationId xmlns:a16="http://schemas.microsoft.com/office/drawing/2014/main" id="{618CD785-A868-47C1-86E7-E4BA629A8471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634" name="Line 4">
          <a:extLst>
            <a:ext uri="{FF2B5EF4-FFF2-40B4-BE49-F238E27FC236}">
              <a16:creationId xmlns:a16="http://schemas.microsoft.com/office/drawing/2014/main" id="{E80E309D-4ECE-4E00-9573-F0C488E477BA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635" name="Line 5">
          <a:extLst>
            <a:ext uri="{FF2B5EF4-FFF2-40B4-BE49-F238E27FC236}">
              <a16:creationId xmlns:a16="http://schemas.microsoft.com/office/drawing/2014/main" id="{C3FCA646-43BD-4AA0-B35F-61CA69966FBF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636" name="Line 7">
          <a:extLst>
            <a:ext uri="{FF2B5EF4-FFF2-40B4-BE49-F238E27FC236}">
              <a16:creationId xmlns:a16="http://schemas.microsoft.com/office/drawing/2014/main" id="{0155238C-670A-4D40-9D49-EABDBAD0909A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640" name="Line 5">
          <a:extLst>
            <a:ext uri="{FF2B5EF4-FFF2-40B4-BE49-F238E27FC236}">
              <a16:creationId xmlns:a16="http://schemas.microsoft.com/office/drawing/2014/main" id="{BE320A03-5744-419D-BA2A-14ADDF771640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643" name="Line 4">
          <a:extLst>
            <a:ext uri="{FF2B5EF4-FFF2-40B4-BE49-F238E27FC236}">
              <a16:creationId xmlns:a16="http://schemas.microsoft.com/office/drawing/2014/main" id="{D5FFF96D-CC97-42E8-BB97-330A61733EA9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644" name="Line 2">
          <a:extLst>
            <a:ext uri="{FF2B5EF4-FFF2-40B4-BE49-F238E27FC236}">
              <a16:creationId xmlns:a16="http://schemas.microsoft.com/office/drawing/2014/main" id="{F6CCDC8F-9F04-4A2C-AB7A-03E56344A449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645" name="Line 3">
          <a:extLst>
            <a:ext uri="{FF2B5EF4-FFF2-40B4-BE49-F238E27FC236}">
              <a16:creationId xmlns:a16="http://schemas.microsoft.com/office/drawing/2014/main" id="{80A81E37-8217-44A7-98A1-64FA1F114E7B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646" name="Line 4">
          <a:extLst>
            <a:ext uri="{FF2B5EF4-FFF2-40B4-BE49-F238E27FC236}">
              <a16:creationId xmlns:a16="http://schemas.microsoft.com/office/drawing/2014/main" id="{C6F87E31-7450-49BB-801C-030DF0655E29}"/>
            </a:ext>
          </a:extLst>
        </xdr:cNvPr>
        <xdr:cNvSpPr>
          <a:spLocks noChangeShapeType="1"/>
        </xdr:cNvSpPr>
      </xdr:nvSpPr>
      <xdr:spPr bwMode="auto">
        <a:xfrm>
          <a:off x="4924425" y="86144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647" name="Line 2">
          <a:extLst>
            <a:ext uri="{FF2B5EF4-FFF2-40B4-BE49-F238E27FC236}">
              <a16:creationId xmlns:a16="http://schemas.microsoft.com/office/drawing/2014/main" id="{E7F8F616-352E-4AEB-B5D3-4AFC488D5E09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648" name="Line 3">
          <a:extLst>
            <a:ext uri="{FF2B5EF4-FFF2-40B4-BE49-F238E27FC236}">
              <a16:creationId xmlns:a16="http://schemas.microsoft.com/office/drawing/2014/main" id="{F84B1E03-8F04-4381-B83A-C5A18EC22275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489</xdr:row>
      <xdr:rowOff>0</xdr:rowOff>
    </xdr:from>
    <xdr:to>
      <xdr:col>8</xdr:col>
      <xdr:colOff>180975</xdr:colOff>
      <xdr:row>489</xdr:row>
      <xdr:rowOff>0</xdr:rowOff>
    </xdr:to>
    <xdr:sp macro="" textlink="">
      <xdr:nvSpPr>
        <xdr:cNvPr id="649" name="Line 4">
          <a:extLst>
            <a:ext uri="{FF2B5EF4-FFF2-40B4-BE49-F238E27FC236}">
              <a16:creationId xmlns:a16="http://schemas.microsoft.com/office/drawing/2014/main" id="{9206A4E5-CF29-4D22-941A-CEF663F4B401}"/>
            </a:ext>
          </a:extLst>
        </xdr:cNvPr>
        <xdr:cNvSpPr>
          <a:spLocks noChangeShapeType="1"/>
        </xdr:cNvSpPr>
      </xdr:nvSpPr>
      <xdr:spPr bwMode="auto">
        <a:xfrm>
          <a:off x="4924425" y="86582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650" name="Line 3">
          <a:extLst>
            <a:ext uri="{FF2B5EF4-FFF2-40B4-BE49-F238E27FC236}">
              <a16:creationId xmlns:a16="http://schemas.microsoft.com/office/drawing/2014/main" id="{F35D6F55-CCDA-46E7-93B3-7CB69208B809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651" name="Line 5">
          <a:extLst>
            <a:ext uri="{FF2B5EF4-FFF2-40B4-BE49-F238E27FC236}">
              <a16:creationId xmlns:a16="http://schemas.microsoft.com/office/drawing/2014/main" id="{D3ABAA4F-452B-424F-A5BC-423D22350119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652" name="Line 2">
          <a:extLst>
            <a:ext uri="{FF2B5EF4-FFF2-40B4-BE49-F238E27FC236}">
              <a16:creationId xmlns:a16="http://schemas.microsoft.com/office/drawing/2014/main" id="{7A08CC2C-2244-427B-9968-A9BFC3EA5AD9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653" name="Line 3">
          <a:extLst>
            <a:ext uri="{FF2B5EF4-FFF2-40B4-BE49-F238E27FC236}">
              <a16:creationId xmlns:a16="http://schemas.microsoft.com/office/drawing/2014/main" id="{38DEBB12-F53F-4600-8F46-60AF3C2CEFE1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654" name="Line 4">
          <a:extLst>
            <a:ext uri="{FF2B5EF4-FFF2-40B4-BE49-F238E27FC236}">
              <a16:creationId xmlns:a16="http://schemas.microsoft.com/office/drawing/2014/main" id="{995DEB71-B9BF-4202-B4F9-A14F2B2AFE9E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655" name="Line 5">
          <a:extLst>
            <a:ext uri="{FF2B5EF4-FFF2-40B4-BE49-F238E27FC236}">
              <a16:creationId xmlns:a16="http://schemas.microsoft.com/office/drawing/2014/main" id="{C0B796E6-E778-4A68-A0F3-6814BF50C20C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656" name="Line 7">
          <a:extLst>
            <a:ext uri="{FF2B5EF4-FFF2-40B4-BE49-F238E27FC236}">
              <a16:creationId xmlns:a16="http://schemas.microsoft.com/office/drawing/2014/main" id="{B7DB2A1D-49A5-4B52-A162-DFCDBA2A95C1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657" name="Line 2">
          <a:extLst>
            <a:ext uri="{FF2B5EF4-FFF2-40B4-BE49-F238E27FC236}">
              <a16:creationId xmlns:a16="http://schemas.microsoft.com/office/drawing/2014/main" id="{0F4A931B-39CE-45A0-A60F-E7D975844575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658" name="Line 3">
          <a:extLst>
            <a:ext uri="{FF2B5EF4-FFF2-40B4-BE49-F238E27FC236}">
              <a16:creationId xmlns:a16="http://schemas.microsoft.com/office/drawing/2014/main" id="{1A6EF78B-F954-4469-B47B-56E72A3B3F29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659" name="Line 4">
          <a:extLst>
            <a:ext uri="{FF2B5EF4-FFF2-40B4-BE49-F238E27FC236}">
              <a16:creationId xmlns:a16="http://schemas.microsoft.com/office/drawing/2014/main" id="{CE1E45F2-C63A-4976-B050-937B954C9CA6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660" name="Line 5">
          <a:extLst>
            <a:ext uri="{FF2B5EF4-FFF2-40B4-BE49-F238E27FC236}">
              <a16:creationId xmlns:a16="http://schemas.microsoft.com/office/drawing/2014/main" id="{EC9262E4-DEE0-4EF7-AE4D-29D57FD3F6A5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661" name="Line 2">
          <a:extLst>
            <a:ext uri="{FF2B5EF4-FFF2-40B4-BE49-F238E27FC236}">
              <a16:creationId xmlns:a16="http://schemas.microsoft.com/office/drawing/2014/main" id="{6BA7D020-1C60-40C3-AE89-7A4ABDE0E005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662" name="Line 3">
          <a:extLst>
            <a:ext uri="{FF2B5EF4-FFF2-40B4-BE49-F238E27FC236}">
              <a16:creationId xmlns:a16="http://schemas.microsoft.com/office/drawing/2014/main" id="{5DF40554-6533-4B9C-A0AB-B4EFF88E17A5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663" name="Line 4">
          <a:extLst>
            <a:ext uri="{FF2B5EF4-FFF2-40B4-BE49-F238E27FC236}">
              <a16:creationId xmlns:a16="http://schemas.microsoft.com/office/drawing/2014/main" id="{C310DF9A-D5F9-4A06-91F1-101D3B55D296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664" name="Line 2">
          <a:extLst>
            <a:ext uri="{FF2B5EF4-FFF2-40B4-BE49-F238E27FC236}">
              <a16:creationId xmlns:a16="http://schemas.microsoft.com/office/drawing/2014/main" id="{F282E22D-238C-44DE-BEAF-BF73FCE93908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665" name="Line 3">
          <a:extLst>
            <a:ext uri="{FF2B5EF4-FFF2-40B4-BE49-F238E27FC236}">
              <a16:creationId xmlns:a16="http://schemas.microsoft.com/office/drawing/2014/main" id="{6002DC48-2B35-4826-9F6D-BDF83981E5C3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538</xdr:row>
      <xdr:rowOff>0</xdr:rowOff>
    </xdr:from>
    <xdr:to>
      <xdr:col>8</xdr:col>
      <xdr:colOff>180975</xdr:colOff>
      <xdr:row>538</xdr:row>
      <xdr:rowOff>0</xdr:rowOff>
    </xdr:to>
    <xdr:sp macro="" textlink="">
      <xdr:nvSpPr>
        <xdr:cNvPr id="666" name="Line 4">
          <a:extLst>
            <a:ext uri="{FF2B5EF4-FFF2-40B4-BE49-F238E27FC236}">
              <a16:creationId xmlns:a16="http://schemas.microsoft.com/office/drawing/2014/main" id="{C7995C17-9E39-4D37-9692-6E45B51E8565}"/>
            </a:ext>
          </a:extLst>
        </xdr:cNvPr>
        <xdr:cNvSpPr>
          <a:spLocks noChangeShapeType="1"/>
        </xdr:cNvSpPr>
      </xdr:nvSpPr>
      <xdr:spPr bwMode="auto">
        <a:xfrm>
          <a:off x="4924425" y="9496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667" name="Line 2">
          <a:extLst>
            <a:ext uri="{FF2B5EF4-FFF2-40B4-BE49-F238E27FC236}">
              <a16:creationId xmlns:a16="http://schemas.microsoft.com/office/drawing/2014/main" id="{2BDC1BFA-6A43-4AB0-B672-BB3C1FACB859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668" name="Line 3">
          <a:extLst>
            <a:ext uri="{FF2B5EF4-FFF2-40B4-BE49-F238E27FC236}">
              <a16:creationId xmlns:a16="http://schemas.microsoft.com/office/drawing/2014/main" id="{B9DAD1DD-695E-4E12-B1D7-FE29193A70FC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541</xdr:row>
      <xdr:rowOff>0</xdr:rowOff>
    </xdr:from>
    <xdr:to>
      <xdr:col>8</xdr:col>
      <xdr:colOff>180975</xdr:colOff>
      <xdr:row>541</xdr:row>
      <xdr:rowOff>0</xdr:rowOff>
    </xdr:to>
    <xdr:sp macro="" textlink="">
      <xdr:nvSpPr>
        <xdr:cNvPr id="669" name="Line 4">
          <a:extLst>
            <a:ext uri="{FF2B5EF4-FFF2-40B4-BE49-F238E27FC236}">
              <a16:creationId xmlns:a16="http://schemas.microsoft.com/office/drawing/2014/main" id="{835DD10C-75CF-4E4C-B60F-1A8E3E6B4E58}"/>
            </a:ext>
          </a:extLst>
        </xdr:cNvPr>
        <xdr:cNvSpPr>
          <a:spLocks noChangeShapeType="1"/>
        </xdr:cNvSpPr>
      </xdr:nvSpPr>
      <xdr:spPr bwMode="auto">
        <a:xfrm>
          <a:off x="4924425" y="9540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670" name="Line 3">
          <a:extLst>
            <a:ext uri="{FF2B5EF4-FFF2-40B4-BE49-F238E27FC236}">
              <a16:creationId xmlns:a16="http://schemas.microsoft.com/office/drawing/2014/main" id="{1DE2C984-96F3-4130-BAE0-4359CEC5CC8A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671" name="Line 5">
          <a:extLst>
            <a:ext uri="{FF2B5EF4-FFF2-40B4-BE49-F238E27FC236}">
              <a16:creationId xmlns:a16="http://schemas.microsoft.com/office/drawing/2014/main" id="{D5CB0907-5950-42CD-8937-EB8EE6840A29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672" name="Line 2">
          <a:extLst>
            <a:ext uri="{FF2B5EF4-FFF2-40B4-BE49-F238E27FC236}">
              <a16:creationId xmlns:a16="http://schemas.microsoft.com/office/drawing/2014/main" id="{B344E697-9D54-443A-B807-4B6D4BAA9DE6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673" name="Line 3">
          <a:extLst>
            <a:ext uri="{FF2B5EF4-FFF2-40B4-BE49-F238E27FC236}">
              <a16:creationId xmlns:a16="http://schemas.microsoft.com/office/drawing/2014/main" id="{5D56973C-17FE-433E-AB37-4831652CF6C7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674" name="Line 4">
          <a:extLst>
            <a:ext uri="{FF2B5EF4-FFF2-40B4-BE49-F238E27FC236}">
              <a16:creationId xmlns:a16="http://schemas.microsoft.com/office/drawing/2014/main" id="{3974FDC5-E3C5-44C2-B158-532036BE213B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675" name="Line 5">
          <a:extLst>
            <a:ext uri="{FF2B5EF4-FFF2-40B4-BE49-F238E27FC236}">
              <a16:creationId xmlns:a16="http://schemas.microsoft.com/office/drawing/2014/main" id="{3435F860-17E8-4D53-BCA8-EC0EB6F11144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676" name="Line 7">
          <a:extLst>
            <a:ext uri="{FF2B5EF4-FFF2-40B4-BE49-F238E27FC236}">
              <a16:creationId xmlns:a16="http://schemas.microsoft.com/office/drawing/2014/main" id="{C2397712-C631-4307-807B-EB9D0D3BF072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680" name="Line 5">
          <a:extLst>
            <a:ext uri="{FF2B5EF4-FFF2-40B4-BE49-F238E27FC236}">
              <a16:creationId xmlns:a16="http://schemas.microsoft.com/office/drawing/2014/main" id="{DCA131F3-19FB-4F29-97F0-2EBA5664F730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683" name="Line 4">
          <a:extLst>
            <a:ext uri="{FF2B5EF4-FFF2-40B4-BE49-F238E27FC236}">
              <a16:creationId xmlns:a16="http://schemas.microsoft.com/office/drawing/2014/main" id="{8A6D2519-52F3-4B5E-B258-78D5E8E95C9F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588</xdr:row>
      <xdr:rowOff>0</xdr:rowOff>
    </xdr:from>
    <xdr:to>
      <xdr:col>8</xdr:col>
      <xdr:colOff>180975</xdr:colOff>
      <xdr:row>588</xdr:row>
      <xdr:rowOff>0</xdr:rowOff>
    </xdr:to>
    <xdr:sp macro="" textlink="">
      <xdr:nvSpPr>
        <xdr:cNvPr id="686" name="Line 4">
          <a:extLst>
            <a:ext uri="{FF2B5EF4-FFF2-40B4-BE49-F238E27FC236}">
              <a16:creationId xmlns:a16="http://schemas.microsoft.com/office/drawing/2014/main" id="{E3D8B1A4-2455-4D33-8291-B46B5935FDBF}"/>
            </a:ext>
          </a:extLst>
        </xdr:cNvPr>
        <xdr:cNvSpPr>
          <a:spLocks noChangeShapeType="1"/>
        </xdr:cNvSpPr>
      </xdr:nvSpPr>
      <xdr:spPr bwMode="auto">
        <a:xfrm>
          <a:off x="4924425" y="103498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689" name="Line 4">
          <a:extLst>
            <a:ext uri="{FF2B5EF4-FFF2-40B4-BE49-F238E27FC236}">
              <a16:creationId xmlns:a16="http://schemas.microsoft.com/office/drawing/2014/main" id="{0B58DE37-057D-4CA5-A70F-574ACDD1752D}"/>
            </a:ext>
          </a:extLst>
        </xdr:cNvPr>
        <xdr:cNvSpPr>
          <a:spLocks noChangeShapeType="1"/>
        </xdr:cNvSpPr>
      </xdr:nvSpPr>
      <xdr:spPr bwMode="auto">
        <a:xfrm>
          <a:off x="4924425" y="10393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690" name="Line 3">
          <a:extLst>
            <a:ext uri="{FF2B5EF4-FFF2-40B4-BE49-F238E27FC236}">
              <a16:creationId xmlns:a16="http://schemas.microsoft.com/office/drawing/2014/main" id="{1B2EA42A-312B-4566-B884-78E9DFF2F580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691" name="Line 5">
          <a:extLst>
            <a:ext uri="{FF2B5EF4-FFF2-40B4-BE49-F238E27FC236}">
              <a16:creationId xmlns:a16="http://schemas.microsoft.com/office/drawing/2014/main" id="{8BF9B212-F247-4B63-9944-0E7F21BC4CE0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692" name="Line 2">
          <a:extLst>
            <a:ext uri="{FF2B5EF4-FFF2-40B4-BE49-F238E27FC236}">
              <a16:creationId xmlns:a16="http://schemas.microsoft.com/office/drawing/2014/main" id="{F956C122-A23A-4255-92B2-D16651690918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693" name="Line 3">
          <a:extLst>
            <a:ext uri="{FF2B5EF4-FFF2-40B4-BE49-F238E27FC236}">
              <a16:creationId xmlns:a16="http://schemas.microsoft.com/office/drawing/2014/main" id="{F8DF99FF-880D-43F9-AEDF-FC7EE09520B3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694" name="Line 4">
          <a:extLst>
            <a:ext uri="{FF2B5EF4-FFF2-40B4-BE49-F238E27FC236}">
              <a16:creationId xmlns:a16="http://schemas.microsoft.com/office/drawing/2014/main" id="{AD060707-B48F-497A-84D1-258EC4E81432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695" name="Line 5">
          <a:extLst>
            <a:ext uri="{FF2B5EF4-FFF2-40B4-BE49-F238E27FC236}">
              <a16:creationId xmlns:a16="http://schemas.microsoft.com/office/drawing/2014/main" id="{C7E83844-66D0-4B76-ABF5-B9CA8A1827D2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664</xdr:row>
      <xdr:rowOff>0</xdr:rowOff>
    </xdr:from>
    <xdr:to>
      <xdr:col>8</xdr:col>
      <xdr:colOff>180975</xdr:colOff>
      <xdr:row>664</xdr:row>
      <xdr:rowOff>0</xdr:rowOff>
    </xdr:to>
    <xdr:sp macro="" textlink="">
      <xdr:nvSpPr>
        <xdr:cNvPr id="696" name="Line 7">
          <a:extLst>
            <a:ext uri="{FF2B5EF4-FFF2-40B4-BE49-F238E27FC236}">
              <a16:creationId xmlns:a16="http://schemas.microsoft.com/office/drawing/2014/main" id="{DED03189-5143-4CC4-BE6E-3A43F86811B2}"/>
            </a:ext>
          </a:extLst>
        </xdr:cNvPr>
        <xdr:cNvSpPr>
          <a:spLocks noChangeShapeType="1"/>
        </xdr:cNvSpPr>
      </xdr:nvSpPr>
      <xdr:spPr bwMode="auto">
        <a:xfrm>
          <a:off x="4924425" y="11574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700" name="Line 5">
          <a:extLst>
            <a:ext uri="{FF2B5EF4-FFF2-40B4-BE49-F238E27FC236}">
              <a16:creationId xmlns:a16="http://schemas.microsoft.com/office/drawing/2014/main" id="{09CE1203-79AA-4732-A09C-FC9040CF08B0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703" name="Line 4">
          <a:extLst>
            <a:ext uri="{FF2B5EF4-FFF2-40B4-BE49-F238E27FC236}">
              <a16:creationId xmlns:a16="http://schemas.microsoft.com/office/drawing/2014/main" id="{6A452C2C-485D-42FA-8D09-58FC949CA92A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704" name="Line 2">
          <a:extLst>
            <a:ext uri="{FF2B5EF4-FFF2-40B4-BE49-F238E27FC236}">
              <a16:creationId xmlns:a16="http://schemas.microsoft.com/office/drawing/2014/main" id="{0E8F8873-EB5F-4D4B-AC81-1AF763B04669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705" name="Line 3">
          <a:extLst>
            <a:ext uri="{FF2B5EF4-FFF2-40B4-BE49-F238E27FC236}">
              <a16:creationId xmlns:a16="http://schemas.microsoft.com/office/drawing/2014/main" id="{CBB259C6-83CC-443C-A57C-F4AE3D0559E6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639</xdr:row>
      <xdr:rowOff>0</xdr:rowOff>
    </xdr:from>
    <xdr:to>
      <xdr:col>8</xdr:col>
      <xdr:colOff>180975</xdr:colOff>
      <xdr:row>639</xdr:row>
      <xdr:rowOff>0</xdr:rowOff>
    </xdr:to>
    <xdr:sp macro="" textlink="">
      <xdr:nvSpPr>
        <xdr:cNvPr id="706" name="Line 4">
          <a:extLst>
            <a:ext uri="{FF2B5EF4-FFF2-40B4-BE49-F238E27FC236}">
              <a16:creationId xmlns:a16="http://schemas.microsoft.com/office/drawing/2014/main" id="{B8387979-4DB1-4533-BD40-42E4C71F3951}"/>
            </a:ext>
          </a:extLst>
        </xdr:cNvPr>
        <xdr:cNvSpPr>
          <a:spLocks noChangeShapeType="1"/>
        </xdr:cNvSpPr>
      </xdr:nvSpPr>
      <xdr:spPr bwMode="auto">
        <a:xfrm>
          <a:off x="4924425" y="11217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707" name="Line 2">
          <a:extLst>
            <a:ext uri="{FF2B5EF4-FFF2-40B4-BE49-F238E27FC236}">
              <a16:creationId xmlns:a16="http://schemas.microsoft.com/office/drawing/2014/main" id="{AFA17CE5-7683-4CD3-AB4A-C1441F36C651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708" name="Line 3">
          <a:extLst>
            <a:ext uri="{FF2B5EF4-FFF2-40B4-BE49-F238E27FC236}">
              <a16:creationId xmlns:a16="http://schemas.microsoft.com/office/drawing/2014/main" id="{9115A0AA-03FB-4CE7-A1B9-66CE93F31585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642</xdr:row>
      <xdr:rowOff>0</xdr:rowOff>
    </xdr:from>
    <xdr:to>
      <xdr:col>8</xdr:col>
      <xdr:colOff>180975</xdr:colOff>
      <xdr:row>642</xdr:row>
      <xdr:rowOff>0</xdr:rowOff>
    </xdr:to>
    <xdr:sp macro="" textlink="">
      <xdr:nvSpPr>
        <xdr:cNvPr id="709" name="Line 4">
          <a:extLst>
            <a:ext uri="{FF2B5EF4-FFF2-40B4-BE49-F238E27FC236}">
              <a16:creationId xmlns:a16="http://schemas.microsoft.com/office/drawing/2014/main" id="{46707837-01DA-4CC4-8F1D-DD35D57BB63E}"/>
            </a:ext>
          </a:extLst>
        </xdr:cNvPr>
        <xdr:cNvSpPr>
          <a:spLocks noChangeShapeType="1"/>
        </xdr:cNvSpPr>
      </xdr:nvSpPr>
      <xdr:spPr bwMode="auto">
        <a:xfrm>
          <a:off x="4924425" y="11260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710" name="Line 2">
          <a:extLst>
            <a:ext uri="{FF2B5EF4-FFF2-40B4-BE49-F238E27FC236}">
              <a16:creationId xmlns:a16="http://schemas.microsoft.com/office/drawing/2014/main" id="{2EBEC765-0AC2-4895-B051-F27B9FAEA1C0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711" name="Line 3">
          <a:extLst>
            <a:ext uri="{FF2B5EF4-FFF2-40B4-BE49-F238E27FC236}">
              <a16:creationId xmlns:a16="http://schemas.microsoft.com/office/drawing/2014/main" id="{4B82D7C7-3D90-4BE9-9C29-1CF55C779290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712" name="Line 5">
          <a:extLst>
            <a:ext uri="{FF2B5EF4-FFF2-40B4-BE49-F238E27FC236}">
              <a16:creationId xmlns:a16="http://schemas.microsoft.com/office/drawing/2014/main" id="{A3613B5F-A9F2-482A-88D5-082150928A9D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713" name="Line 3">
          <a:extLst>
            <a:ext uri="{FF2B5EF4-FFF2-40B4-BE49-F238E27FC236}">
              <a16:creationId xmlns:a16="http://schemas.microsoft.com/office/drawing/2014/main" id="{D456DE1E-B5CC-4F93-A4E9-4DD186D0EAB1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714" name="Line 5">
          <a:extLst>
            <a:ext uri="{FF2B5EF4-FFF2-40B4-BE49-F238E27FC236}">
              <a16:creationId xmlns:a16="http://schemas.microsoft.com/office/drawing/2014/main" id="{8A25A725-581B-4B4A-8037-5B728B099985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715" name="Line 2">
          <a:extLst>
            <a:ext uri="{FF2B5EF4-FFF2-40B4-BE49-F238E27FC236}">
              <a16:creationId xmlns:a16="http://schemas.microsoft.com/office/drawing/2014/main" id="{F2098E74-6DA9-44A3-8AAA-6345A4C26F1E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716" name="Line 3">
          <a:extLst>
            <a:ext uri="{FF2B5EF4-FFF2-40B4-BE49-F238E27FC236}">
              <a16:creationId xmlns:a16="http://schemas.microsoft.com/office/drawing/2014/main" id="{23B01C17-CF96-46E8-994A-2192227E729F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717" name="Line 4">
          <a:extLst>
            <a:ext uri="{FF2B5EF4-FFF2-40B4-BE49-F238E27FC236}">
              <a16:creationId xmlns:a16="http://schemas.microsoft.com/office/drawing/2014/main" id="{B2914F79-319D-403E-B234-3AB314255482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78</xdr:row>
      <xdr:rowOff>0</xdr:rowOff>
    </xdr:from>
    <xdr:to>
      <xdr:col>8</xdr:col>
      <xdr:colOff>180975</xdr:colOff>
      <xdr:row>78</xdr:row>
      <xdr:rowOff>0</xdr:rowOff>
    </xdr:to>
    <xdr:sp macro="" textlink="">
      <xdr:nvSpPr>
        <xdr:cNvPr id="718" name="Line 5">
          <a:extLst>
            <a:ext uri="{FF2B5EF4-FFF2-40B4-BE49-F238E27FC236}">
              <a16:creationId xmlns:a16="http://schemas.microsoft.com/office/drawing/2014/main" id="{537D7526-1D04-45A0-8251-DB19836F5610}"/>
            </a:ext>
          </a:extLst>
        </xdr:cNvPr>
        <xdr:cNvSpPr>
          <a:spLocks noChangeShapeType="1"/>
        </xdr:cNvSpPr>
      </xdr:nvSpPr>
      <xdr:spPr bwMode="auto">
        <a:xfrm>
          <a:off x="492442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98</xdr:row>
      <xdr:rowOff>0</xdr:rowOff>
    </xdr:from>
    <xdr:to>
      <xdr:col>8</xdr:col>
      <xdr:colOff>180975</xdr:colOff>
      <xdr:row>98</xdr:row>
      <xdr:rowOff>0</xdr:rowOff>
    </xdr:to>
    <xdr:sp macro="" textlink="">
      <xdr:nvSpPr>
        <xdr:cNvPr id="719" name="Line 7">
          <a:extLst>
            <a:ext uri="{FF2B5EF4-FFF2-40B4-BE49-F238E27FC236}">
              <a16:creationId xmlns:a16="http://schemas.microsoft.com/office/drawing/2014/main" id="{8CE5E013-7FDE-44AF-AC6F-E088F51818C6}"/>
            </a:ext>
          </a:extLst>
        </xdr:cNvPr>
        <xdr:cNvSpPr>
          <a:spLocks noChangeShapeType="1"/>
        </xdr:cNvSpPr>
      </xdr:nvSpPr>
      <xdr:spPr bwMode="auto">
        <a:xfrm>
          <a:off x="4924425" y="149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721" name="Line 3">
          <a:extLst>
            <a:ext uri="{FF2B5EF4-FFF2-40B4-BE49-F238E27FC236}">
              <a16:creationId xmlns:a16="http://schemas.microsoft.com/office/drawing/2014/main" id="{D53CC70C-C764-4D9D-9121-59380E005642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722" name="Line 5">
          <a:extLst>
            <a:ext uri="{FF2B5EF4-FFF2-40B4-BE49-F238E27FC236}">
              <a16:creationId xmlns:a16="http://schemas.microsoft.com/office/drawing/2014/main" id="{8844D546-641B-4B1F-97D3-A7432A7CDE62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723" name="Line 2">
          <a:extLst>
            <a:ext uri="{FF2B5EF4-FFF2-40B4-BE49-F238E27FC236}">
              <a16:creationId xmlns:a16="http://schemas.microsoft.com/office/drawing/2014/main" id="{DAC5CBBB-E4FC-4911-952D-43A144CD95D4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724" name="Line 3">
          <a:extLst>
            <a:ext uri="{FF2B5EF4-FFF2-40B4-BE49-F238E27FC236}">
              <a16:creationId xmlns:a16="http://schemas.microsoft.com/office/drawing/2014/main" id="{C39C5F8D-32E4-4BCD-B981-417607D3F780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725" name="Line 4">
          <a:extLst>
            <a:ext uri="{FF2B5EF4-FFF2-40B4-BE49-F238E27FC236}">
              <a16:creationId xmlns:a16="http://schemas.microsoft.com/office/drawing/2014/main" id="{06933E35-2020-4096-89CB-109EDA2E4C1A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726" name="Line 5">
          <a:extLst>
            <a:ext uri="{FF2B5EF4-FFF2-40B4-BE49-F238E27FC236}">
              <a16:creationId xmlns:a16="http://schemas.microsoft.com/office/drawing/2014/main" id="{AF3EBEF4-39C3-4C9F-9AF4-3E819221DBC6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728" name="Line 2">
          <a:extLst>
            <a:ext uri="{FF2B5EF4-FFF2-40B4-BE49-F238E27FC236}">
              <a16:creationId xmlns:a16="http://schemas.microsoft.com/office/drawing/2014/main" id="{C8676118-3FEB-4BB5-B7EE-57F9F1F81D13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729" name="Line 3">
          <a:extLst>
            <a:ext uri="{FF2B5EF4-FFF2-40B4-BE49-F238E27FC236}">
              <a16:creationId xmlns:a16="http://schemas.microsoft.com/office/drawing/2014/main" id="{ABE3E8F0-1DC6-449B-B896-611404C0AF72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730" name="Line 4">
          <a:extLst>
            <a:ext uri="{FF2B5EF4-FFF2-40B4-BE49-F238E27FC236}">
              <a16:creationId xmlns:a16="http://schemas.microsoft.com/office/drawing/2014/main" id="{81EC2720-F760-4A25-AAB9-D75CFE965A6E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731" name="Line 5">
          <a:extLst>
            <a:ext uri="{FF2B5EF4-FFF2-40B4-BE49-F238E27FC236}">
              <a16:creationId xmlns:a16="http://schemas.microsoft.com/office/drawing/2014/main" id="{808F9C0A-660F-40C4-9940-BA3AC37CBAC8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732" name="Line 2">
          <a:extLst>
            <a:ext uri="{FF2B5EF4-FFF2-40B4-BE49-F238E27FC236}">
              <a16:creationId xmlns:a16="http://schemas.microsoft.com/office/drawing/2014/main" id="{FDF9C431-C6C4-4AEB-A820-833C89C43DEE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33" name="Line 3">
          <a:extLst>
            <a:ext uri="{FF2B5EF4-FFF2-40B4-BE49-F238E27FC236}">
              <a16:creationId xmlns:a16="http://schemas.microsoft.com/office/drawing/2014/main" id="{57D418EB-595F-42AB-929E-E20743BF035F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34" name="Line 5">
          <a:extLst>
            <a:ext uri="{FF2B5EF4-FFF2-40B4-BE49-F238E27FC236}">
              <a16:creationId xmlns:a16="http://schemas.microsoft.com/office/drawing/2014/main" id="{09456995-49E0-4237-9E3E-C7FDB0AA7F99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735" name="Line 2">
          <a:extLst>
            <a:ext uri="{FF2B5EF4-FFF2-40B4-BE49-F238E27FC236}">
              <a16:creationId xmlns:a16="http://schemas.microsoft.com/office/drawing/2014/main" id="{C8745F0C-625E-4970-AF3C-3A2EC0329BF0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736" name="Line 3">
          <a:extLst>
            <a:ext uri="{FF2B5EF4-FFF2-40B4-BE49-F238E27FC236}">
              <a16:creationId xmlns:a16="http://schemas.microsoft.com/office/drawing/2014/main" id="{6EAB25A0-D512-4DB3-B594-A5B87D206071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737" name="Line 4">
          <a:extLst>
            <a:ext uri="{FF2B5EF4-FFF2-40B4-BE49-F238E27FC236}">
              <a16:creationId xmlns:a16="http://schemas.microsoft.com/office/drawing/2014/main" id="{C6F709D7-770A-43B3-B5AF-6CD57A5A7B8D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738" name="Line 5">
          <a:extLst>
            <a:ext uri="{FF2B5EF4-FFF2-40B4-BE49-F238E27FC236}">
              <a16:creationId xmlns:a16="http://schemas.microsoft.com/office/drawing/2014/main" id="{5CA3A5AF-DC7C-4B09-9CFF-96FAA61DB7BD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739" name="Line 7">
          <a:extLst>
            <a:ext uri="{FF2B5EF4-FFF2-40B4-BE49-F238E27FC236}">
              <a16:creationId xmlns:a16="http://schemas.microsoft.com/office/drawing/2014/main" id="{B8751672-F94E-401D-B9BF-BE4AFB59D245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740" name="Line 2">
          <a:extLst>
            <a:ext uri="{FF2B5EF4-FFF2-40B4-BE49-F238E27FC236}">
              <a16:creationId xmlns:a16="http://schemas.microsoft.com/office/drawing/2014/main" id="{32FFB689-215F-42AD-9063-86A08877F95E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741" name="Line 3">
          <a:extLst>
            <a:ext uri="{FF2B5EF4-FFF2-40B4-BE49-F238E27FC236}">
              <a16:creationId xmlns:a16="http://schemas.microsoft.com/office/drawing/2014/main" id="{B9EEB5A0-B218-431A-A158-DB8A4238B533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742" name="Line 4">
          <a:extLst>
            <a:ext uri="{FF2B5EF4-FFF2-40B4-BE49-F238E27FC236}">
              <a16:creationId xmlns:a16="http://schemas.microsoft.com/office/drawing/2014/main" id="{B518DF09-8349-4373-9C63-10FA41CCDF0D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743" name="Line 5">
          <a:extLst>
            <a:ext uri="{FF2B5EF4-FFF2-40B4-BE49-F238E27FC236}">
              <a16:creationId xmlns:a16="http://schemas.microsoft.com/office/drawing/2014/main" id="{9BA28677-B02A-4115-8A27-0BD4ADE540EC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744" name="Line 2">
          <a:extLst>
            <a:ext uri="{FF2B5EF4-FFF2-40B4-BE49-F238E27FC236}">
              <a16:creationId xmlns:a16="http://schemas.microsoft.com/office/drawing/2014/main" id="{EDE375F4-B76D-4A0F-888A-36B103AE2941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745" name="Line 3">
          <a:extLst>
            <a:ext uri="{FF2B5EF4-FFF2-40B4-BE49-F238E27FC236}">
              <a16:creationId xmlns:a16="http://schemas.microsoft.com/office/drawing/2014/main" id="{AA404452-7614-4DE8-A67E-B1AEAF232052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746" name="Line 4">
          <a:extLst>
            <a:ext uri="{FF2B5EF4-FFF2-40B4-BE49-F238E27FC236}">
              <a16:creationId xmlns:a16="http://schemas.microsoft.com/office/drawing/2014/main" id="{EC81DFB3-F0D5-4221-B41B-2257B9398243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748" name="Line 7">
          <a:extLst>
            <a:ext uri="{FF2B5EF4-FFF2-40B4-BE49-F238E27FC236}">
              <a16:creationId xmlns:a16="http://schemas.microsoft.com/office/drawing/2014/main" id="{9A7B6EF5-D412-458E-A0F8-15E22B20AD2D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749" name="Line 8">
          <a:extLst>
            <a:ext uri="{FF2B5EF4-FFF2-40B4-BE49-F238E27FC236}">
              <a16:creationId xmlns:a16="http://schemas.microsoft.com/office/drawing/2014/main" id="{BE7647D2-C01F-47C8-B6AE-1915F825671C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750" name="Rectangle 7">
          <a:extLst>
            <a:ext uri="{FF2B5EF4-FFF2-40B4-BE49-F238E27FC236}">
              <a16:creationId xmlns:a16="http://schemas.microsoft.com/office/drawing/2014/main" id="{DE3DAA14-483B-4523-A560-91E015E2E986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751" name="Rectangle 8">
          <a:extLst>
            <a:ext uri="{FF2B5EF4-FFF2-40B4-BE49-F238E27FC236}">
              <a16:creationId xmlns:a16="http://schemas.microsoft.com/office/drawing/2014/main" id="{CD695EA9-946E-4501-A1ED-DFD36DA4399E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752" name="Line 2">
          <a:extLst>
            <a:ext uri="{FF2B5EF4-FFF2-40B4-BE49-F238E27FC236}">
              <a16:creationId xmlns:a16="http://schemas.microsoft.com/office/drawing/2014/main" id="{AD9F1D3D-3E50-4089-9458-A64D750C2642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53" name="Line 3">
          <a:extLst>
            <a:ext uri="{FF2B5EF4-FFF2-40B4-BE49-F238E27FC236}">
              <a16:creationId xmlns:a16="http://schemas.microsoft.com/office/drawing/2014/main" id="{95B77EEF-4F80-4D26-A330-565C5E5AD28C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754" name="Line 5">
          <a:extLst>
            <a:ext uri="{FF2B5EF4-FFF2-40B4-BE49-F238E27FC236}">
              <a16:creationId xmlns:a16="http://schemas.microsoft.com/office/drawing/2014/main" id="{76716378-8B49-489E-A396-6127904A9365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755" name="Line 2">
          <a:extLst>
            <a:ext uri="{FF2B5EF4-FFF2-40B4-BE49-F238E27FC236}">
              <a16:creationId xmlns:a16="http://schemas.microsoft.com/office/drawing/2014/main" id="{36BE5A8A-CBBF-4CD0-816A-29AAB61DE5B6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756" name="Line 3">
          <a:extLst>
            <a:ext uri="{FF2B5EF4-FFF2-40B4-BE49-F238E27FC236}">
              <a16:creationId xmlns:a16="http://schemas.microsoft.com/office/drawing/2014/main" id="{2334D93F-5BB2-4A13-A764-238271365A5E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757" name="Line 4">
          <a:extLst>
            <a:ext uri="{FF2B5EF4-FFF2-40B4-BE49-F238E27FC236}">
              <a16:creationId xmlns:a16="http://schemas.microsoft.com/office/drawing/2014/main" id="{82A0A9C3-B630-42F2-AF85-8CD0807F17AA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758" name="Line 5">
          <a:extLst>
            <a:ext uri="{FF2B5EF4-FFF2-40B4-BE49-F238E27FC236}">
              <a16:creationId xmlns:a16="http://schemas.microsoft.com/office/drawing/2014/main" id="{92C5DA3D-F8B1-4764-B123-0651A3B7631A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759" name="Line 7">
          <a:extLst>
            <a:ext uri="{FF2B5EF4-FFF2-40B4-BE49-F238E27FC236}">
              <a16:creationId xmlns:a16="http://schemas.microsoft.com/office/drawing/2014/main" id="{D7C565A6-CB15-4C37-B42D-8C5A731093AF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760" name="Line 2">
          <a:extLst>
            <a:ext uri="{FF2B5EF4-FFF2-40B4-BE49-F238E27FC236}">
              <a16:creationId xmlns:a16="http://schemas.microsoft.com/office/drawing/2014/main" id="{686698CB-3F60-4F6D-94DB-64B2798119B2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761" name="Line 3">
          <a:extLst>
            <a:ext uri="{FF2B5EF4-FFF2-40B4-BE49-F238E27FC236}">
              <a16:creationId xmlns:a16="http://schemas.microsoft.com/office/drawing/2014/main" id="{1BC26DC1-1AF7-4B2F-96E0-B372228D0A0F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762" name="Line 4">
          <a:extLst>
            <a:ext uri="{FF2B5EF4-FFF2-40B4-BE49-F238E27FC236}">
              <a16:creationId xmlns:a16="http://schemas.microsoft.com/office/drawing/2014/main" id="{1505A2C4-CF1B-49AA-9424-CF2BE63C5AB9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763" name="Line 5">
          <a:extLst>
            <a:ext uri="{FF2B5EF4-FFF2-40B4-BE49-F238E27FC236}">
              <a16:creationId xmlns:a16="http://schemas.microsoft.com/office/drawing/2014/main" id="{4448F173-A762-47B9-88EA-B898D76922C2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764" name="Line 2">
          <a:extLst>
            <a:ext uri="{FF2B5EF4-FFF2-40B4-BE49-F238E27FC236}">
              <a16:creationId xmlns:a16="http://schemas.microsoft.com/office/drawing/2014/main" id="{2B070873-9532-4677-82F9-81A2E0C7D3A0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765" name="Line 3">
          <a:extLst>
            <a:ext uri="{FF2B5EF4-FFF2-40B4-BE49-F238E27FC236}">
              <a16:creationId xmlns:a16="http://schemas.microsoft.com/office/drawing/2014/main" id="{703ABEB2-4469-4FF4-92CB-6EBFAFEA8937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766" name="Line 4">
          <a:extLst>
            <a:ext uri="{FF2B5EF4-FFF2-40B4-BE49-F238E27FC236}">
              <a16:creationId xmlns:a16="http://schemas.microsoft.com/office/drawing/2014/main" id="{2A528BCF-224A-4147-AE29-60E8FE6EDAC0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768" name="Line 7">
          <a:extLst>
            <a:ext uri="{FF2B5EF4-FFF2-40B4-BE49-F238E27FC236}">
              <a16:creationId xmlns:a16="http://schemas.microsoft.com/office/drawing/2014/main" id="{19096C16-8842-4D23-9D36-6ECD72F267A6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769" name="Line 8">
          <a:extLst>
            <a:ext uri="{FF2B5EF4-FFF2-40B4-BE49-F238E27FC236}">
              <a16:creationId xmlns:a16="http://schemas.microsoft.com/office/drawing/2014/main" id="{548CD3BA-73E7-46AE-BA38-030D68921BAB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770" name="Rectangle 7">
          <a:extLst>
            <a:ext uri="{FF2B5EF4-FFF2-40B4-BE49-F238E27FC236}">
              <a16:creationId xmlns:a16="http://schemas.microsoft.com/office/drawing/2014/main" id="{8831625E-D35B-43E6-BC3D-13AF4E020642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771" name="Rectangle 8">
          <a:extLst>
            <a:ext uri="{FF2B5EF4-FFF2-40B4-BE49-F238E27FC236}">
              <a16:creationId xmlns:a16="http://schemas.microsoft.com/office/drawing/2014/main" id="{9DA49EFE-D89C-409E-A09A-64CA539E3D98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772" name="Line 3">
          <a:extLst>
            <a:ext uri="{FF2B5EF4-FFF2-40B4-BE49-F238E27FC236}">
              <a16:creationId xmlns:a16="http://schemas.microsoft.com/office/drawing/2014/main" id="{B818436D-3BB0-4DB6-A857-D26A8C942DB8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773" name="Line 5">
          <a:extLst>
            <a:ext uri="{FF2B5EF4-FFF2-40B4-BE49-F238E27FC236}">
              <a16:creationId xmlns:a16="http://schemas.microsoft.com/office/drawing/2014/main" id="{DFB9F693-D913-4494-AEC7-AB0BE503F972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774" name="Line 2">
          <a:extLst>
            <a:ext uri="{FF2B5EF4-FFF2-40B4-BE49-F238E27FC236}">
              <a16:creationId xmlns:a16="http://schemas.microsoft.com/office/drawing/2014/main" id="{0C57407F-4C1F-4AC7-B4B7-AF2A90B2E0FB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775" name="Line 3">
          <a:extLst>
            <a:ext uri="{FF2B5EF4-FFF2-40B4-BE49-F238E27FC236}">
              <a16:creationId xmlns:a16="http://schemas.microsoft.com/office/drawing/2014/main" id="{931E0FC1-37D2-4C7F-BB17-BB9652301F89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776" name="Line 4">
          <a:extLst>
            <a:ext uri="{FF2B5EF4-FFF2-40B4-BE49-F238E27FC236}">
              <a16:creationId xmlns:a16="http://schemas.microsoft.com/office/drawing/2014/main" id="{95B7EA98-7D4B-49A1-9F70-BEC333B2D4E2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777" name="Line 5">
          <a:extLst>
            <a:ext uri="{FF2B5EF4-FFF2-40B4-BE49-F238E27FC236}">
              <a16:creationId xmlns:a16="http://schemas.microsoft.com/office/drawing/2014/main" id="{C8959AF0-AD39-4977-BE7B-53E66988A9E8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79" name="Line 2">
          <a:extLst>
            <a:ext uri="{FF2B5EF4-FFF2-40B4-BE49-F238E27FC236}">
              <a16:creationId xmlns:a16="http://schemas.microsoft.com/office/drawing/2014/main" id="{574D5393-8E19-4F8C-8D9D-8359C2D7C39A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80" name="Line 3">
          <a:extLst>
            <a:ext uri="{FF2B5EF4-FFF2-40B4-BE49-F238E27FC236}">
              <a16:creationId xmlns:a16="http://schemas.microsoft.com/office/drawing/2014/main" id="{1968CE5B-5541-469E-935D-206C3A1A8EED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81" name="Line 4">
          <a:extLst>
            <a:ext uri="{FF2B5EF4-FFF2-40B4-BE49-F238E27FC236}">
              <a16:creationId xmlns:a16="http://schemas.microsoft.com/office/drawing/2014/main" id="{D26F0D73-0FD3-43B3-9818-649AD698FFE2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782" name="Line 5">
          <a:extLst>
            <a:ext uri="{FF2B5EF4-FFF2-40B4-BE49-F238E27FC236}">
              <a16:creationId xmlns:a16="http://schemas.microsoft.com/office/drawing/2014/main" id="{80452873-0CA3-4964-BD79-FC619B428E28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83" name="Line 2">
          <a:extLst>
            <a:ext uri="{FF2B5EF4-FFF2-40B4-BE49-F238E27FC236}">
              <a16:creationId xmlns:a16="http://schemas.microsoft.com/office/drawing/2014/main" id="{AA79A756-C652-474B-8D08-DD0EAAFFAC64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784" name="Line 3">
          <a:extLst>
            <a:ext uri="{FF2B5EF4-FFF2-40B4-BE49-F238E27FC236}">
              <a16:creationId xmlns:a16="http://schemas.microsoft.com/office/drawing/2014/main" id="{91E19D6D-B984-45BE-803B-5D11A879CB9A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785" name="Line 4">
          <a:extLst>
            <a:ext uri="{FF2B5EF4-FFF2-40B4-BE49-F238E27FC236}">
              <a16:creationId xmlns:a16="http://schemas.microsoft.com/office/drawing/2014/main" id="{8A33A148-455A-4494-BF18-86742C98E88B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342</xdr:row>
      <xdr:rowOff>0</xdr:rowOff>
    </xdr:from>
    <xdr:to>
      <xdr:col>8</xdr:col>
      <xdr:colOff>180975</xdr:colOff>
      <xdr:row>342</xdr:row>
      <xdr:rowOff>0</xdr:rowOff>
    </xdr:to>
    <xdr:sp macro="" textlink="">
      <xdr:nvSpPr>
        <xdr:cNvPr id="787" name="Line 7">
          <a:extLst>
            <a:ext uri="{FF2B5EF4-FFF2-40B4-BE49-F238E27FC236}">
              <a16:creationId xmlns:a16="http://schemas.microsoft.com/office/drawing/2014/main" id="{05DD575E-6973-4168-AA39-C866A4D42B4D}"/>
            </a:ext>
          </a:extLst>
        </xdr:cNvPr>
        <xdr:cNvSpPr>
          <a:spLocks noChangeShapeType="1"/>
        </xdr:cNvSpPr>
      </xdr:nvSpPr>
      <xdr:spPr bwMode="auto">
        <a:xfrm>
          <a:off x="4924425" y="571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788" name="Line 3">
          <a:extLst>
            <a:ext uri="{FF2B5EF4-FFF2-40B4-BE49-F238E27FC236}">
              <a16:creationId xmlns:a16="http://schemas.microsoft.com/office/drawing/2014/main" id="{D1263CE3-99A3-49BA-B7CE-63FBB731FAFF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789" name="Line 5">
          <a:extLst>
            <a:ext uri="{FF2B5EF4-FFF2-40B4-BE49-F238E27FC236}">
              <a16:creationId xmlns:a16="http://schemas.microsoft.com/office/drawing/2014/main" id="{3D9B0499-7E83-4114-BF66-F7E29C4F58C6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790" name="Line 2">
          <a:extLst>
            <a:ext uri="{FF2B5EF4-FFF2-40B4-BE49-F238E27FC236}">
              <a16:creationId xmlns:a16="http://schemas.microsoft.com/office/drawing/2014/main" id="{7F86F7A4-897D-40B3-AAE5-704B6A76E395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791" name="Line 3">
          <a:extLst>
            <a:ext uri="{FF2B5EF4-FFF2-40B4-BE49-F238E27FC236}">
              <a16:creationId xmlns:a16="http://schemas.microsoft.com/office/drawing/2014/main" id="{2E642084-A4DD-4395-8FF4-FA8B2A03831F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792" name="Line 4">
          <a:extLst>
            <a:ext uri="{FF2B5EF4-FFF2-40B4-BE49-F238E27FC236}">
              <a16:creationId xmlns:a16="http://schemas.microsoft.com/office/drawing/2014/main" id="{AC56ACA2-235C-4CD9-B3B3-DB911296A7BA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793" name="Line 5">
          <a:extLst>
            <a:ext uri="{FF2B5EF4-FFF2-40B4-BE49-F238E27FC236}">
              <a16:creationId xmlns:a16="http://schemas.microsoft.com/office/drawing/2014/main" id="{C5E97C71-7A71-4FAF-AA19-83E4C69D8EA6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794" name="Line 7">
          <a:extLst>
            <a:ext uri="{FF2B5EF4-FFF2-40B4-BE49-F238E27FC236}">
              <a16:creationId xmlns:a16="http://schemas.microsoft.com/office/drawing/2014/main" id="{3B9D4440-7D00-4F41-894B-F0EA8F29965C}"/>
            </a:ext>
          </a:extLst>
        </xdr:cNvPr>
        <xdr:cNvSpPr>
          <a:spLocks noChangeShapeType="1"/>
        </xdr:cNvSpPr>
      </xdr:nvSpPr>
      <xdr:spPr bwMode="auto">
        <a:xfrm>
          <a:off x="4924425" y="69942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795" name="Line 2">
          <a:extLst>
            <a:ext uri="{FF2B5EF4-FFF2-40B4-BE49-F238E27FC236}">
              <a16:creationId xmlns:a16="http://schemas.microsoft.com/office/drawing/2014/main" id="{81A0B9F8-30A8-4ED5-BD46-808C3ECE3460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796" name="Line 3">
          <a:extLst>
            <a:ext uri="{FF2B5EF4-FFF2-40B4-BE49-F238E27FC236}">
              <a16:creationId xmlns:a16="http://schemas.microsoft.com/office/drawing/2014/main" id="{79041907-72ED-4C08-83FC-09037A47E5AE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797" name="Line 4">
          <a:extLst>
            <a:ext uri="{FF2B5EF4-FFF2-40B4-BE49-F238E27FC236}">
              <a16:creationId xmlns:a16="http://schemas.microsoft.com/office/drawing/2014/main" id="{DC580CF5-B0A2-4F8A-BB74-305F544708A6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798" name="Line 5">
          <a:extLst>
            <a:ext uri="{FF2B5EF4-FFF2-40B4-BE49-F238E27FC236}">
              <a16:creationId xmlns:a16="http://schemas.microsoft.com/office/drawing/2014/main" id="{C00459D5-B2F7-4081-9731-450D3B6CF396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799" name="Line 2">
          <a:extLst>
            <a:ext uri="{FF2B5EF4-FFF2-40B4-BE49-F238E27FC236}">
              <a16:creationId xmlns:a16="http://schemas.microsoft.com/office/drawing/2014/main" id="{2749F3AF-D4B1-4791-8AC2-82ADDDCE06C6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800" name="Line 3">
          <a:extLst>
            <a:ext uri="{FF2B5EF4-FFF2-40B4-BE49-F238E27FC236}">
              <a16:creationId xmlns:a16="http://schemas.microsoft.com/office/drawing/2014/main" id="{06603DBA-FC3E-42A8-BC69-0F6DF5A5A49E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801" name="Line 4">
          <a:extLst>
            <a:ext uri="{FF2B5EF4-FFF2-40B4-BE49-F238E27FC236}">
              <a16:creationId xmlns:a16="http://schemas.microsoft.com/office/drawing/2014/main" id="{C9AFE44F-6C17-465A-9EA2-9968B4E85EAE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802" name="Line 5">
          <a:extLst>
            <a:ext uri="{FF2B5EF4-FFF2-40B4-BE49-F238E27FC236}">
              <a16:creationId xmlns:a16="http://schemas.microsoft.com/office/drawing/2014/main" id="{B6315F54-D732-4C60-9416-1A5F7CA0937B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803" name="Line 7">
          <a:extLst>
            <a:ext uri="{FF2B5EF4-FFF2-40B4-BE49-F238E27FC236}">
              <a16:creationId xmlns:a16="http://schemas.microsoft.com/office/drawing/2014/main" id="{EC71AD27-C020-4ED4-88CB-FA8D25D916D9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804" name="Line 2">
          <a:extLst>
            <a:ext uri="{FF2B5EF4-FFF2-40B4-BE49-F238E27FC236}">
              <a16:creationId xmlns:a16="http://schemas.microsoft.com/office/drawing/2014/main" id="{27813B04-F7D4-4D99-A9DC-D78D72ABCBB3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805" name="Line 3">
          <a:extLst>
            <a:ext uri="{FF2B5EF4-FFF2-40B4-BE49-F238E27FC236}">
              <a16:creationId xmlns:a16="http://schemas.microsoft.com/office/drawing/2014/main" id="{7A5900C8-98B2-4A47-80F8-0F41D83B4726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376</xdr:row>
      <xdr:rowOff>0</xdr:rowOff>
    </xdr:from>
    <xdr:to>
      <xdr:col>8</xdr:col>
      <xdr:colOff>180975</xdr:colOff>
      <xdr:row>376</xdr:row>
      <xdr:rowOff>0</xdr:rowOff>
    </xdr:to>
    <xdr:sp macro="" textlink="">
      <xdr:nvSpPr>
        <xdr:cNvPr id="806" name="Line 4">
          <a:extLst>
            <a:ext uri="{FF2B5EF4-FFF2-40B4-BE49-F238E27FC236}">
              <a16:creationId xmlns:a16="http://schemas.microsoft.com/office/drawing/2014/main" id="{BB6FFC04-4423-4EB2-B3ED-EB6274FBD4BA}"/>
            </a:ext>
          </a:extLst>
        </xdr:cNvPr>
        <xdr:cNvSpPr>
          <a:spLocks noChangeShapeType="1"/>
        </xdr:cNvSpPr>
      </xdr:nvSpPr>
      <xdr:spPr bwMode="auto">
        <a:xfrm>
          <a:off x="4924425" y="636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807" name="Line 3">
          <a:extLst>
            <a:ext uri="{FF2B5EF4-FFF2-40B4-BE49-F238E27FC236}">
              <a16:creationId xmlns:a16="http://schemas.microsoft.com/office/drawing/2014/main" id="{2577A7FC-37E9-4BB0-A55E-11AC51081C5C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808" name="Line 5">
          <a:extLst>
            <a:ext uri="{FF2B5EF4-FFF2-40B4-BE49-F238E27FC236}">
              <a16:creationId xmlns:a16="http://schemas.microsoft.com/office/drawing/2014/main" id="{4BEF3463-EB8F-45C1-9E60-0BD34D2C209A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809" name="Line 2">
          <a:extLst>
            <a:ext uri="{FF2B5EF4-FFF2-40B4-BE49-F238E27FC236}">
              <a16:creationId xmlns:a16="http://schemas.microsoft.com/office/drawing/2014/main" id="{A3572F40-2096-4091-90DC-AD6041B42F9D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810" name="Line 3">
          <a:extLst>
            <a:ext uri="{FF2B5EF4-FFF2-40B4-BE49-F238E27FC236}">
              <a16:creationId xmlns:a16="http://schemas.microsoft.com/office/drawing/2014/main" id="{50AED354-D72D-409D-BB53-8EA1CB4E7B64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811" name="Line 4">
          <a:extLst>
            <a:ext uri="{FF2B5EF4-FFF2-40B4-BE49-F238E27FC236}">
              <a16:creationId xmlns:a16="http://schemas.microsoft.com/office/drawing/2014/main" id="{A7EECE58-2FD0-4283-ADF0-F0204DA08AA4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812" name="Line 5">
          <a:extLst>
            <a:ext uri="{FF2B5EF4-FFF2-40B4-BE49-F238E27FC236}">
              <a16:creationId xmlns:a16="http://schemas.microsoft.com/office/drawing/2014/main" id="{C638C85A-F2D4-4F46-BFAA-9E172341ABCF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813" name="Line 7">
          <a:extLst>
            <a:ext uri="{FF2B5EF4-FFF2-40B4-BE49-F238E27FC236}">
              <a16:creationId xmlns:a16="http://schemas.microsoft.com/office/drawing/2014/main" id="{900EA9EA-FC31-4B4E-A970-914C6CF5ECBD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817" name="Line 5">
          <a:extLst>
            <a:ext uri="{FF2B5EF4-FFF2-40B4-BE49-F238E27FC236}">
              <a16:creationId xmlns:a16="http://schemas.microsoft.com/office/drawing/2014/main" id="{D99B207B-A77E-4363-8D81-961EB0836431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820" name="Line 4">
          <a:extLst>
            <a:ext uri="{FF2B5EF4-FFF2-40B4-BE49-F238E27FC236}">
              <a16:creationId xmlns:a16="http://schemas.microsoft.com/office/drawing/2014/main" id="{8AFA04A1-A50F-41E5-BEA8-652097817C3C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821" name="Line 2">
          <a:extLst>
            <a:ext uri="{FF2B5EF4-FFF2-40B4-BE49-F238E27FC236}">
              <a16:creationId xmlns:a16="http://schemas.microsoft.com/office/drawing/2014/main" id="{39939874-2C50-4148-BADB-16122365B748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822" name="Line 3">
          <a:extLst>
            <a:ext uri="{FF2B5EF4-FFF2-40B4-BE49-F238E27FC236}">
              <a16:creationId xmlns:a16="http://schemas.microsoft.com/office/drawing/2014/main" id="{1A73E0CB-CEB0-4983-A674-FE3E33BDD7EE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823" name="Line 4">
          <a:extLst>
            <a:ext uri="{FF2B5EF4-FFF2-40B4-BE49-F238E27FC236}">
              <a16:creationId xmlns:a16="http://schemas.microsoft.com/office/drawing/2014/main" id="{97FF4939-6D78-4D4B-A459-8B8883D22D48}"/>
            </a:ext>
          </a:extLst>
        </xdr:cNvPr>
        <xdr:cNvSpPr>
          <a:spLocks noChangeShapeType="1"/>
        </xdr:cNvSpPr>
      </xdr:nvSpPr>
      <xdr:spPr bwMode="auto">
        <a:xfrm>
          <a:off x="4924425" y="86144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824" name="Line 2">
          <a:extLst>
            <a:ext uri="{FF2B5EF4-FFF2-40B4-BE49-F238E27FC236}">
              <a16:creationId xmlns:a16="http://schemas.microsoft.com/office/drawing/2014/main" id="{E924D785-5DC2-41C0-9D53-552A4D6E241E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825" name="Line 3">
          <a:extLst>
            <a:ext uri="{FF2B5EF4-FFF2-40B4-BE49-F238E27FC236}">
              <a16:creationId xmlns:a16="http://schemas.microsoft.com/office/drawing/2014/main" id="{D2DD6595-7209-4948-830A-558982F45274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489</xdr:row>
      <xdr:rowOff>0</xdr:rowOff>
    </xdr:from>
    <xdr:to>
      <xdr:col>8</xdr:col>
      <xdr:colOff>180975</xdr:colOff>
      <xdr:row>489</xdr:row>
      <xdr:rowOff>0</xdr:rowOff>
    </xdr:to>
    <xdr:sp macro="" textlink="">
      <xdr:nvSpPr>
        <xdr:cNvPr id="826" name="Line 4">
          <a:extLst>
            <a:ext uri="{FF2B5EF4-FFF2-40B4-BE49-F238E27FC236}">
              <a16:creationId xmlns:a16="http://schemas.microsoft.com/office/drawing/2014/main" id="{A74E9769-F069-46D4-AB81-95B5A0C2552F}"/>
            </a:ext>
          </a:extLst>
        </xdr:cNvPr>
        <xdr:cNvSpPr>
          <a:spLocks noChangeShapeType="1"/>
        </xdr:cNvSpPr>
      </xdr:nvSpPr>
      <xdr:spPr bwMode="auto">
        <a:xfrm>
          <a:off x="4924425" y="86582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827" name="Line 3">
          <a:extLst>
            <a:ext uri="{FF2B5EF4-FFF2-40B4-BE49-F238E27FC236}">
              <a16:creationId xmlns:a16="http://schemas.microsoft.com/office/drawing/2014/main" id="{1DA20A61-A223-4C9A-A68F-A82DB6E5EA33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828" name="Line 5">
          <a:extLst>
            <a:ext uri="{FF2B5EF4-FFF2-40B4-BE49-F238E27FC236}">
              <a16:creationId xmlns:a16="http://schemas.microsoft.com/office/drawing/2014/main" id="{C71BC571-3E3E-4BB4-83CD-C914D2403440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829" name="Line 2">
          <a:extLst>
            <a:ext uri="{FF2B5EF4-FFF2-40B4-BE49-F238E27FC236}">
              <a16:creationId xmlns:a16="http://schemas.microsoft.com/office/drawing/2014/main" id="{57FB71C7-A887-49B0-B81D-B7520F19AFDA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830" name="Line 3">
          <a:extLst>
            <a:ext uri="{FF2B5EF4-FFF2-40B4-BE49-F238E27FC236}">
              <a16:creationId xmlns:a16="http://schemas.microsoft.com/office/drawing/2014/main" id="{D6100D12-E24F-4B4B-80A9-69364A66F2AB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831" name="Line 4">
          <a:extLst>
            <a:ext uri="{FF2B5EF4-FFF2-40B4-BE49-F238E27FC236}">
              <a16:creationId xmlns:a16="http://schemas.microsoft.com/office/drawing/2014/main" id="{548F231B-6DAD-4A49-8104-ED8746E34498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832" name="Line 5">
          <a:extLst>
            <a:ext uri="{FF2B5EF4-FFF2-40B4-BE49-F238E27FC236}">
              <a16:creationId xmlns:a16="http://schemas.microsoft.com/office/drawing/2014/main" id="{D6DF8E03-364D-4C11-A82E-66221BD026C2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833" name="Line 7">
          <a:extLst>
            <a:ext uri="{FF2B5EF4-FFF2-40B4-BE49-F238E27FC236}">
              <a16:creationId xmlns:a16="http://schemas.microsoft.com/office/drawing/2014/main" id="{2DB5038B-5FBF-4987-A8BF-9F287E8824C5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834" name="Line 2">
          <a:extLst>
            <a:ext uri="{FF2B5EF4-FFF2-40B4-BE49-F238E27FC236}">
              <a16:creationId xmlns:a16="http://schemas.microsoft.com/office/drawing/2014/main" id="{50F7DFDF-8402-4099-B3E1-571863449EC8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835" name="Line 3">
          <a:extLst>
            <a:ext uri="{FF2B5EF4-FFF2-40B4-BE49-F238E27FC236}">
              <a16:creationId xmlns:a16="http://schemas.microsoft.com/office/drawing/2014/main" id="{6BB496DD-E1A3-4CF0-B3CF-6CB0971651D1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836" name="Line 4">
          <a:extLst>
            <a:ext uri="{FF2B5EF4-FFF2-40B4-BE49-F238E27FC236}">
              <a16:creationId xmlns:a16="http://schemas.microsoft.com/office/drawing/2014/main" id="{0CE9E25A-482E-4ECD-A3A2-55A8F3CE197E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837" name="Line 5">
          <a:extLst>
            <a:ext uri="{FF2B5EF4-FFF2-40B4-BE49-F238E27FC236}">
              <a16:creationId xmlns:a16="http://schemas.microsoft.com/office/drawing/2014/main" id="{FDAC0813-44CB-4D24-BDEC-F0B3707A0FEA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838" name="Line 2">
          <a:extLst>
            <a:ext uri="{FF2B5EF4-FFF2-40B4-BE49-F238E27FC236}">
              <a16:creationId xmlns:a16="http://schemas.microsoft.com/office/drawing/2014/main" id="{24F0ED89-CCF2-4676-9D8C-5F897A5F0528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839" name="Line 3">
          <a:extLst>
            <a:ext uri="{FF2B5EF4-FFF2-40B4-BE49-F238E27FC236}">
              <a16:creationId xmlns:a16="http://schemas.microsoft.com/office/drawing/2014/main" id="{31F00F7F-8A83-431F-9A73-8BD29B82E22A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840" name="Line 4">
          <a:extLst>
            <a:ext uri="{FF2B5EF4-FFF2-40B4-BE49-F238E27FC236}">
              <a16:creationId xmlns:a16="http://schemas.microsoft.com/office/drawing/2014/main" id="{56295379-739A-4C64-AE8F-562311880A73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841" name="Line 2">
          <a:extLst>
            <a:ext uri="{FF2B5EF4-FFF2-40B4-BE49-F238E27FC236}">
              <a16:creationId xmlns:a16="http://schemas.microsoft.com/office/drawing/2014/main" id="{81847325-B103-4C8D-A65B-C1C4BC253DB9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842" name="Line 3">
          <a:extLst>
            <a:ext uri="{FF2B5EF4-FFF2-40B4-BE49-F238E27FC236}">
              <a16:creationId xmlns:a16="http://schemas.microsoft.com/office/drawing/2014/main" id="{7DF15F0F-EE18-4ACD-AF8C-633A735E7BF7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538</xdr:row>
      <xdr:rowOff>0</xdr:rowOff>
    </xdr:from>
    <xdr:to>
      <xdr:col>8</xdr:col>
      <xdr:colOff>180975</xdr:colOff>
      <xdr:row>538</xdr:row>
      <xdr:rowOff>0</xdr:rowOff>
    </xdr:to>
    <xdr:sp macro="" textlink="">
      <xdr:nvSpPr>
        <xdr:cNvPr id="843" name="Line 4">
          <a:extLst>
            <a:ext uri="{FF2B5EF4-FFF2-40B4-BE49-F238E27FC236}">
              <a16:creationId xmlns:a16="http://schemas.microsoft.com/office/drawing/2014/main" id="{1530BBF8-ABC4-4451-9595-8AC32FA97611}"/>
            </a:ext>
          </a:extLst>
        </xdr:cNvPr>
        <xdr:cNvSpPr>
          <a:spLocks noChangeShapeType="1"/>
        </xdr:cNvSpPr>
      </xdr:nvSpPr>
      <xdr:spPr bwMode="auto">
        <a:xfrm>
          <a:off x="4924425" y="9496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844" name="Line 2">
          <a:extLst>
            <a:ext uri="{FF2B5EF4-FFF2-40B4-BE49-F238E27FC236}">
              <a16:creationId xmlns:a16="http://schemas.microsoft.com/office/drawing/2014/main" id="{5B31CEC1-430B-4FCD-BC42-02C490EFFEDF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845" name="Line 3">
          <a:extLst>
            <a:ext uri="{FF2B5EF4-FFF2-40B4-BE49-F238E27FC236}">
              <a16:creationId xmlns:a16="http://schemas.microsoft.com/office/drawing/2014/main" id="{F14EA95A-34F7-44FD-9DD9-78272523A75D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541</xdr:row>
      <xdr:rowOff>0</xdr:rowOff>
    </xdr:from>
    <xdr:to>
      <xdr:col>8</xdr:col>
      <xdr:colOff>180975</xdr:colOff>
      <xdr:row>541</xdr:row>
      <xdr:rowOff>0</xdr:rowOff>
    </xdr:to>
    <xdr:sp macro="" textlink="">
      <xdr:nvSpPr>
        <xdr:cNvPr id="846" name="Line 4">
          <a:extLst>
            <a:ext uri="{FF2B5EF4-FFF2-40B4-BE49-F238E27FC236}">
              <a16:creationId xmlns:a16="http://schemas.microsoft.com/office/drawing/2014/main" id="{2D61C5EC-30BA-4CAD-BC64-9FDA8E6BB07F}"/>
            </a:ext>
          </a:extLst>
        </xdr:cNvPr>
        <xdr:cNvSpPr>
          <a:spLocks noChangeShapeType="1"/>
        </xdr:cNvSpPr>
      </xdr:nvSpPr>
      <xdr:spPr bwMode="auto">
        <a:xfrm>
          <a:off x="4924425" y="9540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847" name="Line 3">
          <a:extLst>
            <a:ext uri="{FF2B5EF4-FFF2-40B4-BE49-F238E27FC236}">
              <a16:creationId xmlns:a16="http://schemas.microsoft.com/office/drawing/2014/main" id="{2801CACA-613F-4E47-AD02-A986719C6A21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848" name="Line 5">
          <a:extLst>
            <a:ext uri="{FF2B5EF4-FFF2-40B4-BE49-F238E27FC236}">
              <a16:creationId xmlns:a16="http://schemas.microsoft.com/office/drawing/2014/main" id="{B35D8B6A-92B6-4EF7-8D6D-5F66F2B70C76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849" name="Line 2">
          <a:extLst>
            <a:ext uri="{FF2B5EF4-FFF2-40B4-BE49-F238E27FC236}">
              <a16:creationId xmlns:a16="http://schemas.microsoft.com/office/drawing/2014/main" id="{E286DFCA-2DE7-4A0F-992A-F27A004297EA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850" name="Line 3">
          <a:extLst>
            <a:ext uri="{FF2B5EF4-FFF2-40B4-BE49-F238E27FC236}">
              <a16:creationId xmlns:a16="http://schemas.microsoft.com/office/drawing/2014/main" id="{E8F3CA4B-A537-475B-9F69-25E9D42FFACC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851" name="Line 4">
          <a:extLst>
            <a:ext uri="{FF2B5EF4-FFF2-40B4-BE49-F238E27FC236}">
              <a16:creationId xmlns:a16="http://schemas.microsoft.com/office/drawing/2014/main" id="{16789ED1-9440-4C4A-9794-84E6F21923CB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852" name="Line 5">
          <a:extLst>
            <a:ext uri="{FF2B5EF4-FFF2-40B4-BE49-F238E27FC236}">
              <a16:creationId xmlns:a16="http://schemas.microsoft.com/office/drawing/2014/main" id="{192A5598-CE5F-4AA0-A3C6-1448E8C3616E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853" name="Line 7">
          <a:extLst>
            <a:ext uri="{FF2B5EF4-FFF2-40B4-BE49-F238E27FC236}">
              <a16:creationId xmlns:a16="http://schemas.microsoft.com/office/drawing/2014/main" id="{5027E13A-B057-4AE9-9BE5-C52578AE2C4D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857" name="Line 5">
          <a:extLst>
            <a:ext uri="{FF2B5EF4-FFF2-40B4-BE49-F238E27FC236}">
              <a16:creationId xmlns:a16="http://schemas.microsoft.com/office/drawing/2014/main" id="{6CA0E9C3-A067-47A9-8D1A-352AC6DAC8A3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860" name="Line 4">
          <a:extLst>
            <a:ext uri="{FF2B5EF4-FFF2-40B4-BE49-F238E27FC236}">
              <a16:creationId xmlns:a16="http://schemas.microsoft.com/office/drawing/2014/main" id="{8044D7A5-BD55-4076-B1B1-1955868A4243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588</xdr:row>
      <xdr:rowOff>0</xdr:rowOff>
    </xdr:from>
    <xdr:to>
      <xdr:col>8</xdr:col>
      <xdr:colOff>180975</xdr:colOff>
      <xdr:row>588</xdr:row>
      <xdr:rowOff>0</xdr:rowOff>
    </xdr:to>
    <xdr:sp macro="" textlink="">
      <xdr:nvSpPr>
        <xdr:cNvPr id="863" name="Line 4">
          <a:extLst>
            <a:ext uri="{FF2B5EF4-FFF2-40B4-BE49-F238E27FC236}">
              <a16:creationId xmlns:a16="http://schemas.microsoft.com/office/drawing/2014/main" id="{0FDDAAC6-E1AF-4DA7-A644-9AF13257154F}"/>
            </a:ext>
          </a:extLst>
        </xdr:cNvPr>
        <xdr:cNvSpPr>
          <a:spLocks noChangeShapeType="1"/>
        </xdr:cNvSpPr>
      </xdr:nvSpPr>
      <xdr:spPr bwMode="auto">
        <a:xfrm>
          <a:off x="4924425" y="103498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866" name="Line 4">
          <a:extLst>
            <a:ext uri="{FF2B5EF4-FFF2-40B4-BE49-F238E27FC236}">
              <a16:creationId xmlns:a16="http://schemas.microsoft.com/office/drawing/2014/main" id="{39F3ACF0-1C89-4909-9758-B9F3E95516D3}"/>
            </a:ext>
          </a:extLst>
        </xdr:cNvPr>
        <xdr:cNvSpPr>
          <a:spLocks noChangeShapeType="1"/>
        </xdr:cNvSpPr>
      </xdr:nvSpPr>
      <xdr:spPr bwMode="auto">
        <a:xfrm>
          <a:off x="4924425" y="10393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867" name="Line 3">
          <a:extLst>
            <a:ext uri="{FF2B5EF4-FFF2-40B4-BE49-F238E27FC236}">
              <a16:creationId xmlns:a16="http://schemas.microsoft.com/office/drawing/2014/main" id="{BD86B733-7004-4531-AA85-787FABCDF86A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868" name="Line 5">
          <a:extLst>
            <a:ext uri="{FF2B5EF4-FFF2-40B4-BE49-F238E27FC236}">
              <a16:creationId xmlns:a16="http://schemas.microsoft.com/office/drawing/2014/main" id="{02EF5E5E-A3CA-41AB-BCA1-6D61EEAF0816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869" name="Line 2">
          <a:extLst>
            <a:ext uri="{FF2B5EF4-FFF2-40B4-BE49-F238E27FC236}">
              <a16:creationId xmlns:a16="http://schemas.microsoft.com/office/drawing/2014/main" id="{0A982FB8-4595-4BC3-9D1F-0F57BCE7B2D8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870" name="Line 3">
          <a:extLst>
            <a:ext uri="{FF2B5EF4-FFF2-40B4-BE49-F238E27FC236}">
              <a16:creationId xmlns:a16="http://schemas.microsoft.com/office/drawing/2014/main" id="{D5AE1B36-E7E3-42DE-A6A2-937B1F3590BE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871" name="Line 4">
          <a:extLst>
            <a:ext uri="{FF2B5EF4-FFF2-40B4-BE49-F238E27FC236}">
              <a16:creationId xmlns:a16="http://schemas.microsoft.com/office/drawing/2014/main" id="{29105BDB-3C2F-40AF-B4F0-80201C055ACC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872" name="Line 5">
          <a:extLst>
            <a:ext uri="{FF2B5EF4-FFF2-40B4-BE49-F238E27FC236}">
              <a16:creationId xmlns:a16="http://schemas.microsoft.com/office/drawing/2014/main" id="{E430E09C-646A-4472-B763-350F1CFB1226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664</xdr:row>
      <xdr:rowOff>0</xdr:rowOff>
    </xdr:from>
    <xdr:to>
      <xdr:col>8</xdr:col>
      <xdr:colOff>180975</xdr:colOff>
      <xdr:row>664</xdr:row>
      <xdr:rowOff>0</xdr:rowOff>
    </xdr:to>
    <xdr:sp macro="" textlink="">
      <xdr:nvSpPr>
        <xdr:cNvPr id="873" name="Line 7">
          <a:extLst>
            <a:ext uri="{FF2B5EF4-FFF2-40B4-BE49-F238E27FC236}">
              <a16:creationId xmlns:a16="http://schemas.microsoft.com/office/drawing/2014/main" id="{1C34B8D5-5500-4CC0-8CEA-CD5F804B500B}"/>
            </a:ext>
          </a:extLst>
        </xdr:cNvPr>
        <xdr:cNvSpPr>
          <a:spLocks noChangeShapeType="1"/>
        </xdr:cNvSpPr>
      </xdr:nvSpPr>
      <xdr:spPr bwMode="auto">
        <a:xfrm>
          <a:off x="4924425" y="11574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877" name="Line 5">
          <a:extLst>
            <a:ext uri="{FF2B5EF4-FFF2-40B4-BE49-F238E27FC236}">
              <a16:creationId xmlns:a16="http://schemas.microsoft.com/office/drawing/2014/main" id="{57B690E8-9132-411C-A368-D448FE0A1B04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880" name="Line 4">
          <a:extLst>
            <a:ext uri="{FF2B5EF4-FFF2-40B4-BE49-F238E27FC236}">
              <a16:creationId xmlns:a16="http://schemas.microsoft.com/office/drawing/2014/main" id="{2EBB1B11-22C0-4F6B-9976-235BCBB7A731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881" name="Line 2">
          <a:extLst>
            <a:ext uri="{FF2B5EF4-FFF2-40B4-BE49-F238E27FC236}">
              <a16:creationId xmlns:a16="http://schemas.microsoft.com/office/drawing/2014/main" id="{56DD3278-6C2A-4D59-B419-C9ED0BFD88EB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882" name="Line 3">
          <a:extLst>
            <a:ext uri="{FF2B5EF4-FFF2-40B4-BE49-F238E27FC236}">
              <a16:creationId xmlns:a16="http://schemas.microsoft.com/office/drawing/2014/main" id="{78BDFAD7-3267-4CD9-8739-75A50B7689B8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639</xdr:row>
      <xdr:rowOff>0</xdr:rowOff>
    </xdr:from>
    <xdr:to>
      <xdr:col>8</xdr:col>
      <xdr:colOff>180975</xdr:colOff>
      <xdr:row>639</xdr:row>
      <xdr:rowOff>0</xdr:rowOff>
    </xdr:to>
    <xdr:sp macro="" textlink="">
      <xdr:nvSpPr>
        <xdr:cNvPr id="883" name="Line 4">
          <a:extLst>
            <a:ext uri="{FF2B5EF4-FFF2-40B4-BE49-F238E27FC236}">
              <a16:creationId xmlns:a16="http://schemas.microsoft.com/office/drawing/2014/main" id="{67BA8A24-974C-46DE-8482-06638108EF45}"/>
            </a:ext>
          </a:extLst>
        </xdr:cNvPr>
        <xdr:cNvSpPr>
          <a:spLocks noChangeShapeType="1"/>
        </xdr:cNvSpPr>
      </xdr:nvSpPr>
      <xdr:spPr bwMode="auto">
        <a:xfrm>
          <a:off x="4924425" y="11217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884" name="Line 2">
          <a:extLst>
            <a:ext uri="{FF2B5EF4-FFF2-40B4-BE49-F238E27FC236}">
              <a16:creationId xmlns:a16="http://schemas.microsoft.com/office/drawing/2014/main" id="{DEF47A05-5493-41AA-96F2-C3E4DF7742D9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885" name="Line 3">
          <a:extLst>
            <a:ext uri="{FF2B5EF4-FFF2-40B4-BE49-F238E27FC236}">
              <a16:creationId xmlns:a16="http://schemas.microsoft.com/office/drawing/2014/main" id="{F264B891-5DF0-45E2-AFD6-BB42B7A7D44D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642</xdr:row>
      <xdr:rowOff>0</xdr:rowOff>
    </xdr:from>
    <xdr:to>
      <xdr:col>8</xdr:col>
      <xdr:colOff>180975</xdr:colOff>
      <xdr:row>642</xdr:row>
      <xdr:rowOff>0</xdr:rowOff>
    </xdr:to>
    <xdr:sp macro="" textlink="">
      <xdr:nvSpPr>
        <xdr:cNvPr id="886" name="Line 4">
          <a:extLst>
            <a:ext uri="{FF2B5EF4-FFF2-40B4-BE49-F238E27FC236}">
              <a16:creationId xmlns:a16="http://schemas.microsoft.com/office/drawing/2014/main" id="{E5A965C4-3319-41E4-A6A9-8ED4623E89BE}"/>
            </a:ext>
          </a:extLst>
        </xdr:cNvPr>
        <xdr:cNvSpPr>
          <a:spLocks noChangeShapeType="1"/>
        </xdr:cNvSpPr>
      </xdr:nvSpPr>
      <xdr:spPr bwMode="auto">
        <a:xfrm>
          <a:off x="4924425" y="11260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</xdr:row>
      <xdr:rowOff>0</xdr:rowOff>
    </xdr:from>
    <xdr:to>
      <xdr:col>8</xdr:col>
      <xdr:colOff>180975</xdr:colOff>
      <xdr:row>51</xdr:row>
      <xdr:rowOff>0</xdr:rowOff>
    </xdr:to>
    <xdr:sp macro="" textlink="">
      <xdr:nvSpPr>
        <xdr:cNvPr id="887" name="Line 2">
          <a:extLst>
            <a:ext uri="{FF2B5EF4-FFF2-40B4-BE49-F238E27FC236}">
              <a16:creationId xmlns:a16="http://schemas.microsoft.com/office/drawing/2014/main" id="{CD2F46B2-0FA8-4AF0-B7AC-F5CBEEDA9835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888" name="Line 3">
          <a:extLst>
            <a:ext uri="{FF2B5EF4-FFF2-40B4-BE49-F238E27FC236}">
              <a16:creationId xmlns:a16="http://schemas.microsoft.com/office/drawing/2014/main" id="{4EF54904-FCCC-4976-A376-82F480474ECB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32</xdr:row>
      <xdr:rowOff>0</xdr:rowOff>
    </xdr:from>
    <xdr:to>
      <xdr:col>8</xdr:col>
      <xdr:colOff>180975</xdr:colOff>
      <xdr:row>32</xdr:row>
      <xdr:rowOff>0</xdr:rowOff>
    </xdr:to>
    <xdr:sp macro="" textlink="">
      <xdr:nvSpPr>
        <xdr:cNvPr id="889" name="Line 5">
          <a:extLst>
            <a:ext uri="{FF2B5EF4-FFF2-40B4-BE49-F238E27FC236}">
              <a16:creationId xmlns:a16="http://schemas.microsoft.com/office/drawing/2014/main" id="{B39F8527-15C8-41F1-BD63-FDC5EC0C3D6C}"/>
            </a:ext>
          </a:extLst>
        </xdr:cNvPr>
        <xdr:cNvSpPr>
          <a:spLocks noChangeShapeType="1"/>
        </xdr:cNvSpPr>
      </xdr:nvSpPr>
      <xdr:spPr bwMode="auto">
        <a:xfrm>
          <a:off x="4924425" y="4657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890" name="Line 3">
          <a:extLst>
            <a:ext uri="{FF2B5EF4-FFF2-40B4-BE49-F238E27FC236}">
              <a16:creationId xmlns:a16="http://schemas.microsoft.com/office/drawing/2014/main" id="{DF91FAC1-488E-4524-9AC9-A9A525439B6D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84</xdr:row>
      <xdr:rowOff>0</xdr:rowOff>
    </xdr:from>
    <xdr:to>
      <xdr:col>8</xdr:col>
      <xdr:colOff>180975</xdr:colOff>
      <xdr:row>84</xdr:row>
      <xdr:rowOff>0</xdr:rowOff>
    </xdr:to>
    <xdr:sp macro="" textlink="">
      <xdr:nvSpPr>
        <xdr:cNvPr id="891" name="Line 5">
          <a:extLst>
            <a:ext uri="{FF2B5EF4-FFF2-40B4-BE49-F238E27FC236}">
              <a16:creationId xmlns:a16="http://schemas.microsoft.com/office/drawing/2014/main" id="{20CF04F2-77E2-4059-B471-19A3A17A7DB8}"/>
            </a:ext>
          </a:extLst>
        </xdr:cNvPr>
        <xdr:cNvSpPr>
          <a:spLocks noChangeShapeType="1"/>
        </xdr:cNvSpPr>
      </xdr:nvSpPr>
      <xdr:spPr bwMode="auto">
        <a:xfrm>
          <a:off x="4924425" y="12906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892" name="Line 2">
          <a:extLst>
            <a:ext uri="{FF2B5EF4-FFF2-40B4-BE49-F238E27FC236}">
              <a16:creationId xmlns:a16="http://schemas.microsoft.com/office/drawing/2014/main" id="{F10E94A3-69C9-45D3-9E7B-D136C70F1213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893" name="Line 3">
          <a:extLst>
            <a:ext uri="{FF2B5EF4-FFF2-40B4-BE49-F238E27FC236}">
              <a16:creationId xmlns:a16="http://schemas.microsoft.com/office/drawing/2014/main" id="{6012788E-95BD-4FFF-BACA-DD74BAFE4948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71</xdr:row>
      <xdr:rowOff>0</xdr:rowOff>
    </xdr:from>
    <xdr:to>
      <xdr:col>8</xdr:col>
      <xdr:colOff>180975</xdr:colOff>
      <xdr:row>71</xdr:row>
      <xdr:rowOff>0</xdr:rowOff>
    </xdr:to>
    <xdr:sp macro="" textlink="">
      <xdr:nvSpPr>
        <xdr:cNvPr id="894" name="Line 4">
          <a:extLst>
            <a:ext uri="{FF2B5EF4-FFF2-40B4-BE49-F238E27FC236}">
              <a16:creationId xmlns:a16="http://schemas.microsoft.com/office/drawing/2014/main" id="{8D5E6C10-69C1-4F57-863E-EB3C6F9082B3}"/>
            </a:ext>
          </a:extLst>
        </xdr:cNvPr>
        <xdr:cNvSpPr>
          <a:spLocks noChangeShapeType="1"/>
        </xdr:cNvSpPr>
      </xdr:nvSpPr>
      <xdr:spPr bwMode="auto">
        <a:xfrm>
          <a:off x="4924425" y="10477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78</xdr:row>
      <xdr:rowOff>0</xdr:rowOff>
    </xdr:from>
    <xdr:to>
      <xdr:col>8</xdr:col>
      <xdr:colOff>180975</xdr:colOff>
      <xdr:row>78</xdr:row>
      <xdr:rowOff>0</xdr:rowOff>
    </xdr:to>
    <xdr:sp macro="" textlink="">
      <xdr:nvSpPr>
        <xdr:cNvPr id="895" name="Line 5">
          <a:extLst>
            <a:ext uri="{FF2B5EF4-FFF2-40B4-BE49-F238E27FC236}">
              <a16:creationId xmlns:a16="http://schemas.microsoft.com/office/drawing/2014/main" id="{6287336E-E403-4E8B-B52B-9E96415D4B92}"/>
            </a:ext>
          </a:extLst>
        </xdr:cNvPr>
        <xdr:cNvSpPr>
          <a:spLocks noChangeShapeType="1"/>
        </xdr:cNvSpPr>
      </xdr:nvSpPr>
      <xdr:spPr bwMode="auto">
        <a:xfrm>
          <a:off x="4924425" y="11477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98</xdr:row>
      <xdr:rowOff>0</xdr:rowOff>
    </xdr:from>
    <xdr:to>
      <xdr:col>8</xdr:col>
      <xdr:colOff>180975</xdr:colOff>
      <xdr:row>98</xdr:row>
      <xdr:rowOff>0</xdr:rowOff>
    </xdr:to>
    <xdr:sp macro="" textlink="">
      <xdr:nvSpPr>
        <xdr:cNvPr id="896" name="Line 7">
          <a:extLst>
            <a:ext uri="{FF2B5EF4-FFF2-40B4-BE49-F238E27FC236}">
              <a16:creationId xmlns:a16="http://schemas.microsoft.com/office/drawing/2014/main" id="{49D316D4-E68F-43B7-ABBE-3B3C53D70F11}"/>
            </a:ext>
          </a:extLst>
        </xdr:cNvPr>
        <xdr:cNvSpPr>
          <a:spLocks noChangeShapeType="1"/>
        </xdr:cNvSpPr>
      </xdr:nvSpPr>
      <xdr:spPr bwMode="auto">
        <a:xfrm>
          <a:off x="4924425" y="1490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898" name="Line 3">
          <a:extLst>
            <a:ext uri="{FF2B5EF4-FFF2-40B4-BE49-F238E27FC236}">
              <a16:creationId xmlns:a16="http://schemas.microsoft.com/office/drawing/2014/main" id="{46A67EFD-058B-4B78-A238-05D545B236B8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146</xdr:row>
      <xdr:rowOff>0</xdr:rowOff>
    </xdr:from>
    <xdr:to>
      <xdr:col>8</xdr:col>
      <xdr:colOff>180975</xdr:colOff>
      <xdr:row>146</xdr:row>
      <xdr:rowOff>0</xdr:rowOff>
    </xdr:to>
    <xdr:sp macro="" textlink="">
      <xdr:nvSpPr>
        <xdr:cNvPr id="899" name="Line 5">
          <a:extLst>
            <a:ext uri="{FF2B5EF4-FFF2-40B4-BE49-F238E27FC236}">
              <a16:creationId xmlns:a16="http://schemas.microsoft.com/office/drawing/2014/main" id="{256FB89A-79A1-4778-9495-D3BD0B1A2A2F}"/>
            </a:ext>
          </a:extLst>
        </xdr:cNvPr>
        <xdr:cNvSpPr>
          <a:spLocks noChangeShapeType="1"/>
        </xdr:cNvSpPr>
      </xdr:nvSpPr>
      <xdr:spPr bwMode="auto">
        <a:xfrm>
          <a:off x="4924425" y="214598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900" name="Line 2">
          <a:extLst>
            <a:ext uri="{FF2B5EF4-FFF2-40B4-BE49-F238E27FC236}">
              <a16:creationId xmlns:a16="http://schemas.microsoft.com/office/drawing/2014/main" id="{768511D9-66D1-4BA8-8897-2F95051D08AB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901" name="Line 3">
          <a:extLst>
            <a:ext uri="{FF2B5EF4-FFF2-40B4-BE49-F238E27FC236}">
              <a16:creationId xmlns:a16="http://schemas.microsoft.com/office/drawing/2014/main" id="{838141C5-F11E-4734-BD4C-335EDBC11182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131</xdr:row>
      <xdr:rowOff>0</xdr:rowOff>
    </xdr:from>
    <xdr:to>
      <xdr:col>8</xdr:col>
      <xdr:colOff>180975</xdr:colOff>
      <xdr:row>131</xdr:row>
      <xdr:rowOff>0</xdr:rowOff>
    </xdr:to>
    <xdr:sp macro="" textlink="">
      <xdr:nvSpPr>
        <xdr:cNvPr id="902" name="Line 4">
          <a:extLst>
            <a:ext uri="{FF2B5EF4-FFF2-40B4-BE49-F238E27FC236}">
              <a16:creationId xmlns:a16="http://schemas.microsoft.com/office/drawing/2014/main" id="{2C54C7D2-E790-4540-BF7E-1C4BB9FB0840}"/>
            </a:ext>
          </a:extLst>
        </xdr:cNvPr>
        <xdr:cNvSpPr>
          <a:spLocks noChangeShapeType="1"/>
        </xdr:cNvSpPr>
      </xdr:nvSpPr>
      <xdr:spPr bwMode="auto">
        <a:xfrm>
          <a:off x="4924425" y="19297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903" name="Line 5">
          <a:extLst>
            <a:ext uri="{FF2B5EF4-FFF2-40B4-BE49-F238E27FC236}">
              <a16:creationId xmlns:a16="http://schemas.microsoft.com/office/drawing/2014/main" id="{2D01B515-B2FD-47E0-9B10-6D1A10BC12D4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905" name="Line 2">
          <a:extLst>
            <a:ext uri="{FF2B5EF4-FFF2-40B4-BE49-F238E27FC236}">
              <a16:creationId xmlns:a16="http://schemas.microsoft.com/office/drawing/2014/main" id="{76C52CA9-878B-435C-88D3-D8CE58CB7F49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906" name="Line 3">
          <a:extLst>
            <a:ext uri="{FF2B5EF4-FFF2-40B4-BE49-F238E27FC236}">
              <a16:creationId xmlns:a16="http://schemas.microsoft.com/office/drawing/2014/main" id="{2E90F73B-57CD-4817-BEBA-E0DCD1C85DA4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129</xdr:row>
      <xdr:rowOff>0</xdr:rowOff>
    </xdr:from>
    <xdr:to>
      <xdr:col>8</xdr:col>
      <xdr:colOff>180975</xdr:colOff>
      <xdr:row>129</xdr:row>
      <xdr:rowOff>0</xdr:rowOff>
    </xdr:to>
    <xdr:sp macro="" textlink="">
      <xdr:nvSpPr>
        <xdr:cNvPr id="907" name="Line 4">
          <a:extLst>
            <a:ext uri="{FF2B5EF4-FFF2-40B4-BE49-F238E27FC236}">
              <a16:creationId xmlns:a16="http://schemas.microsoft.com/office/drawing/2014/main" id="{89F845CA-148A-45D6-BEC1-69D82D9DFE67}"/>
            </a:ext>
          </a:extLst>
        </xdr:cNvPr>
        <xdr:cNvSpPr>
          <a:spLocks noChangeShapeType="1"/>
        </xdr:cNvSpPr>
      </xdr:nvSpPr>
      <xdr:spPr bwMode="auto">
        <a:xfrm>
          <a:off x="4924425" y="190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136</xdr:row>
      <xdr:rowOff>0</xdr:rowOff>
    </xdr:from>
    <xdr:to>
      <xdr:col>8</xdr:col>
      <xdr:colOff>180975</xdr:colOff>
      <xdr:row>136</xdr:row>
      <xdr:rowOff>0</xdr:rowOff>
    </xdr:to>
    <xdr:sp macro="" textlink="">
      <xdr:nvSpPr>
        <xdr:cNvPr id="908" name="Line 5">
          <a:extLst>
            <a:ext uri="{FF2B5EF4-FFF2-40B4-BE49-F238E27FC236}">
              <a16:creationId xmlns:a16="http://schemas.microsoft.com/office/drawing/2014/main" id="{B9B8623C-8203-4BCF-B722-4D1EA2F4EDAF}"/>
            </a:ext>
          </a:extLst>
        </xdr:cNvPr>
        <xdr:cNvSpPr>
          <a:spLocks noChangeShapeType="1"/>
        </xdr:cNvSpPr>
      </xdr:nvSpPr>
      <xdr:spPr bwMode="auto">
        <a:xfrm>
          <a:off x="4924425" y="20012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909" name="Line 2">
          <a:extLst>
            <a:ext uri="{FF2B5EF4-FFF2-40B4-BE49-F238E27FC236}">
              <a16:creationId xmlns:a16="http://schemas.microsoft.com/office/drawing/2014/main" id="{D647BDE9-3785-4EAF-A43E-9E7E2877E305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10" name="Line 3">
          <a:extLst>
            <a:ext uri="{FF2B5EF4-FFF2-40B4-BE49-F238E27FC236}">
              <a16:creationId xmlns:a16="http://schemas.microsoft.com/office/drawing/2014/main" id="{BFC52A16-E15A-4499-BAF7-2BD1CEA287DA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11" name="Line 5">
          <a:extLst>
            <a:ext uri="{FF2B5EF4-FFF2-40B4-BE49-F238E27FC236}">
              <a16:creationId xmlns:a16="http://schemas.microsoft.com/office/drawing/2014/main" id="{9CFD5A85-0093-45B2-A3EB-2BCBF9AFBF3D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912" name="Line 2">
          <a:extLst>
            <a:ext uri="{FF2B5EF4-FFF2-40B4-BE49-F238E27FC236}">
              <a16:creationId xmlns:a16="http://schemas.microsoft.com/office/drawing/2014/main" id="{72A4DA53-4CE7-483F-A97C-877E82CF764A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913" name="Line 3">
          <a:extLst>
            <a:ext uri="{FF2B5EF4-FFF2-40B4-BE49-F238E27FC236}">
              <a16:creationId xmlns:a16="http://schemas.microsoft.com/office/drawing/2014/main" id="{8D019332-9796-45B6-A3D8-DA15E474AC1B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914" name="Line 4">
          <a:extLst>
            <a:ext uri="{FF2B5EF4-FFF2-40B4-BE49-F238E27FC236}">
              <a16:creationId xmlns:a16="http://schemas.microsoft.com/office/drawing/2014/main" id="{74D3811A-2FBE-49AB-8651-16D6ACFA98EE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915" name="Line 5">
          <a:extLst>
            <a:ext uri="{FF2B5EF4-FFF2-40B4-BE49-F238E27FC236}">
              <a16:creationId xmlns:a16="http://schemas.microsoft.com/office/drawing/2014/main" id="{A05B9B4D-C165-4C75-B236-B18B5AA18E4F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916" name="Line 7">
          <a:extLst>
            <a:ext uri="{FF2B5EF4-FFF2-40B4-BE49-F238E27FC236}">
              <a16:creationId xmlns:a16="http://schemas.microsoft.com/office/drawing/2014/main" id="{1755A2E6-B1C4-4185-A23D-5C578386B44D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917" name="Line 2">
          <a:extLst>
            <a:ext uri="{FF2B5EF4-FFF2-40B4-BE49-F238E27FC236}">
              <a16:creationId xmlns:a16="http://schemas.microsoft.com/office/drawing/2014/main" id="{D812AEF8-0AB0-4AEA-B6DA-A4DCB7198C0E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918" name="Line 3">
          <a:extLst>
            <a:ext uri="{FF2B5EF4-FFF2-40B4-BE49-F238E27FC236}">
              <a16:creationId xmlns:a16="http://schemas.microsoft.com/office/drawing/2014/main" id="{61B35717-7F25-4BB0-A602-33DB616814B2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919" name="Line 4">
          <a:extLst>
            <a:ext uri="{FF2B5EF4-FFF2-40B4-BE49-F238E27FC236}">
              <a16:creationId xmlns:a16="http://schemas.microsoft.com/office/drawing/2014/main" id="{3DD6C0BC-C09D-438C-93E2-617CEACF41C6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920" name="Line 5">
          <a:extLst>
            <a:ext uri="{FF2B5EF4-FFF2-40B4-BE49-F238E27FC236}">
              <a16:creationId xmlns:a16="http://schemas.microsoft.com/office/drawing/2014/main" id="{C3DF8D29-5B7B-4485-8042-50C91183D6E0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921" name="Line 2">
          <a:extLst>
            <a:ext uri="{FF2B5EF4-FFF2-40B4-BE49-F238E27FC236}">
              <a16:creationId xmlns:a16="http://schemas.microsoft.com/office/drawing/2014/main" id="{59F1E33E-A4E1-4EC0-BAC1-0F7A0E514013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922" name="Line 3">
          <a:extLst>
            <a:ext uri="{FF2B5EF4-FFF2-40B4-BE49-F238E27FC236}">
              <a16:creationId xmlns:a16="http://schemas.microsoft.com/office/drawing/2014/main" id="{6B282EC6-9117-43C6-8267-B58842085C82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923" name="Line 4">
          <a:extLst>
            <a:ext uri="{FF2B5EF4-FFF2-40B4-BE49-F238E27FC236}">
              <a16:creationId xmlns:a16="http://schemas.microsoft.com/office/drawing/2014/main" id="{4F8FD05F-77BE-481A-B545-11722835B724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925" name="Line 7">
          <a:extLst>
            <a:ext uri="{FF2B5EF4-FFF2-40B4-BE49-F238E27FC236}">
              <a16:creationId xmlns:a16="http://schemas.microsoft.com/office/drawing/2014/main" id="{E31F09BD-C2BF-4099-A84D-B0B2D10FC2CA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926" name="Line 8">
          <a:extLst>
            <a:ext uri="{FF2B5EF4-FFF2-40B4-BE49-F238E27FC236}">
              <a16:creationId xmlns:a16="http://schemas.microsoft.com/office/drawing/2014/main" id="{565FB48D-42ED-4C9D-A6C7-9AC0A75C9ACF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927" name="Rectangle 7">
          <a:extLst>
            <a:ext uri="{FF2B5EF4-FFF2-40B4-BE49-F238E27FC236}">
              <a16:creationId xmlns:a16="http://schemas.microsoft.com/office/drawing/2014/main" id="{71E79D36-EE0C-411E-B948-94C78279DB41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224</xdr:row>
      <xdr:rowOff>0</xdr:rowOff>
    </xdr:from>
    <xdr:ext cx="190500" cy="933450"/>
    <xdr:sp macro="" textlink="">
      <xdr:nvSpPr>
        <xdr:cNvPr id="928" name="Rectangle 8">
          <a:extLst>
            <a:ext uri="{FF2B5EF4-FFF2-40B4-BE49-F238E27FC236}">
              <a16:creationId xmlns:a16="http://schemas.microsoft.com/office/drawing/2014/main" id="{562953A3-A81F-4523-A6D9-E2D1EEC3BA84}"/>
            </a:ext>
          </a:extLst>
        </xdr:cNvPr>
        <xdr:cNvSpPr>
          <a:spLocks noChangeArrowheads="1"/>
        </xdr:cNvSpPr>
      </xdr:nvSpPr>
      <xdr:spPr bwMode="auto">
        <a:xfrm>
          <a:off x="4924425" y="3720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201</xdr:row>
      <xdr:rowOff>0</xdr:rowOff>
    </xdr:from>
    <xdr:to>
      <xdr:col>8</xdr:col>
      <xdr:colOff>180975</xdr:colOff>
      <xdr:row>201</xdr:row>
      <xdr:rowOff>0</xdr:rowOff>
    </xdr:to>
    <xdr:sp macro="" textlink="">
      <xdr:nvSpPr>
        <xdr:cNvPr id="929" name="Line 2">
          <a:extLst>
            <a:ext uri="{FF2B5EF4-FFF2-40B4-BE49-F238E27FC236}">
              <a16:creationId xmlns:a16="http://schemas.microsoft.com/office/drawing/2014/main" id="{B58415A3-CBF8-47B8-BA23-DB2BD660DC3B}"/>
            </a:ext>
          </a:extLst>
        </xdr:cNvPr>
        <xdr:cNvSpPr>
          <a:spLocks noChangeShapeType="1"/>
        </xdr:cNvSpPr>
      </xdr:nvSpPr>
      <xdr:spPr bwMode="auto">
        <a:xfrm>
          <a:off x="4924425" y="33832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30" name="Line 3">
          <a:extLst>
            <a:ext uri="{FF2B5EF4-FFF2-40B4-BE49-F238E27FC236}">
              <a16:creationId xmlns:a16="http://schemas.microsoft.com/office/drawing/2014/main" id="{65636EC2-5684-4BFE-9E04-29B2C4126443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176</xdr:row>
      <xdr:rowOff>0</xdr:rowOff>
    </xdr:from>
    <xdr:to>
      <xdr:col>8</xdr:col>
      <xdr:colOff>180975</xdr:colOff>
      <xdr:row>176</xdr:row>
      <xdr:rowOff>0</xdr:rowOff>
    </xdr:to>
    <xdr:sp macro="" textlink="">
      <xdr:nvSpPr>
        <xdr:cNvPr id="931" name="Line 5">
          <a:extLst>
            <a:ext uri="{FF2B5EF4-FFF2-40B4-BE49-F238E27FC236}">
              <a16:creationId xmlns:a16="http://schemas.microsoft.com/office/drawing/2014/main" id="{7A18E173-7DA3-4D4A-A1AE-86487138A54B}"/>
            </a:ext>
          </a:extLst>
        </xdr:cNvPr>
        <xdr:cNvSpPr>
          <a:spLocks noChangeShapeType="1"/>
        </xdr:cNvSpPr>
      </xdr:nvSpPr>
      <xdr:spPr bwMode="auto">
        <a:xfrm>
          <a:off x="4924425" y="29689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932" name="Line 2">
          <a:extLst>
            <a:ext uri="{FF2B5EF4-FFF2-40B4-BE49-F238E27FC236}">
              <a16:creationId xmlns:a16="http://schemas.microsoft.com/office/drawing/2014/main" id="{6EB8AB79-85FB-4CCC-B4F1-421CAF28ECFC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933" name="Line 3">
          <a:extLst>
            <a:ext uri="{FF2B5EF4-FFF2-40B4-BE49-F238E27FC236}">
              <a16:creationId xmlns:a16="http://schemas.microsoft.com/office/drawing/2014/main" id="{99FC2D0A-0507-4775-851B-367539CF1C8A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934" name="Line 4">
          <a:extLst>
            <a:ext uri="{FF2B5EF4-FFF2-40B4-BE49-F238E27FC236}">
              <a16:creationId xmlns:a16="http://schemas.microsoft.com/office/drawing/2014/main" id="{80207D3D-4D0A-4DF7-9E25-66B865DC1098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935" name="Line 5">
          <a:extLst>
            <a:ext uri="{FF2B5EF4-FFF2-40B4-BE49-F238E27FC236}">
              <a16:creationId xmlns:a16="http://schemas.microsoft.com/office/drawing/2014/main" id="{3B06EF35-4226-4238-B1D9-40A28E82C9D4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193</xdr:row>
      <xdr:rowOff>0</xdr:rowOff>
    </xdr:from>
    <xdr:to>
      <xdr:col>8</xdr:col>
      <xdr:colOff>180975</xdr:colOff>
      <xdr:row>193</xdr:row>
      <xdr:rowOff>0</xdr:rowOff>
    </xdr:to>
    <xdr:sp macro="" textlink="">
      <xdr:nvSpPr>
        <xdr:cNvPr id="936" name="Line 7">
          <a:extLst>
            <a:ext uri="{FF2B5EF4-FFF2-40B4-BE49-F238E27FC236}">
              <a16:creationId xmlns:a16="http://schemas.microsoft.com/office/drawing/2014/main" id="{9FEB4FD1-C1C5-4FD8-A04E-C27E4A6341FE}"/>
            </a:ext>
          </a:extLst>
        </xdr:cNvPr>
        <xdr:cNvSpPr>
          <a:spLocks noChangeShapeType="1"/>
        </xdr:cNvSpPr>
      </xdr:nvSpPr>
      <xdr:spPr bwMode="auto">
        <a:xfrm>
          <a:off x="4924425" y="31975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937" name="Line 2">
          <a:extLst>
            <a:ext uri="{FF2B5EF4-FFF2-40B4-BE49-F238E27FC236}">
              <a16:creationId xmlns:a16="http://schemas.microsoft.com/office/drawing/2014/main" id="{15A6C625-F8C1-4AC9-8515-D2D32BAEEF77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938" name="Line 3">
          <a:extLst>
            <a:ext uri="{FF2B5EF4-FFF2-40B4-BE49-F238E27FC236}">
              <a16:creationId xmlns:a16="http://schemas.microsoft.com/office/drawing/2014/main" id="{6D453270-295B-4795-9100-E6938FC37AA3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163</xdr:row>
      <xdr:rowOff>0</xdr:rowOff>
    </xdr:from>
    <xdr:to>
      <xdr:col>8</xdr:col>
      <xdr:colOff>180975</xdr:colOff>
      <xdr:row>163</xdr:row>
      <xdr:rowOff>0</xdr:rowOff>
    </xdr:to>
    <xdr:sp macro="" textlink="">
      <xdr:nvSpPr>
        <xdr:cNvPr id="939" name="Line 4">
          <a:extLst>
            <a:ext uri="{FF2B5EF4-FFF2-40B4-BE49-F238E27FC236}">
              <a16:creationId xmlns:a16="http://schemas.microsoft.com/office/drawing/2014/main" id="{75FCF84A-058C-4CC2-A3DE-5D7F7B93D0D5}"/>
            </a:ext>
          </a:extLst>
        </xdr:cNvPr>
        <xdr:cNvSpPr>
          <a:spLocks noChangeShapeType="1"/>
        </xdr:cNvSpPr>
      </xdr:nvSpPr>
      <xdr:spPr bwMode="auto">
        <a:xfrm>
          <a:off x="4924425" y="27546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169</xdr:row>
      <xdr:rowOff>0</xdr:rowOff>
    </xdr:from>
    <xdr:to>
      <xdr:col>8</xdr:col>
      <xdr:colOff>180975</xdr:colOff>
      <xdr:row>169</xdr:row>
      <xdr:rowOff>0</xdr:rowOff>
    </xdr:to>
    <xdr:sp macro="" textlink="">
      <xdr:nvSpPr>
        <xdr:cNvPr id="940" name="Line 5">
          <a:extLst>
            <a:ext uri="{FF2B5EF4-FFF2-40B4-BE49-F238E27FC236}">
              <a16:creationId xmlns:a16="http://schemas.microsoft.com/office/drawing/2014/main" id="{F4325DF2-8855-42B6-BE5E-E0BAEA1C9364}"/>
            </a:ext>
          </a:extLst>
        </xdr:cNvPr>
        <xdr:cNvSpPr>
          <a:spLocks noChangeShapeType="1"/>
        </xdr:cNvSpPr>
      </xdr:nvSpPr>
      <xdr:spPr bwMode="auto">
        <a:xfrm>
          <a:off x="4924425" y="2854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941" name="Line 2">
          <a:extLst>
            <a:ext uri="{FF2B5EF4-FFF2-40B4-BE49-F238E27FC236}">
              <a16:creationId xmlns:a16="http://schemas.microsoft.com/office/drawing/2014/main" id="{D6983484-D5D6-46AB-8C9E-124C51CBB78D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162</xdr:row>
      <xdr:rowOff>0</xdr:rowOff>
    </xdr:from>
    <xdr:to>
      <xdr:col>8</xdr:col>
      <xdr:colOff>180975</xdr:colOff>
      <xdr:row>162</xdr:row>
      <xdr:rowOff>0</xdr:rowOff>
    </xdr:to>
    <xdr:sp macro="" textlink="">
      <xdr:nvSpPr>
        <xdr:cNvPr id="942" name="Line 3">
          <a:extLst>
            <a:ext uri="{FF2B5EF4-FFF2-40B4-BE49-F238E27FC236}">
              <a16:creationId xmlns:a16="http://schemas.microsoft.com/office/drawing/2014/main" id="{FB7D6551-ADFE-43E4-9155-2C91CFAEE085}"/>
            </a:ext>
          </a:extLst>
        </xdr:cNvPr>
        <xdr:cNvSpPr>
          <a:spLocks noChangeShapeType="1"/>
        </xdr:cNvSpPr>
      </xdr:nvSpPr>
      <xdr:spPr bwMode="auto">
        <a:xfrm>
          <a:off x="4924425" y="2740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164</xdr:row>
      <xdr:rowOff>0</xdr:rowOff>
    </xdr:from>
    <xdr:to>
      <xdr:col>8</xdr:col>
      <xdr:colOff>180975</xdr:colOff>
      <xdr:row>164</xdr:row>
      <xdr:rowOff>0</xdr:rowOff>
    </xdr:to>
    <xdr:sp macro="" textlink="">
      <xdr:nvSpPr>
        <xdr:cNvPr id="943" name="Line 4">
          <a:extLst>
            <a:ext uri="{FF2B5EF4-FFF2-40B4-BE49-F238E27FC236}">
              <a16:creationId xmlns:a16="http://schemas.microsoft.com/office/drawing/2014/main" id="{3D0DBC89-416A-4324-9377-3767CE2D1D25}"/>
            </a:ext>
          </a:extLst>
        </xdr:cNvPr>
        <xdr:cNvSpPr>
          <a:spLocks noChangeShapeType="1"/>
        </xdr:cNvSpPr>
      </xdr:nvSpPr>
      <xdr:spPr bwMode="auto">
        <a:xfrm>
          <a:off x="4924425" y="27689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240</xdr:row>
      <xdr:rowOff>0</xdr:rowOff>
    </xdr:from>
    <xdr:to>
      <xdr:col>8</xdr:col>
      <xdr:colOff>180975</xdr:colOff>
      <xdr:row>240</xdr:row>
      <xdr:rowOff>0</xdr:rowOff>
    </xdr:to>
    <xdr:sp macro="" textlink="">
      <xdr:nvSpPr>
        <xdr:cNvPr id="945" name="Line 7">
          <a:extLst>
            <a:ext uri="{FF2B5EF4-FFF2-40B4-BE49-F238E27FC236}">
              <a16:creationId xmlns:a16="http://schemas.microsoft.com/office/drawing/2014/main" id="{103370CB-0F94-4469-B68F-265204874132}"/>
            </a:ext>
          </a:extLst>
        </xdr:cNvPr>
        <xdr:cNvSpPr>
          <a:spLocks noChangeShapeType="1"/>
        </xdr:cNvSpPr>
      </xdr:nvSpPr>
      <xdr:spPr bwMode="auto">
        <a:xfrm>
          <a:off x="4924425" y="3949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245</xdr:row>
      <xdr:rowOff>0</xdr:rowOff>
    </xdr:from>
    <xdr:to>
      <xdr:col>8</xdr:col>
      <xdr:colOff>180975</xdr:colOff>
      <xdr:row>245</xdr:row>
      <xdr:rowOff>0</xdr:rowOff>
    </xdr:to>
    <xdr:sp macro="" textlink="">
      <xdr:nvSpPr>
        <xdr:cNvPr id="946" name="Line 8">
          <a:extLst>
            <a:ext uri="{FF2B5EF4-FFF2-40B4-BE49-F238E27FC236}">
              <a16:creationId xmlns:a16="http://schemas.microsoft.com/office/drawing/2014/main" id="{F93F9D61-9F9A-4330-84BD-15A393649567}"/>
            </a:ext>
          </a:extLst>
        </xdr:cNvPr>
        <xdr:cNvSpPr>
          <a:spLocks noChangeShapeType="1"/>
        </xdr:cNvSpPr>
      </xdr:nvSpPr>
      <xdr:spPr bwMode="auto">
        <a:xfrm>
          <a:off x="4924425" y="39919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162</xdr:row>
      <xdr:rowOff>38100</xdr:rowOff>
    </xdr:from>
    <xdr:ext cx="180975" cy="933450"/>
    <xdr:sp macro="" textlink="">
      <xdr:nvSpPr>
        <xdr:cNvPr id="947" name="Rectangle 7">
          <a:extLst>
            <a:ext uri="{FF2B5EF4-FFF2-40B4-BE49-F238E27FC236}">
              <a16:creationId xmlns:a16="http://schemas.microsoft.com/office/drawing/2014/main" id="{DE8D98ED-C35E-461B-9F67-C4D29AF8945B}"/>
            </a:ext>
          </a:extLst>
        </xdr:cNvPr>
        <xdr:cNvSpPr>
          <a:spLocks noChangeArrowheads="1"/>
        </xdr:cNvSpPr>
      </xdr:nvSpPr>
      <xdr:spPr bwMode="auto">
        <a:xfrm>
          <a:off x="4924425" y="27441525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949" name="Line 3">
          <a:extLst>
            <a:ext uri="{FF2B5EF4-FFF2-40B4-BE49-F238E27FC236}">
              <a16:creationId xmlns:a16="http://schemas.microsoft.com/office/drawing/2014/main" id="{D91D8A8A-236A-451C-8DB5-3F89FF9E6694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289</xdr:row>
      <xdr:rowOff>0</xdr:rowOff>
    </xdr:from>
    <xdr:to>
      <xdr:col>8</xdr:col>
      <xdr:colOff>180975</xdr:colOff>
      <xdr:row>289</xdr:row>
      <xdr:rowOff>0</xdr:rowOff>
    </xdr:to>
    <xdr:sp macro="" textlink="">
      <xdr:nvSpPr>
        <xdr:cNvPr id="950" name="Line 5">
          <a:extLst>
            <a:ext uri="{FF2B5EF4-FFF2-40B4-BE49-F238E27FC236}">
              <a16:creationId xmlns:a16="http://schemas.microsoft.com/office/drawing/2014/main" id="{AA92A118-C843-419E-9088-B4827B96CA11}"/>
            </a:ext>
          </a:extLst>
        </xdr:cNvPr>
        <xdr:cNvSpPr>
          <a:spLocks noChangeShapeType="1"/>
        </xdr:cNvSpPr>
      </xdr:nvSpPr>
      <xdr:spPr bwMode="auto">
        <a:xfrm>
          <a:off x="4924425" y="48167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951" name="Line 2">
          <a:extLst>
            <a:ext uri="{FF2B5EF4-FFF2-40B4-BE49-F238E27FC236}">
              <a16:creationId xmlns:a16="http://schemas.microsoft.com/office/drawing/2014/main" id="{9BDA86A7-84A4-428F-9693-70439A021339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952" name="Line 3">
          <a:extLst>
            <a:ext uri="{FF2B5EF4-FFF2-40B4-BE49-F238E27FC236}">
              <a16:creationId xmlns:a16="http://schemas.microsoft.com/office/drawing/2014/main" id="{B98A9D0F-30A2-479B-B214-C30348957902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953" name="Line 4">
          <a:extLst>
            <a:ext uri="{FF2B5EF4-FFF2-40B4-BE49-F238E27FC236}">
              <a16:creationId xmlns:a16="http://schemas.microsoft.com/office/drawing/2014/main" id="{A38C6CA7-4F55-40AB-B001-C48E70EBAADE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954" name="Line 5">
          <a:extLst>
            <a:ext uri="{FF2B5EF4-FFF2-40B4-BE49-F238E27FC236}">
              <a16:creationId xmlns:a16="http://schemas.microsoft.com/office/drawing/2014/main" id="{FA8E518E-FCDA-448F-ADFC-5EFEAA3539A8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956" name="Line 2">
          <a:extLst>
            <a:ext uri="{FF2B5EF4-FFF2-40B4-BE49-F238E27FC236}">
              <a16:creationId xmlns:a16="http://schemas.microsoft.com/office/drawing/2014/main" id="{BBF7685F-7834-434C-A3D5-613C91A12AE9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957" name="Line 3">
          <a:extLst>
            <a:ext uri="{FF2B5EF4-FFF2-40B4-BE49-F238E27FC236}">
              <a16:creationId xmlns:a16="http://schemas.microsoft.com/office/drawing/2014/main" id="{6AAA6F15-3A4A-49C0-ABEE-49F590FFFEE1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958" name="Line 4">
          <a:extLst>
            <a:ext uri="{FF2B5EF4-FFF2-40B4-BE49-F238E27FC236}">
              <a16:creationId xmlns:a16="http://schemas.microsoft.com/office/drawing/2014/main" id="{76E720EA-9846-4900-A2DC-EBB4710B154A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281</xdr:row>
      <xdr:rowOff>0</xdr:rowOff>
    </xdr:from>
    <xdr:to>
      <xdr:col>8</xdr:col>
      <xdr:colOff>180975</xdr:colOff>
      <xdr:row>281</xdr:row>
      <xdr:rowOff>0</xdr:rowOff>
    </xdr:to>
    <xdr:sp macro="" textlink="">
      <xdr:nvSpPr>
        <xdr:cNvPr id="959" name="Line 5">
          <a:extLst>
            <a:ext uri="{FF2B5EF4-FFF2-40B4-BE49-F238E27FC236}">
              <a16:creationId xmlns:a16="http://schemas.microsoft.com/office/drawing/2014/main" id="{5AAA2E55-F60C-4285-9E3A-1A045EF7851B}"/>
            </a:ext>
          </a:extLst>
        </xdr:cNvPr>
        <xdr:cNvSpPr>
          <a:spLocks noChangeShapeType="1"/>
        </xdr:cNvSpPr>
      </xdr:nvSpPr>
      <xdr:spPr bwMode="auto">
        <a:xfrm>
          <a:off x="4924425" y="4702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960" name="Line 2">
          <a:extLst>
            <a:ext uri="{FF2B5EF4-FFF2-40B4-BE49-F238E27FC236}">
              <a16:creationId xmlns:a16="http://schemas.microsoft.com/office/drawing/2014/main" id="{B2F25F51-E24B-433B-8003-2850F67708A7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274</xdr:row>
      <xdr:rowOff>0</xdr:rowOff>
    </xdr:from>
    <xdr:to>
      <xdr:col>8</xdr:col>
      <xdr:colOff>180975</xdr:colOff>
      <xdr:row>274</xdr:row>
      <xdr:rowOff>0</xdr:rowOff>
    </xdr:to>
    <xdr:sp macro="" textlink="">
      <xdr:nvSpPr>
        <xdr:cNvPr id="961" name="Line 3">
          <a:extLst>
            <a:ext uri="{FF2B5EF4-FFF2-40B4-BE49-F238E27FC236}">
              <a16:creationId xmlns:a16="http://schemas.microsoft.com/office/drawing/2014/main" id="{F46BCB28-72CD-450B-94C3-901E0E3D1AF1}"/>
            </a:ext>
          </a:extLst>
        </xdr:cNvPr>
        <xdr:cNvSpPr>
          <a:spLocks noChangeShapeType="1"/>
        </xdr:cNvSpPr>
      </xdr:nvSpPr>
      <xdr:spPr bwMode="auto">
        <a:xfrm>
          <a:off x="4924425" y="46024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276</xdr:row>
      <xdr:rowOff>0</xdr:rowOff>
    </xdr:from>
    <xdr:to>
      <xdr:col>8</xdr:col>
      <xdr:colOff>180975</xdr:colOff>
      <xdr:row>276</xdr:row>
      <xdr:rowOff>0</xdr:rowOff>
    </xdr:to>
    <xdr:sp macro="" textlink="">
      <xdr:nvSpPr>
        <xdr:cNvPr id="962" name="Line 4">
          <a:extLst>
            <a:ext uri="{FF2B5EF4-FFF2-40B4-BE49-F238E27FC236}">
              <a16:creationId xmlns:a16="http://schemas.microsoft.com/office/drawing/2014/main" id="{964B12F1-274F-4B7D-80CE-495E2F23DCFE}"/>
            </a:ext>
          </a:extLst>
        </xdr:cNvPr>
        <xdr:cNvSpPr>
          <a:spLocks noChangeShapeType="1"/>
        </xdr:cNvSpPr>
      </xdr:nvSpPr>
      <xdr:spPr bwMode="auto">
        <a:xfrm>
          <a:off x="4924425" y="46310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342</xdr:row>
      <xdr:rowOff>0</xdr:rowOff>
    </xdr:from>
    <xdr:to>
      <xdr:col>8</xdr:col>
      <xdr:colOff>180975</xdr:colOff>
      <xdr:row>342</xdr:row>
      <xdr:rowOff>0</xdr:rowOff>
    </xdr:to>
    <xdr:sp macro="" textlink="">
      <xdr:nvSpPr>
        <xdr:cNvPr id="964" name="Line 7">
          <a:extLst>
            <a:ext uri="{FF2B5EF4-FFF2-40B4-BE49-F238E27FC236}">
              <a16:creationId xmlns:a16="http://schemas.microsoft.com/office/drawing/2014/main" id="{21F927E6-AAA2-47B3-99A5-97B1EE9DDE4D}"/>
            </a:ext>
          </a:extLst>
        </xdr:cNvPr>
        <xdr:cNvSpPr>
          <a:spLocks noChangeShapeType="1"/>
        </xdr:cNvSpPr>
      </xdr:nvSpPr>
      <xdr:spPr bwMode="auto">
        <a:xfrm>
          <a:off x="4924425" y="57111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965" name="Line 3">
          <a:extLst>
            <a:ext uri="{FF2B5EF4-FFF2-40B4-BE49-F238E27FC236}">
              <a16:creationId xmlns:a16="http://schemas.microsoft.com/office/drawing/2014/main" id="{33082D68-32D6-473E-BF33-463C7B844A03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393</xdr:row>
      <xdr:rowOff>0</xdr:rowOff>
    </xdr:from>
    <xdr:to>
      <xdr:col>8</xdr:col>
      <xdr:colOff>180975</xdr:colOff>
      <xdr:row>393</xdr:row>
      <xdr:rowOff>0</xdr:rowOff>
    </xdr:to>
    <xdr:sp macro="" textlink="">
      <xdr:nvSpPr>
        <xdr:cNvPr id="966" name="Line 5">
          <a:extLst>
            <a:ext uri="{FF2B5EF4-FFF2-40B4-BE49-F238E27FC236}">
              <a16:creationId xmlns:a16="http://schemas.microsoft.com/office/drawing/2014/main" id="{E0F5C386-72A0-43F0-BDAB-3196E9671AD1}"/>
            </a:ext>
          </a:extLst>
        </xdr:cNvPr>
        <xdr:cNvSpPr>
          <a:spLocks noChangeShapeType="1"/>
        </xdr:cNvSpPr>
      </xdr:nvSpPr>
      <xdr:spPr bwMode="auto">
        <a:xfrm>
          <a:off x="4924425" y="659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967" name="Line 2">
          <a:extLst>
            <a:ext uri="{FF2B5EF4-FFF2-40B4-BE49-F238E27FC236}">
              <a16:creationId xmlns:a16="http://schemas.microsoft.com/office/drawing/2014/main" id="{B33A0820-1E8C-4248-8205-C2D669BBA750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968" name="Line 3">
          <a:extLst>
            <a:ext uri="{FF2B5EF4-FFF2-40B4-BE49-F238E27FC236}">
              <a16:creationId xmlns:a16="http://schemas.microsoft.com/office/drawing/2014/main" id="{AEE67597-8B43-4FC5-AB6F-2EA640510F60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969" name="Line 4">
          <a:extLst>
            <a:ext uri="{FF2B5EF4-FFF2-40B4-BE49-F238E27FC236}">
              <a16:creationId xmlns:a16="http://schemas.microsoft.com/office/drawing/2014/main" id="{093EA6BD-EF61-4B34-BE0E-2A3030B7E196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970" name="Line 5">
          <a:extLst>
            <a:ext uri="{FF2B5EF4-FFF2-40B4-BE49-F238E27FC236}">
              <a16:creationId xmlns:a16="http://schemas.microsoft.com/office/drawing/2014/main" id="{9C9E484D-4F01-4BAD-89B8-E7EA30B010A3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412</xdr:row>
      <xdr:rowOff>0</xdr:rowOff>
    </xdr:from>
    <xdr:to>
      <xdr:col>8</xdr:col>
      <xdr:colOff>180975</xdr:colOff>
      <xdr:row>412</xdr:row>
      <xdr:rowOff>0</xdr:rowOff>
    </xdr:to>
    <xdr:sp macro="" textlink="">
      <xdr:nvSpPr>
        <xdr:cNvPr id="971" name="Line 7">
          <a:extLst>
            <a:ext uri="{FF2B5EF4-FFF2-40B4-BE49-F238E27FC236}">
              <a16:creationId xmlns:a16="http://schemas.microsoft.com/office/drawing/2014/main" id="{B90B6AA2-21EC-4D8E-B8E7-39BEB3C5C70F}"/>
            </a:ext>
          </a:extLst>
        </xdr:cNvPr>
        <xdr:cNvSpPr>
          <a:spLocks noChangeShapeType="1"/>
        </xdr:cNvSpPr>
      </xdr:nvSpPr>
      <xdr:spPr bwMode="auto">
        <a:xfrm>
          <a:off x="4924425" y="69942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72" name="Line 2">
          <a:extLst>
            <a:ext uri="{FF2B5EF4-FFF2-40B4-BE49-F238E27FC236}">
              <a16:creationId xmlns:a16="http://schemas.microsoft.com/office/drawing/2014/main" id="{2E27BD28-3B6B-45E2-BD39-6873BCE91D3D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73" name="Line 3">
          <a:extLst>
            <a:ext uri="{FF2B5EF4-FFF2-40B4-BE49-F238E27FC236}">
              <a16:creationId xmlns:a16="http://schemas.microsoft.com/office/drawing/2014/main" id="{4B7B9274-D47B-4D12-B9F6-D93008D5F62F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74" name="Line 4">
          <a:extLst>
            <a:ext uri="{FF2B5EF4-FFF2-40B4-BE49-F238E27FC236}">
              <a16:creationId xmlns:a16="http://schemas.microsoft.com/office/drawing/2014/main" id="{55214C25-5DE1-4B3E-9C8F-DDFBCA331445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380</xdr:row>
      <xdr:rowOff>0</xdr:rowOff>
    </xdr:from>
    <xdr:to>
      <xdr:col>8</xdr:col>
      <xdr:colOff>180975</xdr:colOff>
      <xdr:row>380</xdr:row>
      <xdr:rowOff>0</xdr:rowOff>
    </xdr:to>
    <xdr:sp macro="" textlink="">
      <xdr:nvSpPr>
        <xdr:cNvPr id="975" name="Line 5">
          <a:extLst>
            <a:ext uri="{FF2B5EF4-FFF2-40B4-BE49-F238E27FC236}">
              <a16:creationId xmlns:a16="http://schemas.microsoft.com/office/drawing/2014/main" id="{05586C09-8DC8-4652-8169-AA061B9AEEAF}"/>
            </a:ext>
          </a:extLst>
        </xdr:cNvPr>
        <xdr:cNvSpPr>
          <a:spLocks noChangeShapeType="1"/>
        </xdr:cNvSpPr>
      </xdr:nvSpPr>
      <xdr:spPr bwMode="auto">
        <a:xfrm>
          <a:off x="4924425" y="64217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76" name="Line 2">
          <a:extLst>
            <a:ext uri="{FF2B5EF4-FFF2-40B4-BE49-F238E27FC236}">
              <a16:creationId xmlns:a16="http://schemas.microsoft.com/office/drawing/2014/main" id="{AF17BC8C-9118-4EFB-8755-E5EE7B7737C6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977" name="Line 3">
          <a:extLst>
            <a:ext uri="{FF2B5EF4-FFF2-40B4-BE49-F238E27FC236}">
              <a16:creationId xmlns:a16="http://schemas.microsoft.com/office/drawing/2014/main" id="{36FFFBEC-D477-4174-A381-A20751980C5C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375</xdr:row>
      <xdr:rowOff>0</xdr:rowOff>
    </xdr:from>
    <xdr:to>
      <xdr:col>8</xdr:col>
      <xdr:colOff>180975</xdr:colOff>
      <xdr:row>375</xdr:row>
      <xdr:rowOff>0</xdr:rowOff>
    </xdr:to>
    <xdr:sp macro="" textlink="">
      <xdr:nvSpPr>
        <xdr:cNvPr id="978" name="Line 4">
          <a:extLst>
            <a:ext uri="{FF2B5EF4-FFF2-40B4-BE49-F238E27FC236}">
              <a16:creationId xmlns:a16="http://schemas.microsoft.com/office/drawing/2014/main" id="{DB905F42-C4D6-4F66-BA5F-10561311C3B2}"/>
            </a:ext>
          </a:extLst>
        </xdr:cNvPr>
        <xdr:cNvSpPr>
          <a:spLocks noChangeShapeType="1"/>
        </xdr:cNvSpPr>
      </xdr:nvSpPr>
      <xdr:spPr bwMode="auto">
        <a:xfrm>
          <a:off x="4924425" y="63503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979" name="Line 5">
          <a:extLst>
            <a:ext uri="{FF2B5EF4-FFF2-40B4-BE49-F238E27FC236}">
              <a16:creationId xmlns:a16="http://schemas.microsoft.com/office/drawing/2014/main" id="{9AB63B2B-F171-47A6-8395-DA31128AF927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980" name="Line 7">
          <a:extLst>
            <a:ext uri="{FF2B5EF4-FFF2-40B4-BE49-F238E27FC236}">
              <a16:creationId xmlns:a16="http://schemas.microsoft.com/office/drawing/2014/main" id="{AF5BB81C-5A9B-4F63-96C7-2DDD6D57A1C9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981" name="Line 2">
          <a:extLst>
            <a:ext uri="{FF2B5EF4-FFF2-40B4-BE49-F238E27FC236}">
              <a16:creationId xmlns:a16="http://schemas.microsoft.com/office/drawing/2014/main" id="{FA1362FA-61CD-4EBD-86D1-060833D13092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374</xdr:row>
      <xdr:rowOff>0</xdr:rowOff>
    </xdr:from>
    <xdr:to>
      <xdr:col>8</xdr:col>
      <xdr:colOff>180975</xdr:colOff>
      <xdr:row>374</xdr:row>
      <xdr:rowOff>0</xdr:rowOff>
    </xdr:to>
    <xdr:sp macro="" textlink="">
      <xdr:nvSpPr>
        <xdr:cNvPr id="982" name="Line 3">
          <a:extLst>
            <a:ext uri="{FF2B5EF4-FFF2-40B4-BE49-F238E27FC236}">
              <a16:creationId xmlns:a16="http://schemas.microsoft.com/office/drawing/2014/main" id="{D1FCCD88-B7A6-4180-BAE4-C162F4B76301}"/>
            </a:ext>
          </a:extLst>
        </xdr:cNvPr>
        <xdr:cNvSpPr>
          <a:spLocks noChangeShapeType="1"/>
        </xdr:cNvSpPr>
      </xdr:nvSpPr>
      <xdr:spPr bwMode="auto">
        <a:xfrm>
          <a:off x="4924425" y="63360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376</xdr:row>
      <xdr:rowOff>0</xdr:rowOff>
    </xdr:from>
    <xdr:to>
      <xdr:col>8</xdr:col>
      <xdr:colOff>180975</xdr:colOff>
      <xdr:row>376</xdr:row>
      <xdr:rowOff>0</xdr:rowOff>
    </xdr:to>
    <xdr:sp macro="" textlink="">
      <xdr:nvSpPr>
        <xdr:cNvPr id="983" name="Line 4">
          <a:extLst>
            <a:ext uri="{FF2B5EF4-FFF2-40B4-BE49-F238E27FC236}">
              <a16:creationId xmlns:a16="http://schemas.microsoft.com/office/drawing/2014/main" id="{D69E6115-475F-4C6C-B184-5B5008B35379}"/>
            </a:ext>
          </a:extLst>
        </xdr:cNvPr>
        <xdr:cNvSpPr>
          <a:spLocks noChangeShapeType="1"/>
        </xdr:cNvSpPr>
      </xdr:nvSpPr>
      <xdr:spPr bwMode="auto">
        <a:xfrm>
          <a:off x="4924425" y="63646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984" name="Line 3">
          <a:extLst>
            <a:ext uri="{FF2B5EF4-FFF2-40B4-BE49-F238E27FC236}">
              <a16:creationId xmlns:a16="http://schemas.microsoft.com/office/drawing/2014/main" id="{6372EE97-70AB-490B-96BF-4E77C46C0BE2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500</xdr:row>
      <xdr:rowOff>0</xdr:rowOff>
    </xdr:from>
    <xdr:to>
      <xdr:col>8</xdr:col>
      <xdr:colOff>180975</xdr:colOff>
      <xdr:row>500</xdr:row>
      <xdr:rowOff>0</xdr:rowOff>
    </xdr:to>
    <xdr:sp macro="" textlink="">
      <xdr:nvSpPr>
        <xdr:cNvPr id="985" name="Line 5">
          <a:extLst>
            <a:ext uri="{FF2B5EF4-FFF2-40B4-BE49-F238E27FC236}">
              <a16:creationId xmlns:a16="http://schemas.microsoft.com/office/drawing/2014/main" id="{ED0647DB-3570-425C-8870-6B4B6D2A0564}"/>
            </a:ext>
          </a:extLst>
        </xdr:cNvPr>
        <xdr:cNvSpPr>
          <a:spLocks noChangeShapeType="1"/>
        </xdr:cNvSpPr>
      </xdr:nvSpPr>
      <xdr:spPr bwMode="auto">
        <a:xfrm>
          <a:off x="4924425" y="88230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986" name="Line 2">
          <a:extLst>
            <a:ext uri="{FF2B5EF4-FFF2-40B4-BE49-F238E27FC236}">
              <a16:creationId xmlns:a16="http://schemas.microsoft.com/office/drawing/2014/main" id="{A59AA1C7-2412-4CAE-B4A2-9B75976E7B56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987" name="Line 3">
          <a:extLst>
            <a:ext uri="{FF2B5EF4-FFF2-40B4-BE49-F238E27FC236}">
              <a16:creationId xmlns:a16="http://schemas.microsoft.com/office/drawing/2014/main" id="{83AF8DEB-DCB0-46BD-88FB-FD3377BD21A9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988" name="Line 4">
          <a:extLst>
            <a:ext uri="{FF2B5EF4-FFF2-40B4-BE49-F238E27FC236}">
              <a16:creationId xmlns:a16="http://schemas.microsoft.com/office/drawing/2014/main" id="{967F2A83-AD47-4859-832B-2D1278BF26B8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989" name="Line 5">
          <a:extLst>
            <a:ext uri="{FF2B5EF4-FFF2-40B4-BE49-F238E27FC236}">
              <a16:creationId xmlns:a16="http://schemas.microsoft.com/office/drawing/2014/main" id="{8509BCE4-8CD9-4D5F-9782-3D2A4B309AF5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990" name="Line 7">
          <a:extLst>
            <a:ext uri="{FF2B5EF4-FFF2-40B4-BE49-F238E27FC236}">
              <a16:creationId xmlns:a16="http://schemas.microsoft.com/office/drawing/2014/main" id="{8ABA8A14-29FD-4BD4-8B6C-DC7FB1CAC0BD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490</xdr:row>
      <xdr:rowOff>0</xdr:rowOff>
    </xdr:from>
    <xdr:to>
      <xdr:col>8</xdr:col>
      <xdr:colOff>180975</xdr:colOff>
      <xdr:row>490</xdr:row>
      <xdr:rowOff>0</xdr:rowOff>
    </xdr:to>
    <xdr:sp macro="" textlink="">
      <xdr:nvSpPr>
        <xdr:cNvPr id="994" name="Line 5">
          <a:extLst>
            <a:ext uri="{FF2B5EF4-FFF2-40B4-BE49-F238E27FC236}">
              <a16:creationId xmlns:a16="http://schemas.microsoft.com/office/drawing/2014/main" id="{DC70CAF4-8F79-4E20-B7C6-61504EC9AC20}"/>
            </a:ext>
          </a:extLst>
        </xdr:cNvPr>
        <xdr:cNvSpPr>
          <a:spLocks noChangeShapeType="1"/>
        </xdr:cNvSpPr>
      </xdr:nvSpPr>
      <xdr:spPr bwMode="auto">
        <a:xfrm>
          <a:off x="4924425" y="86725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485</xdr:row>
      <xdr:rowOff>0</xdr:rowOff>
    </xdr:from>
    <xdr:to>
      <xdr:col>8</xdr:col>
      <xdr:colOff>180975</xdr:colOff>
      <xdr:row>485</xdr:row>
      <xdr:rowOff>0</xdr:rowOff>
    </xdr:to>
    <xdr:sp macro="" textlink="">
      <xdr:nvSpPr>
        <xdr:cNvPr id="997" name="Line 4">
          <a:extLst>
            <a:ext uri="{FF2B5EF4-FFF2-40B4-BE49-F238E27FC236}">
              <a16:creationId xmlns:a16="http://schemas.microsoft.com/office/drawing/2014/main" id="{F81B8822-8D72-4D04-88C4-40E4EAC9BC6A}"/>
            </a:ext>
          </a:extLst>
        </xdr:cNvPr>
        <xdr:cNvSpPr>
          <a:spLocks noChangeShapeType="1"/>
        </xdr:cNvSpPr>
      </xdr:nvSpPr>
      <xdr:spPr bwMode="auto">
        <a:xfrm>
          <a:off x="4924425" y="86001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998" name="Line 2">
          <a:extLst>
            <a:ext uri="{FF2B5EF4-FFF2-40B4-BE49-F238E27FC236}">
              <a16:creationId xmlns:a16="http://schemas.microsoft.com/office/drawing/2014/main" id="{F9B23234-509A-48BC-9F7C-E9563DED1B61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999" name="Line 3">
          <a:extLst>
            <a:ext uri="{FF2B5EF4-FFF2-40B4-BE49-F238E27FC236}">
              <a16:creationId xmlns:a16="http://schemas.microsoft.com/office/drawing/2014/main" id="{CB3F5A8A-0045-43E3-B2F7-434C7BE13B55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486</xdr:row>
      <xdr:rowOff>0</xdr:rowOff>
    </xdr:from>
    <xdr:to>
      <xdr:col>8</xdr:col>
      <xdr:colOff>180975</xdr:colOff>
      <xdr:row>486</xdr:row>
      <xdr:rowOff>0</xdr:rowOff>
    </xdr:to>
    <xdr:sp macro="" textlink="">
      <xdr:nvSpPr>
        <xdr:cNvPr id="1000" name="Line 4">
          <a:extLst>
            <a:ext uri="{FF2B5EF4-FFF2-40B4-BE49-F238E27FC236}">
              <a16:creationId xmlns:a16="http://schemas.microsoft.com/office/drawing/2014/main" id="{412C7E0A-FC0D-4F9B-966B-1F0DAFDE2360}"/>
            </a:ext>
          </a:extLst>
        </xdr:cNvPr>
        <xdr:cNvSpPr>
          <a:spLocks noChangeShapeType="1"/>
        </xdr:cNvSpPr>
      </xdr:nvSpPr>
      <xdr:spPr bwMode="auto">
        <a:xfrm>
          <a:off x="4924425" y="86144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001" name="Line 2">
          <a:extLst>
            <a:ext uri="{FF2B5EF4-FFF2-40B4-BE49-F238E27FC236}">
              <a16:creationId xmlns:a16="http://schemas.microsoft.com/office/drawing/2014/main" id="{770427FB-4ACF-4321-857E-9D42167898D8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484</xdr:row>
      <xdr:rowOff>0</xdr:rowOff>
    </xdr:from>
    <xdr:to>
      <xdr:col>8</xdr:col>
      <xdr:colOff>180975</xdr:colOff>
      <xdr:row>484</xdr:row>
      <xdr:rowOff>0</xdr:rowOff>
    </xdr:to>
    <xdr:sp macro="" textlink="">
      <xdr:nvSpPr>
        <xdr:cNvPr id="1002" name="Line 3">
          <a:extLst>
            <a:ext uri="{FF2B5EF4-FFF2-40B4-BE49-F238E27FC236}">
              <a16:creationId xmlns:a16="http://schemas.microsoft.com/office/drawing/2014/main" id="{2904A170-3CE2-4804-949A-8AA98EA3473D}"/>
            </a:ext>
          </a:extLst>
        </xdr:cNvPr>
        <xdr:cNvSpPr>
          <a:spLocks noChangeShapeType="1"/>
        </xdr:cNvSpPr>
      </xdr:nvSpPr>
      <xdr:spPr bwMode="auto">
        <a:xfrm>
          <a:off x="4924425" y="85858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489</xdr:row>
      <xdr:rowOff>0</xdr:rowOff>
    </xdr:from>
    <xdr:to>
      <xdr:col>8</xdr:col>
      <xdr:colOff>180975</xdr:colOff>
      <xdr:row>489</xdr:row>
      <xdr:rowOff>0</xdr:rowOff>
    </xdr:to>
    <xdr:sp macro="" textlink="">
      <xdr:nvSpPr>
        <xdr:cNvPr id="1003" name="Line 4">
          <a:extLst>
            <a:ext uri="{FF2B5EF4-FFF2-40B4-BE49-F238E27FC236}">
              <a16:creationId xmlns:a16="http://schemas.microsoft.com/office/drawing/2014/main" id="{D3C5152E-9084-4CDF-84E7-21CC44913FD6}"/>
            </a:ext>
          </a:extLst>
        </xdr:cNvPr>
        <xdr:cNvSpPr>
          <a:spLocks noChangeShapeType="1"/>
        </xdr:cNvSpPr>
      </xdr:nvSpPr>
      <xdr:spPr bwMode="auto">
        <a:xfrm>
          <a:off x="4924425" y="86582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1004" name="Line 3">
          <a:extLst>
            <a:ext uri="{FF2B5EF4-FFF2-40B4-BE49-F238E27FC236}">
              <a16:creationId xmlns:a16="http://schemas.microsoft.com/office/drawing/2014/main" id="{75686152-85DF-4992-ACE1-7D95C3623979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552</xdr:row>
      <xdr:rowOff>0</xdr:rowOff>
    </xdr:from>
    <xdr:to>
      <xdr:col>8</xdr:col>
      <xdr:colOff>180975</xdr:colOff>
      <xdr:row>552</xdr:row>
      <xdr:rowOff>0</xdr:rowOff>
    </xdr:to>
    <xdr:sp macro="" textlink="">
      <xdr:nvSpPr>
        <xdr:cNvPr id="1005" name="Line 5">
          <a:extLst>
            <a:ext uri="{FF2B5EF4-FFF2-40B4-BE49-F238E27FC236}">
              <a16:creationId xmlns:a16="http://schemas.microsoft.com/office/drawing/2014/main" id="{554CAD8B-99B3-49B8-B318-0FAAC9A13701}"/>
            </a:ext>
          </a:extLst>
        </xdr:cNvPr>
        <xdr:cNvSpPr>
          <a:spLocks noChangeShapeType="1"/>
        </xdr:cNvSpPr>
      </xdr:nvSpPr>
      <xdr:spPr bwMode="auto">
        <a:xfrm>
          <a:off x="4924425" y="97050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006" name="Line 2">
          <a:extLst>
            <a:ext uri="{FF2B5EF4-FFF2-40B4-BE49-F238E27FC236}">
              <a16:creationId xmlns:a16="http://schemas.microsoft.com/office/drawing/2014/main" id="{5236C23E-F6DB-4793-8924-8D9BD62067EF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007" name="Line 3">
          <a:extLst>
            <a:ext uri="{FF2B5EF4-FFF2-40B4-BE49-F238E27FC236}">
              <a16:creationId xmlns:a16="http://schemas.microsoft.com/office/drawing/2014/main" id="{15E65BB0-FA96-464B-BA56-89A92BF590E5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008" name="Line 4">
          <a:extLst>
            <a:ext uri="{FF2B5EF4-FFF2-40B4-BE49-F238E27FC236}">
              <a16:creationId xmlns:a16="http://schemas.microsoft.com/office/drawing/2014/main" id="{1F0C5712-6FE1-4ED8-B05E-D939BE8A6F7F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1009" name="Line 5">
          <a:extLst>
            <a:ext uri="{FF2B5EF4-FFF2-40B4-BE49-F238E27FC236}">
              <a16:creationId xmlns:a16="http://schemas.microsoft.com/office/drawing/2014/main" id="{33339EF6-1D11-40DC-A0F6-B2AE1EB222B4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010" name="Line 7">
          <a:extLst>
            <a:ext uri="{FF2B5EF4-FFF2-40B4-BE49-F238E27FC236}">
              <a16:creationId xmlns:a16="http://schemas.microsoft.com/office/drawing/2014/main" id="{AA97C231-3BB4-461E-9B18-2CA6872C29AE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011" name="Line 2">
          <a:extLst>
            <a:ext uri="{FF2B5EF4-FFF2-40B4-BE49-F238E27FC236}">
              <a16:creationId xmlns:a16="http://schemas.microsoft.com/office/drawing/2014/main" id="{81F00BBF-720F-4349-ACD9-91FE93FDC1D9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012" name="Line 3">
          <a:extLst>
            <a:ext uri="{FF2B5EF4-FFF2-40B4-BE49-F238E27FC236}">
              <a16:creationId xmlns:a16="http://schemas.microsoft.com/office/drawing/2014/main" id="{060C05FF-C934-4AAB-8FF7-F8A6FD28027C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013" name="Line 4">
          <a:extLst>
            <a:ext uri="{FF2B5EF4-FFF2-40B4-BE49-F238E27FC236}">
              <a16:creationId xmlns:a16="http://schemas.microsoft.com/office/drawing/2014/main" id="{8935E406-D802-4533-9E31-4B5EE0AFF146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542</xdr:row>
      <xdr:rowOff>0</xdr:rowOff>
    </xdr:from>
    <xdr:to>
      <xdr:col>8</xdr:col>
      <xdr:colOff>180975</xdr:colOff>
      <xdr:row>542</xdr:row>
      <xdr:rowOff>0</xdr:rowOff>
    </xdr:to>
    <xdr:sp macro="" textlink="">
      <xdr:nvSpPr>
        <xdr:cNvPr id="1014" name="Line 5">
          <a:extLst>
            <a:ext uri="{FF2B5EF4-FFF2-40B4-BE49-F238E27FC236}">
              <a16:creationId xmlns:a16="http://schemas.microsoft.com/office/drawing/2014/main" id="{F8612EA7-6669-4394-8F4A-522A6E46D0EB}"/>
            </a:ext>
          </a:extLst>
        </xdr:cNvPr>
        <xdr:cNvSpPr>
          <a:spLocks noChangeShapeType="1"/>
        </xdr:cNvSpPr>
      </xdr:nvSpPr>
      <xdr:spPr bwMode="auto">
        <a:xfrm>
          <a:off x="4924425" y="95545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015" name="Line 2">
          <a:extLst>
            <a:ext uri="{FF2B5EF4-FFF2-40B4-BE49-F238E27FC236}">
              <a16:creationId xmlns:a16="http://schemas.microsoft.com/office/drawing/2014/main" id="{6D7C97E5-BB4A-4DC4-8A4B-D5BFF3B9B5C4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535</xdr:row>
      <xdr:rowOff>0</xdr:rowOff>
    </xdr:from>
    <xdr:to>
      <xdr:col>8</xdr:col>
      <xdr:colOff>180975</xdr:colOff>
      <xdr:row>535</xdr:row>
      <xdr:rowOff>0</xdr:rowOff>
    </xdr:to>
    <xdr:sp macro="" textlink="">
      <xdr:nvSpPr>
        <xdr:cNvPr id="1016" name="Line 3">
          <a:extLst>
            <a:ext uri="{FF2B5EF4-FFF2-40B4-BE49-F238E27FC236}">
              <a16:creationId xmlns:a16="http://schemas.microsoft.com/office/drawing/2014/main" id="{1F32B7D0-347B-4580-957F-FD9F45A609EE}"/>
            </a:ext>
          </a:extLst>
        </xdr:cNvPr>
        <xdr:cNvSpPr>
          <a:spLocks noChangeShapeType="1"/>
        </xdr:cNvSpPr>
      </xdr:nvSpPr>
      <xdr:spPr bwMode="auto">
        <a:xfrm>
          <a:off x="4924425" y="94535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537</xdr:row>
      <xdr:rowOff>0</xdr:rowOff>
    </xdr:from>
    <xdr:to>
      <xdr:col>8</xdr:col>
      <xdr:colOff>180975</xdr:colOff>
      <xdr:row>537</xdr:row>
      <xdr:rowOff>0</xdr:rowOff>
    </xdr:to>
    <xdr:sp macro="" textlink="">
      <xdr:nvSpPr>
        <xdr:cNvPr id="1017" name="Line 4">
          <a:extLst>
            <a:ext uri="{FF2B5EF4-FFF2-40B4-BE49-F238E27FC236}">
              <a16:creationId xmlns:a16="http://schemas.microsoft.com/office/drawing/2014/main" id="{AE1F6BDE-3BAE-48A2-BD6D-4438E85AA8D9}"/>
            </a:ext>
          </a:extLst>
        </xdr:cNvPr>
        <xdr:cNvSpPr>
          <a:spLocks noChangeShapeType="1"/>
        </xdr:cNvSpPr>
      </xdr:nvSpPr>
      <xdr:spPr bwMode="auto">
        <a:xfrm>
          <a:off x="4924425" y="94821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018" name="Line 2">
          <a:extLst>
            <a:ext uri="{FF2B5EF4-FFF2-40B4-BE49-F238E27FC236}">
              <a16:creationId xmlns:a16="http://schemas.microsoft.com/office/drawing/2014/main" id="{50454E7A-6D82-46AE-910A-5647DE12235D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019" name="Line 3">
          <a:extLst>
            <a:ext uri="{FF2B5EF4-FFF2-40B4-BE49-F238E27FC236}">
              <a16:creationId xmlns:a16="http://schemas.microsoft.com/office/drawing/2014/main" id="{F3A1DD18-37A8-4B58-8B33-1731F6B6E9A4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538</xdr:row>
      <xdr:rowOff>0</xdr:rowOff>
    </xdr:from>
    <xdr:to>
      <xdr:col>8</xdr:col>
      <xdr:colOff>180975</xdr:colOff>
      <xdr:row>538</xdr:row>
      <xdr:rowOff>0</xdr:rowOff>
    </xdr:to>
    <xdr:sp macro="" textlink="">
      <xdr:nvSpPr>
        <xdr:cNvPr id="1020" name="Line 4">
          <a:extLst>
            <a:ext uri="{FF2B5EF4-FFF2-40B4-BE49-F238E27FC236}">
              <a16:creationId xmlns:a16="http://schemas.microsoft.com/office/drawing/2014/main" id="{8DEE2310-8964-4010-9314-1B52D1BC28C0}"/>
            </a:ext>
          </a:extLst>
        </xdr:cNvPr>
        <xdr:cNvSpPr>
          <a:spLocks noChangeShapeType="1"/>
        </xdr:cNvSpPr>
      </xdr:nvSpPr>
      <xdr:spPr bwMode="auto">
        <a:xfrm>
          <a:off x="4924425" y="94964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021" name="Line 2">
          <a:extLst>
            <a:ext uri="{FF2B5EF4-FFF2-40B4-BE49-F238E27FC236}">
              <a16:creationId xmlns:a16="http://schemas.microsoft.com/office/drawing/2014/main" id="{3A45D6B0-D783-416E-B573-88E30014D125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536</xdr:row>
      <xdr:rowOff>0</xdr:rowOff>
    </xdr:from>
    <xdr:to>
      <xdr:col>8</xdr:col>
      <xdr:colOff>180975</xdr:colOff>
      <xdr:row>536</xdr:row>
      <xdr:rowOff>0</xdr:rowOff>
    </xdr:to>
    <xdr:sp macro="" textlink="">
      <xdr:nvSpPr>
        <xdr:cNvPr id="1022" name="Line 3">
          <a:extLst>
            <a:ext uri="{FF2B5EF4-FFF2-40B4-BE49-F238E27FC236}">
              <a16:creationId xmlns:a16="http://schemas.microsoft.com/office/drawing/2014/main" id="{62F421C0-BFA1-4C69-B47C-D6DA3A4E95B4}"/>
            </a:ext>
          </a:extLst>
        </xdr:cNvPr>
        <xdr:cNvSpPr>
          <a:spLocks noChangeShapeType="1"/>
        </xdr:cNvSpPr>
      </xdr:nvSpPr>
      <xdr:spPr bwMode="auto">
        <a:xfrm>
          <a:off x="4924425" y="946785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541</xdr:row>
      <xdr:rowOff>0</xdr:rowOff>
    </xdr:from>
    <xdr:to>
      <xdr:col>8</xdr:col>
      <xdr:colOff>180975</xdr:colOff>
      <xdr:row>541</xdr:row>
      <xdr:rowOff>0</xdr:rowOff>
    </xdr:to>
    <xdr:sp macro="" textlink="">
      <xdr:nvSpPr>
        <xdr:cNvPr id="1023" name="Line 4">
          <a:extLst>
            <a:ext uri="{FF2B5EF4-FFF2-40B4-BE49-F238E27FC236}">
              <a16:creationId xmlns:a16="http://schemas.microsoft.com/office/drawing/2014/main" id="{9BCC3791-5B66-4879-8A14-D4F557469D76}"/>
            </a:ext>
          </a:extLst>
        </xdr:cNvPr>
        <xdr:cNvSpPr>
          <a:spLocks noChangeShapeType="1"/>
        </xdr:cNvSpPr>
      </xdr:nvSpPr>
      <xdr:spPr bwMode="auto">
        <a:xfrm>
          <a:off x="4924425" y="95402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1024" name="Line 3">
          <a:extLst>
            <a:ext uri="{FF2B5EF4-FFF2-40B4-BE49-F238E27FC236}">
              <a16:creationId xmlns:a16="http://schemas.microsoft.com/office/drawing/2014/main" id="{1914F0C4-26FE-4A39-9B13-70A211569499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602</xdr:row>
      <xdr:rowOff>0</xdr:rowOff>
    </xdr:from>
    <xdr:to>
      <xdr:col>8</xdr:col>
      <xdr:colOff>180975</xdr:colOff>
      <xdr:row>602</xdr:row>
      <xdr:rowOff>0</xdr:rowOff>
    </xdr:to>
    <xdr:sp macro="" textlink="">
      <xdr:nvSpPr>
        <xdr:cNvPr id="1025" name="Line 5">
          <a:extLst>
            <a:ext uri="{FF2B5EF4-FFF2-40B4-BE49-F238E27FC236}">
              <a16:creationId xmlns:a16="http://schemas.microsoft.com/office/drawing/2014/main" id="{7BD68D45-D1AE-4F64-8704-415AF82F6298}"/>
            </a:ext>
          </a:extLst>
        </xdr:cNvPr>
        <xdr:cNvSpPr>
          <a:spLocks noChangeShapeType="1"/>
        </xdr:cNvSpPr>
      </xdr:nvSpPr>
      <xdr:spPr bwMode="auto">
        <a:xfrm>
          <a:off x="4924425" y="105584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026" name="Line 2">
          <a:extLst>
            <a:ext uri="{FF2B5EF4-FFF2-40B4-BE49-F238E27FC236}">
              <a16:creationId xmlns:a16="http://schemas.microsoft.com/office/drawing/2014/main" id="{C3B56442-2D2B-4463-A0FC-B066835278B4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027" name="Line 3">
          <a:extLst>
            <a:ext uri="{FF2B5EF4-FFF2-40B4-BE49-F238E27FC236}">
              <a16:creationId xmlns:a16="http://schemas.microsoft.com/office/drawing/2014/main" id="{B1CE228C-D910-43B9-B93F-5788DD546FE9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028" name="Line 4">
          <a:extLst>
            <a:ext uri="{FF2B5EF4-FFF2-40B4-BE49-F238E27FC236}">
              <a16:creationId xmlns:a16="http://schemas.microsoft.com/office/drawing/2014/main" id="{D1257E5C-CB14-4328-A64E-E2F682BDD712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029" name="Line 5">
          <a:extLst>
            <a:ext uri="{FF2B5EF4-FFF2-40B4-BE49-F238E27FC236}">
              <a16:creationId xmlns:a16="http://schemas.microsoft.com/office/drawing/2014/main" id="{98D13EC5-54F5-4AC3-8112-C14EBD521577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030" name="Line 7">
          <a:extLst>
            <a:ext uri="{FF2B5EF4-FFF2-40B4-BE49-F238E27FC236}">
              <a16:creationId xmlns:a16="http://schemas.microsoft.com/office/drawing/2014/main" id="{FCB7D083-C024-44EB-B806-EA68D4EB6C51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592</xdr:row>
      <xdr:rowOff>0</xdr:rowOff>
    </xdr:from>
    <xdr:to>
      <xdr:col>8</xdr:col>
      <xdr:colOff>180975</xdr:colOff>
      <xdr:row>592</xdr:row>
      <xdr:rowOff>0</xdr:rowOff>
    </xdr:to>
    <xdr:sp macro="" textlink="">
      <xdr:nvSpPr>
        <xdr:cNvPr id="1034" name="Line 5">
          <a:extLst>
            <a:ext uri="{FF2B5EF4-FFF2-40B4-BE49-F238E27FC236}">
              <a16:creationId xmlns:a16="http://schemas.microsoft.com/office/drawing/2014/main" id="{7F1A1D3D-E6F0-4D51-91F4-C03B66EA6B8D}"/>
            </a:ext>
          </a:extLst>
        </xdr:cNvPr>
        <xdr:cNvSpPr>
          <a:spLocks noChangeShapeType="1"/>
        </xdr:cNvSpPr>
      </xdr:nvSpPr>
      <xdr:spPr bwMode="auto">
        <a:xfrm>
          <a:off x="4924425" y="104079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587</xdr:row>
      <xdr:rowOff>0</xdr:rowOff>
    </xdr:from>
    <xdr:to>
      <xdr:col>8</xdr:col>
      <xdr:colOff>180975</xdr:colOff>
      <xdr:row>587</xdr:row>
      <xdr:rowOff>0</xdr:rowOff>
    </xdr:to>
    <xdr:sp macro="" textlink="">
      <xdr:nvSpPr>
        <xdr:cNvPr id="1037" name="Line 4">
          <a:extLst>
            <a:ext uri="{FF2B5EF4-FFF2-40B4-BE49-F238E27FC236}">
              <a16:creationId xmlns:a16="http://schemas.microsoft.com/office/drawing/2014/main" id="{9DFE3FE0-701A-49AF-94BB-9AA7257AB6DC}"/>
            </a:ext>
          </a:extLst>
        </xdr:cNvPr>
        <xdr:cNvSpPr>
          <a:spLocks noChangeShapeType="1"/>
        </xdr:cNvSpPr>
      </xdr:nvSpPr>
      <xdr:spPr bwMode="auto">
        <a:xfrm>
          <a:off x="4924425" y="1033557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588</xdr:row>
      <xdr:rowOff>0</xdr:rowOff>
    </xdr:from>
    <xdr:to>
      <xdr:col>8</xdr:col>
      <xdr:colOff>180975</xdr:colOff>
      <xdr:row>588</xdr:row>
      <xdr:rowOff>0</xdr:rowOff>
    </xdr:to>
    <xdr:sp macro="" textlink="">
      <xdr:nvSpPr>
        <xdr:cNvPr id="1040" name="Line 4">
          <a:extLst>
            <a:ext uri="{FF2B5EF4-FFF2-40B4-BE49-F238E27FC236}">
              <a16:creationId xmlns:a16="http://schemas.microsoft.com/office/drawing/2014/main" id="{84A4AB9C-7DF8-48D6-844D-811A4275B9E4}"/>
            </a:ext>
          </a:extLst>
        </xdr:cNvPr>
        <xdr:cNvSpPr>
          <a:spLocks noChangeShapeType="1"/>
        </xdr:cNvSpPr>
      </xdr:nvSpPr>
      <xdr:spPr bwMode="auto">
        <a:xfrm>
          <a:off x="4924425" y="103498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591</xdr:row>
      <xdr:rowOff>0</xdr:rowOff>
    </xdr:from>
    <xdr:to>
      <xdr:col>8</xdr:col>
      <xdr:colOff>180975</xdr:colOff>
      <xdr:row>591</xdr:row>
      <xdr:rowOff>0</xdr:rowOff>
    </xdr:to>
    <xdr:sp macro="" textlink="">
      <xdr:nvSpPr>
        <xdr:cNvPr id="1043" name="Line 4">
          <a:extLst>
            <a:ext uri="{FF2B5EF4-FFF2-40B4-BE49-F238E27FC236}">
              <a16:creationId xmlns:a16="http://schemas.microsoft.com/office/drawing/2014/main" id="{2A42261C-D03A-4576-A313-AE459EBA46B1}"/>
            </a:ext>
          </a:extLst>
        </xdr:cNvPr>
        <xdr:cNvSpPr>
          <a:spLocks noChangeShapeType="1"/>
        </xdr:cNvSpPr>
      </xdr:nvSpPr>
      <xdr:spPr bwMode="auto">
        <a:xfrm>
          <a:off x="4924425" y="103936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044" name="Line 3">
          <a:extLst>
            <a:ext uri="{FF2B5EF4-FFF2-40B4-BE49-F238E27FC236}">
              <a16:creationId xmlns:a16="http://schemas.microsoft.com/office/drawing/2014/main" id="{B30640B0-8F74-48EC-B0FE-E8EF35B8459A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653</xdr:row>
      <xdr:rowOff>0</xdr:rowOff>
    </xdr:from>
    <xdr:to>
      <xdr:col>8</xdr:col>
      <xdr:colOff>180975</xdr:colOff>
      <xdr:row>653</xdr:row>
      <xdr:rowOff>0</xdr:rowOff>
    </xdr:to>
    <xdr:sp macro="" textlink="">
      <xdr:nvSpPr>
        <xdr:cNvPr id="1045" name="Line 5">
          <a:extLst>
            <a:ext uri="{FF2B5EF4-FFF2-40B4-BE49-F238E27FC236}">
              <a16:creationId xmlns:a16="http://schemas.microsoft.com/office/drawing/2014/main" id="{1AA9FA5D-D6BA-4595-A53C-DCC327EC5437}"/>
            </a:ext>
          </a:extLst>
        </xdr:cNvPr>
        <xdr:cNvSpPr>
          <a:spLocks noChangeShapeType="1"/>
        </xdr:cNvSpPr>
      </xdr:nvSpPr>
      <xdr:spPr bwMode="auto">
        <a:xfrm>
          <a:off x="4924425" y="114176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046" name="Line 2">
          <a:extLst>
            <a:ext uri="{FF2B5EF4-FFF2-40B4-BE49-F238E27FC236}">
              <a16:creationId xmlns:a16="http://schemas.microsoft.com/office/drawing/2014/main" id="{C8C2EA7A-451B-4D52-8C45-DDD880298513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047" name="Line 3">
          <a:extLst>
            <a:ext uri="{FF2B5EF4-FFF2-40B4-BE49-F238E27FC236}">
              <a16:creationId xmlns:a16="http://schemas.microsoft.com/office/drawing/2014/main" id="{89AFE5E3-B30F-4DBA-B0A3-5564A5CAB7E2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048" name="Line 4">
          <a:extLst>
            <a:ext uri="{FF2B5EF4-FFF2-40B4-BE49-F238E27FC236}">
              <a16:creationId xmlns:a16="http://schemas.microsoft.com/office/drawing/2014/main" id="{27495C15-52FA-4EEE-8786-B16312F2B762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1049" name="Line 5">
          <a:extLst>
            <a:ext uri="{FF2B5EF4-FFF2-40B4-BE49-F238E27FC236}">
              <a16:creationId xmlns:a16="http://schemas.microsoft.com/office/drawing/2014/main" id="{8F460EC6-300B-4343-8390-D05A947CB036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664</xdr:row>
      <xdr:rowOff>0</xdr:rowOff>
    </xdr:from>
    <xdr:to>
      <xdr:col>8</xdr:col>
      <xdr:colOff>180975</xdr:colOff>
      <xdr:row>664</xdr:row>
      <xdr:rowOff>0</xdr:rowOff>
    </xdr:to>
    <xdr:sp macro="" textlink="">
      <xdr:nvSpPr>
        <xdr:cNvPr id="1050" name="Line 7">
          <a:extLst>
            <a:ext uri="{FF2B5EF4-FFF2-40B4-BE49-F238E27FC236}">
              <a16:creationId xmlns:a16="http://schemas.microsoft.com/office/drawing/2014/main" id="{ED0A2E4D-9C56-47A7-92A0-A4D825BA2872}"/>
            </a:ext>
          </a:extLst>
        </xdr:cNvPr>
        <xdr:cNvSpPr>
          <a:spLocks noChangeShapeType="1"/>
        </xdr:cNvSpPr>
      </xdr:nvSpPr>
      <xdr:spPr bwMode="auto">
        <a:xfrm>
          <a:off x="4924425" y="11574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643</xdr:row>
      <xdr:rowOff>0</xdr:rowOff>
    </xdr:from>
    <xdr:to>
      <xdr:col>8</xdr:col>
      <xdr:colOff>180975</xdr:colOff>
      <xdr:row>643</xdr:row>
      <xdr:rowOff>0</xdr:rowOff>
    </xdr:to>
    <xdr:sp macro="" textlink="">
      <xdr:nvSpPr>
        <xdr:cNvPr id="1054" name="Line 5">
          <a:extLst>
            <a:ext uri="{FF2B5EF4-FFF2-40B4-BE49-F238E27FC236}">
              <a16:creationId xmlns:a16="http://schemas.microsoft.com/office/drawing/2014/main" id="{02ABC085-941C-4937-B714-B2C85628783E}"/>
            </a:ext>
          </a:extLst>
        </xdr:cNvPr>
        <xdr:cNvSpPr>
          <a:spLocks noChangeShapeType="1"/>
        </xdr:cNvSpPr>
      </xdr:nvSpPr>
      <xdr:spPr bwMode="auto">
        <a:xfrm>
          <a:off x="4924425" y="11274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638</xdr:row>
      <xdr:rowOff>0</xdr:rowOff>
    </xdr:from>
    <xdr:to>
      <xdr:col>8</xdr:col>
      <xdr:colOff>180975</xdr:colOff>
      <xdr:row>638</xdr:row>
      <xdr:rowOff>0</xdr:rowOff>
    </xdr:to>
    <xdr:sp macro="" textlink="">
      <xdr:nvSpPr>
        <xdr:cNvPr id="1057" name="Line 4">
          <a:extLst>
            <a:ext uri="{FF2B5EF4-FFF2-40B4-BE49-F238E27FC236}">
              <a16:creationId xmlns:a16="http://schemas.microsoft.com/office/drawing/2014/main" id="{C415E390-47FD-4139-8F40-0F36F1FDD73E}"/>
            </a:ext>
          </a:extLst>
        </xdr:cNvPr>
        <xdr:cNvSpPr>
          <a:spLocks noChangeShapeType="1"/>
        </xdr:cNvSpPr>
      </xdr:nvSpPr>
      <xdr:spPr bwMode="auto">
        <a:xfrm>
          <a:off x="4924425" y="112033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058" name="Line 2">
          <a:extLst>
            <a:ext uri="{FF2B5EF4-FFF2-40B4-BE49-F238E27FC236}">
              <a16:creationId xmlns:a16="http://schemas.microsoft.com/office/drawing/2014/main" id="{886D06F5-F009-487E-91E6-08C935630FE8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059" name="Line 3">
          <a:extLst>
            <a:ext uri="{FF2B5EF4-FFF2-40B4-BE49-F238E27FC236}">
              <a16:creationId xmlns:a16="http://schemas.microsoft.com/office/drawing/2014/main" id="{6A654279-030A-4617-8339-ABBB1746DBE9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639</xdr:row>
      <xdr:rowOff>0</xdr:rowOff>
    </xdr:from>
    <xdr:to>
      <xdr:col>8</xdr:col>
      <xdr:colOff>180975</xdr:colOff>
      <xdr:row>639</xdr:row>
      <xdr:rowOff>0</xdr:rowOff>
    </xdr:to>
    <xdr:sp macro="" textlink="">
      <xdr:nvSpPr>
        <xdr:cNvPr id="1060" name="Line 4">
          <a:extLst>
            <a:ext uri="{FF2B5EF4-FFF2-40B4-BE49-F238E27FC236}">
              <a16:creationId xmlns:a16="http://schemas.microsoft.com/office/drawing/2014/main" id="{C7DD3FBC-18A2-4F15-9143-19591396D3D1}"/>
            </a:ext>
          </a:extLst>
        </xdr:cNvPr>
        <xdr:cNvSpPr>
          <a:spLocks noChangeShapeType="1"/>
        </xdr:cNvSpPr>
      </xdr:nvSpPr>
      <xdr:spPr bwMode="auto">
        <a:xfrm>
          <a:off x="4924425" y="112175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061" name="Line 2">
          <a:extLst>
            <a:ext uri="{FF2B5EF4-FFF2-40B4-BE49-F238E27FC236}">
              <a16:creationId xmlns:a16="http://schemas.microsoft.com/office/drawing/2014/main" id="{FADCD9CA-08C9-4067-BD12-B6DF8068311E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637</xdr:row>
      <xdr:rowOff>0</xdr:rowOff>
    </xdr:from>
    <xdr:to>
      <xdr:col>8</xdr:col>
      <xdr:colOff>180975</xdr:colOff>
      <xdr:row>637</xdr:row>
      <xdr:rowOff>0</xdr:rowOff>
    </xdr:to>
    <xdr:sp macro="" textlink="">
      <xdr:nvSpPr>
        <xdr:cNvPr id="1062" name="Line 3">
          <a:extLst>
            <a:ext uri="{FF2B5EF4-FFF2-40B4-BE49-F238E27FC236}">
              <a16:creationId xmlns:a16="http://schemas.microsoft.com/office/drawing/2014/main" id="{609571A3-6D0A-4D66-8A4A-0B91112E305E}"/>
            </a:ext>
          </a:extLst>
        </xdr:cNvPr>
        <xdr:cNvSpPr>
          <a:spLocks noChangeShapeType="1"/>
        </xdr:cNvSpPr>
      </xdr:nvSpPr>
      <xdr:spPr bwMode="auto">
        <a:xfrm>
          <a:off x="4924425" y="111890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642</xdr:row>
      <xdr:rowOff>0</xdr:rowOff>
    </xdr:from>
    <xdr:to>
      <xdr:col>8</xdr:col>
      <xdr:colOff>180975</xdr:colOff>
      <xdr:row>642</xdr:row>
      <xdr:rowOff>0</xdr:rowOff>
    </xdr:to>
    <xdr:sp macro="" textlink="">
      <xdr:nvSpPr>
        <xdr:cNvPr id="1063" name="Line 4">
          <a:extLst>
            <a:ext uri="{FF2B5EF4-FFF2-40B4-BE49-F238E27FC236}">
              <a16:creationId xmlns:a16="http://schemas.microsoft.com/office/drawing/2014/main" id="{69633583-F213-4BC6-BEAB-13FF7DCC19B1}"/>
            </a:ext>
          </a:extLst>
        </xdr:cNvPr>
        <xdr:cNvSpPr>
          <a:spLocks noChangeShapeType="1"/>
        </xdr:cNvSpPr>
      </xdr:nvSpPr>
      <xdr:spPr bwMode="auto">
        <a:xfrm>
          <a:off x="4924425" y="11260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065" name="Line 3">
          <a:extLst>
            <a:ext uri="{FF2B5EF4-FFF2-40B4-BE49-F238E27FC236}">
              <a16:creationId xmlns:a16="http://schemas.microsoft.com/office/drawing/2014/main" id="{CE5AA82D-68F2-4144-A00B-F31409E6E8B2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066" name="Line 5">
          <a:extLst>
            <a:ext uri="{FF2B5EF4-FFF2-40B4-BE49-F238E27FC236}">
              <a16:creationId xmlns:a16="http://schemas.microsoft.com/office/drawing/2014/main" id="{6A6C068B-9E9F-4E51-BA83-838D8A6FE465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112</xdr:row>
      <xdr:rowOff>0</xdr:rowOff>
    </xdr:from>
    <xdr:to>
      <xdr:col>8</xdr:col>
      <xdr:colOff>180975</xdr:colOff>
      <xdr:row>112</xdr:row>
      <xdr:rowOff>0</xdr:rowOff>
    </xdr:to>
    <xdr:sp macro="" textlink="">
      <xdr:nvSpPr>
        <xdr:cNvPr id="1067" name="Line 2">
          <a:extLst>
            <a:ext uri="{FF2B5EF4-FFF2-40B4-BE49-F238E27FC236}">
              <a16:creationId xmlns:a16="http://schemas.microsoft.com/office/drawing/2014/main" id="{7655C0CB-C8B9-451D-B628-6AAF206CF5D6}"/>
            </a:ext>
          </a:extLst>
        </xdr:cNvPr>
        <xdr:cNvSpPr>
          <a:spLocks noChangeShapeType="1"/>
        </xdr:cNvSpPr>
      </xdr:nvSpPr>
      <xdr:spPr bwMode="auto">
        <a:xfrm>
          <a:off x="492442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068" name="Line 3">
          <a:extLst>
            <a:ext uri="{FF2B5EF4-FFF2-40B4-BE49-F238E27FC236}">
              <a16:creationId xmlns:a16="http://schemas.microsoft.com/office/drawing/2014/main" id="{ECE074BB-7CC4-4CD4-A332-EE262B2E2321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069" name="Line 5">
          <a:extLst>
            <a:ext uri="{FF2B5EF4-FFF2-40B4-BE49-F238E27FC236}">
              <a16:creationId xmlns:a16="http://schemas.microsoft.com/office/drawing/2014/main" id="{6903FE41-B646-420C-A592-7E5ECA17DF47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070" name="Line 2">
          <a:extLst>
            <a:ext uri="{FF2B5EF4-FFF2-40B4-BE49-F238E27FC236}">
              <a16:creationId xmlns:a16="http://schemas.microsoft.com/office/drawing/2014/main" id="{34E29867-6C26-4B06-B791-88BF768346E1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071" name="Line 3">
          <a:extLst>
            <a:ext uri="{FF2B5EF4-FFF2-40B4-BE49-F238E27FC236}">
              <a16:creationId xmlns:a16="http://schemas.microsoft.com/office/drawing/2014/main" id="{51E55F64-B6A7-475F-BC81-9F7F50D4F751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072" name="Line 4">
          <a:extLst>
            <a:ext uri="{FF2B5EF4-FFF2-40B4-BE49-F238E27FC236}">
              <a16:creationId xmlns:a16="http://schemas.microsoft.com/office/drawing/2014/main" id="{26842315-D9B4-4788-8100-46002F7D81E9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101</xdr:row>
      <xdr:rowOff>0</xdr:rowOff>
    </xdr:from>
    <xdr:to>
      <xdr:col>8</xdr:col>
      <xdr:colOff>180975</xdr:colOff>
      <xdr:row>101</xdr:row>
      <xdr:rowOff>0</xdr:rowOff>
    </xdr:to>
    <xdr:sp macro="" textlink="">
      <xdr:nvSpPr>
        <xdr:cNvPr id="1074" name="Line 7">
          <a:extLst>
            <a:ext uri="{FF2B5EF4-FFF2-40B4-BE49-F238E27FC236}">
              <a16:creationId xmlns:a16="http://schemas.microsoft.com/office/drawing/2014/main" id="{0B606A78-3398-4A23-A7F5-BAEC816A7E6C}"/>
            </a:ext>
          </a:extLst>
        </xdr:cNvPr>
        <xdr:cNvSpPr>
          <a:spLocks noChangeShapeType="1"/>
        </xdr:cNvSpPr>
      </xdr:nvSpPr>
      <xdr:spPr bwMode="auto">
        <a:xfrm>
          <a:off x="4924425" y="15335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075" name="Line 2">
          <a:extLst>
            <a:ext uri="{FF2B5EF4-FFF2-40B4-BE49-F238E27FC236}">
              <a16:creationId xmlns:a16="http://schemas.microsoft.com/office/drawing/2014/main" id="{DB203515-7C7B-4239-A662-CCBBBFBF303D}"/>
            </a:ext>
          </a:extLst>
        </xdr:cNvPr>
        <xdr:cNvSpPr>
          <a:spLocks noChangeShapeType="1"/>
        </xdr:cNvSpPr>
      </xdr:nvSpPr>
      <xdr:spPr bwMode="auto">
        <a:xfrm>
          <a:off x="4924425" y="2517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078" name="Line 2">
          <a:extLst>
            <a:ext uri="{FF2B5EF4-FFF2-40B4-BE49-F238E27FC236}">
              <a16:creationId xmlns:a16="http://schemas.microsoft.com/office/drawing/2014/main" id="{8D995175-949D-4C6E-BDD0-64CCE46D78EE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079" name="Line 3">
          <a:extLst>
            <a:ext uri="{FF2B5EF4-FFF2-40B4-BE49-F238E27FC236}">
              <a16:creationId xmlns:a16="http://schemas.microsoft.com/office/drawing/2014/main" id="{71085690-8844-4D3E-8EF8-16D7FB855D94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080" name="Line 4">
          <a:extLst>
            <a:ext uri="{FF2B5EF4-FFF2-40B4-BE49-F238E27FC236}">
              <a16:creationId xmlns:a16="http://schemas.microsoft.com/office/drawing/2014/main" id="{95475AC2-746A-4D7F-BCE2-FBBB89893E15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081" name="Line 5">
          <a:extLst>
            <a:ext uri="{FF2B5EF4-FFF2-40B4-BE49-F238E27FC236}">
              <a16:creationId xmlns:a16="http://schemas.microsoft.com/office/drawing/2014/main" id="{1B9F4494-AFB2-417E-82C1-84A6F42E950E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083" name="Line 2">
          <a:extLst>
            <a:ext uri="{FF2B5EF4-FFF2-40B4-BE49-F238E27FC236}">
              <a16:creationId xmlns:a16="http://schemas.microsoft.com/office/drawing/2014/main" id="{4526511B-273C-4AF6-93BE-D69799E5D839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084" name="Line 3">
          <a:extLst>
            <a:ext uri="{FF2B5EF4-FFF2-40B4-BE49-F238E27FC236}">
              <a16:creationId xmlns:a16="http://schemas.microsoft.com/office/drawing/2014/main" id="{6CE2C985-B5C5-4CFA-9F5F-28660F18CF68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085" name="Line 4">
          <a:extLst>
            <a:ext uri="{FF2B5EF4-FFF2-40B4-BE49-F238E27FC236}">
              <a16:creationId xmlns:a16="http://schemas.microsoft.com/office/drawing/2014/main" id="{F5EC5628-567F-4C87-8ECB-A04531FF7F2F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086" name="Line 5">
          <a:extLst>
            <a:ext uri="{FF2B5EF4-FFF2-40B4-BE49-F238E27FC236}">
              <a16:creationId xmlns:a16="http://schemas.microsoft.com/office/drawing/2014/main" id="{093B5CC7-3901-454E-BFC5-7F398D1FF821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087" name="Line 2">
          <a:extLst>
            <a:ext uri="{FF2B5EF4-FFF2-40B4-BE49-F238E27FC236}">
              <a16:creationId xmlns:a16="http://schemas.microsoft.com/office/drawing/2014/main" id="{7DC04C32-329F-4FC7-80CF-2B313333080C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088" name="Line 3">
          <a:extLst>
            <a:ext uri="{FF2B5EF4-FFF2-40B4-BE49-F238E27FC236}">
              <a16:creationId xmlns:a16="http://schemas.microsoft.com/office/drawing/2014/main" id="{E2A58231-0081-4D07-A79D-88CAFE0A5A57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089" name="Line 5">
          <a:extLst>
            <a:ext uri="{FF2B5EF4-FFF2-40B4-BE49-F238E27FC236}">
              <a16:creationId xmlns:a16="http://schemas.microsoft.com/office/drawing/2014/main" id="{D0409420-8F25-477C-A4A5-7FBBD9984216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090" name="Line 2">
          <a:extLst>
            <a:ext uri="{FF2B5EF4-FFF2-40B4-BE49-F238E27FC236}">
              <a16:creationId xmlns:a16="http://schemas.microsoft.com/office/drawing/2014/main" id="{5A0668AF-76FB-40FB-9D07-2B071D0F8D71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091" name="Line 3">
          <a:extLst>
            <a:ext uri="{FF2B5EF4-FFF2-40B4-BE49-F238E27FC236}">
              <a16:creationId xmlns:a16="http://schemas.microsoft.com/office/drawing/2014/main" id="{501DC5ED-6A02-4AAE-A4A8-D7F9F51377BF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092" name="Line 4">
          <a:extLst>
            <a:ext uri="{FF2B5EF4-FFF2-40B4-BE49-F238E27FC236}">
              <a16:creationId xmlns:a16="http://schemas.microsoft.com/office/drawing/2014/main" id="{53919C99-8BFA-489F-9DB4-02C4114B4BE5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093" name="Line 5">
          <a:extLst>
            <a:ext uri="{FF2B5EF4-FFF2-40B4-BE49-F238E27FC236}">
              <a16:creationId xmlns:a16="http://schemas.microsoft.com/office/drawing/2014/main" id="{25FD9830-86B8-414B-AB97-B930041D66C9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094" name="Line 2">
          <a:extLst>
            <a:ext uri="{FF2B5EF4-FFF2-40B4-BE49-F238E27FC236}">
              <a16:creationId xmlns:a16="http://schemas.microsoft.com/office/drawing/2014/main" id="{97023768-67BC-41BF-956B-502B3F6EB434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095" name="Line 3">
          <a:extLst>
            <a:ext uri="{FF2B5EF4-FFF2-40B4-BE49-F238E27FC236}">
              <a16:creationId xmlns:a16="http://schemas.microsoft.com/office/drawing/2014/main" id="{D9D2E4EA-396F-4B13-B73F-162D51B57360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096" name="Line 4">
          <a:extLst>
            <a:ext uri="{FF2B5EF4-FFF2-40B4-BE49-F238E27FC236}">
              <a16:creationId xmlns:a16="http://schemas.microsoft.com/office/drawing/2014/main" id="{EC29DD51-5ED4-4728-8792-7EF3A46DD9DC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097" name="Line 5">
          <a:extLst>
            <a:ext uri="{FF2B5EF4-FFF2-40B4-BE49-F238E27FC236}">
              <a16:creationId xmlns:a16="http://schemas.microsoft.com/office/drawing/2014/main" id="{34CBD525-71B3-4DDE-B518-BA78CB33438E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098" name="Line 2">
          <a:extLst>
            <a:ext uri="{FF2B5EF4-FFF2-40B4-BE49-F238E27FC236}">
              <a16:creationId xmlns:a16="http://schemas.microsoft.com/office/drawing/2014/main" id="{378D8572-55AE-49FE-A7E2-5F1AE554F235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099" name="Line 3">
          <a:extLst>
            <a:ext uri="{FF2B5EF4-FFF2-40B4-BE49-F238E27FC236}">
              <a16:creationId xmlns:a16="http://schemas.microsoft.com/office/drawing/2014/main" id="{01A2F60E-AC32-4471-8973-BD4DF86D9032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100" name="Line 4">
          <a:extLst>
            <a:ext uri="{FF2B5EF4-FFF2-40B4-BE49-F238E27FC236}">
              <a16:creationId xmlns:a16="http://schemas.microsoft.com/office/drawing/2014/main" id="{4267EB4F-D385-4E8E-BC92-DA110E124E2F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101" name="Line 5">
          <a:extLst>
            <a:ext uri="{FF2B5EF4-FFF2-40B4-BE49-F238E27FC236}">
              <a16:creationId xmlns:a16="http://schemas.microsoft.com/office/drawing/2014/main" id="{9F60CD52-4BC0-403E-A6B2-0C2DEE4D59D7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102" name="Line 7">
          <a:extLst>
            <a:ext uri="{FF2B5EF4-FFF2-40B4-BE49-F238E27FC236}">
              <a16:creationId xmlns:a16="http://schemas.microsoft.com/office/drawing/2014/main" id="{7564310B-9014-4C85-886E-D9A5C5682A0F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103" name="Line 8">
          <a:extLst>
            <a:ext uri="{FF2B5EF4-FFF2-40B4-BE49-F238E27FC236}">
              <a16:creationId xmlns:a16="http://schemas.microsoft.com/office/drawing/2014/main" id="{A7BE9601-4006-466E-AA46-BB5EFC0BAB9B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104" name="Rectangle 7">
          <a:extLst>
            <a:ext uri="{FF2B5EF4-FFF2-40B4-BE49-F238E27FC236}">
              <a16:creationId xmlns:a16="http://schemas.microsoft.com/office/drawing/2014/main" id="{92DF6E3E-CA82-44F0-970B-77202545B8A7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105" name="Rectangle 8">
          <a:extLst>
            <a:ext uri="{FF2B5EF4-FFF2-40B4-BE49-F238E27FC236}">
              <a16:creationId xmlns:a16="http://schemas.microsoft.com/office/drawing/2014/main" id="{A9F18A1E-E111-4832-955C-69D049BF49B0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106" name="Line 2">
          <a:extLst>
            <a:ext uri="{FF2B5EF4-FFF2-40B4-BE49-F238E27FC236}">
              <a16:creationId xmlns:a16="http://schemas.microsoft.com/office/drawing/2014/main" id="{B50264C4-2B35-469B-9694-C46ED76B16F8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107" name="Line 3">
          <a:extLst>
            <a:ext uri="{FF2B5EF4-FFF2-40B4-BE49-F238E27FC236}">
              <a16:creationId xmlns:a16="http://schemas.microsoft.com/office/drawing/2014/main" id="{98DEDB97-75FA-4270-8ADD-BDE7FA53A6BC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108" name="Line 5">
          <a:extLst>
            <a:ext uri="{FF2B5EF4-FFF2-40B4-BE49-F238E27FC236}">
              <a16:creationId xmlns:a16="http://schemas.microsoft.com/office/drawing/2014/main" id="{CD6EEF41-00F1-415D-BDF5-547E5B6BBC43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109" name="Line 2">
          <a:extLst>
            <a:ext uri="{FF2B5EF4-FFF2-40B4-BE49-F238E27FC236}">
              <a16:creationId xmlns:a16="http://schemas.microsoft.com/office/drawing/2014/main" id="{8FA53427-5C89-41E0-9838-C708DC70FB56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110" name="Line 3">
          <a:extLst>
            <a:ext uri="{FF2B5EF4-FFF2-40B4-BE49-F238E27FC236}">
              <a16:creationId xmlns:a16="http://schemas.microsoft.com/office/drawing/2014/main" id="{E689D52B-F6E2-42C6-B498-2D86510D20A2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111" name="Line 4">
          <a:extLst>
            <a:ext uri="{FF2B5EF4-FFF2-40B4-BE49-F238E27FC236}">
              <a16:creationId xmlns:a16="http://schemas.microsoft.com/office/drawing/2014/main" id="{CE6459F0-9B8D-4347-B520-B35884B2AF6A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112" name="Line 5">
          <a:extLst>
            <a:ext uri="{FF2B5EF4-FFF2-40B4-BE49-F238E27FC236}">
              <a16:creationId xmlns:a16="http://schemas.microsoft.com/office/drawing/2014/main" id="{FF41526C-D941-486E-B99F-6B0BB0123916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113" name="Line 2">
          <a:extLst>
            <a:ext uri="{FF2B5EF4-FFF2-40B4-BE49-F238E27FC236}">
              <a16:creationId xmlns:a16="http://schemas.microsoft.com/office/drawing/2014/main" id="{F1C66E76-DB68-482B-B1B2-5AB00223F404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114" name="Line 3">
          <a:extLst>
            <a:ext uri="{FF2B5EF4-FFF2-40B4-BE49-F238E27FC236}">
              <a16:creationId xmlns:a16="http://schemas.microsoft.com/office/drawing/2014/main" id="{D6782ADD-25EC-4F62-B51A-C44121BF61D8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115" name="Line 4">
          <a:extLst>
            <a:ext uri="{FF2B5EF4-FFF2-40B4-BE49-F238E27FC236}">
              <a16:creationId xmlns:a16="http://schemas.microsoft.com/office/drawing/2014/main" id="{04FBD03D-8849-4560-B6CB-0F99E0F083D3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116" name="Line 5">
          <a:extLst>
            <a:ext uri="{FF2B5EF4-FFF2-40B4-BE49-F238E27FC236}">
              <a16:creationId xmlns:a16="http://schemas.microsoft.com/office/drawing/2014/main" id="{FA9D3974-7896-493F-A60E-E8B53270AC59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117" name="Line 2">
          <a:extLst>
            <a:ext uri="{FF2B5EF4-FFF2-40B4-BE49-F238E27FC236}">
              <a16:creationId xmlns:a16="http://schemas.microsoft.com/office/drawing/2014/main" id="{EE241B4D-7453-4BBB-9A4B-81E716EB476D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118" name="Line 3">
          <a:extLst>
            <a:ext uri="{FF2B5EF4-FFF2-40B4-BE49-F238E27FC236}">
              <a16:creationId xmlns:a16="http://schemas.microsoft.com/office/drawing/2014/main" id="{4A84D50A-85C9-4944-9567-E6097F3CE384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119" name="Line 4">
          <a:extLst>
            <a:ext uri="{FF2B5EF4-FFF2-40B4-BE49-F238E27FC236}">
              <a16:creationId xmlns:a16="http://schemas.microsoft.com/office/drawing/2014/main" id="{D347CE2E-988B-4540-B78A-95B514CA91C4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120" name="Line 5">
          <a:extLst>
            <a:ext uri="{FF2B5EF4-FFF2-40B4-BE49-F238E27FC236}">
              <a16:creationId xmlns:a16="http://schemas.microsoft.com/office/drawing/2014/main" id="{6EC3DCE7-E9E9-4595-9CB2-E3A326BFF848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121" name="Line 7">
          <a:extLst>
            <a:ext uri="{FF2B5EF4-FFF2-40B4-BE49-F238E27FC236}">
              <a16:creationId xmlns:a16="http://schemas.microsoft.com/office/drawing/2014/main" id="{1C6F8764-8292-4DD2-9051-9F3C109CA8BB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122" name="Line 8">
          <a:extLst>
            <a:ext uri="{FF2B5EF4-FFF2-40B4-BE49-F238E27FC236}">
              <a16:creationId xmlns:a16="http://schemas.microsoft.com/office/drawing/2014/main" id="{17442252-C60F-41AB-B3A5-7DB6AD8FB0C0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123" name="Rectangle 7">
          <a:extLst>
            <a:ext uri="{FF2B5EF4-FFF2-40B4-BE49-F238E27FC236}">
              <a16:creationId xmlns:a16="http://schemas.microsoft.com/office/drawing/2014/main" id="{161A05DE-39D0-415D-AD27-E62901ECE70C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124" name="Rectangle 8">
          <a:extLst>
            <a:ext uri="{FF2B5EF4-FFF2-40B4-BE49-F238E27FC236}">
              <a16:creationId xmlns:a16="http://schemas.microsoft.com/office/drawing/2014/main" id="{C54B0701-6822-4FFB-9963-C734477E6023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125" name="Line 3">
          <a:extLst>
            <a:ext uri="{FF2B5EF4-FFF2-40B4-BE49-F238E27FC236}">
              <a16:creationId xmlns:a16="http://schemas.microsoft.com/office/drawing/2014/main" id="{2011DB7E-B0A0-4BA7-B7EE-BD45B058F964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126" name="Line 5">
          <a:extLst>
            <a:ext uri="{FF2B5EF4-FFF2-40B4-BE49-F238E27FC236}">
              <a16:creationId xmlns:a16="http://schemas.microsoft.com/office/drawing/2014/main" id="{F957541F-D32A-46CB-BCF0-ADDAE4C3923E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127" name="Line 2">
          <a:extLst>
            <a:ext uri="{FF2B5EF4-FFF2-40B4-BE49-F238E27FC236}">
              <a16:creationId xmlns:a16="http://schemas.microsoft.com/office/drawing/2014/main" id="{955F0915-662D-495C-A286-4785248B0F75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128" name="Line 3">
          <a:extLst>
            <a:ext uri="{FF2B5EF4-FFF2-40B4-BE49-F238E27FC236}">
              <a16:creationId xmlns:a16="http://schemas.microsoft.com/office/drawing/2014/main" id="{E3969926-8D66-4588-9B64-5696B41DB7B4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129" name="Line 4">
          <a:extLst>
            <a:ext uri="{FF2B5EF4-FFF2-40B4-BE49-F238E27FC236}">
              <a16:creationId xmlns:a16="http://schemas.microsoft.com/office/drawing/2014/main" id="{B3F885FB-9E84-482B-9726-F1A1B920457B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130" name="Line 5">
          <a:extLst>
            <a:ext uri="{FF2B5EF4-FFF2-40B4-BE49-F238E27FC236}">
              <a16:creationId xmlns:a16="http://schemas.microsoft.com/office/drawing/2014/main" id="{9BC4B41F-2DD7-4C3A-8D0E-0E2414C68463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132" name="Line 2">
          <a:extLst>
            <a:ext uri="{FF2B5EF4-FFF2-40B4-BE49-F238E27FC236}">
              <a16:creationId xmlns:a16="http://schemas.microsoft.com/office/drawing/2014/main" id="{12F64825-EAF9-46BC-AC82-1E1ED031CD6E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133" name="Line 3">
          <a:extLst>
            <a:ext uri="{FF2B5EF4-FFF2-40B4-BE49-F238E27FC236}">
              <a16:creationId xmlns:a16="http://schemas.microsoft.com/office/drawing/2014/main" id="{2D93515B-7837-498C-8C21-E55A1501EB1E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134" name="Line 4">
          <a:extLst>
            <a:ext uri="{FF2B5EF4-FFF2-40B4-BE49-F238E27FC236}">
              <a16:creationId xmlns:a16="http://schemas.microsoft.com/office/drawing/2014/main" id="{995D4CEB-9437-4C26-99BF-D9EAB8DBDA79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135" name="Line 5">
          <a:extLst>
            <a:ext uri="{FF2B5EF4-FFF2-40B4-BE49-F238E27FC236}">
              <a16:creationId xmlns:a16="http://schemas.microsoft.com/office/drawing/2014/main" id="{212D307D-99BE-4B4A-930D-243020A8C646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136" name="Line 2">
          <a:extLst>
            <a:ext uri="{FF2B5EF4-FFF2-40B4-BE49-F238E27FC236}">
              <a16:creationId xmlns:a16="http://schemas.microsoft.com/office/drawing/2014/main" id="{2501CECF-9288-4F42-9145-D95F121DE627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137" name="Line 3">
          <a:extLst>
            <a:ext uri="{FF2B5EF4-FFF2-40B4-BE49-F238E27FC236}">
              <a16:creationId xmlns:a16="http://schemas.microsoft.com/office/drawing/2014/main" id="{633879FE-8390-443C-9FEA-509FAF37F7FF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138" name="Line 4">
          <a:extLst>
            <a:ext uri="{FF2B5EF4-FFF2-40B4-BE49-F238E27FC236}">
              <a16:creationId xmlns:a16="http://schemas.microsoft.com/office/drawing/2014/main" id="{4485CD7C-9AA2-43B3-AE05-13212F17DD5B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338</xdr:row>
      <xdr:rowOff>0</xdr:rowOff>
    </xdr:from>
    <xdr:to>
      <xdr:col>8</xdr:col>
      <xdr:colOff>180975</xdr:colOff>
      <xdr:row>338</xdr:row>
      <xdr:rowOff>0</xdr:rowOff>
    </xdr:to>
    <xdr:sp macro="" textlink="">
      <xdr:nvSpPr>
        <xdr:cNvPr id="1140" name="Line 7">
          <a:extLst>
            <a:ext uri="{FF2B5EF4-FFF2-40B4-BE49-F238E27FC236}">
              <a16:creationId xmlns:a16="http://schemas.microsoft.com/office/drawing/2014/main" id="{1CE17C76-F950-47E3-92F7-FF489BB06737}"/>
            </a:ext>
          </a:extLst>
        </xdr:cNvPr>
        <xdr:cNvSpPr>
          <a:spLocks noChangeShapeType="1"/>
        </xdr:cNvSpPr>
      </xdr:nvSpPr>
      <xdr:spPr bwMode="auto">
        <a:xfrm>
          <a:off x="4924425" y="56540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141" name="Line 3">
          <a:extLst>
            <a:ext uri="{FF2B5EF4-FFF2-40B4-BE49-F238E27FC236}">
              <a16:creationId xmlns:a16="http://schemas.microsoft.com/office/drawing/2014/main" id="{5AC77908-CE1B-4109-BCFC-3C3A1D992180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142" name="Line 5">
          <a:extLst>
            <a:ext uri="{FF2B5EF4-FFF2-40B4-BE49-F238E27FC236}">
              <a16:creationId xmlns:a16="http://schemas.microsoft.com/office/drawing/2014/main" id="{A8978133-EEBE-43C1-A3A7-B800244B6957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143" name="Line 2">
          <a:extLst>
            <a:ext uri="{FF2B5EF4-FFF2-40B4-BE49-F238E27FC236}">
              <a16:creationId xmlns:a16="http://schemas.microsoft.com/office/drawing/2014/main" id="{B6D6142D-A87F-42B2-AC77-843D101825DC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144" name="Line 3">
          <a:extLst>
            <a:ext uri="{FF2B5EF4-FFF2-40B4-BE49-F238E27FC236}">
              <a16:creationId xmlns:a16="http://schemas.microsoft.com/office/drawing/2014/main" id="{A6E18671-9DD5-4365-B68E-EB43AD181F6A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145" name="Line 4">
          <a:extLst>
            <a:ext uri="{FF2B5EF4-FFF2-40B4-BE49-F238E27FC236}">
              <a16:creationId xmlns:a16="http://schemas.microsoft.com/office/drawing/2014/main" id="{1DED7C79-D276-4A84-B624-09C08D6AAE70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146" name="Line 5">
          <a:extLst>
            <a:ext uri="{FF2B5EF4-FFF2-40B4-BE49-F238E27FC236}">
              <a16:creationId xmlns:a16="http://schemas.microsoft.com/office/drawing/2014/main" id="{34B74D10-44E3-42D5-9BB7-8F4D6DC97CAD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147" name="Line 2">
          <a:extLst>
            <a:ext uri="{FF2B5EF4-FFF2-40B4-BE49-F238E27FC236}">
              <a16:creationId xmlns:a16="http://schemas.microsoft.com/office/drawing/2014/main" id="{27B3F344-5B29-4882-87AB-C3D9C8E227C9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148" name="Line 3">
          <a:extLst>
            <a:ext uri="{FF2B5EF4-FFF2-40B4-BE49-F238E27FC236}">
              <a16:creationId xmlns:a16="http://schemas.microsoft.com/office/drawing/2014/main" id="{4512C5D8-38C2-471E-8117-0A6895FD5F43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149" name="Line 4">
          <a:extLst>
            <a:ext uri="{FF2B5EF4-FFF2-40B4-BE49-F238E27FC236}">
              <a16:creationId xmlns:a16="http://schemas.microsoft.com/office/drawing/2014/main" id="{8FA8F360-8820-4A9C-B5E5-09885030ED03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150" name="Line 5">
          <a:extLst>
            <a:ext uri="{FF2B5EF4-FFF2-40B4-BE49-F238E27FC236}">
              <a16:creationId xmlns:a16="http://schemas.microsoft.com/office/drawing/2014/main" id="{D5CCACA5-054D-4CEB-B38A-382AF98126D8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151" name="Line 2">
          <a:extLst>
            <a:ext uri="{FF2B5EF4-FFF2-40B4-BE49-F238E27FC236}">
              <a16:creationId xmlns:a16="http://schemas.microsoft.com/office/drawing/2014/main" id="{7A30EBD3-7B6F-428F-8A63-7BC0BE44CFA5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152" name="Line 3">
          <a:extLst>
            <a:ext uri="{FF2B5EF4-FFF2-40B4-BE49-F238E27FC236}">
              <a16:creationId xmlns:a16="http://schemas.microsoft.com/office/drawing/2014/main" id="{2FA9347E-94C9-47C2-9419-D57C42DDF959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153" name="Line 4">
          <a:extLst>
            <a:ext uri="{FF2B5EF4-FFF2-40B4-BE49-F238E27FC236}">
              <a16:creationId xmlns:a16="http://schemas.microsoft.com/office/drawing/2014/main" id="{941DB6A2-5D12-40DA-8AD9-245C2A0CBBC7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437</xdr:row>
      <xdr:rowOff>0</xdr:rowOff>
    </xdr:from>
    <xdr:to>
      <xdr:col>8</xdr:col>
      <xdr:colOff>180975</xdr:colOff>
      <xdr:row>437</xdr:row>
      <xdr:rowOff>0</xdr:rowOff>
    </xdr:to>
    <xdr:sp macro="" textlink="">
      <xdr:nvSpPr>
        <xdr:cNvPr id="1154" name="Line 5">
          <a:extLst>
            <a:ext uri="{FF2B5EF4-FFF2-40B4-BE49-F238E27FC236}">
              <a16:creationId xmlns:a16="http://schemas.microsoft.com/office/drawing/2014/main" id="{0FAFA4C5-5228-41C8-8D69-AC829F777899}"/>
            </a:ext>
          </a:extLst>
        </xdr:cNvPr>
        <xdr:cNvSpPr>
          <a:spLocks noChangeShapeType="1"/>
        </xdr:cNvSpPr>
      </xdr:nvSpPr>
      <xdr:spPr bwMode="auto">
        <a:xfrm>
          <a:off x="4924425" y="73590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438</xdr:row>
      <xdr:rowOff>0</xdr:rowOff>
    </xdr:from>
    <xdr:to>
      <xdr:col>8</xdr:col>
      <xdr:colOff>180975</xdr:colOff>
      <xdr:row>438</xdr:row>
      <xdr:rowOff>0</xdr:rowOff>
    </xdr:to>
    <xdr:sp macro="" textlink="">
      <xdr:nvSpPr>
        <xdr:cNvPr id="1155" name="Line 7">
          <a:extLst>
            <a:ext uri="{FF2B5EF4-FFF2-40B4-BE49-F238E27FC236}">
              <a16:creationId xmlns:a16="http://schemas.microsoft.com/office/drawing/2014/main" id="{44A5EFED-6B06-4A5D-A4B9-566C6E8164D7}"/>
            </a:ext>
          </a:extLst>
        </xdr:cNvPr>
        <xdr:cNvSpPr>
          <a:spLocks noChangeShapeType="1"/>
        </xdr:cNvSpPr>
      </xdr:nvSpPr>
      <xdr:spPr bwMode="auto">
        <a:xfrm>
          <a:off x="4924425" y="73733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156" name="Line 2">
          <a:extLst>
            <a:ext uri="{FF2B5EF4-FFF2-40B4-BE49-F238E27FC236}">
              <a16:creationId xmlns:a16="http://schemas.microsoft.com/office/drawing/2014/main" id="{5DD2376F-AE3A-40B6-8A5D-E329C3AFA098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157" name="Line 3">
          <a:extLst>
            <a:ext uri="{FF2B5EF4-FFF2-40B4-BE49-F238E27FC236}">
              <a16:creationId xmlns:a16="http://schemas.microsoft.com/office/drawing/2014/main" id="{B9DA1055-D645-4421-A2C0-E07F935F72CA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1158" name="Line 4">
          <a:extLst>
            <a:ext uri="{FF2B5EF4-FFF2-40B4-BE49-F238E27FC236}">
              <a16:creationId xmlns:a16="http://schemas.microsoft.com/office/drawing/2014/main" id="{1891E92A-4508-4AA3-BC41-B4E725E7591E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161" name="Line 2">
          <a:extLst>
            <a:ext uri="{FF2B5EF4-FFF2-40B4-BE49-F238E27FC236}">
              <a16:creationId xmlns:a16="http://schemas.microsoft.com/office/drawing/2014/main" id="{E369A376-D02C-4064-A503-8D54FACEAEB1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162" name="Line 3">
          <a:extLst>
            <a:ext uri="{FF2B5EF4-FFF2-40B4-BE49-F238E27FC236}">
              <a16:creationId xmlns:a16="http://schemas.microsoft.com/office/drawing/2014/main" id="{A4A67ABC-068F-476B-AB8B-7789FCD5A1FF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163" name="Line 4">
          <a:extLst>
            <a:ext uri="{FF2B5EF4-FFF2-40B4-BE49-F238E27FC236}">
              <a16:creationId xmlns:a16="http://schemas.microsoft.com/office/drawing/2014/main" id="{B82B43FC-2547-485B-9305-16576F3A3CB0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164" name="Line 5">
          <a:extLst>
            <a:ext uri="{FF2B5EF4-FFF2-40B4-BE49-F238E27FC236}">
              <a16:creationId xmlns:a16="http://schemas.microsoft.com/office/drawing/2014/main" id="{D36E0E6F-466E-43A0-B6D0-0ADED5D97676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166" name="Line 2">
          <a:extLst>
            <a:ext uri="{FF2B5EF4-FFF2-40B4-BE49-F238E27FC236}">
              <a16:creationId xmlns:a16="http://schemas.microsoft.com/office/drawing/2014/main" id="{3B00D3DD-BE8D-4BD9-93F6-CB66E304C201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167" name="Line 3">
          <a:extLst>
            <a:ext uri="{FF2B5EF4-FFF2-40B4-BE49-F238E27FC236}">
              <a16:creationId xmlns:a16="http://schemas.microsoft.com/office/drawing/2014/main" id="{C3CFA22C-B52B-412E-9A8F-BA3F1B2F8FEA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168" name="Line 4">
          <a:extLst>
            <a:ext uri="{FF2B5EF4-FFF2-40B4-BE49-F238E27FC236}">
              <a16:creationId xmlns:a16="http://schemas.microsoft.com/office/drawing/2014/main" id="{506FB459-D1E0-4CEF-9FF9-85CA929C9E3F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169" name="Line 5">
          <a:extLst>
            <a:ext uri="{FF2B5EF4-FFF2-40B4-BE49-F238E27FC236}">
              <a16:creationId xmlns:a16="http://schemas.microsoft.com/office/drawing/2014/main" id="{29C4FA9C-E06B-4933-AC81-DCE79C4656CA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170" name="Line 2">
          <a:extLst>
            <a:ext uri="{FF2B5EF4-FFF2-40B4-BE49-F238E27FC236}">
              <a16:creationId xmlns:a16="http://schemas.microsoft.com/office/drawing/2014/main" id="{1051B693-E10A-44C4-8E55-E749AC99E339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171" name="Line 3">
          <a:extLst>
            <a:ext uri="{FF2B5EF4-FFF2-40B4-BE49-F238E27FC236}">
              <a16:creationId xmlns:a16="http://schemas.microsoft.com/office/drawing/2014/main" id="{AF739A1F-C8A5-486B-AC50-59A74FCEB5B1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172" name="Line 4">
          <a:extLst>
            <a:ext uri="{FF2B5EF4-FFF2-40B4-BE49-F238E27FC236}">
              <a16:creationId xmlns:a16="http://schemas.microsoft.com/office/drawing/2014/main" id="{476AC342-3A8A-4D97-BB56-BD260803F2CE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173" name="Line 2">
          <a:extLst>
            <a:ext uri="{FF2B5EF4-FFF2-40B4-BE49-F238E27FC236}">
              <a16:creationId xmlns:a16="http://schemas.microsoft.com/office/drawing/2014/main" id="{C90752ED-42CB-4266-A23F-4722282F9AEC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174" name="Line 3">
          <a:extLst>
            <a:ext uri="{FF2B5EF4-FFF2-40B4-BE49-F238E27FC236}">
              <a16:creationId xmlns:a16="http://schemas.microsoft.com/office/drawing/2014/main" id="{869F0D6D-49BD-4230-8323-9F45A6F07B2F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1175" name="Line 4">
          <a:extLst>
            <a:ext uri="{FF2B5EF4-FFF2-40B4-BE49-F238E27FC236}">
              <a16:creationId xmlns:a16="http://schemas.microsoft.com/office/drawing/2014/main" id="{3891F000-CF50-4598-AC03-E4A8058CA2E4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176" name="Line 2">
          <a:extLst>
            <a:ext uri="{FF2B5EF4-FFF2-40B4-BE49-F238E27FC236}">
              <a16:creationId xmlns:a16="http://schemas.microsoft.com/office/drawing/2014/main" id="{C7B388F5-1A66-427A-B66E-66F11B380708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177" name="Line 3">
          <a:extLst>
            <a:ext uri="{FF2B5EF4-FFF2-40B4-BE49-F238E27FC236}">
              <a16:creationId xmlns:a16="http://schemas.microsoft.com/office/drawing/2014/main" id="{DE1CC499-B246-4C20-A570-EF8DFACC7774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475</xdr:row>
      <xdr:rowOff>0</xdr:rowOff>
    </xdr:from>
    <xdr:to>
      <xdr:col>8</xdr:col>
      <xdr:colOff>180975</xdr:colOff>
      <xdr:row>475</xdr:row>
      <xdr:rowOff>0</xdr:rowOff>
    </xdr:to>
    <xdr:sp macro="" textlink="">
      <xdr:nvSpPr>
        <xdr:cNvPr id="1178" name="Line 4">
          <a:extLst>
            <a:ext uri="{FF2B5EF4-FFF2-40B4-BE49-F238E27FC236}">
              <a16:creationId xmlns:a16="http://schemas.microsoft.com/office/drawing/2014/main" id="{E51C6078-F217-4797-B3B5-BBF601CCC23C}"/>
            </a:ext>
          </a:extLst>
        </xdr:cNvPr>
        <xdr:cNvSpPr>
          <a:spLocks noChangeShapeType="1"/>
        </xdr:cNvSpPr>
      </xdr:nvSpPr>
      <xdr:spPr bwMode="auto">
        <a:xfrm>
          <a:off x="4924425" y="809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179" name="Line 3">
          <a:extLst>
            <a:ext uri="{FF2B5EF4-FFF2-40B4-BE49-F238E27FC236}">
              <a16:creationId xmlns:a16="http://schemas.microsoft.com/office/drawing/2014/main" id="{C46221E4-54F3-4B34-8617-CBA2614490A0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180" name="Line 5">
          <a:extLst>
            <a:ext uri="{FF2B5EF4-FFF2-40B4-BE49-F238E27FC236}">
              <a16:creationId xmlns:a16="http://schemas.microsoft.com/office/drawing/2014/main" id="{E733D2AC-53BD-46D9-A805-40A7E0EE480D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181" name="Line 2">
          <a:extLst>
            <a:ext uri="{FF2B5EF4-FFF2-40B4-BE49-F238E27FC236}">
              <a16:creationId xmlns:a16="http://schemas.microsoft.com/office/drawing/2014/main" id="{103DA257-F141-466B-8D48-E7C206E9BEDC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182" name="Line 3">
          <a:extLst>
            <a:ext uri="{FF2B5EF4-FFF2-40B4-BE49-F238E27FC236}">
              <a16:creationId xmlns:a16="http://schemas.microsoft.com/office/drawing/2014/main" id="{CFBE13FE-2AB7-4405-A2AA-1C6F0BD72E04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183" name="Line 4">
          <a:extLst>
            <a:ext uri="{FF2B5EF4-FFF2-40B4-BE49-F238E27FC236}">
              <a16:creationId xmlns:a16="http://schemas.microsoft.com/office/drawing/2014/main" id="{52C78720-6E49-45A0-B1C7-7F6E26EA7BD3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184" name="Line 5">
          <a:extLst>
            <a:ext uri="{FF2B5EF4-FFF2-40B4-BE49-F238E27FC236}">
              <a16:creationId xmlns:a16="http://schemas.microsoft.com/office/drawing/2014/main" id="{73FCAFAA-E1CF-4303-BD68-E21B2146C3EA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185" name="Line 7">
          <a:extLst>
            <a:ext uri="{FF2B5EF4-FFF2-40B4-BE49-F238E27FC236}">
              <a16:creationId xmlns:a16="http://schemas.microsoft.com/office/drawing/2014/main" id="{33485D43-3325-4CB7-9C9F-6C5B3432EEE1}"/>
            </a:ext>
          </a:extLst>
        </xdr:cNvPr>
        <xdr:cNvSpPr>
          <a:spLocks noChangeShapeType="1"/>
        </xdr:cNvSpPr>
      </xdr:nvSpPr>
      <xdr:spPr bwMode="auto">
        <a:xfrm>
          <a:off x="4924425" y="92954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186" name="Line 2">
          <a:extLst>
            <a:ext uri="{FF2B5EF4-FFF2-40B4-BE49-F238E27FC236}">
              <a16:creationId xmlns:a16="http://schemas.microsoft.com/office/drawing/2014/main" id="{7639A4FC-363B-4DBF-88F0-0CF56B2063B8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187" name="Line 3">
          <a:extLst>
            <a:ext uri="{FF2B5EF4-FFF2-40B4-BE49-F238E27FC236}">
              <a16:creationId xmlns:a16="http://schemas.microsoft.com/office/drawing/2014/main" id="{DD4E2B2E-FFC6-47A9-8D2B-03A74FD48192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188" name="Line 4">
          <a:extLst>
            <a:ext uri="{FF2B5EF4-FFF2-40B4-BE49-F238E27FC236}">
              <a16:creationId xmlns:a16="http://schemas.microsoft.com/office/drawing/2014/main" id="{EA028612-E8D1-4BA1-B0F1-456313D0BF1F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189" name="Line 5">
          <a:extLst>
            <a:ext uri="{FF2B5EF4-FFF2-40B4-BE49-F238E27FC236}">
              <a16:creationId xmlns:a16="http://schemas.microsoft.com/office/drawing/2014/main" id="{B8D8575A-30C3-4C25-9777-B022DC7F54A3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190" name="Line 2">
          <a:extLst>
            <a:ext uri="{FF2B5EF4-FFF2-40B4-BE49-F238E27FC236}">
              <a16:creationId xmlns:a16="http://schemas.microsoft.com/office/drawing/2014/main" id="{BD05BEA4-CF74-4AD3-B162-D34AA00658C1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191" name="Line 3">
          <a:extLst>
            <a:ext uri="{FF2B5EF4-FFF2-40B4-BE49-F238E27FC236}">
              <a16:creationId xmlns:a16="http://schemas.microsoft.com/office/drawing/2014/main" id="{46BDA5EA-224B-4638-93E9-B756BAFDEE54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192" name="Line 4">
          <a:extLst>
            <a:ext uri="{FF2B5EF4-FFF2-40B4-BE49-F238E27FC236}">
              <a16:creationId xmlns:a16="http://schemas.microsoft.com/office/drawing/2014/main" id="{4F3B9E37-B6F4-49FE-8A8B-E4088F2647EB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193" name="Line 2">
          <a:extLst>
            <a:ext uri="{FF2B5EF4-FFF2-40B4-BE49-F238E27FC236}">
              <a16:creationId xmlns:a16="http://schemas.microsoft.com/office/drawing/2014/main" id="{0127CEF3-C5B5-48C7-BDEB-832743DDFF1A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194" name="Line 3">
          <a:extLst>
            <a:ext uri="{FF2B5EF4-FFF2-40B4-BE49-F238E27FC236}">
              <a16:creationId xmlns:a16="http://schemas.microsoft.com/office/drawing/2014/main" id="{1B2088DB-4391-4FE0-BBE8-D2744BFB0E9E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508</xdr:row>
      <xdr:rowOff>0</xdr:rowOff>
    </xdr:from>
    <xdr:to>
      <xdr:col>8</xdr:col>
      <xdr:colOff>180975</xdr:colOff>
      <xdr:row>508</xdr:row>
      <xdr:rowOff>0</xdr:rowOff>
    </xdr:to>
    <xdr:sp macro="" textlink="">
      <xdr:nvSpPr>
        <xdr:cNvPr id="1195" name="Line 4">
          <a:extLst>
            <a:ext uri="{FF2B5EF4-FFF2-40B4-BE49-F238E27FC236}">
              <a16:creationId xmlns:a16="http://schemas.microsoft.com/office/drawing/2014/main" id="{A12B3B63-8310-49B1-967B-3B1F7FF446F3}"/>
            </a:ext>
          </a:extLst>
        </xdr:cNvPr>
        <xdr:cNvSpPr>
          <a:spLocks noChangeShapeType="1"/>
        </xdr:cNvSpPr>
      </xdr:nvSpPr>
      <xdr:spPr bwMode="auto">
        <a:xfrm>
          <a:off x="4924425" y="89373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196" name="Line 2">
          <a:extLst>
            <a:ext uri="{FF2B5EF4-FFF2-40B4-BE49-F238E27FC236}">
              <a16:creationId xmlns:a16="http://schemas.microsoft.com/office/drawing/2014/main" id="{A4651D7F-5357-4F5D-A10C-EA0B8F9E5E4D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197" name="Line 3">
          <a:extLst>
            <a:ext uri="{FF2B5EF4-FFF2-40B4-BE49-F238E27FC236}">
              <a16:creationId xmlns:a16="http://schemas.microsoft.com/office/drawing/2014/main" id="{077196FD-1B18-4259-B804-DBA1F37B7C1E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1198" name="Line 4">
          <a:extLst>
            <a:ext uri="{FF2B5EF4-FFF2-40B4-BE49-F238E27FC236}">
              <a16:creationId xmlns:a16="http://schemas.microsoft.com/office/drawing/2014/main" id="{A4BD88C8-D1A0-4597-8D2C-C9389B55B309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199" name="Line 3">
          <a:extLst>
            <a:ext uri="{FF2B5EF4-FFF2-40B4-BE49-F238E27FC236}">
              <a16:creationId xmlns:a16="http://schemas.microsoft.com/office/drawing/2014/main" id="{1134D498-C672-4240-8491-D86A4F3E3964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200" name="Line 5">
          <a:extLst>
            <a:ext uri="{FF2B5EF4-FFF2-40B4-BE49-F238E27FC236}">
              <a16:creationId xmlns:a16="http://schemas.microsoft.com/office/drawing/2014/main" id="{7DCE19CB-A957-48AE-B147-49C8750A0A79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201" name="Line 2">
          <a:extLst>
            <a:ext uri="{FF2B5EF4-FFF2-40B4-BE49-F238E27FC236}">
              <a16:creationId xmlns:a16="http://schemas.microsoft.com/office/drawing/2014/main" id="{AECA808F-526E-43CE-A0BD-BE593F5CDB78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202" name="Line 3">
          <a:extLst>
            <a:ext uri="{FF2B5EF4-FFF2-40B4-BE49-F238E27FC236}">
              <a16:creationId xmlns:a16="http://schemas.microsoft.com/office/drawing/2014/main" id="{ECFBEDD4-3470-467F-8961-83FE296C3C59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203" name="Line 4">
          <a:extLst>
            <a:ext uri="{FF2B5EF4-FFF2-40B4-BE49-F238E27FC236}">
              <a16:creationId xmlns:a16="http://schemas.microsoft.com/office/drawing/2014/main" id="{46CFAB7E-D665-4E9C-B649-B33413097723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204" name="Line 5">
          <a:extLst>
            <a:ext uri="{FF2B5EF4-FFF2-40B4-BE49-F238E27FC236}">
              <a16:creationId xmlns:a16="http://schemas.microsoft.com/office/drawing/2014/main" id="{D8B85CFC-C256-4143-BE50-DAEEF06EA7B9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583</xdr:row>
      <xdr:rowOff>0</xdr:rowOff>
    </xdr:from>
    <xdr:to>
      <xdr:col>8</xdr:col>
      <xdr:colOff>180975</xdr:colOff>
      <xdr:row>583</xdr:row>
      <xdr:rowOff>0</xdr:rowOff>
    </xdr:to>
    <xdr:sp macro="" textlink="">
      <xdr:nvSpPr>
        <xdr:cNvPr id="1205" name="Line 7">
          <a:extLst>
            <a:ext uri="{FF2B5EF4-FFF2-40B4-BE49-F238E27FC236}">
              <a16:creationId xmlns:a16="http://schemas.microsoft.com/office/drawing/2014/main" id="{4CC95AAE-746D-4160-818F-663CC7AE218A}"/>
            </a:ext>
          </a:extLst>
        </xdr:cNvPr>
        <xdr:cNvSpPr>
          <a:spLocks noChangeShapeType="1"/>
        </xdr:cNvSpPr>
      </xdr:nvSpPr>
      <xdr:spPr bwMode="auto">
        <a:xfrm>
          <a:off x="4924425" y="101765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206" name="Line 2">
          <a:extLst>
            <a:ext uri="{FF2B5EF4-FFF2-40B4-BE49-F238E27FC236}">
              <a16:creationId xmlns:a16="http://schemas.microsoft.com/office/drawing/2014/main" id="{06986127-C230-4F05-9276-42CEC0602D19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207" name="Line 3">
          <a:extLst>
            <a:ext uri="{FF2B5EF4-FFF2-40B4-BE49-F238E27FC236}">
              <a16:creationId xmlns:a16="http://schemas.microsoft.com/office/drawing/2014/main" id="{AFCB9DCE-3F30-46D0-8DFF-87F1D3871F9C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208" name="Line 4">
          <a:extLst>
            <a:ext uri="{FF2B5EF4-FFF2-40B4-BE49-F238E27FC236}">
              <a16:creationId xmlns:a16="http://schemas.microsoft.com/office/drawing/2014/main" id="{4F34585A-38ED-4753-86E2-52E65DBF62A3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209" name="Line 5">
          <a:extLst>
            <a:ext uri="{FF2B5EF4-FFF2-40B4-BE49-F238E27FC236}">
              <a16:creationId xmlns:a16="http://schemas.microsoft.com/office/drawing/2014/main" id="{EA73052F-7F5E-4F65-B248-4873D9C1F546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210" name="Line 2">
          <a:extLst>
            <a:ext uri="{FF2B5EF4-FFF2-40B4-BE49-F238E27FC236}">
              <a16:creationId xmlns:a16="http://schemas.microsoft.com/office/drawing/2014/main" id="{7EF539C7-DFA1-445F-8479-ABBE5DE4D291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211" name="Line 3">
          <a:extLst>
            <a:ext uri="{FF2B5EF4-FFF2-40B4-BE49-F238E27FC236}">
              <a16:creationId xmlns:a16="http://schemas.microsoft.com/office/drawing/2014/main" id="{40F45D21-FA28-4030-9671-398229F37F3F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212" name="Line 4">
          <a:extLst>
            <a:ext uri="{FF2B5EF4-FFF2-40B4-BE49-F238E27FC236}">
              <a16:creationId xmlns:a16="http://schemas.microsoft.com/office/drawing/2014/main" id="{0FCB4321-6C09-4A6B-82C0-DD4BC056FD34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213" name="Line 2">
          <a:extLst>
            <a:ext uri="{FF2B5EF4-FFF2-40B4-BE49-F238E27FC236}">
              <a16:creationId xmlns:a16="http://schemas.microsoft.com/office/drawing/2014/main" id="{71CDB1F3-3D4E-4205-9456-5E4996B940FF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214" name="Line 3">
          <a:extLst>
            <a:ext uri="{FF2B5EF4-FFF2-40B4-BE49-F238E27FC236}">
              <a16:creationId xmlns:a16="http://schemas.microsoft.com/office/drawing/2014/main" id="{3A138779-2860-41E0-8238-D75800B77D80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558</xdr:row>
      <xdr:rowOff>0</xdr:rowOff>
    </xdr:from>
    <xdr:to>
      <xdr:col>8</xdr:col>
      <xdr:colOff>180975</xdr:colOff>
      <xdr:row>558</xdr:row>
      <xdr:rowOff>0</xdr:rowOff>
    </xdr:to>
    <xdr:sp macro="" textlink="">
      <xdr:nvSpPr>
        <xdr:cNvPr id="1215" name="Line 4">
          <a:extLst>
            <a:ext uri="{FF2B5EF4-FFF2-40B4-BE49-F238E27FC236}">
              <a16:creationId xmlns:a16="http://schemas.microsoft.com/office/drawing/2014/main" id="{DE9FE738-5514-4451-8834-5CA79542978B}"/>
            </a:ext>
          </a:extLst>
        </xdr:cNvPr>
        <xdr:cNvSpPr>
          <a:spLocks noChangeShapeType="1"/>
        </xdr:cNvSpPr>
      </xdr:nvSpPr>
      <xdr:spPr bwMode="auto">
        <a:xfrm>
          <a:off x="4924425" y="9805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216" name="Line 2">
          <a:extLst>
            <a:ext uri="{FF2B5EF4-FFF2-40B4-BE49-F238E27FC236}">
              <a16:creationId xmlns:a16="http://schemas.microsoft.com/office/drawing/2014/main" id="{E1835F54-8060-4BEA-AB2A-FCFBB2339AFC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217" name="Line 3">
          <a:extLst>
            <a:ext uri="{FF2B5EF4-FFF2-40B4-BE49-F238E27FC236}">
              <a16:creationId xmlns:a16="http://schemas.microsoft.com/office/drawing/2014/main" id="{8D20CD7C-608F-4A1F-8F0A-D4075FC17134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562</xdr:row>
      <xdr:rowOff>0</xdr:rowOff>
    </xdr:from>
    <xdr:to>
      <xdr:col>8</xdr:col>
      <xdr:colOff>180975</xdr:colOff>
      <xdr:row>562</xdr:row>
      <xdr:rowOff>0</xdr:rowOff>
    </xdr:to>
    <xdr:sp macro="" textlink="">
      <xdr:nvSpPr>
        <xdr:cNvPr id="1218" name="Line 4">
          <a:extLst>
            <a:ext uri="{FF2B5EF4-FFF2-40B4-BE49-F238E27FC236}">
              <a16:creationId xmlns:a16="http://schemas.microsoft.com/office/drawing/2014/main" id="{A7107AC0-EA6F-49A0-B944-9AACEED936B2}"/>
            </a:ext>
          </a:extLst>
        </xdr:cNvPr>
        <xdr:cNvSpPr>
          <a:spLocks noChangeShapeType="1"/>
        </xdr:cNvSpPr>
      </xdr:nvSpPr>
      <xdr:spPr bwMode="auto">
        <a:xfrm>
          <a:off x="4924425" y="98621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219" name="Line 3">
          <a:extLst>
            <a:ext uri="{FF2B5EF4-FFF2-40B4-BE49-F238E27FC236}">
              <a16:creationId xmlns:a16="http://schemas.microsoft.com/office/drawing/2014/main" id="{063B83E8-C53A-4959-9D99-288AD11F834B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220" name="Line 5">
          <a:extLst>
            <a:ext uri="{FF2B5EF4-FFF2-40B4-BE49-F238E27FC236}">
              <a16:creationId xmlns:a16="http://schemas.microsoft.com/office/drawing/2014/main" id="{6DA0DF1A-BE93-4AF4-9822-ADD7682C09A9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221" name="Line 2">
          <a:extLst>
            <a:ext uri="{FF2B5EF4-FFF2-40B4-BE49-F238E27FC236}">
              <a16:creationId xmlns:a16="http://schemas.microsoft.com/office/drawing/2014/main" id="{8E803BD1-549B-4233-8896-F63F8F948DE9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222" name="Line 3">
          <a:extLst>
            <a:ext uri="{FF2B5EF4-FFF2-40B4-BE49-F238E27FC236}">
              <a16:creationId xmlns:a16="http://schemas.microsoft.com/office/drawing/2014/main" id="{75F9D6E7-5650-4DB4-B17E-4CB6E150C888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223" name="Line 4">
          <a:extLst>
            <a:ext uri="{FF2B5EF4-FFF2-40B4-BE49-F238E27FC236}">
              <a16:creationId xmlns:a16="http://schemas.microsoft.com/office/drawing/2014/main" id="{828D5F2B-2187-46E0-84C4-188A1CEE040A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224" name="Line 5">
          <a:extLst>
            <a:ext uri="{FF2B5EF4-FFF2-40B4-BE49-F238E27FC236}">
              <a16:creationId xmlns:a16="http://schemas.microsoft.com/office/drawing/2014/main" id="{6C2B328B-A973-4477-9785-07AC6EDEE040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1225" name="Line 7">
          <a:extLst>
            <a:ext uri="{FF2B5EF4-FFF2-40B4-BE49-F238E27FC236}">
              <a16:creationId xmlns:a16="http://schemas.microsoft.com/office/drawing/2014/main" id="{41BAC27B-93F0-4C0C-9BA6-EF59430BD909}"/>
            </a:ext>
          </a:extLst>
        </xdr:cNvPr>
        <xdr:cNvSpPr>
          <a:spLocks noChangeShapeType="1"/>
        </xdr:cNvSpPr>
      </xdr:nvSpPr>
      <xdr:spPr bwMode="auto">
        <a:xfrm>
          <a:off x="4924425" y="11015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226" name="Line 2">
          <a:extLst>
            <a:ext uri="{FF2B5EF4-FFF2-40B4-BE49-F238E27FC236}">
              <a16:creationId xmlns:a16="http://schemas.microsoft.com/office/drawing/2014/main" id="{015A65AB-83A6-41DD-8CA2-56C166A389E8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227" name="Line 3">
          <a:extLst>
            <a:ext uri="{FF2B5EF4-FFF2-40B4-BE49-F238E27FC236}">
              <a16:creationId xmlns:a16="http://schemas.microsoft.com/office/drawing/2014/main" id="{0C1CF8A1-6702-4F46-B0B4-5469728A2551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228" name="Line 4">
          <a:extLst>
            <a:ext uri="{FF2B5EF4-FFF2-40B4-BE49-F238E27FC236}">
              <a16:creationId xmlns:a16="http://schemas.microsoft.com/office/drawing/2014/main" id="{1B216176-87D3-429F-A93F-E6E3D9865713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229" name="Line 5">
          <a:extLst>
            <a:ext uri="{FF2B5EF4-FFF2-40B4-BE49-F238E27FC236}">
              <a16:creationId xmlns:a16="http://schemas.microsoft.com/office/drawing/2014/main" id="{524BC1B3-17E4-4AF6-AB09-C27A22540FA2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230" name="Line 2">
          <a:extLst>
            <a:ext uri="{FF2B5EF4-FFF2-40B4-BE49-F238E27FC236}">
              <a16:creationId xmlns:a16="http://schemas.microsoft.com/office/drawing/2014/main" id="{BB325A05-5797-4836-A21A-6504859420D6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231" name="Line 3">
          <a:extLst>
            <a:ext uri="{FF2B5EF4-FFF2-40B4-BE49-F238E27FC236}">
              <a16:creationId xmlns:a16="http://schemas.microsoft.com/office/drawing/2014/main" id="{97F73516-765A-4411-B849-3F7EAAE40332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232" name="Line 4">
          <a:extLst>
            <a:ext uri="{FF2B5EF4-FFF2-40B4-BE49-F238E27FC236}">
              <a16:creationId xmlns:a16="http://schemas.microsoft.com/office/drawing/2014/main" id="{CB989399-EEFA-46F6-960F-1181161FD6D8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233" name="Line 2">
          <a:extLst>
            <a:ext uri="{FF2B5EF4-FFF2-40B4-BE49-F238E27FC236}">
              <a16:creationId xmlns:a16="http://schemas.microsoft.com/office/drawing/2014/main" id="{C5CBFE6E-3501-4F6E-81C5-8294D018684D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234" name="Line 3">
          <a:extLst>
            <a:ext uri="{FF2B5EF4-FFF2-40B4-BE49-F238E27FC236}">
              <a16:creationId xmlns:a16="http://schemas.microsoft.com/office/drawing/2014/main" id="{3FAF9467-69E8-4364-9C19-C3425F09937D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235" name="Line 4">
          <a:extLst>
            <a:ext uri="{FF2B5EF4-FFF2-40B4-BE49-F238E27FC236}">
              <a16:creationId xmlns:a16="http://schemas.microsoft.com/office/drawing/2014/main" id="{A650BC68-ED24-4771-9085-2AFF7DB40719}"/>
            </a:ext>
          </a:extLst>
        </xdr:cNvPr>
        <xdr:cNvSpPr>
          <a:spLocks noChangeShapeType="1"/>
        </xdr:cNvSpPr>
      </xdr:nvSpPr>
      <xdr:spPr bwMode="auto">
        <a:xfrm>
          <a:off x="4924425" y="106584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236" name="Line 2">
          <a:extLst>
            <a:ext uri="{FF2B5EF4-FFF2-40B4-BE49-F238E27FC236}">
              <a16:creationId xmlns:a16="http://schemas.microsoft.com/office/drawing/2014/main" id="{1D848E7E-5C72-4690-86FC-6A9BB782D9FF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237" name="Line 3">
          <a:extLst>
            <a:ext uri="{FF2B5EF4-FFF2-40B4-BE49-F238E27FC236}">
              <a16:creationId xmlns:a16="http://schemas.microsoft.com/office/drawing/2014/main" id="{C5A9C614-92D1-4441-AA8E-FC9749D2A022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612</xdr:row>
      <xdr:rowOff>0</xdr:rowOff>
    </xdr:from>
    <xdr:to>
      <xdr:col>8</xdr:col>
      <xdr:colOff>180975</xdr:colOff>
      <xdr:row>612</xdr:row>
      <xdr:rowOff>0</xdr:rowOff>
    </xdr:to>
    <xdr:sp macro="" textlink="">
      <xdr:nvSpPr>
        <xdr:cNvPr id="1238" name="Line 4">
          <a:extLst>
            <a:ext uri="{FF2B5EF4-FFF2-40B4-BE49-F238E27FC236}">
              <a16:creationId xmlns:a16="http://schemas.microsoft.com/office/drawing/2014/main" id="{38C3E513-BB79-48AD-A1DE-7353C7220A11}"/>
            </a:ext>
          </a:extLst>
        </xdr:cNvPr>
        <xdr:cNvSpPr>
          <a:spLocks noChangeShapeType="1"/>
        </xdr:cNvSpPr>
      </xdr:nvSpPr>
      <xdr:spPr bwMode="auto">
        <a:xfrm>
          <a:off x="4924425" y="107013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240" name="Line 3">
          <a:extLst>
            <a:ext uri="{FF2B5EF4-FFF2-40B4-BE49-F238E27FC236}">
              <a16:creationId xmlns:a16="http://schemas.microsoft.com/office/drawing/2014/main" id="{769115B6-A709-4DE3-8663-A4E7669D27AB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241" name="Line 5">
          <a:extLst>
            <a:ext uri="{FF2B5EF4-FFF2-40B4-BE49-F238E27FC236}">
              <a16:creationId xmlns:a16="http://schemas.microsoft.com/office/drawing/2014/main" id="{CDFD91DE-1488-4046-AEBA-A8759174CC13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112</xdr:row>
      <xdr:rowOff>0</xdr:rowOff>
    </xdr:from>
    <xdr:to>
      <xdr:col>8</xdr:col>
      <xdr:colOff>180975</xdr:colOff>
      <xdr:row>112</xdr:row>
      <xdr:rowOff>0</xdr:rowOff>
    </xdr:to>
    <xdr:sp macro="" textlink="">
      <xdr:nvSpPr>
        <xdr:cNvPr id="1242" name="Line 2">
          <a:extLst>
            <a:ext uri="{FF2B5EF4-FFF2-40B4-BE49-F238E27FC236}">
              <a16:creationId xmlns:a16="http://schemas.microsoft.com/office/drawing/2014/main" id="{7E075660-5B29-4ED9-A6F5-4EC95AC115F7}"/>
            </a:ext>
          </a:extLst>
        </xdr:cNvPr>
        <xdr:cNvSpPr>
          <a:spLocks noChangeShapeType="1"/>
        </xdr:cNvSpPr>
      </xdr:nvSpPr>
      <xdr:spPr bwMode="auto">
        <a:xfrm>
          <a:off x="492442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243" name="Line 3">
          <a:extLst>
            <a:ext uri="{FF2B5EF4-FFF2-40B4-BE49-F238E27FC236}">
              <a16:creationId xmlns:a16="http://schemas.microsoft.com/office/drawing/2014/main" id="{89079BCD-C52B-4C75-9775-7BF866AE1EBE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244" name="Line 5">
          <a:extLst>
            <a:ext uri="{FF2B5EF4-FFF2-40B4-BE49-F238E27FC236}">
              <a16:creationId xmlns:a16="http://schemas.microsoft.com/office/drawing/2014/main" id="{D72E5DD0-A755-41C5-95DA-CC30D3C7DE18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245" name="Line 2">
          <a:extLst>
            <a:ext uri="{FF2B5EF4-FFF2-40B4-BE49-F238E27FC236}">
              <a16:creationId xmlns:a16="http://schemas.microsoft.com/office/drawing/2014/main" id="{F1A1359F-6D24-4B0F-9182-C9B28B35E20F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246" name="Line 3">
          <a:extLst>
            <a:ext uri="{FF2B5EF4-FFF2-40B4-BE49-F238E27FC236}">
              <a16:creationId xmlns:a16="http://schemas.microsoft.com/office/drawing/2014/main" id="{A979139A-6AFA-4F32-B217-7B984869D9E7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247" name="Line 4">
          <a:extLst>
            <a:ext uri="{FF2B5EF4-FFF2-40B4-BE49-F238E27FC236}">
              <a16:creationId xmlns:a16="http://schemas.microsoft.com/office/drawing/2014/main" id="{41F66EA8-D1FC-43D7-90FE-DD938C5E9129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101</xdr:row>
      <xdr:rowOff>0</xdr:rowOff>
    </xdr:from>
    <xdr:to>
      <xdr:col>8</xdr:col>
      <xdr:colOff>180975</xdr:colOff>
      <xdr:row>101</xdr:row>
      <xdr:rowOff>0</xdr:rowOff>
    </xdr:to>
    <xdr:sp macro="" textlink="">
      <xdr:nvSpPr>
        <xdr:cNvPr id="1249" name="Line 7">
          <a:extLst>
            <a:ext uri="{FF2B5EF4-FFF2-40B4-BE49-F238E27FC236}">
              <a16:creationId xmlns:a16="http://schemas.microsoft.com/office/drawing/2014/main" id="{F54D92B6-811D-4A34-B067-A78C02551795}"/>
            </a:ext>
          </a:extLst>
        </xdr:cNvPr>
        <xdr:cNvSpPr>
          <a:spLocks noChangeShapeType="1"/>
        </xdr:cNvSpPr>
      </xdr:nvSpPr>
      <xdr:spPr bwMode="auto">
        <a:xfrm>
          <a:off x="4924425" y="15335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250" name="Line 2">
          <a:extLst>
            <a:ext uri="{FF2B5EF4-FFF2-40B4-BE49-F238E27FC236}">
              <a16:creationId xmlns:a16="http://schemas.microsoft.com/office/drawing/2014/main" id="{3880D7D9-FC6E-4CE1-A933-18B20B6EB948}"/>
            </a:ext>
          </a:extLst>
        </xdr:cNvPr>
        <xdr:cNvSpPr>
          <a:spLocks noChangeShapeType="1"/>
        </xdr:cNvSpPr>
      </xdr:nvSpPr>
      <xdr:spPr bwMode="auto">
        <a:xfrm>
          <a:off x="4924425" y="2517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253" name="Line 2">
          <a:extLst>
            <a:ext uri="{FF2B5EF4-FFF2-40B4-BE49-F238E27FC236}">
              <a16:creationId xmlns:a16="http://schemas.microsoft.com/office/drawing/2014/main" id="{56F1F104-BC64-4969-8CE2-310E5E27E00F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254" name="Line 3">
          <a:extLst>
            <a:ext uri="{FF2B5EF4-FFF2-40B4-BE49-F238E27FC236}">
              <a16:creationId xmlns:a16="http://schemas.microsoft.com/office/drawing/2014/main" id="{B15B19C1-193E-4798-A25A-DAEA347796B2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255" name="Line 4">
          <a:extLst>
            <a:ext uri="{FF2B5EF4-FFF2-40B4-BE49-F238E27FC236}">
              <a16:creationId xmlns:a16="http://schemas.microsoft.com/office/drawing/2014/main" id="{8719EF9E-E844-43CB-8EB6-E1646C2D7C38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256" name="Line 5">
          <a:extLst>
            <a:ext uri="{FF2B5EF4-FFF2-40B4-BE49-F238E27FC236}">
              <a16:creationId xmlns:a16="http://schemas.microsoft.com/office/drawing/2014/main" id="{74F4C46E-AE86-430C-9098-F4251F78744A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258" name="Line 2">
          <a:extLst>
            <a:ext uri="{FF2B5EF4-FFF2-40B4-BE49-F238E27FC236}">
              <a16:creationId xmlns:a16="http://schemas.microsoft.com/office/drawing/2014/main" id="{178253B4-F4B9-4FB1-8DCD-51934BDB1289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259" name="Line 3">
          <a:extLst>
            <a:ext uri="{FF2B5EF4-FFF2-40B4-BE49-F238E27FC236}">
              <a16:creationId xmlns:a16="http://schemas.microsoft.com/office/drawing/2014/main" id="{ED029D3D-7F02-4680-8ECA-269701001512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260" name="Line 4">
          <a:extLst>
            <a:ext uri="{FF2B5EF4-FFF2-40B4-BE49-F238E27FC236}">
              <a16:creationId xmlns:a16="http://schemas.microsoft.com/office/drawing/2014/main" id="{DC5F2371-036C-4296-AF5D-CECCDE96C381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261" name="Line 5">
          <a:extLst>
            <a:ext uri="{FF2B5EF4-FFF2-40B4-BE49-F238E27FC236}">
              <a16:creationId xmlns:a16="http://schemas.microsoft.com/office/drawing/2014/main" id="{EE86A8F7-0F1F-42DA-89D8-E06D9220282B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262" name="Line 2">
          <a:extLst>
            <a:ext uri="{FF2B5EF4-FFF2-40B4-BE49-F238E27FC236}">
              <a16:creationId xmlns:a16="http://schemas.microsoft.com/office/drawing/2014/main" id="{B7955DE7-56AE-4465-A0D6-0E7D132CE701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63" name="Line 3">
          <a:extLst>
            <a:ext uri="{FF2B5EF4-FFF2-40B4-BE49-F238E27FC236}">
              <a16:creationId xmlns:a16="http://schemas.microsoft.com/office/drawing/2014/main" id="{10C4A4B7-649C-481E-991F-F6B6773DF6EA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64" name="Line 5">
          <a:extLst>
            <a:ext uri="{FF2B5EF4-FFF2-40B4-BE49-F238E27FC236}">
              <a16:creationId xmlns:a16="http://schemas.microsoft.com/office/drawing/2014/main" id="{222DB008-1F39-40F3-8CDC-C48043FD2ED7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265" name="Line 2">
          <a:extLst>
            <a:ext uri="{FF2B5EF4-FFF2-40B4-BE49-F238E27FC236}">
              <a16:creationId xmlns:a16="http://schemas.microsoft.com/office/drawing/2014/main" id="{25F44631-DB55-4156-8E8F-A43D19200D9E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266" name="Line 3">
          <a:extLst>
            <a:ext uri="{FF2B5EF4-FFF2-40B4-BE49-F238E27FC236}">
              <a16:creationId xmlns:a16="http://schemas.microsoft.com/office/drawing/2014/main" id="{0049E633-0251-419A-8782-CB29221825F7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267" name="Line 4">
          <a:extLst>
            <a:ext uri="{FF2B5EF4-FFF2-40B4-BE49-F238E27FC236}">
              <a16:creationId xmlns:a16="http://schemas.microsoft.com/office/drawing/2014/main" id="{D0C40992-899A-42EC-9709-FA675A1DD721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268" name="Line 5">
          <a:extLst>
            <a:ext uri="{FF2B5EF4-FFF2-40B4-BE49-F238E27FC236}">
              <a16:creationId xmlns:a16="http://schemas.microsoft.com/office/drawing/2014/main" id="{7DAAD886-2056-4833-92B0-F28180C47654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269" name="Line 2">
          <a:extLst>
            <a:ext uri="{FF2B5EF4-FFF2-40B4-BE49-F238E27FC236}">
              <a16:creationId xmlns:a16="http://schemas.microsoft.com/office/drawing/2014/main" id="{45B83F5A-72C4-4475-B5C3-05634DD6969F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270" name="Line 3">
          <a:extLst>
            <a:ext uri="{FF2B5EF4-FFF2-40B4-BE49-F238E27FC236}">
              <a16:creationId xmlns:a16="http://schemas.microsoft.com/office/drawing/2014/main" id="{0BB6E27C-413E-43E4-AFF9-63AE88C23BBE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271" name="Line 4">
          <a:extLst>
            <a:ext uri="{FF2B5EF4-FFF2-40B4-BE49-F238E27FC236}">
              <a16:creationId xmlns:a16="http://schemas.microsoft.com/office/drawing/2014/main" id="{6D5D438D-C3CE-4036-92A1-75C9485509AE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272" name="Line 5">
          <a:extLst>
            <a:ext uri="{FF2B5EF4-FFF2-40B4-BE49-F238E27FC236}">
              <a16:creationId xmlns:a16="http://schemas.microsoft.com/office/drawing/2014/main" id="{AD06C8D4-CEA8-49C6-A0D4-B0F51A34C5B0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273" name="Line 2">
          <a:extLst>
            <a:ext uri="{FF2B5EF4-FFF2-40B4-BE49-F238E27FC236}">
              <a16:creationId xmlns:a16="http://schemas.microsoft.com/office/drawing/2014/main" id="{8101211E-CE8F-435F-91F8-249F5EB0FBAF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274" name="Line 3">
          <a:extLst>
            <a:ext uri="{FF2B5EF4-FFF2-40B4-BE49-F238E27FC236}">
              <a16:creationId xmlns:a16="http://schemas.microsoft.com/office/drawing/2014/main" id="{27F12F14-98A9-417D-883D-ACE8B4AE12FD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275" name="Line 4">
          <a:extLst>
            <a:ext uri="{FF2B5EF4-FFF2-40B4-BE49-F238E27FC236}">
              <a16:creationId xmlns:a16="http://schemas.microsoft.com/office/drawing/2014/main" id="{92BA4417-C3DD-46A2-ADA2-1124FAD76755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276" name="Line 5">
          <a:extLst>
            <a:ext uri="{FF2B5EF4-FFF2-40B4-BE49-F238E27FC236}">
              <a16:creationId xmlns:a16="http://schemas.microsoft.com/office/drawing/2014/main" id="{9B18F7DE-1C65-476A-B0A7-E1234782E655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277" name="Line 7">
          <a:extLst>
            <a:ext uri="{FF2B5EF4-FFF2-40B4-BE49-F238E27FC236}">
              <a16:creationId xmlns:a16="http://schemas.microsoft.com/office/drawing/2014/main" id="{AFC07553-C6C6-4132-A625-6AEDA930412F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278" name="Line 8">
          <a:extLst>
            <a:ext uri="{FF2B5EF4-FFF2-40B4-BE49-F238E27FC236}">
              <a16:creationId xmlns:a16="http://schemas.microsoft.com/office/drawing/2014/main" id="{7BD62CEA-2305-46C3-AE39-B8B1AB43A93E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279" name="Rectangle 7">
          <a:extLst>
            <a:ext uri="{FF2B5EF4-FFF2-40B4-BE49-F238E27FC236}">
              <a16:creationId xmlns:a16="http://schemas.microsoft.com/office/drawing/2014/main" id="{EEACFAE0-BE42-48C3-A58A-31DE2E1872D7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280" name="Rectangle 8">
          <a:extLst>
            <a:ext uri="{FF2B5EF4-FFF2-40B4-BE49-F238E27FC236}">
              <a16:creationId xmlns:a16="http://schemas.microsoft.com/office/drawing/2014/main" id="{C996EF65-8AD5-4F24-B16E-BCB87E0A873E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281" name="Line 2">
          <a:extLst>
            <a:ext uri="{FF2B5EF4-FFF2-40B4-BE49-F238E27FC236}">
              <a16:creationId xmlns:a16="http://schemas.microsoft.com/office/drawing/2014/main" id="{0C722C8F-E1EC-42A5-8B27-C47282F08A8A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82" name="Line 3">
          <a:extLst>
            <a:ext uri="{FF2B5EF4-FFF2-40B4-BE49-F238E27FC236}">
              <a16:creationId xmlns:a16="http://schemas.microsoft.com/office/drawing/2014/main" id="{98069E07-9EBC-4297-9D89-119E962FB744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283" name="Line 5">
          <a:extLst>
            <a:ext uri="{FF2B5EF4-FFF2-40B4-BE49-F238E27FC236}">
              <a16:creationId xmlns:a16="http://schemas.microsoft.com/office/drawing/2014/main" id="{BBB2975D-F32B-40C4-95BB-E1102BEADDF2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284" name="Line 2">
          <a:extLst>
            <a:ext uri="{FF2B5EF4-FFF2-40B4-BE49-F238E27FC236}">
              <a16:creationId xmlns:a16="http://schemas.microsoft.com/office/drawing/2014/main" id="{5B27BECF-D48E-4639-8079-1837BD3D9194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285" name="Line 3">
          <a:extLst>
            <a:ext uri="{FF2B5EF4-FFF2-40B4-BE49-F238E27FC236}">
              <a16:creationId xmlns:a16="http://schemas.microsoft.com/office/drawing/2014/main" id="{29B8ECE0-0464-4DC0-89A7-F819CC240C3B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286" name="Line 4">
          <a:extLst>
            <a:ext uri="{FF2B5EF4-FFF2-40B4-BE49-F238E27FC236}">
              <a16:creationId xmlns:a16="http://schemas.microsoft.com/office/drawing/2014/main" id="{BBC060F7-D531-42C3-BC4C-5799B4BA7884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287" name="Line 5">
          <a:extLst>
            <a:ext uri="{FF2B5EF4-FFF2-40B4-BE49-F238E27FC236}">
              <a16:creationId xmlns:a16="http://schemas.microsoft.com/office/drawing/2014/main" id="{4473A88F-E781-46EC-9636-EADA7F396BDF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288" name="Line 2">
          <a:extLst>
            <a:ext uri="{FF2B5EF4-FFF2-40B4-BE49-F238E27FC236}">
              <a16:creationId xmlns:a16="http://schemas.microsoft.com/office/drawing/2014/main" id="{622B8011-9D3D-4036-8E61-E3C3967912FF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289" name="Line 3">
          <a:extLst>
            <a:ext uri="{FF2B5EF4-FFF2-40B4-BE49-F238E27FC236}">
              <a16:creationId xmlns:a16="http://schemas.microsoft.com/office/drawing/2014/main" id="{2E4B6BE5-7292-432A-95A5-B4EF826A44ED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290" name="Line 4">
          <a:extLst>
            <a:ext uri="{FF2B5EF4-FFF2-40B4-BE49-F238E27FC236}">
              <a16:creationId xmlns:a16="http://schemas.microsoft.com/office/drawing/2014/main" id="{F316996E-912B-4498-BE2E-0A3A840BBD85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291" name="Line 5">
          <a:extLst>
            <a:ext uri="{FF2B5EF4-FFF2-40B4-BE49-F238E27FC236}">
              <a16:creationId xmlns:a16="http://schemas.microsoft.com/office/drawing/2014/main" id="{458980C1-8FDD-4560-AF64-95D70D4E41CD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292" name="Line 2">
          <a:extLst>
            <a:ext uri="{FF2B5EF4-FFF2-40B4-BE49-F238E27FC236}">
              <a16:creationId xmlns:a16="http://schemas.microsoft.com/office/drawing/2014/main" id="{641144CA-A20F-469A-A116-B05A3C701039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293" name="Line 3">
          <a:extLst>
            <a:ext uri="{FF2B5EF4-FFF2-40B4-BE49-F238E27FC236}">
              <a16:creationId xmlns:a16="http://schemas.microsoft.com/office/drawing/2014/main" id="{62B3547A-E8D1-4ADE-B04D-7A499EAA2D90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294" name="Line 4">
          <a:extLst>
            <a:ext uri="{FF2B5EF4-FFF2-40B4-BE49-F238E27FC236}">
              <a16:creationId xmlns:a16="http://schemas.microsoft.com/office/drawing/2014/main" id="{B07F6234-EA3E-41F3-ABE5-84B741555A69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295" name="Line 5">
          <a:extLst>
            <a:ext uri="{FF2B5EF4-FFF2-40B4-BE49-F238E27FC236}">
              <a16:creationId xmlns:a16="http://schemas.microsoft.com/office/drawing/2014/main" id="{F1F1F57E-BC52-447A-9D8F-CF72A63EE2EC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296" name="Line 7">
          <a:extLst>
            <a:ext uri="{FF2B5EF4-FFF2-40B4-BE49-F238E27FC236}">
              <a16:creationId xmlns:a16="http://schemas.microsoft.com/office/drawing/2014/main" id="{7075A5C6-E1A1-4B4C-B983-C6BBB76E1998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297" name="Line 8">
          <a:extLst>
            <a:ext uri="{FF2B5EF4-FFF2-40B4-BE49-F238E27FC236}">
              <a16:creationId xmlns:a16="http://schemas.microsoft.com/office/drawing/2014/main" id="{7141CF78-2F9A-4B53-9791-EC94B4E8BE61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298" name="Rectangle 7">
          <a:extLst>
            <a:ext uri="{FF2B5EF4-FFF2-40B4-BE49-F238E27FC236}">
              <a16:creationId xmlns:a16="http://schemas.microsoft.com/office/drawing/2014/main" id="{B3AB9C48-FFE3-410A-9ED5-3D0A3A40609A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299" name="Rectangle 8">
          <a:extLst>
            <a:ext uri="{FF2B5EF4-FFF2-40B4-BE49-F238E27FC236}">
              <a16:creationId xmlns:a16="http://schemas.microsoft.com/office/drawing/2014/main" id="{E9C60E5F-45B8-4243-94EA-651475CB6D8B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300" name="Line 3">
          <a:extLst>
            <a:ext uri="{FF2B5EF4-FFF2-40B4-BE49-F238E27FC236}">
              <a16:creationId xmlns:a16="http://schemas.microsoft.com/office/drawing/2014/main" id="{454A42EB-9009-42A5-902C-01A84A957929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301" name="Line 5">
          <a:extLst>
            <a:ext uri="{FF2B5EF4-FFF2-40B4-BE49-F238E27FC236}">
              <a16:creationId xmlns:a16="http://schemas.microsoft.com/office/drawing/2014/main" id="{5C1CAB4B-561F-49AB-A1EA-331D160F3CB6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302" name="Line 2">
          <a:extLst>
            <a:ext uri="{FF2B5EF4-FFF2-40B4-BE49-F238E27FC236}">
              <a16:creationId xmlns:a16="http://schemas.microsoft.com/office/drawing/2014/main" id="{136F5AEE-C86A-45E4-A303-FC6CCAFB6C3E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303" name="Line 3">
          <a:extLst>
            <a:ext uri="{FF2B5EF4-FFF2-40B4-BE49-F238E27FC236}">
              <a16:creationId xmlns:a16="http://schemas.microsoft.com/office/drawing/2014/main" id="{DE7D8F88-0D52-45BF-9E43-621D90A90C1F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304" name="Line 4">
          <a:extLst>
            <a:ext uri="{FF2B5EF4-FFF2-40B4-BE49-F238E27FC236}">
              <a16:creationId xmlns:a16="http://schemas.microsoft.com/office/drawing/2014/main" id="{EF627A03-1C3B-4DAF-A100-E40F113DFBEC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305" name="Line 5">
          <a:extLst>
            <a:ext uri="{FF2B5EF4-FFF2-40B4-BE49-F238E27FC236}">
              <a16:creationId xmlns:a16="http://schemas.microsoft.com/office/drawing/2014/main" id="{8D7B89DB-390F-464A-977F-987FF6F0BE67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307" name="Line 2">
          <a:extLst>
            <a:ext uri="{FF2B5EF4-FFF2-40B4-BE49-F238E27FC236}">
              <a16:creationId xmlns:a16="http://schemas.microsoft.com/office/drawing/2014/main" id="{5B1CFF26-3AE9-4849-9808-68E270E7367F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308" name="Line 3">
          <a:extLst>
            <a:ext uri="{FF2B5EF4-FFF2-40B4-BE49-F238E27FC236}">
              <a16:creationId xmlns:a16="http://schemas.microsoft.com/office/drawing/2014/main" id="{66CC695B-6849-42E0-B68F-867FA03892EA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309" name="Line 4">
          <a:extLst>
            <a:ext uri="{FF2B5EF4-FFF2-40B4-BE49-F238E27FC236}">
              <a16:creationId xmlns:a16="http://schemas.microsoft.com/office/drawing/2014/main" id="{59D53F4C-2A2F-4075-9241-279803EA51A0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310" name="Line 5">
          <a:extLst>
            <a:ext uri="{FF2B5EF4-FFF2-40B4-BE49-F238E27FC236}">
              <a16:creationId xmlns:a16="http://schemas.microsoft.com/office/drawing/2014/main" id="{DE92030F-0CE0-4D18-A2D0-C6F757F59725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311" name="Line 2">
          <a:extLst>
            <a:ext uri="{FF2B5EF4-FFF2-40B4-BE49-F238E27FC236}">
              <a16:creationId xmlns:a16="http://schemas.microsoft.com/office/drawing/2014/main" id="{F77F4BB7-F646-480B-AE70-DA9835915BC5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312" name="Line 3">
          <a:extLst>
            <a:ext uri="{FF2B5EF4-FFF2-40B4-BE49-F238E27FC236}">
              <a16:creationId xmlns:a16="http://schemas.microsoft.com/office/drawing/2014/main" id="{9C93F07B-A0A6-4BD7-ABD8-FD4B96E27EF3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313" name="Line 4">
          <a:extLst>
            <a:ext uri="{FF2B5EF4-FFF2-40B4-BE49-F238E27FC236}">
              <a16:creationId xmlns:a16="http://schemas.microsoft.com/office/drawing/2014/main" id="{8991CF21-7A64-4B65-A9D9-66AC94333915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338</xdr:row>
      <xdr:rowOff>0</xdr:rowOff>
    </xdr:from>
    <xdr:to>
      <xdr:col>8</xdr:col>
      <xdr:colOff>180975</xdr:colOff>
      <xdr:row>338</xdr:row>
      <xdr:rowOff>0</xdr:rowOff>
    </xdr:to>
    <xdr:sp macro="" textlink="">
      <xdr:nvSpPr>
        <xdr:cNvPr id="1315" name="Line 7">
          <a:extLst>
            <a:ext uri="{FF2B5EF4-FFF2-40B4-BE49-F238E27FC236}">
              <a16:creationId xmlns:a16="http://schemas.microsoft.com/office/drawing/2014/main" id="{ED06650F-C419-432B-8BC0-EAE0DCBDD3A7}"/>
            </a:ext>
          </a:extLst>
        </xdr:cNvPr>
        <xdr:cNvSpPr>
          <a:spLocks noChangeShapeType="1"/>
        </xdr:cNvSpPr>
      </xdr:nvSpPr>
      <xdr:spPr bwMode="auto">
        <a:xfrm>
          <a:off x="4924425" y="56540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316" name="Line 3">
          <a:extLst>
            <a:ext uri="{FF2B5EF4-FFF2-40B4-BE49-F238E27FC236}">
              <a16:creationId xmlns:a16="http://schemas.microsoft.com/office/drawing/2014/main" id="{003F163A-28B5-4759-89FD-F146E105DCCA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317" name="Line 5">
          <a:extLst>
            <a:ext uri="{FF2B5EF4-FFF2-40B4-BE49-F238E27FC236}">
              <a16:creationId xmlns:a16="http://schemas.microsoft.com/office/drawing/2014/main" id="{E4B09037-BBE9-474D-BD16-D12EB5693138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318" name="Line 2">
          <a:extLst>
            <a:ext uri="{FF2B5EF4-FFF2-40B4-BE49-F238E27FC236}">
              <a16:creationId xmlns:a16="http://schemas.microsoft.com/office/drawing/2014/main" id="{8BAC6D33-6264-4898-A877-29F594CB02EF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319" name="Line 3">
          <a:extLst>
            <a:ext uri="{FF2B5EF4-FFF2-40B4-BE49-F238E27FC236}">
              <a16:creationId xmlns:a16="http://schemas.microsoft.com/office/drawing/2014/main" id="{F22AEA96-1529-4D39-A3F4-8BB432F7F4D8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320" name="Line 4">
          <a:extLst>
            <a:ext uri="{FF2B5EF4-FFF2-40B4-BE49-F238E27FC236}">
              <a16:creationId xmlns:a16="http://schemas.microsoft.com/office/drawing/2014/main" id="{E6CC2CEB-D2E2-4F7D-BE5A-2D80D84C3350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321" name="Line 5">
          <a:extLst>
            <a:ext uri="{FF2B5EF4-FFF2-40B4-BE49-F238E27FC236}">
              <a16:creationId xmlns:a16="http://schemas.microsoft.com/office/drawing/2014/main" id="{64DB056D-A5B7-41DE-BAEB-8A6EC82F31FA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322" name="Line 2">
          <a:extLst>
            <a:ext uri="{FF2B5EF4-FFF2-40B4-BE49-F238E27FC236}">
              <a16:creationId xmlns:a16="http://schemas.microsoft.com/office/drawing/2014/main" id="{19E75237-FA46-47B9-8D62-C32F0E29F479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323" name="Line 3">
          <a:extLst>
            <a:ext uri="{FF2B5EF4-FFF2-40B4-BE49-F238E27FC236}">
              <a16:creationId xmlns:a16="http://schemas.microsoft.com/office/drawing/2014/main" id="{A313FC67-41F1-4E65-903A-5841443CBCC4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324" name="Line 4">
          <a:extLst>
            <a:ext uri="{FF2B5EF4-FFF2-40B4-BE49-F238E27FC236}">
              <a16:creationId xmlns:a16="http://schemas.microsoft.com/office/drawing/2014/main" id="{D2B46C6D-FFBE-43B6-B0B0-678CAD5EB514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325" name="Line 5">
          <a:extLst>
            <a:ext uri="{FF2B5EF4-FFF2-40B4-BE49-F238E27FC236}">
              <a16:creationId xmlns:a16="http://schemas.microsoft.com/office/drawing/2014/main" id="{8B362286-A09F-4946-B95E-2654C8CAC720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326" name="Line 2">
          <a:extLst>
            <a:ext uri="{FF2B5EF4-FFF2-40B4-BE49-F238E27FC236}">
              <a16:creationId xmlns:a16="http://schemas.microsoft.com/office/drawing/2014/main" id="{96CB04D1-4560-4A7F-A868-ECF988077814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327" name="Line 3">
          <a:extLst>
            <a:ext uri="{FF2B5EF4-FFF2-40B4-BE49-F238E27FC236}">
              <a16:creationId xmlns:a16="http://schemas.microsoft.com/office/drawing/2014/main" id="{BFB5D5A7-9F2A-492E-A6D9-5B718F2D7F12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328" name="Line 4">
          <a:extLst>
            <a:ext uri="{FF2B5EF4-FFF2-40B4-BE49-F238E27FC236}">
              <a16:creationId xmlns:a16="http://schemas.microsoft.com/office/drawing/2014/main" id="{6865D307-4105-4739-BB38-B4D9E65E3411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437</xdr:row>
      <xdr:rowOff>0</xdr:rowOff>
    </xdr:from>
    <xdr:to>
      <xdr:col>8</xdr:col>
      <xdr:colOff>180975</xdr:colOff>
      <xdr:row>437</xdr:row>
      <xdr:rowOff>0</xdr:rowOff>
    </xdr:to>
    <xdr:sp macro="" textlink="">
      <xdr:nvSpPr>
        <xdr:cNvPr id="1329" name="Line 5">
          <a:extLst>
            <a:ext uri="{FF2B5EF4-FFF2-40B4-BE49-F238E27FC236}">
              <a16:creationId xmlns:a16="http://schemas.microsoft.com/office/drawing/2014/main" id="{B697E12F-5D7F-4DA1-BD18-0476B3D39F44}"/>
            </a:ext>
          </a:extLst>
        </xdr:cNvPr>
        <xdr:cNvSpPr>
          <a:spLocks noChangeShapeType="1"/>
        </xdr:cNvSpPr>
      </xdr:nvSpPr>
      <xdr:spPr bwMode="auto">
        <a:xfrm>
          <a:off x="4924425" y="73590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438</xdr:row>
      <xdr:rowOff>0</xdr:rowOff>
    </xdr:from>
    <xdr:to>
      <xdr:col>8</xdr:col>
      <xdr:colOff>180975</xdr:colOff>
      <xdr:row>438</xdr:row>
      <xdr:rowOff>0</xdr:rowOff>
    </xdr:to>
    <xdr:sp macro="" textlink="">
      <xdr:nvSpPr>
        <xdr:cNvPr id="1330" name="Line 7">
          <a:extLst>
            <a:ext uri="{FF2B5EF4-FFF2-40B4-BE49-F238E27FC236}">
              <a16:creationId xmlns:a16="http://schemas.microsoft.com/office/drawing/2014/main" id="{DA88F3A5-4558-424B-92A2-CBCF21C15EB5}"/>
            </a:ext>
          </a:extLst>
        </xdr:cNvPr>
        <xdr:cNvSpPr>
          <a:spLocks noChangeShapeType="1"/>
        </xdr:cNvSpPr>
      </xdr:nvSpPr>
      <xdr:spPr bwMode="auto">
        <a:xfrm>
          <a:off x="4924425" y="73733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331" name="Line 2">
          <a:extLst>
            <a:ext uri="{FF2B5EF4-FFF2-40B4-BE49-F238E27FC236}">
              <a16:creationId xmlns:a16="http://schemas.microsoft.com/office/drawing/2014/main" id="{5ACA8FA2-7C59-44EC-A457-56FDB86C1BA4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332" name="Line 3">
          <a:extLst>
            <a:ext uri="{FF2B5EF4-FFF2-40B4-BE49-F238E27FC236}">
              <a16:creationId xmlns:a16="http://schemas.microsoft.com/office/drawing/2014/main" id="{33FBBAAE-8FE6-4B20-AEC9-0D3050601E20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1333" name="Line 4">
          <a:extLst>
            <a:ext uri="{FF2B5EF4-FFF2-40B4-BE49-F238E27FC236}">
              <a16:creationId xmlns:a16="http://schemas.microsoft.com/office/drawing/2014/main" id="{88FE35DE-930D-4FF2-9FEC-D7B49233273C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336" name="Line 2">
          <a:extLst>
            <a:ext uri="{FF2B5EF4-FFF2-40B4-BE49-F238E27FC236}">
              <a16:creationId xmlns:a16="http://schemas.microsoft.com/office/drawing/2014/main" id="{4430F2DF-EF50-48EF-9005-CD5B189FF6F2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337" name="Line 3">
          <a:extLst>
            <a:ext uri="{FF2B5EF4-FFF2-40B4-BE49-F238E27FC236}">
              <a16:creationId xmlns:a16="http://schemas.microsoft.com/office/drawing/2014/main" id="{AAC021DF-55A2-42A8-8E15-EE13164F9748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338" name="Line 4">
          <a:extLst>
            <a:ext uri="{FF2B5EF4-FFF2-40B4-BE49-F238E27FC236}">
              <a16:creationId xmlns:a16="http://schemas.microsoft.com/office/drawing/2014/main" id="{3F849CFA-B487-40EC-9EB6-786C33628D1F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339" name="Line 5">
          <a:extLst>
            <a:ext uri="{FF2B5EF4-FFF2-40B4-BE49-F238E27FC236}">
              <a16:creationId xmlns:a16="http://schemas.microsoft.com/office/drawing/2014/main" id="{F0ACE483-6048-40C3-A107-EBD134147B51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341" name="Line 2">
          <a:extLst>
            <a:ext uri="{FF2B5EF4-FFF2-40B4-BE49-F238E27FC236}">
              <a16:creationId xmlns:a16="http://schemas.microsoft.com/office/drawing/2014/main" id="{3E871608-4626-44D4-92F5-8FE8111C136E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342" name="Line 3">
          <a:extLst>
            <a:ext uri="{FF2B5EF4-FFF2-40B4-BE49-F238E27FC236}">
              <a16:creationId xmlns:a16="http://schemas.microsoft.com/office/drawing/2014/main" id="{E0D19607-D6ED-48E0-A4AD-0D36812D73E1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343" name="Line 4">
          <a:extLst>
            <a:ext uri="{FF2B5EF4-FFF2-40B4-BE49-F238E27FC236}">
              <a16:creationId xmlns:a16="http://schemas.microsoft.com/office/drawing/2014/main" id="{73E857DA-EAE6-430B-9F01-F96A19518A33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344" name="Line 5">
          <a:extLst>
            <a:ext uri="{FF2B5EF4-FFF2-40B4-BE49-F238E27FC236}">
              <a16:creationId xmlns:a16="http://schemas.microsoft.com/office/drawing/2014/main" id="{ABAAD638-F990-4434-9781-472308497BD0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345" name="Line 2">
          <a:extLst>
            <a:ext uri="{FF2B5EF4-FFF2-40B4-BE49-F238E27FC236}">
              <a16:creationId xmlns:a16="http://schemas.microsoft.com/office/drawing/2014/main" id="{6EDF2485-0728-40C6-B6AA-90AAD6A64109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346" name="Line 3">
          <a:extLst>
            <a:ext uri="{FF2B5EF4-FFF2-40B4-BE49-F238E27FC236}">
              <a16:creationId xmlns:a16="http://schemas.microsoft.com/office/drawing/2014/main" id="{34FCA4B5-CF1F-4341-9AFB-450F2E30C2E7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347" name="Line 4">
          <a:extLst>
            <a:ext uri="{FF2B5EF4-FFF2-40B4-BE49-F238E27FC236}">
              <a16:creationId xmlns:a16="http://schemas.microsoft.com/office/drawing/2014/main" id="{D4A6B8AA-3900-44D6-824E-489670EC7FD6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348" name="Line 2">
          <a:extLst>
            <a:ext uri="{FF2B5EF4-FFF2-40B4-BE49-F238E27FC236}">
              <a16:creationId xmlns:a16="http://schemas.microsoft.com/office/drawing/2014/main" id="{DF40F015-260F-4AAC-A13E-A0CAF49906E1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349" name="Line 3">
          <a:extLst>
            <a:ext uri="{FF2B5EF4-FFF2-40B4-BE49-F238E27FC236}">
              <a16:creationId xmlns:a16="http://schemas.microsoft.com/office/drawing/2014/main" id="{CE21E9DD-A136-43E0-B480-A01F0B0286E6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1350" name="Line 4">
          <a:extLst>
            <a:ext uri="{FF2B5EF4-FFF2-40B4-BE49-F238E27FC236}">
              <a16:creationId xmlns:a16="http://schemas.microsoft.com/office/drawing/2014/main" id="{BC078D1D-1AF0-4029-8219-FD8EC6B50D2E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351" name="Line 2">
          <a:extLst>
            <a:ext uri="{FF2B5EF4-FFF2-40B4-BE49-F238E27FC236}">
              <a16:creationId xmlns:a16="http://schemas.microsoft.com/office/drawing/2014/main" id="{A6761D93-BA35-485B-9125-CD7853FC6FD1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352" name="Line 3">
          <a:extLst>
            <a:ext uri="{FF2B5EF4-FFF2-40B4-BE49-F238E27FC236}">
              <a16:creationId xmlns:a16="http://schemas.microsoft.com/office/drawing/2014/main" id="{B64429BC-4911-4A27-851A-7BF8E4D72618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475</xdr:row>
      <xdr:rowOff>0</xdr:rowOff>
    </xdr:from>
    <xdr:to>
      <xdr:col>8</xdr:col>
      <xdr:colOff>180975</xdr:colOff>
      <xdr:row>475</xdr:row>
      <xdr:rowOff>0</xdr:rowOff>
    </xdr:to>
    <xdr:sp macro="" textlink="">
      <xdr:nvSpPr>
        <xdr:cNvPr id="1353" name="Line 4">
          <a:extLst>
            <a:ext uri="{FF2B5EF4-FFF2-40B4-BE49-F238E27FC236}">
              <a16:creationId xmlns:a16="http://schemas.microsoft.com/office/drawing/2014/main" id="{00D073C0-47EA-4A42-8219-6F9724E71E9A}"/>
            </a:ext>
          </a:extLst>
        </xdr:cNvPr>
        <xdr:cNvSpPr>
          <a:spLocks noChangeShapeType="1"/>
        </xdr:cNvSpPr>
      </xdr:nvSpPr>
      <xdr:spPr bwMode="auto">
        <a:xfrm>
          <a:off x="4924425" y="809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354" name="Line 3">
          <a:extLst>
            <a:ext uri="{FF2B5EF4-FFF2-40B4-BE49-F238E27FC236}">
              <a16:creationId xmlns:a16="http://schemas.microsoft.com/office/drawing/2014/main" id="{0B842F2A-7CAD-48CD-A667-532C0794F3E9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355" name="Line 5">
          <a:extLst>
            <a:ext uri="{FF2B5EF4-FFF2-40B4-BE49-F238E27FC236}">
              <a16:creationId xmlns:a16="http://schemas.microsoft.com/office/drawing/2014/main" id="{A6CFB212-397E-4CF3-9C82-A38605CC5294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356" name="Line 2">
          <a:extLst>
            <a:ext uri="{FF2B5EF4-FFF2-40B4-BE49-F238E27FC236}">
              <a16:creationId xmlns:a16="http://schemas.microsoft.com/office/drawing/2014/main" id="{3F8EE1B4-CB2E-414E-8A1D-784AF397AFDA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357" name="Line 3">
          <a:extLst>
            <a:ext uri="{FF2B5EF4-FFF2-40B4-BE49-F238E27FC236}">
              <a16:creationId xmlns:a16="http://schemas.microsoft.com/office/drawing/2014/main" id="{0A2CEF48-DEDA-48FB-844C-351757EEA647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358" name="Line 4">
          <a:extLst>
            <a:ext uri="{FF2B5EF4-FFF2-40B4-BE49-F238E27FC236}">
              <a16:creationId xmlns:a16="http://schemas.microsoft.com/office/drawing/2014/main" id="{8D97A30C-3384-46E3-B909-A8CD8DC390C6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359" name="Line 5">
          <a:extLst>
            <a:ext uri="{FF2B5EF4-FFF2-40B4-BE49-F238E27FC236}">
              <a16:creationId xmlns:a16="http://schemas.microsoft.com/office/drawing/2014/main" id="{76C0CC3D-7AA2-4A8B-B2E9-4235500CEDD0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360" name="Line 7">
          <a:extLst>
            <a:ext uri="{FF2B5EF4-FFF2-40B4-BE49-F238E27FC236}">
              <a16:creationId xmlns:a16="http://schemas.microsoft.com/office/drawing/2014/main" id="{69960A7A-004C-421F-A71C-A573D9565953}"/>
            </a:ext>
          </a:extLst>
        </xdr:cNvPr>
        <xdr:cNvSpPr>
          <a:spLocks noChangeShapeType="1"/>
        </xdr:cNvSpPr>
      </xdr:nvSpPr>
      <xdr:spPr bwMode="auto">
        <a:xfrm>
          <a:off x="4924425" y="92954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361" name="Line 2">
          <a:extLst>
            <a:ext uri="{FF2B5EF4-FFF2-40B4-BE49-F238E27FC236}">
              <a16:creationId xmlns:a16="http://schemas.microsoft.com/office/drawing/2014/main" id="{50BBEE24-237A-4C34-9F8E-58957DA170E4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362" name="Line 3">
          <a:extLst>
            <a:ext uri="{FF2B5EF4-FFF2-40B4-BE49-F238E27FC236}">
              <a16:creationId xmlns:a16="http://schemas.microsoft.com/office/drawing/2014/main" id="{2C292A2E-A27C-4349-8BB4-E82A0E9346F7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363" name="Line 4">
          <a:extLst>
            <a:ext uri="{FF2B5EF4-FFF2-40B4-BE49-F238E27FC236}">
              <a16:creationId xmlns:a16="http://schemas.microsoft.com/office/drawing/2014/main" id="{4C91E42B-2617-4A1F-93F2-D40492C5E0CE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364" name="Line 5">
          <a:extLst>
            <a:ext uri="{FF2B5EF4-FFF2-40B4-BE49-F238E27FC236}">
              <a16:creationId xmlns:a16="http://schemas.microsoft.com/office/drawing/2014/main" id="{1ACAA45F-AA92-4835-BFF4-CAF3375AB803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365" name="Line 2">
          <a:extLst>
            <a:ext uri="{FF2B5EF4-FFF2-40B4-BE49-F238E27FC236}">
              <a16:creationId xmlns:a16="http://schemas.microsoft.com/office/drawing/2014/main" id="{16A77544-AC54-4E58-BDE1-9FC71CFC6E2E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366" name="Line 3">
          <a:extLst>
            <a:ext uri="{FF2B5EF4-FFF2-40B4-BE49-F238E27FC236}">
              <a16:creationId xmlns:a16="http://schemas.microsoft.com/office/drawing/2014/main" id="{419F05ED-1960-43B5-8A0A-3DAAAFF70C48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367" name="Line 4">
          <a:extLst>
            <a:ext uri="{FF2B5EF4-FFF2-40B4-BE49-F238E27FC236}">
              <a16:creationId xmlns:a16="http://schemas.microsoft.com/office/drawing/2014/main" id="{E7B2DFC2-912A-4E76-A879-CFA82D9345CE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368" name="Line 2">
          <a:extLst>
            <a:ext uri="{FF2B5EF4-FFF2-40B4-BE49-F238E27FC236}">
              <a16:creationId xmlns:a16="http://schemas.microsoft.com/office/drawing/2014/main" id="{07B671F6-66F5-4C89-8061-0DBA37D1C5B8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369" name="Line 3">
          <a:extLst>
            <a:ext uri="{FF2B5EF4-FFF2-40B4-BE49-F238E27FC236}">
              <a16:creationId xmlns:a16="http://schemas.microsoft.com/office/drawing/2014/main" id="{6CE9D5E2-0288-4A53-99C0-6D1EC7637817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508</xdr:row>
      <xdr:rowOff>0</xdr:rowOff>
    </xdr:from>
    <xdr:to>
      <xdr:col>8</xdr:col>
      <xdr:colOff>180975</xdr:colOff>
      <xdr:row>508</xdr:row>
      <xdr:rowOff>0</xdr:rowOff>
    </xdr:to>
    <xdr:sp macro="" textlink="">
      <xdr:nvSpPr>
        <xdr:cNvPr id="1370" name="Line 4">
          <a:extLst>
            <a:ext uri="{FF2B5EF4-FFF2-40B4-BE49-F238E27FC236}">
              <a16:creationId xmlns:a16="http://schemas.microsoft.com/office/drawing/2014/main" id="{8570D507-1CF5-4C93-A364-D2A15DF48C12}"/>
            </a:ext>
          </a:extLst>
        </xdr:cNvPr>
        <xdr:cNvSpPr>
          <a:spLocks noChangeShapeType="1"/>
        </xdr:cNvSpPr>
      </xdr:nvSpPr>
      <xdr:spPr bwMode="auto">
        <a:xfrm>
          <a:off x="4924425" y="89373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371" name="Line 2">
          <a:extLst>
            <a:ext uri="{FF2B5EF4-FFF2-40B4-BE49-F238E27FC236}">
              <a16:creationId xmlns:a16="http://schemas.microsoft.com/office/drawing/2014/main" id="{45970808-B6A4-4200-918E-6F9E3DBEBD34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372" name="Line 3">
          <a:extLst>
            <a:ext uri="{FF2B5EF4-FFF2-40B4-BE49-F238E27FC236}">
              <a16:creationId xmlns:a16="http://schemas.microsoft.com/office/drawing/2014/main" id="{9D5879F3-9A28-4E04-A43D-99543B9DC7A3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1373" name="Line 4">
          <a:extLst>
            <a:ext uri="{FF2B5EF4-FFF2-40B4-BE49-F238E27FC236}">
              <a16:creationId xmlns:a16="http://schemas.microsoft.com/office/drawing/2014/main" id="{74E7F665-DA19-4B3F-88E9-3B38B050ED51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374" name="Line 3">
          <a:extLst>
            <a:ext uri="{FF2B5EF4-FFF2-40B4-BE49-F238E27FC236}">
              <a16:creationId xmlns:a16="http://schemas.microsoft.com/office/drawing/2014/main" id="{ADF7B890-C1D8-4323-A824-EA09272DD8CA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375" name="Line 5">
          <a:extLst>
            <a:ext uri="{FF2B5EF4-FFF2-40B4-BE49-F238E27FC236}">
              <a16:creationId xmlns:a16="http://schemas.microsoft.com/office/drawing/2014/main" id="{4BA8B5EE-6C9F-4867-B0E4-9C06359A1200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376" name="Line 2">
          <a:extLst>
            <a:ext uri="{FF2B5EF4-FFF2-40B4-BE49-F238E27FC236}">
              <a16:creationId xmlns:a16="http://schemas.microsoft.com/office/drawing/2014/main" id="{8DDF85FD-2F62-437E-85F4-EC7175826902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377" name="Line 3">
          <a:extLst>
            <a:ext uri="{FF2B5EF4-FFF2-40B4-BE49-F238E27FC236}">
              <a16:creationId xmlns:a16="http://schemas.microsoft.com/office/drawing/2014/main" id="{7821D1A9-3D74-4CC8-9927-5F8CEEFACC9B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378" name="Line 4">
          <a:extLst>
            <a:ext uri="{FF2B5EF4-FFF2-40B4-BE49-F238E27FC236}">
              <a16:creationId xmlns:a16="http://schemas.microsoft.com/office/drawing/2014/main" id="{6679D926-7D12-4F32-95CE-A6B6B857B362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379" name="Line 5">
          <a:extLst>
            <a:ext uri="{FF2B5EF4-FFF2-40B4-BE49-F238E27FC236}">
              <a16:creationId xmlns:a16="http://schemas.microsoft.com/office/drawing/2014/main" id="{B92E8AC2-6954-46C5-93CD-DB99F39D2D80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583</xdr:row>
      <xdr:rowOff>0</xdr:rowOff>
    </xdr:from>
    <xdr:to>
      <xdr:col>8</xdr:col>
      <xdr:colOff>180975</xdr:colOff>
      <xdr:row>583</xdr:row>
      <xdr:rowOff>0</xdr:rowOff>
    </xdr:to>
    <xdr:sp macro="" textlink="">
      <xdr:nvSpPr>
        <xdr:cNvPr id="1380" name="Line 7">
          <a:extLst>
            <a:ext uri="{FF2B5EF4-FFF2-40B4-BE49-F238E27FC236}">
              <a16:creationId xmlns:a16="http://schemas.microsoft.com/office/drawing/2014/main" id="{6816358A-2140-407E-92F3-D1500C10B9A3}"/>
            </a:ext>
          </a:extLst>
        </xdr:cNvPr>
        <xdr:cNvSpPr>
          <a:spLocks noChangeShapeType="1"/>
        </xdr:cNvSpPr>
      </xdr:nvSpPr>
      <xdr:spPr bwMode="auto">
        <a:xfrm>
          <a:off x="4924425" y="101765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381" name="Line 2">
          <a:extLst>
            <a:ext uri="{FF2B5EF4-FFF2-40B4-BE49-F238E27FC236}">
              <a16:creationId xmlns:a16="http://schemas.microsoft.com/office/drawing/2014/main" id="{2892701F-D9F9-4181-BBB1-146FFABEC9B5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382" name="Line 3">
          <a:extLst>
            <a:ext uri="{FF2B5EF4-FFF2-40B4-BE49-F238E27FC236}">
              <a16:creationId xmlns:a16="http://schemas.microsoft.com/office/drawing/2014/main" id="{43EF6E3E-78C6-4BB9-8820-2C539704A17C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383" name="Line 4">
          <a:extLst>
            <a:ext uri="{FF2B5EF4-FFF2-40B4-BE49-F238E27FC236}">
              <a16:creationId xmlns:a16="http://schemas.microsoft.com/office/drawing/2014/main" id="{5D38FF10-34FB-4115-AC24-A23C8FAB754A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384" name="Line 5">
          <a:extLst>
            <a:ext uri="{FF2B5EF4-FFF2-40B4-BE49-F238E27FC236}">
              <a16:creationId xmlns:a16="http://schemas.microsoft.com/office/drawing/2014/main" id="{F4EBD4A3-723F-422F-9EB0-68DE06B825F8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385" name="Line 2">
          <a:extLst>
            <a:ext uri="{FF2B5EF4-FFF2-40B4-BE49-F238E27FC236}">
              <a16:creationId xmlns:a16="http://schemas.microsoft.com/office/drawing/2014/main" id="{AFBB5BC6-2DD7-42DE-9DD6-1F0B81FC1119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386" name="Line 3">
          <a:extLst>
            <a:ext uri="{FF2B5EF4-FFF2-40B4-BE49-F238E27FC236}">
              <a16:creationId xmlns:a16="http://schemas.microsoft.com/office/drawing/2014/main" id="{0D2F43E4-354D-4351-9CF4-DCB7C62C1CFE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387" name="Line 4">
          <a:extLst>
            <a:ext uri="{FF2B5EF4-FFF2-40B4-BE49-F238E27FC236}">
              <a16:creationId xmlns:a16="http://schemas.microsoft.com/office/drawing/2014/main" id="{4A60B4E8-F583-4427-8236-1FC88FE323B3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388" name="Line 2">
          <a:extLst>
            <a:ext uri="{FF2B5EF4-FFF2-40B4-BE49-F238E27FC236}">
              <a16:creationId xmlns:a16="http://schemas.microsoft.com/office/drawing/2014/main" id="{1DC9FE84-7D6A-479B-9DB3-E4064576F29A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389" name="Line 3">
          <a:extLst>
            <a:ext uri="{FF2B5EF4-FFF2-40B4-BE49-F238E27FC236}">
              <a16:creationId xmlns:a16="http://schemas.microsoft.com/office/drawing/2014/main" id="{24DCCC9F-1A6C-4B4F-AED5-2960D83A989E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558</xdr:row>
      <xdr:rowOff>0</xdr:rowOff>
    </xdr:from>
    <xdr:to>
      <xdr:col>8</xdr:col>
      <xdr:colOff>180975</xdr:colOff>
      <xdr:row>558</xdr:row>
      <xdr:rowOff>0</xdr:rowOff>
    </xdr:to>
    <xdr:sp macro="" textlink="">
      <xdr:nvSpPr>
        <xdr:cNvPr id="1390" name="Line 4">
          <a:extLst>
            <a:ext uri="{FF2B5EF4-FFF2-40B4-BE49-F238E27FC236}">
              <a16:creationId xmlns:a16="http://schemas.microsoft.com/office/drawing/2014/main" id="{E1E356B7-2E97-4E09-9B9B-7AF03E224342}"/>
            </a:ext>
          </a:extLst>
        </xdr:cNvPr>
        <xdr:cNvSpPr>
          <a:spLocks noChangeShapeType="1"/>
        </xdr:cNvSpPr>
      </xdr:nvSpPr>
      <xdr:spPr bwMode="auto">
        <a:xfrm>
          <a:off x="4924425" y="9805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391" name="Line 2">
          <a:extLst>
            <a:ext uri="{FF2B5EF4-FFF2-40B4-BE49-F238E27FC236}">
              <a16:creationId xmlns:a16="http://schemas.microsoft.com/office/drawing/2014/main" id="{4BDC3E87-1866-4653-9419-3975B3702278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392" name="Line 3">
          <a:extLst>
            <a:ext uri="{FF2B5EF4-FFF2-40B4-BE49-F238E27FC236}">
              <a16:creationId xmlns:a16="http://schemas.microsoft.com/office/drawing/2014/main" id="{749CD1BE-6B56-41B4-A526-BBD9000CD29F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562</xdr:row>
      <xdr:rowOff>0</xdr:rowOff>
    </xdr:from>
    <xdr:to>
      <xdr:col>8</xdr:col>
      <xdr:colOff>180975</xdr:colOff>
      <xdr:row>562</xdr:row>
      <xdr:rowOff>0</xdr:rowOff>
    </xdr:to>
    <xdr:sp macro="" textlink="">
      <xdr:nvSpPr>
        <xdr:cNvPr id="1393" name="Line 4">
          <a:extLst>
            <a:ext uri="{FF2B5EF4-FFF2-40B4-BE49-F238E27FC236}">
              <a16:creationId xmlns:a16="http://schemas.microsoft.com/office/drawing/2014/main" id="{E9B23967-41EC-4BF3-9149-5A3C726F0448}"/>
            </a:ext>
          </a:extLst>
        </xdr:cNvPr>
        <xdr:cNvSpPr>
          <a:spLocks noChangeShapeType="1"/>
        </xdr:cNvSpPr>
      </xdr:nvSpPr>
      <xdr:spPr bwMode="auto">
        <a:xfrm>
          <a:off x="4924425" y="98621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394" name="Line 3">
          <a:extLst>
            <a:ext uri="{FF2B5EF4-FFF2-40B4-BE49-F238E27FC236}">
              <a16:creationId xmlns:a16="http://schemas.microsoft.com/office/drawing/2014/main" id="{226EC4A8-F0CB-428F-AB9D-37F870570021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395" name="Line 5">
          <a:extLst>
            <a:ext uri="{FF2B5EF4-FFF2-40B4-BE49-F238E27FC236}">
              <a16:creationId xmlns:a16="http://schemas.microsoft.com/office/drawing/2014/main" id="{2957D49F-329B-47F9-BD82-6B6F81D5319A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396" name="Line 2">
          <a:extLst>
            <a:ext uri="{FF2B5EF4-FFF2-40B4-BE49-F238E27FC236}">
              <a16:creationId xmlns:a16="http://schemas.microsoft.com/office/drawing/2014/main" id="{A979E15D-7654-41AF-8904-ADBBB22C66BF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397" name="Line 3">
          <a:extLst>
            <a:ext uri="{FF2B5EF4-FFF2-40B4-BE49-F238E27FC236}">
              <a16:creationId xmlns:a16="http://schemas.microsoft.com/office/drawing/2014/main" id="{99F9D711-1B62-401A-BE12-4D0D6DEB21C6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398" name="Line 4">
          <a:extLst>
            <a:ext uri="{FF2B5EF4-FFF2-40B4-BE49-F238E27FC236}">
              <a16:creationId xmlns:a16="http://schemas.microsoft.com/office/drawing/2014/main" id="{FC187F55-0E99-4904-BD2D-78895B2A6FD1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399" name="Line 5">
          <a:extLst>
            <a:ext uri="{FF2B5EF4-FFF2-40B4-BE49-F238E27FC236}">
              <a16:creationId xmlns:a16="http://schemas.microsoft.com/office/drawing/2014/main" id="{B96D387A-DDEE-4335-A922-60100433ECB3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1400" name="Line 7">
          <a:extLst>
            <a:ext uri="{FF2B5EF4-FFF2-40B4-BE49-F238E27FC236}">
              <a16:creationId xmlns:a16="http://schemas.microsoft.com/office/drawing/2014/main" id="{1C2C4B49-0335-45A8-A617-60944744FC47}"/>
            </a:ext>
          </a:extLst>
        </xdr:cNvPr>
        <xdr:cNvSpPr>
          <a:spLocks noChangeShapeType="1"/>
        </xdr:cNvSpPr>
      </xdr:nvSpPr>
      <xdr:spPr bwMode="auto">
        <a:xfrm>
          <a:off x="4924425" y="11015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401" name="Line 2">
          <a:extLst>
            <a:ext uri="{FF2B5EF4-FFF2-40B4-BE49-F238E27FC236}">
              <a16:creationId xmlns:a16="http://schemas.microsoft.com/office/drawing/2014/main" id="{0069B469-1708-4D01-BE09-2B9DA3887B5D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402" name="Line 3">
          <a:extLst>
            <a:ext uri="{FF2B5EF4-FFF2-40B4-BE49-F238E27FC236}">
              <a16:creationId xmlns:a16="http://schemas.microsoft.com/office/drawing/2014/main" id="{BF1218E0-9A2F-4EA7-AC0D-6EDCE663102F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403" name="Line 4">
          <a:extLst>
            <a:ext uri="{FF2B5EF4-FFF2-40B4-BE49-F238E27FC236}">
              <a16:creationId xmlns:a16="http://schemas.microsoft.com/office/drawing/2014/main" id="{518A0C23-3844-4667-BEB8-947C2FFAF63A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404" name="Line 5">
          <a:extLst>
            <a:ext uri="{FF2B5EF4-FFF2-40B4-BE49-F238E27FC236}">
              <a16:creationId xmlns:a16="http://schemas.microsoft.com/office/drawing/2014/main" id="{09D2DE52-B781-4700-8719-DD942AB07A9D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405" name="Line 2">
          <a:extLst>
            <a:ext uri="{FF2B5EF4-FFF2-40B4-BE49-F238E27FC236}">
              <a16:creationId xmlns:a16="http://schemas.microsoft.com/office/drawing/2014/main" id="{FCE91453-0E7C-4988-BB02-A48898043AF9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406" name="Line 3">
          <a:extLst>
            <a:ext uri="{FF2B5EF4-FFF2-40B4-BE49-F238E27FC236}">
              <a16:creationId xmlns:a16="http://schemas.microsoft.com/office/drawing/2014/main" id="{B9F95F9C-FCCC-4A0F-B778-585F1EB991E3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407" name="Line 4">
          <a:extLst>
            <a:ext uri="{FF2B5EF4-FFF2-40B4-BE49-F238E27FC236}">
              <a16:creationId xmlns:a16="http://schemas.microsoft.com/office/drawing/2014/main" id="{79C3FE57-524C-4313-B62F-323C70D2B992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408" name="Line 2">
          <a:extLst>
            <a:ext uri="{FF2B5EF4-FFF2-40B4-BE49-F238E27FC236}">
              <a16:creationId xmlns:a16="http://schemas.microsoft.com/office/drawing/2014/main" id="{1CEAB399-DA06-401E-8FA6-599B67DA6668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409" name="Line 3">
          <a:extLst>
            <a:ext uri="{FF2B5EF4-FFF2-40B4-BE49-F238E27FC236}">
              <a16:creationId xmlns:a16="http://schemas.microsoft.com/office/drawing/2014/main" id="{E821183F-E85B-4771-920B-3E1D8DAF373B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410" name="Line 4">
          <a:extLst>
            <a:ext uri="{FF2B5EF4-FFF2-40B4-BE49-F238E27FC236}">
              <a16:creationId xmlns:a16="http://schemas.microsoft.com/office/drawing/2014/main" id="{2CA365F8-08E7-4FC7-AFFE-B0D1EE55234D}"/>
            </a:ext>
          </a:extLst>
        </xdr:cNvPr>
        <xdr:cNvSpPr>
          <a:spLocks noChangeShapeType="1"/>
        </xdr:cNvSpPr>
      </xdr:nvSpPr>
      <xdr:spPr bwMode="auto">
        <a:xfrm>
          <a:off x="4924425" y="106584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411" name="Line 2">
          <a:extLst>
            <a:ext uri="{FF2B5EF4-FFF2-40B4-BE49-F238E27FC236}">
              <a16:creationId xmlns:a16="http://schemas.microsoft.com/office/drawing/2014/main" id="{825D7F1F-DD7C-4841-A3A6-393CB56A703F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412" name="Line 3">
          <a:extLst>
            <a:ext uri="{FF2B5EF4-FFF2-40B4-BE49-F238E27FC236}">
              <a16:creationId xmlns:a16="http://schemas.microsoft.com/office/drawing/2014/main" id="{1A75A67E-0B9C-471E-9C55-A741ED933674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612</xdr:row>
      <xdr:rowOff>0</xdr:rowOff>
    </xdr:from>
    <xdr:to>
      <xdr:col>8</xdr:col>
      <xdr:colOff>180975</xdr:colOff>
      <xdr:row>612</xdr:row>
      <xdr:rowOff>0</xdr:rowOff>
    </xdr:to>
    <xdr:sp macro="" textlink="">
      <xdr:nvSpPr>
        <xdr:cNvPr id="1413" name="Line 4">
          <a:extLst>
            <a:ext uri="{FF2B5EF4-FFF2-40B4-BE49-F238E27FC236}">
              <a16:creationId xmlns:a16="http://schemas.microsoft.com/office/drawing/2014/main" id="{33123516-661A-4336-B073-03CC0657D6B3}"/>
            </a:ext>
          </a:extLst>
        </xdr:cNvPr>
        <xdr:cNvSpPr>
          <a:spLocks noChangeShapeType="1"/>
        </xdr:cNvSpPr>
      </xdr:nvSpPr>
      <xdr:spPr bwMode="auto">
        <a:xfrm>
          <a:off x="4924425" y="107013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415" name="Line 3">
          <a:extLst>
            <a:ext uri="{FF2B5EF4-FFF2-40B4-BE49-F238E27FC236}">
              <a16:creationId xmlns:a16="http://schemas.microsoft.com/office/drawing/2014/main" id="{A9AA4DD9-CCD2-4C9C-8F96-883447C3D29D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416" name="Line 5">
          <a:extLst>
            <a:ext uri="{FF2B5EF4-FFF2-40B4-BE49-F238E27FC236}">
              <a16:creationId xmlns:a16="http://schemas.microsoft.com/office/drawing/2014/main" id="{A360DE28-EE72-46AB-80E0-E79B62B643B5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112</xdr:row>
      <xdr:rowOff>0</xdr:rowOff>
    </xdr:from>
    <xdr:to>
      <xdr:col>8</xdr:col>
      <xdr:colOff>180975</xdr:colOff>
      <xdr:row>112</xdr:row>
      <xdr:rowOff>0</xdr:rowOff>
    </xdr:to>
    <xdr:sp macro="" textlink="">
      <xdr:nvSpPr>
        <xdr:cNvPr id="1417" name="Line 2">
          <a:extLst>
            <a:ext uri="{FF2B5EF4-FFF2-40B4-BE49-F238E27FC236}">
              <a16:creationId xmlns:a16="http://schemas.microsoft.com/office/drawing/2014/main" id="{AD5BCAC7-08FB-419F-B1C2-72EF20FB98CF}"/>
            </a:ext>
          </a:extLst>
        </xdr:cNvPr>
        <xdr:cNvSpPr>
          <a:spLocks noChangeShapeType="1"/>
        </xdr:cNvSpPr>
      </xdr:nvSpPr>
      <xdr:spPr bwMode="auto">
        <a:xfrm>
          <a:off x="492442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418" name="Line 3">
          <a:extLst>
            <a:ext uri="{FF2B5EF4-FFF2-40B4-BE49-F238E27FC236}">
              <a16:creationId xmlns:a16="http://schemas.microsoft.com/office/drawing/2014/main" id="{38FB7AEF-609C-4799-BDC7-2761552862ED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419" name="Line 5">
          <a:extLst>
            <a:ext uri="{FF2B5EF4-FFF2-40B4-BE49-F238E27FC236}">
              <a16:creationId xmlns:a16="http://schemas.microsoft.com/office/drawing/2014/main" id="{FB4F09D2-FEA8-46F0-A275-77747170D9F3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420" name="Line 2">
          <a:extLst>
            <a:ext uri="{FF2B5EF4-FFF2-40B4-BE49-F238E27FC236}">
              <a16:creationId xmlns:a16="http://schemas.microsoft.com/office/drawing/2014/main" id="{2E48B630-E3C4-4FDF-BE76-A6B61952C792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421" name="Line 3">
          <a:extLst>
            <a:ext uri="{FF2B5EF4-FFF2-40B4-BE49-F238E27FC236}">
              <a16:creationId xmlns:a16="http://schemas.microsoft.com/office/drawing/2014/main" id="{78E00193-0D36-4BBE-B8CE-B0578A0DAF54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422" name="Line 4">
          <a:extLst>
            <a:ext uri="{FF2B5EF4-FFF2-40B4-BE49-F238E27FC236}">
              <a16:creationId xmlns:a16="http://schemas.microsoft.com/office/drawing/2014/main" id="{DD8C9B26-868E-4CB5-A00D-B7A7946831C6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101</xdr:row>
      <xdr:rowOff>0</xdr:rowOff>
    </xdr:from>
    <xdr:to>
      <xdr:col>8</xdr:col>
      <xdr:colOff>180975</xdr:colOff>
      <xdr:row>101</xdr:row>
      <xdr:rowOff>0</xdr:rowOff>
    </xdr:to>
    <xdr:sp macro="" textlink="">
      <xdr:nvSpPr>
        <xdr:cNvPr id="1424" name="Line 7">
          <a:extLst>
            <a:ext uri="{FF2B5EF4-FFF2-40B4-BE49-F238E27FC236}">
              <a16:creationId xmlns:a16="http://schemas.microsoft.com/office/drawing/2014/main" id="{F124C8D7-00FC-44F7-9FA4-2B79237DEDA9}"/>
            </a:ext>
          </a:extLst>
        </xdr:cNvPr>
        <xdr:cNvSpPr>
          <a:spLocks noChangeShapeType="1"/>
        </xdr:cNvSpPr>
      </xdr:nvSpPr>
      <xdr:spPr bwMode="auto">
        <a:xfrm>
          <a:off x="4924425" y="15335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425" name="Line 2">
          <a:extLst>
            <a:ext uri="{FF2B5EF4-FFF2-40B4-BE49-F238E27FC236}">
              <a16:creationId xmlns:a16="http://schemas.microsoft.com/office/drawing/2014/main" id="{CEC1BB8A-A8C1-4BC0-A864-28A5EAD5A2F4}"/>
            </a:ext>
          </a:extLst>
        </xdr:cNvPr>
        <xdr:cNvSpPr>
          <a:spLocks noChangeShapeType="1"/>
        </xdr:cNvSpPr>
      </xdr:nvSpPr>
      <xdr:spPr bwMode="auto">
        <a:xfrm>
          <a:off x="4924425" y="2517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428" name="Line 2">
          <a:extLst>
            <a:ext uri="{FF2B5EF4-FFF2-40B4-BE49-F238E27FC236}">
              <a16:creationId xmlns:a16="http://schemas.microsoft.com/office/drawing/2014/main" id="{31E5FFEA-7D29-4E78-8CC8-59C4A5D99877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429" name="Line 3">
          <a:extLst>
            <a:ext uri="{FF2B5EF4-FFF2-40B4-BE49-F238E27FC236}">
              <a16:creationId xmlns:a16="http://schemas.microsoft.com/office/drawing/2014/main" id="{80FC6B59-1916-4747-8B7E-8FF1B9B0E468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430" name="Line 4">
          <a:extLst>
            <a:ext uri="{FF2B5EF4-FFF2-40B4-BE49-F238E27FC236}">
              <a16:creationId xmlns:a16="http://schemas.microsoft.com/office/drawing/2014/main" id="{2C5E9689-A81D-498E-AA28-D265A98D0505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431" name="Line 5">
          <a:extLst>
            <a:ext uri="{FF2B5EF4-FFF2-40B4-BE49-F238E27FC236}">
              <a16:creationId xmlns:a16="http://schemas.microsoft.com/office/drawing/2014/main" id="{F6C11F67-C0DC-42EE-834F-C2EF659CF3E3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433" name="Line 2">
          <a:extLst>
            <a:ext uri="{FF2B5EF4-FFF2-40B4-BE49-F238E27FC236}">
              <a16:creationId xmlns:a16="http://schemas.microsoft.com/office/drawing/2014/main" id="{0568FCC0-3AFD-484D-8F31-2FEA7428CB5F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434" name="Line 3">
          <a:extLst>
            <a:ext uri="{FF2B5EF4-FFF2-40B4-BE49-F238E27FC236}">
              <a16:creationId xmlns:a16="http://schemas.microsoft.com/office/drawing/2014/main" id="{CD551AB6-5208-49A2-A39E-88A2ACC1FDDB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435" name="Line 4">
          <a:extLst>
            <a:ext uri="{FF2B5EF4-FFF2-40B4-BE49-F238E27FC236}">
              <a16:creationId xmlns:a16="http://schemas.microsoft.com/office/drawing/2014/main" id="{6EFB0002-B61C-401D-8CE1-F02F627A501B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436" name="Line 5">
          <a:extLst>
            <a:ext uri="{FF2B5EF4-FFF2-40B4-BE49-F238E27FC236}">
              <a16:creationId xmlns:a16="http://schemas.microsoft.com/office/drawing/2014/main" id="{245A565F-5BB9-4F07-9DE8-1F8B7DC7F29A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437" name="Line 2">
          <a:extLst>
            <a:ext uri="{FF2B5EF4-FFF2-40B4-BE49-F238E27FC236}">
              <a16:creationId xmlns:a16="http://schemas.microsoft.com/office/drawing/2014/main" id="{31F69EBC-504D-444C-AB20-07B4B886796D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38" name="Line 3">
          <a:extLst>
            <a:ext uri="{FF2B5EF4-FFF2-40B4-BE49-F238E27FC236}">
              <a16:creationId xmlns:a16="http://schemas.microsoft.com/office/drawing/2014/main" id="{679D3A14-456D-46EA-9AFE-7084A680ECEF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39" name="Line 5">
          <a:extLst>
            <a:ext uri="{FF2B5EF4-FFF2-40B4-BE49-F238E27FC236}">
              <a16:creationId xmlns:a16="http://schemas.microsoft.com/office/drawing/2014/main" id="{39E9EDAB-9B98-47CF-8BC6-5FBB1BC76BBF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440" name="Line 2">
          <a:extLst>
            <a:ext uri="{FF2B5EF4-FFF2-40B4-BE49-F238E27FC236}">
              <a16:creationId xmlns:a16="http://schemas.microsoft.com/office/drawing/2014/main" id="{E917EEA7-5EEA-41B6-AF26-CA1D2315C2A4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441" name="Line 3">
          <a:extLst>
            <a:ext uri="{FF2B5EF4-FFF2-40B4-BE49-F238E27FC236}">
              <a16:creationId xmlns:a16="http://schemas.microsoft.com/office/drawing/2014/main" id="{8336CB89-F7EB-4483-A620-398BC944BA4E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442" name="Line 4">
          <a:extLst>
            <a:ext uri="{FF2B5EF4-FFF2-40B4-BE49-F238E27FC236}">
              <a16:creationId xmlns:a16="http://schemas.microsoft.com/office/drawing/2014/main" id="{811B0A86-EF17-4188-B7F9-D09CEA4C351A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443" name="Line 5">
          <a:extLst>
            <a:ext uri="{FF2B5EF4-FFF2-40B4-BE49-F238E27FC236}">
              <a16:creationId xmlns:a16="http://schemas.microsoft.com/office/drawing/2014/main" id="{AE933738-17EC-41C5-8C27-7813925ED94D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444" name="Line 2">
          <a:extLst>
            <a:ext uri="{FF2B5EF4-FFF2-40B4-BE49-F238E27FC236}">
              <a16:creationId xmlns:a16="http://schemas.microsoft.com/office/drawing/2014/main" id="{3D0F6449-8B4A-412B-A0EE-8250F895FEA4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445" name="Line 3">
          <a:extLst>
            <a:ext uri="{FF2B5EF4-FFF2-40B4-BE49-F238E27FC236}">
              <a16:creationId xmlns:a16="http://schemas.microsoft.com/office/drawing/2014/main" id="{85B8AB15-7B56-4308-B226-57C0FA902B19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446" name="Line 4">
          <a:extLst>
            <a:ext uri="{FF2B5EF4-FFF2-40B4-BE49-F238E27FC236}">
              <a16:creationId xmlns:a16="http://schemas.microsoft.com/office/drawing/2014/main" id="{1B3B05A9-68F3-40C5-B21E-C8FCA28A5F56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447" name="Line 5">
          <a:extLst>
            <a:ext uri="{FF2B5EF4-FFF2-40B4-BE49-F238E27FC236}">
              <a16:creationId xmlns:a16="http://schemas.microsoft.com/office/drawing/2014/main" id="{A2CBF92D-C2D7-4EDD-B7B4-E8B94E32FA62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448" name="Line 2">
          <a:extLst>
            <a:ext uri="{FF2B5EF4-FFF2-40B4-BE49-F238E27FC236}">
              <a16:creationId xmlns:a16="http://schemas.microsoft.com/office/drawing/2014/main" id="{423FD883-7166-422A-894E-E95F1A79DBA1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449" name="Line 3">
          <a:extLst>
            <a:ext uri="{FF2B5EF4-FFF2-40B4-BE49-F238E27FC236}">
              <a16:creationId xmlns:a16="http://schemas.microsoft.com/office/drawing/2014/main" id="{AFDC5BE7-B155-4036-8F42-EBA77B8CF086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450" name="Line 4">
          <a:extLst>
            <a:ext uri="{FF2B5EF4-FFF2-40B4-BE49-F238E27FC236}">
              <a16:creationId xmlns:a16="http://schemas.microsoft.com/office/drawing/2014/main" id="{4C6D9BED-FF89-474F-93C9-343A18D1806A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451" name="Line 5">
          <a:extLst>
            <a:ext uri="{FF2B5EF4-FFF2-40B4-BE49-F238E27FC236}">
              <a16:creationId xmlns:a16="http://schemas.microsoft.com/office/drawing/2014/main" id="{CF309137-61D4-4784-AE9F-B04538C0ED79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452" name="Line 7">
          <a:extLst>
            <a:ext uri="{FF2B5EF4-FFF2-40B4-BE49-F238E27FC236}">
              <a16:creationId xmlns:a16="http://schemas.microsoft.com/office/drawing/2014/main" id="{94D019ED-7726-4834-BCD2-44FE8FEE2537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453" name="Line 8">
          <a:extLst>
            <a:ext uri="{FF2B5EF4-FFF2-40B4-BE49-F238E27FC236}">
              <a16:creationId xmlns:a16="http://schemas.microsoft.com/office/drawing/2014/main" id="{0D901FF2-0D57-44FE-A06A-1B18F154A215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454" name="Rectangle 7">
          <a:extLst>
            <a:ext uri="{FF2B5EF4-FFF2-40B4-BE49-F238E27FC236}">
              <a16:creationId xmlns:a16="http://schemas.microsoft.com/office/drawing/2014/main" id="{433981A5-5B28-4B90-A1F7-494F9F5E5260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455" name="Rectangle 8">
          <a:extLst>
            <a:ext uri="{FF2B5EF4-FFF2-40B4-BE49-F238E27FC236}">
              <a16:creationId xmlns:a16="http://schemas.microsoft.com/office/drawing/2014/main" id="{943CF827-F15A-499B-9809-44BB604BB818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456" name="Line 2">
          <a:extLst>
            <a:ext uri="{FF2B5EF4-FFF2-40B4-BE49-F238E27FC236}">
              <a16:creationId xmlns:a16="http://schemas.microsoft.com/office/drawing/2014/main" id="{3655DCB7-15B7-410C-AE34-F00AD3ACFFC6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57" name="Line 3">
          <a:extLst>
            <a:ext uri="{FF2B5EF4-FFF2-40B4-BE49-F238E27FC236}">
              <a16:creationId xmlns:a16="http://schemas.microsoft.com/office/drawing/2014/main" id="{B0EBD747-8D06-4CC0-9CDA-126756AD6A46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458" name="Line 5">
          <a:extLst>
            <a:ext uri="{FF2B5EF4-FFF2-40B4-BE49-F238E27FC236}">
              <a16:creationId xmlns:a16="http://schemas.microsoft.com/office/drawing/2014/main" id="{DB7615A9-2AB1-411B-9E98-96AC0419D594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459" name="Line 2">
          <a:extLst>
            <a:ext uri="{FF2B5EF4-FFF2-40B4-BE49-F238E27FC236}">
              <a16:creationId xmlns:a16="http://schemas.microsoft.com/office/drawing/2014/main" id="{A24DB302-377F-4F98-B608-AE9A823AC2B9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460" name="Line 3">
          <a:extLst>
            <a:ext uri="{FF2B5EF4-FFF2-40B4-BE49-F238E27FC236}">
              <a16:creationId xmlns:a16="http://schemas.microsoft.com/office/drawing/2014/main" id="{FB087B95-747F-463C-BAD9-C154A90C41E6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461" name="Line 4">
          <a:extLst>
            <a:ext uri="{FF2B5EF4-FFF2-40B4-BE49-F238E27FC236}">
              <a16:creationId xmlns:a16="http://schemas.microsoft.com/office/drawing/2014/main" id="{3684DB67-521C-4486-81E8-05430280E23B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462" name="Line 5">
          <a:extLst>
            <a:ext uri="{FF2B5EF4-FFF2-40B4-BE49-F238E27FC236}">
              <a16:creationId xmlns:a16="http://schemas.microsoft.com/office/drawing/2014/main" id="{B0B578AF-2F84-411F-87E3-A5D5CC0D19CF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463" name="Line 2">
          <a:extLst>
            <a:ext uri="{FF2B5EF4-FFF2-40B4-BE49-F238E27FC236}">
              <a16:creationId xmlns:a16="http://schemas.microsoft.com/office/drawing/2014/main" id="{AEEA28EA-8A2B-494C-93FA-2830355DA5ED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464" name="Line 3">
          <a:extLst>
            <a:ext uri="{FF2B5EF4-FFF2-40B4-BE49-F238E27FC236}">
              <a16:creationId xmlns:a16="http://schemas.microsoft.com/office/drawing/2014/main" id="{005C4113-5982-4381-A754-C93A2C56D809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465" name="Line 4">
          <a:extLst>
            <a:ext uri="{FF2B5EF4-FFF2-40B4-BE49-F238E27FC236}">
              <a16:creationId xmlns:a16="http://schemas.microsoft.com/office/drawing/2014/main" id="{C116D9B6-85FA-433F-B9CD-FFDA9AF66A9C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466" name="Line 5">
          <a:extLst>
            <a:ext uri="{FF2B5EF4-FFF2-40B4-BE49-F238E27FC236}">
              <a16:creationId xmlns:a16="http://schemas.microsoft.com/office/drawing/2014/main" id="{ECB04D70-E117-4F55-BA4C-6476AAA1BCF3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467" name="Line 2">
          <a:extLst>
            <a:ext uri="{FF2B5EF4-FFF2-40B4-BE49-F238E27FC236}">
              <a16:creationId xmlns:a16="http://schemas.microsoft.com/office/drawing/2014/main" id="{FC17D999-BF43-434E-807A-AA665D54D6F6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468" name="Line 3">
          <a:extLst>
            <a:ext uri="{FF2B5EF4-FFF2-40B4-BE49-F238E27FC236}">
              <a16:creationId xmlns:a16="http://schemas.microsoft.com/office/drawing/2014/main" id="{9D612D4C-B894-4189-9489-F42981B403B7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469" name="Line 4">
          <a:extLst>
            <a:ext uri="{FF2B5EF4-FFF2-40B4-BE49-F238E27FC236}">
              <a16:creationId xmlns:a16="http://schemas.microsoft.com/office/drawing/2014/main" id="{6D23983A-ED13-4168-A825-4EA81BFEE851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470" name="Line 5">
          <a:extLst>
            <a:ext uri="{FF2B5EF4-FFF2-40B4-BE49-F238E27FC236}">
              <a16:creationId xmlns:a16="http://schemas.microsoft.com/office/drawing/2014/main" id="{57BF8AF9-94DC-4E7A-9CDA-D913A3E5B40F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471" name="Line 7">
          <a:extLst>
            <a:ext uri="{FF2B5EF4-FFF2-40B4-BE49-F238E27FC236}">
              <a16:creationId xmlns:a16="http://schemas.microsoft.com/office/drawing/2014/main" id="{D17EAC3A-E4D8-4D26-8EF1-52EA880FCF56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472" name="Line 8">
          <a:extLst>
            <a:ext uri="{FF2B5EF4-FFF2-40B4-BE49-F238E27FC236}">
              <a16:creationId xmlns:a16="http://schemas.microsoft.com/office/drawing/2014/main" id="{49760F23-07B8-454C-9E26-35A5D234723A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473" name="Rectangle 7">
          <a:extLst>
            <a:ext uri="{FF2B5EF4-FFF2-40B4-BE49-F238E27FC236}">
              <a16:creationId xmlns:a16="http://schemas.microsoft.com/office/drawing/2014/main" id="{4D1F3DDF-5C30-4CAD-9B4B-7916BEA35CEC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474" name="Rectangle 8">
          <a:extLst>
            <a:ext uri="{FF2B5EF4-FFF2-40B4-BE49-F238E27FC236}">
              <a16:creationId xmlns:a16="http://schemas.microsoft.com/office/drawing/2014/main" id="{E80BAA58-4C85-41F9-ACD3-2F068063CB3D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475" name="Line 3">
          <a:extLst>
            <a:ext uri="{FF2B5EF4-FFF2-40B4-BE49-F238E27FC236}">
              <a16:creationId xmlns:a16="http://schemas.microsoft.com/office/drawing/2014/main" id="{425FBC2D-A0CD-4EED-B8CF-7BCB02C159C7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476" name="Line 5">
          <a:extLst>
            <a:ext uri="{FF2B5EF4-FFF2-40B4-BE49-F238E27FC236}">
              <a16:creationId xmlns:a16="http://schemas.microsoft.com/office/drawing/2014/main" id="{79C668EA-90C3-4093-8FC8-8236F16BDFFE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477" name="Line 2">
          <a:extLst>
            <a:ext uri="{FF2B5EF4-FFF2-40B4-BE49-F238E27FC236}">
              <a16:creationId xmlns:a16="http://schemas.microsoft.com/office/drawing/2014/main" id="{45E37358-E37B-449D-A4E7-15CD7E068F32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478" name="Line 3">
          <a:extLst>
            <a:ext uri="{FF2B5EF4-FFF2-40B4-BE49-F238E27FC236}">
              <a16:creationId xmlns:a16="http://schemas.microsoft.com/office/drawing/2014/main" id="{77A3E3FF-E127-4F08-9088-990C069A8BA1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479" name="Line 4">
          <a:extLst>
            <a:ext uri="{FF2B5EF4-FFF2-40B4-BE49-F238E27FC236}">
              <a16:creationId xmlns:a16="http://schemas.microsoft.com/office/drawing/2014/main" id="{CBC3E945-294C-485C-8075-328A1C28BDE6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480" name="Line 5">
          <a:extLst>
            <a:ext uri="{FF2B5EF4-FFF2-40B4-BE49-F238E27FC236}">
              <a16:creationId xmlns:a16="http://schemas.microsoft.com/office/drawing/2014/main" id="{EBBC39FD-64E0-40E0-9255-E63BE6CF9F55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482" name="Line 2">
          <a:extLst>
            <a:ext uri="{FF2B5EF4-FFF2-40B4-BE49-F238E27FC236}">
              <a16:creationId xmlns:a16="http://schemas.microsoft.com/office/drawing/2014/main" id="{1D6DF24F-5EE9-4026-8529-17E2A3DE52E3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483" name="Line 3">
          <a:extLst>
            <a:ext uri="{FF2B5EF4-FFF2-40B4-BE49-F238E27FC236}">
              <a16:creationId xmlns:a16="http://schemas.microsoft.com/office/drawing/2014/main" id="{EF7328E1-5F6A-4F79-8663-5F7AB370B3EA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484" name="Line 4">
          <a:extLst>
            <a:ext uri="{FF2B5EF4-FFF2-40B4-BE49-F238E27FC236}">
              <a16:creationId xmlns:a16="http://schemas.microsoft.com/office/drawing/2014/main" id="{C9E36E13-2FE6-4956-96D2-B6054AD9680D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485" name="Line 5">
          <a:extLst>
            <a:ext uri="{FF2B5EF4-FFF2-40B4-BE49-F238E27FC236}">
              <a16:creationId xmlns:a16="http://schemas.microsoft.com/office/drawing/2014/main" id="{8C1BA28C-A41F-48BC-8FCD-9E4067FC6471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486" name="Line 2">
          <a:extLst>
            <a:ext uri="{FF2B5EF4-FFF2-40B4-BE49-F238E27FC236}">
              <a16:creationId xmlns:a16="http://schemas.microsoft.com/office/drawing/2014/main" id="{87F2E016-0E38-455B-BD2A-620A6E100085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487" name="Line 3">
          <a:extLst>
            <a:ext uri="{FF2B5EF4-FFF2-40B4-BE49-F238E27FC236}">
              <a16:creationId xmlns:a16="http://schemas.microsoft.com/office/drawing/2014/main" id="{E711AFE0-846E-405B-BE74-272201628ED2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488" name="Line 4">
          <a:extLst>
            <a:ext uri="{FF2B5EF4-FFF2-40B4-BE49-F238E27FC236}">
              <a16:creationId xmlns:a16="http://schemas.microsoft.com/office/drawing/2014/main" id="{CBC15324-C9EE-43F8-AD66-003EBE7293AC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338</xdr:row>
      <xdr:rowOff>0</xdr:rowOff>
    </xdr:from>
    <xdr:to>
      <xdr:col>8</xdr:col>
      <xdr:colOff>180975</xdr:colOff>
      <xdr:row>338</xdr:row>
      <xdr:rowOff>0</xdr:rowOff>
    </xdr:to>
    <xdr:sp macro="" textlink="">
      <xdr:nvSpPr>
        <xdr:cNvPr id="1490" name="Line 7">
          <a:extLst>
            <a:ext uri="{FF2B5EF4-FFF2-40B4-BE49-F238E27FC236}">
              <a16:creationId xmlns:a16="http://schemas.microsoft.com/office/drawing/2014/main" id="{67542D8F-6E78-4C04-883A-BE33AA192F5E}"/>
            </a:ext>
          </a:extLst>
        </xdr:cNvPr>
        <xdr:cNvSpPr>
          <a:spLocks noChangeShapeType="1"/>
        </xdr:cNvSpPr>
      </xdr:nvSpPr>
      <xdr:spPr bwMode="auto">
        <a:xfrm>
          <a:off x="4924425" y="56540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491" name="Line 3">
          <a:extLst>
            <a:ext uri="{FF2B5EF4-FFF2-40B4-BE49-F238E27FC236}">
              <a16:creationId xmlns:a16="http://schemas.microsoft.com/office/drawing/2014/main" id="{503C7251-635C-4673-8D36-AD73813CF865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492" name="Line 5">
          <a:extLst>
            <a:ext uri="{FF2B5EF4-FFF2-40B4-BE49-F238E27FC236}">
              <a16:creationId xmlns:a16="http://schemas.microsoft.com/office/drawing/2014/main" id="{0C78E9D4-0C1F-4691-8A9C-50E929B2AE7C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493" name="Line 2">
          <a:extLst>
            <a:ext uri="{FF2B5EF4-FFF2-40B4-BE49-F238E27FC236}">
              <a16:creationId xmlns:a16="http://schemas.microsoft.com/office/drawing/2014/main" id="{BE51ACFB-E633-4483-8607-CEA05FDB7488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494" name="Line 3">
          <a:extLst>
            <a:ext uri="{FF2B5EF4-FFF2-40B4-BE49-F238E27FC236}">
              <a16:creationId xmlns:a16="http://schemas.microsoft.com/office/drawing/2014/main" id="{8A37CAAB-3455-4C2A-AC41-E2534D08D463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495" name="Line 4">
          <a:extLst>
            <a:ext uri="{FF2B5EF4-FFF2-40B4-BE49-F238E27FC236}">
              <a16:creationId xmlns:a16="http://schemas.microsoft.com/office/drawing/2014/main" id="{27E17A4A-B92D-44EF-A59E-F33C86F0B9A4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496" name="Line 5">
          <a:extLst>
            <a:ext uri="{FF2B5EF4-FFF2-40B4-BE49-F238E27FC236}">
              <a16:creationId xmlns:a16="http://schemas.microsoft.com/office/drawing/2014/main" id="{7733BA07-FF8E-41D0-B820-B7D6492C03E5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497" name="Line 2">
          <a:extLst>
            <a:ext uri="{FF2B5EF4-FFF2-40B4-BE49-F238E27FC236}">
              <a16:creationId xmlns:a16="http://schemas.microsoft.com/office/drawing/2014/main" id="{823087EC-A560-4D9F-B1A5-7C894B3AC32F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498" name="Line 3">
          <a:extLst>
            <a:ext uri="{FF2B5EF4-FFF2-40B4-BE49-F238E27FC236}">
              <a16:creationId xmlns:a16="http://schemas.microsoft.com/office/drawing/2014/main" id="{62AA1612-C759-4F43-AEB3-C1D88E0F8CB8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499" name="Line 4">
          <a:extLst>
            <a:ext uri="{FF2B5EF4-FFF2-40B4-BE49-F238E27FC236}">
              <a16:creationId xmlns:a16="http://schemas.microsoft.com/office/drawing/2014/main" id="{0AB2D314-0D4D-45F5-82CF-17754F9A16E9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500" name="Line 5">
          <a:extLst>
            <a:ext uri="{FF2B5EF4-FFF2-40B4-BE49-F238E27FC236}">
              <a16:creationId xmlns:a16="http://schemas.microsoft.com/office/drawing/2014/main" id="{9EF10BD1-449E-4D0E-A9B4-FBA5FF892538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501" name="Line 2">
          <a:extLst>
            <a:ext uri="{FF2B5EF4-FFF2-40B4-BE49-F238E27FC236}">
              <a16:creationId xmlns:a16="http://schemas.microsoft.com/office/drawing/2014/main" id="{ABA559D4-B2CB-4139-9C4D-DC2E16DE52C7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502" name="Line 3">
          <a:extLst>
            <a:ext uri="{FF2B5EF4-FFF2-40B4-BE49-F238E27FC236}">
              <a16:creationId xmlns:a16="http://schemas.microsoft.com/office/drawing/2014/main" id="{849E4836-1506-4D3E-AB68-3EA6E02D6DEA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503" name="Line 4">
          <a:extLst>
            <a:ext uri="{FF2B5EF4-FFF2-40B4-BE49-F238E27FC236}">
              <a16:creationId xmlns:a16="http://schemas.microsoft.com/office/drawing/2014/main" id="{086766F1-B09D-45CC-9E96-F6DA184E3931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437</xdr:row>
      <xdr:rowOff>0</xdr:rowOff>
    </xdr:from>
    <xdr:to>
      <xdr:col>8</xdr:col>
      <xdr:colOff>180975</xdr:colOff>
      <xdr:row>437</xdr:row>
      <xdr:rowOff>0</xdr:rowOff>
    </xdr:to>
    <xdr:sp macro="" textlink="">
      <xdr:nvSpPr>
        <xdr:cNvPr id="1504" name="Line 5">
          <a:extLst>
            <a:ext uri="{FF2B5EF4-FFF2-40B4-BE49-F238E27FC236}">
              <a16:creationId xmlns:a16="http://schemas.microsoft.com/office/drawing/2014/main" id="{69AC9F18-5D43-4E3B-89C4-252AFAB4437C}"/>
            </a:ext>
          </a:extLst>
        </xdr:cNvPr>
        <xdr:cNvSpPr>
          <a:spLocks noChangeShapeType="1"/>
        </xdr:cNvSpPr>
      </xdr:nvSpPr>
      <xdr:spPr bwMode="auto">
        <a:xfrm>
          <a:off x="4924425" y="73590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438</xdr:row>
      <xdr:rowOff>0</xdr:rowOff>
    </xdr:from>
    <xdr:to>
      <xdr:col>8</xdr:col>
      <xdr:colOff>180975</xdr:colOff>
      <xdr:row>438</xdr:row>
      <xdr:rowOff>0</xdr:rowOff>
    </xdr:to>
    <xdr:sp macro="" textlink="">
      <xdr:nvSpPr>
        <xdr:cNvPr id="1505" name="Line 7">
          <a:extLst>
            <a:ext uri="{FF2B5EF4-FFF2-40B4-BE49-F238E27FC236}">
              <a16:creationId xmlns:a16="http://schemas.microsoft.com/office/drawing/2014/main" id="{EAF7E0AA-0273-44DD-A800-B2E5B008A231}"/>
            </a:ext>
          </a:extLst>
        </xdr:cNvPr>
        <xdr:cNvSpPr>
          <a:spLocks noChangeShapeType="1"/>
        </xdr:cNvSpPr>
      </xdr:nvSpPr>
      <xdr:spPr bwMode="auto">
        <a:xfrm>
          <a:off x="4924425" y="73733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506" name="Line 2">
          <a:extLst>
            <a:ext uri="{FF2B5EF4-FFF2-40B4-BE49-F238E27FC236}">
              <a16:creationId xmlns:a16="http://schemas.microsoft.com/office/drawing/2014/main" id="{EAE1060A-6FC0-4E8E-9110-7697A590B91D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507" name="Line 3">
          <a:extLst>
            <a:ext uri="{FF2B5EF4-FFF2-40B4-BE49-F238E27FC236}">
              <a16:creationId xmlns:a16="http://schemas.microsoft.com/office/drawing/2014/main" id="{85687BC4-D4C6-475D-9B2F-930395702B1D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1508" name="Line 4">
          <a:extLst>
            <a:ext uri="{FF2B5EF4-FFF2-40B4-BE49-F238E27FC236}">
              <a16:creationId xmlns:a16="http://schemas.microsoft.com/office/drawing/2014/main" id="{8BFA9B07-AD03-4DA3-AF9F-6D86B79A41B6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511" name="Line 2">
          <a:extLst>
            <a:ext uri="{FF2B5EF4-FFF2-40B4-BE49-F238E27FC236}">
              <a16:creationId xmlns:a16="http://schemas.microsoft.com/office/drawing/2014/main" id="{AD46B267-E4B0-4DCF-AE0C-BBC4FC8962E0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512" name="Line 3">
          <a:extLst>
            <a:ext uri="{FF2B5EF4-FFF2-40B4-BE49-F238E27FC236}">
              <a16:creationId xmlns:a16="http://schemas.microsoft.com/office/drawing/2014/main" id="{FE0CE9EB-29DF-490A-8C88-DFC45C24F3E0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513" name="Line 4">
          <a:extLst>
            <a:ext uri="{FF2B5EF4-FFF2-40B4-BE49-F238E27FC236}">
              <a16:creationId xmlns:a16="http://schemas.microsoft.com/office/drawing/2014/main" id="{A78436A8-420D-4782-AEAC-6A6E22EBCFDF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514" name="Line 5">
          <a:extLst>
            <a:ext uri="{FF2B5EF4-FFF2-40B4-BE49-F238E27FC236}">
              <a16:creationId xmlns:a16="http://schemas.microsoft.com/office/drawing/2014/main" id="{27DB6425-1D66-455A-A0D9-3AF612866CCA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516" name="Line 2">
          <a:extLst>
            <a:ext uri="{FF2B5EF4-FFF2-40B4-BE49-F238E27FC236}">
              <a16:creationId xmlns:a16="http://schemas.microsoft.com/office/drawing/2014/main" id="{57A069C9-3C37-486F-8222-F597FDAB7D14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517" name="Line 3">
          <a:extLst>
            <a:ext uri="{FF2B5EF4-FFF2-40B4-BE49-F238E27FC236}">
              <a16:creationId xmlns:a16="http://schemas.microsoft.com/office/drawing/2014/main" id="{AAAE4373-17AA-4D05-AE84-71353BE3564B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518" name="Line 4">
          <a:extLst>
            <a:ext uri="{FF2B5EF4-FFF2-40B4-BE49-F238E27FC236}">
              <a16:creationId xmlns:a16="http://schemas.microsoft.com/office/drawing/2014/main" id="{09FF7544-8E03-4948-BDB2-7037316BE5BB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519" name="Line 5">
          <a:extLst>
            <a:ext uri="{FF2B5EF4-FFF2-40B4-BE49-F238E27FC236}">
              <a16:creationId xmlns:a16="http://schemas.microsoft.com/office/drawing/2014/main" id="{6CAC06C9-3DE3-4412-8CFE-F7DB0F0097DF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520" name="Line 2">
          <a:extLst>
            <a:ext uri="{FF2B5EF4-FFF2-40B4-BE49-F238E27FC236}">
              <a16:creationId xmlns:a16="http://schemas.microsoft.com/office/drawing/2014/main" id="{28AC9ED4-7A66-45F2-9620-36B20227544E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521" name="Line 3">
          <a:extLst>
            <a:ext uri="{FF2B5EF4-FFF2-40B4-BE49-F238E27FC236}">
              <a16:creationId xmlns:a16="http://schemas.microsoft.com/office/drawing/2014/main" id="{B60CA6E8-FA28-4BFC-9015-FA6A651F5F47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522" name="Line 4">
          <a:extLst>
            <a:ext uri="{FF2B5EF4-FFF2-40B4-BE49-F238E27FC236}">
              <a16:creationId xmlns:a16="http://schemas.microsoft.com/office/drawing/2014/main" id="{0AD5E709-92E3-44D2-9B14-9F6CC3359F2E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523" name="Line 2">
          <a:extLst>
            <a:ext uri="{FF2B5EF4-FFF2-40B4-BE49-F238E27FC236}">
              <a16:creationId xmlns:a16="http://schemas.microsoft.com/office/drawing/2014/main" id="{DC91BB79-98D6-40B8-9011-FD747732D2CD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524" name="Line 3">
          <a:extLst>
            <a:ext uri="{FF2B5EF4-FFF2-40B4-BE49-F238E27FC236}">
              <a16:creationId xmlns:a16="http://schemas.microsoft.com/office/drawing/2014/main" id="{3B1DB895-A686-4EF6-AA83-27BECAEF7875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1525" name="Line 4">
          <a:extLst>
            <a:ext uri="{FF2B5EF4-FFF2-40B4-BE49-F238E27FC236}">
              <a16:creationId xmlns:a16="http://schemas.microsoft.com/office/drawing/2014/main" id="{7E6439BB-A54E-4E40-87F8-F8BA4E2B5CF2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526" name="Line 2">
          <a:extLst>
            <a:ext uri="{FF2B5EF4-FFF2-40B4-BE49-F238E27FC236}">
              <a16:creationId xmlns:a16="http://schemas.microsoft.com/office/drawing/2014/main" id="{489409B7-A377-4461-ACF8-9815AE65A794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527" name="Line 3">
          <a:extLst>
            <a:ext uri="{FF2B5EF4-FFF2-40B4-BE49-F238E27FC236}">
              <a16:creationId xmlns:a16="http://schemas.microsoft.com/office/drawing/2014/main" id="{7947D64D-9483-4EDB-8301-5C36DA195BAC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475</xdr:row>
      <xdr:rowOff>0</xdr:rowOff>
    </xdr:from>
    <xdr:to>
      <xdr:col>8</xdr:col>
      <xdr:colOff>180975</xdr:colOff>
      <xdr:row>475</xdr:row>
      <xdr:rowOff>0</xdr:rowOff>
    </xdr:to>
    <xdr:sp macro="" textlink="">
      <xdr:nvSpPr>
        <xdr:cNvPr id="1528" name="Line 4">
          <a:extLst>
            <a:ext uri="{FF2B5EF4-FFF2-40B4-BE49-F238E27FC236}">
              <a16:creationId xmlns:a16="http://schemas.microsoft.com/office/drawing/2014/main" id="{5235ADD4-8CD0-4F61-9783-9A26A5F7A0C0}"/>
            </a:ext>
          </a:extLst>
        </xdr:cNvPr>
        <xdr:cNvSpPr>
          <a:spLocks noChangeShapeType="1"/>
        </xdr:cNvSpPr>
      </xdr:nvSpPr>
      <xdr:spPr bwMode="auto">
        <a:xfrm>
          <a:off x="4924425" y="809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529" name="Line 3">
          <a:extLst>
            <a:ext uri="{FF2B5EF4-FFF2-40B4-BE49-F238E27FC236}">
              <a16:creationId xmlns:a16="http://schemas.microsoft.com/office/drawing/2014/main" id="{3CF52BE0-E6A7-4A4D-A0BC-96A1D8C5AD11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530" name="Line 5">
          <a:extLst>
            <a:ext uri="{FF2B5EF4-FFF2-40B4-BE49-F238E27FC236}">
              <a16:creationId xmlns:a16="http://schemas.microsoft.com/office/drawing/2014/main" id="{6D6A6919-9EAD-4618-B161-EF395CB61F33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531" name="Line 2">
          <a:extLst>
            <a:ext uri="{FF2B5EF4-FFF2-40B4-BE49-F238E27FC236}">
              <a16:creationId xmlns:a16="http://schemas.microsoft.com/office/drawing/2014/main" id="{68F89610-3E58-4FC4-83E1-D5EAF2DB39FC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532" name="Line 3">
          <a:extLst>
            <a:ext uri="{FF2B5EF4-FFF2-40B4-BE49-F238E27FC236}">
              <a16:creationId xmlns:a16="http://schemas.microsoft.com/office/drawing/2014/main" id="{E0E13436-F5A4-478D-84B2-CA7C009A3AB7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533" name="Line 4">
          <a:extLst>
            <a:ext uri="{FF2B5EF4-FFF2-40B4-BE49-F238E27FC236}">
              <a16:creationId xmlns:a16="http://schemas.microsoft.com/office/drawing/2014/main" id="{024301F0-ACC8-4BCB-B25F-F0E12DC7F348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534" name="Line 5">
          <a:extLst>
            <a:ext uri="{FF2B5EF4-FFF2-40B4-BE49-F238E27FC236}">
              <a16:creationId xmlns:a16="http://schemas.microsoft.com/office/drawing/2014/main" id="{CEAAD135-049B-4014-BA3F-A97605189249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535" name="Line 7">
          <a:extLst>
            <a:ext uri="{FF2B5EF4-FFF2-40B4-BE49-F238E27FC236}">
              <a16:creationId xmlns:a16="http://schemas.microsoft.com/office/drawing/2014/main" id="{37232CC1-F05C-4731-ABD4-3D76F9439EAF}"/>
            </a:ext>
          </a:extLst>
        </xdr:cNvPr>
        <xdr:cNvSpPr>
          <a:spLocks noChangeShapeType="1"/>
        </xdr:cNvSpPr>
      </xdr:nvSpPr>
      <xdr:spPr bwMode="auto">
        <a:xfrm>
          <a:off x="4924425" y="92954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536" name="Line 2">
          <a:extLst>
            <a:ext uri="{FF2B5EF4-FFF2-40B4-BE49-F238E27FC236}">
              <a16:creationId xmlns:a16="http://schemas.microsoft.com/office/drawing/2014/main" id="{20ABF646-EEFD-44D4-BD9E-AA8F824B95CE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537" name="Line 3">
          <a:extLst>
            <a:ext uri="{FF2B5EF4-FFF2-40B4-BE49-F238E27FC236}">
              <a16:creationId xmlns:a16="http://schemas.microsoft.com/office/drawing/2014/main" id="{7E8DE239-12CE-4A41-8F72-8FBFF210DAA1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538" name="Line 4">
          <a:extLst>
            <a:ext uri="{FF2B5EF4-FFF2-40B4-BE49-F238E27FC236}">
              <a16:creationId xmlns:a16="http://schemas.microsoft.com/office/drawing/2014/main" id="{27F6ABB2-19DE-4381-9A83-511BAA09360E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539" name="Line 5">
          <a:extLst>
            <a:ext uri="{FF2B5EF4-FFF2-40B4-BE49-F238E27FC236}">
              <a16:creationId xmlns:a16="http://schemas.microsoft.com/office/drawing/2014/main" id="{539D10D2-D506-4592-8296-925C75DA27A7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540" name="Line 2">
          <a:extLst>
            <a:ext uri="{FF2B5EF4-FFF2-40B4-BE49-F238E27FC236}">
              <a16:creationId xmlns:a16="http://schemas.microsoft.com/office/drawing/2014/main" id="{5AD51357-8BFB-46A9-9619-5597AAB71BBA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541" name="Line 3">
          <a:extLst>
            <a:ext uri="{FF2B5EF4-FFF2-40B4-BE49-F238E27FC236}">
              <a16:creationId xmlns:a16="http://schemas.microsoft.com/office/drawing/2014/main" id="{1A8AEBBF-05CE-4692-8BB2-24FE955D0EB2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542" name="Line 4">
          <a:extLst>
            <a:ext uri="{FF2B5EF4-FFF2-40B4-BE49-F238E27FC236}">
              <a16:creationId xmlns:a16="http://schemas.microsoft.com/office/drawing/2014/main" id="{C0886D38-026A-471B-8245-8483A30FFF1C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543" name="Line 2">
          <a:extLst>
            <a:ext uri="{FF2B5EF4-FFF2-40B4-BE49-F238E27FC236}">
              <a16:creationId xmlns:a16="http://schemas.microsoft.com/office/drawing/2014/main" id="{0067F694-6010-48EC-BCC4-1B5300E7AA0D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544" name="Line 3">
          <a:extLst>
            <a:ext uri="{FF2B5EF4-FFF2-40B4-BE49-F238E27FC236}">
              <a16:creationId xmlns:a16="http://schemas.microsoft.com/office/drawing/2014/main" id="{ABA722B7-8730-4F1B-98B6-898A27BCF275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508</xdr:row>
      <xdr:rowOff>0</xdr:rowOff>
    </xdr:from>
    <xdr:to>
      <xdr:col>8</xdr:col>
      <xdr:colOff>180975</xdr:colOff>
      <xdr:row>508</xdr:row>
      <xdr:rowOff>0</xdr:rowOff>
    </xdr:to>
    <xdr:sp macro="" textlink="">
      <xdr:nvSpPr>
        <xdr:cNvPr id="1545" name="Line 4">
          <a:extLst>
            <a:ext uri="{FF2B5EF4-FFF2-40B4-BE49-F238E27FC236}">
              <a16:creationId xmlns:a16="http://schemas.microsoft.com/office/drawing/2014/main" id="{7D6C1796-BF99-40F3-AE17-FEE2617DA1B6}"/>
            </a:ext>
          </a:extLst>
        </xdr:cNvPr>
        <xdr:cNvSpPr>
          <a:spLocks noChangeShapeType="1"/>
        </xdr:cNvSpPr>
      </xdr:nvSpPr>
      <xdr:spPr bwMode="auto">
        <a:xfrm>
          <a:off x="4924425" y="89373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546" name="Line 2">
          <a:extLst>
            <a:ext uri="{FF2B5EF4-FFF2-40B4-BE49-F238E27FC236}">
              <a16:creationId xmlns:a16="http://schemas.microsoft.com/office/drawing/2014/main" id="{BE56153C-92A8-4353-9F2E-3F0AB9846B2F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547" name="Line 3">
          <a:extLst>
            <a:ext uri="{FF2B5EF4-FFF2-40B4-BE49-F238E27FC236}">
              <a16:creationId xmlns:a16="http://schemas.microsoft.com/office/drawing/2014/main" id="{59F01255-3B36-43DF-A3FF-239CF681D0BE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1548" name="Line 4">
          <a:extLst>
            <a:ext uri="{FF2B5EF4-FFF2-40B4-BE49-F238E27FC236}">
              <a16:creationId xmlns:a16="http://schemas.microsoft.com/office/drawing/2014/main" id="{E9F5406F-791E-4C26-8856-9AD8F7153160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549" name="Line 3">
          <a:extLst>
            <a:ext uri="{FF2B5EF4-FFF2-40B4-BE49-F238E27FC236}">
              <a16:creationId xmlns:a16="http://schemas.microsoft.com/office/drawing/2014/main" id="{B594C202-9C63-4404-9054-6C6A121BC8AD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550" name="Line 5">
          <a:extLst>
            <a:ext uri="{FF2B5EF4-FFF2-40B4-BE49-F238E27FC236}">
              <a16:creationId xmlns:a16="http://schemas.microsoft.com/office/drawing/2014/main" id="{859F7951-E31A-4156-86B0-C924DDB3CAEE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551" name="Line 2">
          <a:extLst>
            <a:ext uri="{FF2B5EF4-FFF2-40B4-BE49-F238E27FC236}">
              <a16:creationId xmlns:a16="http://schemas.microsoft.com/office/drawing/2014/main" id="{6085A960-FC44-45DB-8CA1-4D74101CEA48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552" name="Line 3">
          <a:extLst>
            <a:ext uri="{FF2B5EF4-FFF2-40B4-BE49-F238E27FC236}">
              <a16:creationId xmlns:a16="http://schemas.microsoft.com/office/drawing/2014/main" id="{6D25431A-771C-4A1D-8642-5EC63DC9C444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553" name="Line 4">
          <a:extLst>
            <a:ext uri="{FF2B5EF4-FFF2-40B4-BE49-F238E27FC236}">
              <a16:creationId xmlns:a16="http://schemas.microsoft.com/office/drawing/2014/main" id="{3AE24B82-603B-45FF-8524-060D691D1546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554" name="Line 5">
          <a:extLst>
            <a:ext uri="{FF2B5EF4-FFF2-40B4-BE49-F238E27FC236}">
              <a16:creationId xmlns:a16="http://schemas.microsoft.com/office/drawing/2014/main" id="{99AE9C6E-89EC-459F-924E-66B4809C9D29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583</xdr:row>
      <xdr:rowOff>0</xdr:rowOff>
    </xdr:from>
    <xdr:to>
      <xdr:col>8</xdr:col>
      <xdr:colOff>180975</xdr:colOff>
      <xdr:row>583</xdr:row>
      <xdr:rowOff>0</xdr:rowOff>
    </xdr:to>
    <xdr:sp macro="" textlink="">
      <xdr:nvSpPr>
        <xdr:cNvPr id="1555" name="Line 7">
          <a:extLst>
            <a:ext uri="{FF2B5EF4-FFF2-40B4-BE49-F238E27FC236}">
              <a16:creationId xmlns:a16="http://schemas.microsoft.com/office/drawing/2014/main" id="{4D5591DA-DF17-45E5-9883-6F9703F28E40}"/>
            </a:ext>
          </a:extLst>
        </xdr:cNvPr>
        <xdr:cNvSpPr>
          <a:spLocks noChangeShapeType="1"/>
        </xdr:cNvSpPr>
      </xdr:nvSpPr>
      <xdr:spPr bwMode="auto">
        <a:xfrm>
          <a:off x="4924425" y="101765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556" name="Line 2">
          <a:extLst>
            <a:ext uri="{FF2B5EF4-FFF2-40B4-BE49-F238E27FC236}">
              <a16:creationId xmlns:a16="http://schemas.microsoft.com/office/drawing/2014/main" id="{821C22BE-4D93-4A71-AD3B-013E4BF4FDA1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557" name="Line 3">
          <a:extLst>
            <a:ext uri="{FF2B5EF4-FFF2-40B4-BE49-F238E27FC236}">
              <a16:creationId xmlns:a16="http://schemas.microsoft.com/office/drawing/2014/main" id="{81D793AB-544F-4D86-90E8-B35203FC0CB5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558" name="Line 4">
          <a:extLst>
            <a:ext uri="{FF2B5EF4-FFF2-40B4-BE49-F238E27FC236}">
              <a16:creationId xmlns:a16="http://schemas.microsoft.com/office/drawing/2014/main" id="{BC9CBF04-E174-49B0-8C54-5E42DAD12BC1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559" name="Line 5">
          <a:extLst>
            <a:ext uri="{FF2B5EF4-FFF2-40B4-BE49-F238E27FC236}">
              <a16:creationId xmlns:a16="http://schemas.microsoft.com/office/drawing/2014/main" id="{00CF45E5-A081-4DF4-B527-0E2F0C38C06E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560" name="Line 2">
          <a:extLst>
            <a:ext uri="{FF2B5EF4-FFF2-40B4-BE49-F238E27FC236}">
              <a16:creationId xmlns:a16="http://schemas.microsoft.com/office/drawing/2014/main" id="{9DA8E5C3-4199-40D7-9244-E265EA3280FC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561" name="Line 3">
          <a:extLst>
            <a:ext uri="{FF2B5EF4-FFF2-40B4-BE49-F238E27FC236}">
              <a16:creationId xmlns:a16="http://schemas.microsoft.com/office/drawing/2014/main" id="{0FA71B38-E455-478B-A2FE-CA84C1E9A5B8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562" name="Line 4">
          <a:extLst>
            <a:ext uri="{FF2B5EF4-FFF2-40B4-BE49-F238E27FC236}">
              <a16:creationId xmlns:a16="http://schemas.microsoft.com/office/drawing/2014/main" id="{5D55AF5E-9F4D-43EA-BAE1-BB8762C536BD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563" name="Line 2">
          <a:extLst>
            <a:ext uri="{FF2B5EF4-FFF2-40B4-BE49-F238E27FC236}">
              <a16:creationId xmlns:a16="http://schemas.microsoft.com/office/drawing/2014/main" id="{1F1840BB-9AC9-42D8-910E-008D648827AA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564" name="Line 3">
          <a:extLst>
            <a:ext uri="{FF2B5EF4-FFF2-40B4-BE49-F238E27FC236}">
              <a16:creationId xmlns:a16="http://schemas.microsoft.com/office/drawing/2014/main" id="{B09877DA-E0CA-4CED-AA9D-9F0134124D39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558</xdr:row>
      <xdr:rowOff>0</xdr:rowOff>
    </xdr:from>
    <xdr:to>
      <xdr:col>8</xdr:col>
      <xdr:colOff>180975</xdr:colOff>
      <xdr:row>558</xdr:row>
      <xdr:rowOff>0</xdr:rowOff>
    </xdr:to>
    <xdr:sp macro="" textlink="">
      <xdr:nvSpPr>
        <xdr:cNvPr id="1565" name="Line 4">
          <a:extLst>
            <a:ext uri="{FF2B5EF4-FFF2-40B4-BE49-F238E27FC236}">
              <a16:creationId xmlns:a16="http://schemas.microsoft.com/office/drawing/2014/main" id="{1E372C21-9444-4BF5-9AF3-CF1D1463F1CA}"/>
            </a:ext>
          </a:extLst>
        </xdr:cNvPr>
        <xdr:cNvSpPr>
          <a:spLocks noChangeShapeType="1"/>
        </xdr:cNvSpPr>
      </xdr:nvSpPr>
      <xdr:spPr bwMode="auto">
        <a:xfrm>
          <a:off x="4924425" y="9805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566" name="Line 2">
          <a:extLst>
            <a:ext uri="{FF2B5EF4-FFF2-40B4-BE49-F238E27FC236}">
              <a16:creationId xmlns:a16="http://schemas.microsoft.com/office/drawing/2014/main" id="{24501BC7-13A5-4B65-8F03-264B4B524453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567" name="Line 3">
          <a:extLst>
            <a:ext uri="{FF2B5EF4-FFF2-40B4-BE49-F238E27FC236}">
              <a16:creationId xmlns:a16="http://schemas.microsoft.com/office/drawing/2014/main" id="{D84A51C2-F37F-4696-920B-EAC5A13471AA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562</xdr:row>
      <xdr:rowOff>0</xdr:rowOff>
    </xdr:from>
    <xdr:to>
      <xdr:col>8</xdr:col>
      <xdr:colOff>180975</xdr:colOff>
      <xdr:row>562</xdr:row>
      <xdr:rowOff>0</xdr:rowOff>
    </xdr:to>
    <xdr:sp macro="" textlink="">
      <xdr:nvSpPr>
        <xdr:cNvPr id="1568" name="Line 4">
          <a:extLst>
            <a:ext uri="{FF2B5EF4-FFF2-40B4-BE49-F238E27FC236}">
              <a16:creationId xmlns:a16="http://schemas.microsoft.com/office/drawing/2014/main" id="{D225A124-6DFF-482F-9910-32B2347B9EEC}"/>
            </a:ext>
          </a:extLst>
        </xdr:cNvPr>
        <xdr:cNvSpPr>
          <a:spLocks noChangeShapeType="1"/>
        </xdr:cNvSpPr>
      </xdr:nvSpPr>
      <xdr:spPr bwMode="auto">
        <a:xfrm>
          <a:off x="4924425" y="98621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569" name="Line 3">
          <a:extLst>
            <a:ext uri="{FF2B5EF4-FFF2-40B4-BE49-F238E27FC236}">
              <a16:creationId xmlns:a16="http://schemas.microsoft.com/office/drawing/2014/main" id="{9B4F9E8B-B7C9-4E01-AD23-DAC7EA7321D9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570" name="Line 5">
          <a:extLst>
            <a:ext uri="{FF2B5EF4-FFF2-40B4-BE49-F238E27FC236}">
              <a16:creationId xmlns:a16="http://schemas.microsoft.com/office/drawing/2014/main" id="{5A5EB13D-0DA0-4006-BC77-D4A7D675E24C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571" name="Line 2">
          <a:extLst>
            <a:ext uri="{FF2B5EF4-FFF2-40B4-BE49-F238E27FC236}">
              <a16:creationId xmlns:a16="http://schemas.microsoft.com/office/drawing/2014/main" id="{ED45ABDE-FF65-4BF4-B5B4-A84280FEE271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572" name="Line 3">
          <a:extLst>
            <a:ext uri="{FF2B5EF4-FFF2-40B4-BE49-F238E27FC236}">
              <a16:creationId xmlns:a16="http://schemas.microsoft.com/office/drawing/2014/main" id="{E3435C3B-D1F1-4A8C-95BB-946FC3EA974C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573" name="Line 4">
          <a:extLst>
            <a:ext uri="{FF2B5EF4-FFF2-40B4-BE49-F238E27FC236}">
              <a16:creationId xmlns:a16="http://schemas.microsoft.com/office/drawing/2014/main" id="{4AAC186A-8DC3-4B22-AF7F-FB0A4EA34C70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574" name="Line 5">
          <a:extLst>
            <a:ext uri="{FF2B5EF4-FFF2-40B4-BE49-F238E27FC236}">
              <a16:creationId xmlns:a16="http://schemas.microsoft.com/office/drawing/2014/main" id="{73119876-4C4D-4A43-A93D-7CD1B077509A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1575" name="Line 7">
          <a:extLst>
            <a:ext uri="{FF2B5EF4-FFF2-40B4-BE49-F238E27FC236}">
              <a16:creationId xmlns:a16="http://schemas.microsoft.com/office/drawing/2014/main" id="{41370C72-B884-4EA9-8FBF-5111923C799F}"/>
            </a:ext>
          </a:extLst>
        </xdr:cNvPr>
        <xdr:cNvSpPr>
          <a:spLocks noChangeShapeType="1"/>
        </xdr:cNvSpPr>
      </xdr:nvSpPr>
      <xdr:spPr bwMode="auto">
        <a:xfrm>
          <a:off x="4924425" y="11015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576" name="Line 2">
          <a:extLst>
            <a:ext uri="{FF2B5EF4-FFF2-40B4-BE49-F238E27FC236}">
              <a16:creationId xmlns:a16="http://schemas.microsoft.com/office/drawing/2014/main" id="{E7290E7B-4658-4C77-8106-95A61BBEAC6D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577" name="Line 3">
          <a:extLst>
            <a:ext uri="{FF2B5EF4-FFF2-40B4-BE49-F238E27FC236}">
              <a16:creationId xmlns:a16="http://schemas.microsoft.com/office/drawing/2014/main" id="{AD186448-4D58-46AD-B902-072602F984DA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578" name="Line 4">
          <a:extLst>
            <a:ext uri="{FF2B5EF4-FFF2-40B4-BE49-F238E27FC236}">
              <a16:creationId xmlns:a16="http://schemas.microsoft.com/office/drawing/2014/main" id="{1ED28BAC-7B6B-4BA5-983F-C54485C84DE6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579" name="Line 5">
          <a:extLst>
            <a:ext uri="{FF2B5EF4-FFF2-40B4-BE49-F238E27FC236}">
              <a16:creationId xmlns:a16="http://schemas.microsoft.com/office/drawing/2014/main" id="{F2F88BB6-26F4-474B-8E1D-2309AAAC9934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580" name="Line 2">
          <a:extLst>
            <a:ext uri="{FF2B5EF4-FFF2-40B4-BE49-F238E27FC236}">
              <a16:creationId xmlns:a16="http://schemas.microsoft.com/office/drawing/2014/main" id="{1C9446A2-D355-4627-98D3-43620E6F8DE2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581" name="Line 3">
          <a:extLst>
            <a:ext uri="{FF2B5EF4-FFF2-40B4-BE49-F238E27FC236}">
              <a16:creationId xmlns:a16="http://schemas.microsoft.com/office/drawing/2014/main" id="{9EC72D13-E77F-4C92-B905-1DCC2AEC3246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582" name="Line 4">
          <a:extLst>
            <a:ext uri="{FF2B5EF4-FFF2-40B4-BE49-F238E27FC236}">
              <a16:creationId xmlns:a16="http://schemas.microsoft.com/office/drawing/2014/main" id="{E927F9D4-7957-49B5-8857-C84063F3E244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583" name="Line 2">
          <a:extLst>
            <a:ext uri="{FF2B5EF4-FFF2-40B4-BE49-F238E27FC236}">
              <a16:creationId xmlns:a16="http://schemas.microsoft.com/office/drawing/2014/main" id="{31E5731C-B45C-4E43-9DAD-BAE50BC4FFFB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584" name="Line 3">
          <a:extLst>
            <a:ext uri="{FF2B5EF4-FFF2-40B4-BE49-F238E27FC236}">
              <a16:creationId xmlns:a16="http://schemas.microsoft.com/office/drawing/2014/main" id="{CD920E2A-DCA0-4DC5-9EDA-DA2A8D011ADB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585" name="Line 4">
          <a:extLst>
            <a:ext uri="{FF2B5EF4-FFF2-40B4-BE49-F238E27FC236}">
              <a16:creationId xmlns:a16="http://schemas.microsoft.com/office/drawing/2014/main" id="{06E092EE-4EDD-48D9-A1CB-11908F882F2E}"/>
            </a:ext>
          </a:extLst>
        </xdr:cNvPr>
        <xdr:cNvSpPr>
          <a:spLocks noChangeShapeType="1"/>
        </xdr:cNvSpPr>
      </xdr:nvSpPr>
      <xdr:spPr bwMode="auto">
        <a:xfrm>
          <a:off x="4924425" y="106584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586" name="Line 2">
          <a:extLst>
            <a:ext uri="{FF2B5EF4-FFF2-40B4-BE49-F238E27FC236}">
              <a16:creationId xmlns:a16="http://schemas.microsoft.com/office/drawing/2014/main" id="{2870C9B6-34EC-4FA3-9D6B-5802A3C85A92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587" name="Line 3">
          <a:extLst>
            <a:ext uri="{FF2B5EF4-FFF2-40B4-BE49-F238E27FC236}">
              <a16:creationId xmlns:a16="http://schemas.microsoft.com/office/drawing/2014/main" id="{AAB3476D-C507-4D2E-8374-F25DDC64CF6C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612</xdr:row>
      <xdr:rowOff>0</xdr:rowOff>
    </xdr:from>
    <xdr:to>
      <xdr:col>8</xdr:col>
      <xdr:colOff>180975</xdr:colOff>
      <xdr:row>612</xdr:row>
      <xdr:rowOff>0</xdr:rowOff>
    </xdr:to>
    <xdr:sp macro="" textlink="">
      <xdr:nvSpPr>
        <xdr:cNvPr id="1588" name="Line 4">
          <a:extLst>
            <a:ext uri="{FF2B5EF4-FFF2-40B4-BE49-F238E27FC236}">
              <a16:creationId xmlns:a16="http://schemas.microsoft.com/office/drawing/2014/main" id="{BE056EAD-2146-4204-995E-1BC0CF425551}"/>
            </a:ext>
          </a:extLst>
        </xdr:cNvPr>
        <xdr:cNvSpPr>
          <a:spLocks noChangeShapeType="1"/>
        </xdr:cNvSpPr>
      </xdr:nvSpPr>
      <xdr:spPr bwMode="auto">
        <a:xfrm>
          <a:off x="4924425" y="107013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590" name="Line 3">
          <a:extLst>
            <a:ext uri="{FF2B5EF4-FFF2-40B4-BE49-F238E27FC236}">
              <a16:creationId xmlns:a16="http://schemas.microsoft.com/office/drawing/2014/main" id="{88E90E47-E3E1-408D-84EE-469DB2BD38B9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591" name="Line 5">
          <a:extLst>
            <a:ext uri="{FF2B5EF4-FFF2-40B4-BE49-F238E27FC236}">
              <a16:creationId xmlns:a16="http://schemas.microsoft.com/office/drawing/2014/main" id="{7AFA8F99-8FE9-4A10-8C96-E2DF2D077ED9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112</xdr:row>
      <xdr:rowOff>0</xdr:rowOff>
    </xdr:from>
    <xdr:to>
      <xdr:col>8</xdr:col>
      <xdr:colOff>180975</xdr:colOff>
      <xdr:row>112</xdr:row>
      <xdr:rowOff>0</xdr:rowOff>
    </xdr:to>
    <xdr:sp macro="" textlink="">
      <xdr:nvSpPr>
        <xdr:cNvPr id="1592" name="Line 2">
          <a:extLst>
            <a:ext uri="{FF2B5EF4-FFF2-40B4-BE49-F238E27FC236}">
              <a16:creationId xmlns:a16="http://schemas.microsoft.com/office/drawing/2014/main" id="{99F71C4B-3627-4F5C-8B5A-66615ABEB9A1}"/>
            </a:ext>
          </a:extLst>
        </xdr:cNvPr>
        <xdr:cNvSpPr>
          <a:spLocks noChangeShapeType="1"/>
        </xdr:cNvSpPr>
      </xdr:nvSpPr>
      <xdr:spPr bwMode="auto">
        <a:xfrm>
          <a:off x="492442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593" name="Line 3">
          <a:extLst>
            <a:ext uri="{FF2B5EF4-FFF2-40B4-BE49-F238E27FC236}">
              <a16:creationId xmlns:a16="http://schemas.microsoft.com/office/drawing/2014/main" id="{9DF99298-7797-4BAE-8898-184903E3DE03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594" name="Line 5">
          <a:extLst>
            <a:ext uri="{FF2B5EF4-FFF2-40B4-BE49-F238E27FC236}">
              <a16:creationId xmlns:a16="http://schemas.microsoft.com/office/drawing/2014/main" id="{C241BF39-CBCE-48B0-9404-5E30CB1C7FF5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595" name="Line 2">
          <a:extLst>
            <a:ext uri="{FF2B5EF4-FFF2-40B4-BE49-F238E27FC236}">
              <a16:creationId xmlns:a16="http://schemas.microsoft.com/office/drawing/2014/main" id="{10F7FAEA-354E-4C13-874D-8C72B54B3DC8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596" name="Line 3">
          <a:extLst>
            <a:ext uri="{FF2B5EF4-FFF2-40B4-BE49-F238E27FC236}">
              <a16:creationId xmlns:a16="http://schemas.microsoft.com/office/drawing/2014/main" id="{1E1CCA7D-8849-4946-B942-A49F204DD190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597" name="Line 4">
          <a:extLst>
            <a:ext uri="{FF2B5EF4-FFF2-40B4-BE49-F238E27FC236}">
              <a16:creationId xmlns:a16="http://schemas.microsoft.com/office/drawing/2014/main" id="{2B8F7F86-3A05-49F7-81A6-5840F02532FA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101</xdr:row>
      <xdr:rowOff>0</xdr:rowOff>
    </xdr:from>
    <xdr:to>
      <xdr:col>8</xdr:col>
      <xdr:colOff>180975</xdr:colOff>
      <xdr:row>101</xdr:row>
      <xdr:rowOff>0</xdr:rowOff>
    </xdr:to>
    <xdr:sp macro="" textlink="">
      <xdr:nvSpPr>
        <xdr:cNvPr id="1599" name="Line 7">
          <a:extLst>
            <a:ext uri="{FF2B5EF4-FFF2-40B4-BE49-F238E27FC236}">
              <a16:creationId xmlns:a16="http://schemas.microsoft.com/office/drawing/2014/main" id="{154CE8D7-DF4A-4576-855F-6675D3D03F99}"/>
            </a:ext>
          </a:extLst>
        </xdr:cNvPr>
        <xdr:cNvSpPr>
          <a:spLocks noChangeShapeType="1"/>
        </xdr:cNvSpPr>
      </xdr:nvSpPr>
      <xdr:spPr bwMode="auto">
        <a:xfrm>
          <a:off x="4924425" y="15335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600" name="Line 2">
          <a:extLst>
            <a:ext uri="{FF2B5EF4-FFF2-40B4-BE49-F238E27FC236}">
              <a16:creationId xmlns:a16="http://schemas.microsoft.com/office/drawing/2014/main" id="{991B6B33-85C1-4C0B-8E5E-B44F8AF95722}"/>
            </a:ext>
          </a:extLst>
        </xdr:cNvPr>
        <xdr:cNvSpPr>
          <a:spLocks noChangeShapeType="1"/>
        </xdr:cNvSpPr>
      </xdr:nvSpPr>
      <xdr:spPr bwMode="auto">
        <a:xfrm>
          <a:off x="4924425" y="2517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603" name="Line 2">
          <a:extLst>
            <a:ext uri="{FF2B5EF4-FFF2-40B4-BE49-F238E27FC236}">
              <a16:creationId xmlns:a16="http://schemas.microsoft.com/office/drawing/2014/main" id="{1D107DCC-3F0E-4B4E-A9C3-BFF539A2E242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604" name="Line 3">
          <a:extLst>
            <a:ext uri="{FF2B5EF4-FFF2-40B4-BE49-F238E27FC236}">
              <a16:creationId xmlns:a16="http://schemas.microsoft.com/office/drawing/2014/main" id="{7E27B109-76C2-4AB9-9FC7-64D5DBD07DF3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605" name="Line 4">
          <a:extLst>
            <a:ext uri="{FF2B5EF4-FFF2-40B4-BE49-F238E27FC236}">
              <a16:creationId xmlns:a16="http://schemas.microsoft.com/office/drawing/2014/main" id="{72C04400-9F8B-4AB4-957E-09B9EC911037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606" name="Line 5">
          <a:extLst>
            <a:ext uri="{FF2B5EF4-FFF2-40B4-BE49-F238E27FC236}">
              <a16:creationId xmlns:a16="http://schemas.microsoft.com/office/drawing/2014/main" id="{5485C192-C6F6-4231-847A-89E782B52A55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608" name="Line 2">
          <a:extLst>
            <a:ext uri="{FF2B5EF4-FFF2-40B4-BE49-F238E27FC236}">
              <a16:creationId xmlns:a16="http://schemas.microsoft.com/office/drawing/2014/main" id="{9F2EE6CF-42E6-4405-B3E8-9775898F7F71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609" name="Line 3">
          <a:extLst>
            <a:ext uri="{FF2B5EF4-FFF2-40B4-BE49-F238E27FC236}">
              <a16:creationId xmlns:a16="http://schemas.microsoft.com/office/drawing/2014/main" id="{04306306-2B53-4696-8B57-DDF909E58FA0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610" name="Line 4">
          <a:extLst>
            <a:ext uri="{FF2B5EF4-FFF2-40B4-BE49-F238E27FC236}">
              <a16:creationId xmlns:a16="http://schemas.microsoft.com/office/drawing/2014/main" id="{308F7F55-E87E-47D0-9DFC-602A027D7E35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611" name="Line 5">
          <a:extLst>
            <a:ext uri="{FF2B5EF4-FFF2-40B4-BE49-F238E27FC236}">
              <a16:creationId xmlns:a16="http://schemas.microsoft.com/office/drawing/2014/main" id="{076D458E-C938-4C3C-9EEA-7A09BC0C887B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612" name="Line 2">
          <a:extLst>
            <a:ext uri="{FF2B5EF4-FFF2-40B4-BE49-F238E27FC236}">
              <a16:creationId xmlns:a16="http://schemas.microsoft.com/office/drawing/2014/main" id="{429C3702-7ABC-476E-9066-D9ED6C8FB054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13" name="Line 3">
          <a:extLst>
            <a:ext uri="{FF2B5EF4-FFF2-40B4-BE49-F238E27FC236}">
              <a16:creationId xmlns:a16="http://schemas.microsoft.com/office/drawing/2014/main" id="{96E9AC9F-CCDF-4348-93A0-1E13DAE3C2A9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14" name="Line 5">
          <a:extLst>
            <a:ext uri="{FF2B5EF4-FFF2-40B4-BE49-F238E27FC236}">
              <a16:creationId xmlns:a16="http://schemas.microsoft.com/office/drawing/2014/main" id="{2AF6B7B3-6699-47DE-99BB-B91D5D456223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615" name="Line 2">
          <a:extLst>
            <a:ext uri="{FF2B5EF4-FFF2-40B4-BE49-F238E27FC236}">
              <a16:creationId xmlns:a16="http://schemas.microsoft.com/office/drawing/2014/main" id="{31831378-96A4-42F1-8972-558F8FC92351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616" name="Line 3">
          <a:extLst>
            <a:ext uri="{FF2B5EF4-FFF2-40B4-BE49-F238E27FC236}">
              <a16:creationId xmlns:a16="http://schemas.microsoft.com/office/drawing/2014/main" id="{B9C0ABCF-472C-46CD-A4B6-3EB1B80531AC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617" name="Line 4">
          <a:extLst>
            <a:ext uri="{FF2B5EF4-FFF2-40B4-BE49-F238E27FC236}">
              <a16:creationId xmlns:a16="http://schemas.microsoft.com/office/drawing/2014/main" id="{04A432B9-4DEC-4168-9C8D-584CC78B2C30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618" name="Line 5">
          <a:extLst>
            <a:ext uri="{FF2B5EF4-FFF2-40B4-BE49-F238E27FC236}">
              <a16:creationId xmlns:a16="http://schemas.microsoft.com/office/drawing/2014/main" id="{825F5F73-3FA3-4AF2-9D68-F3EC21C47E4A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619" name="Line 2">
          <a:extLst>
            <a:ext uri="{FF2B5EF4-FFF2-40B4-BE49-F238E27FC236}">
              <a16:creationId xmlns:a16="http://schemas.microsoft.com/office/drawing/2014/main" id="{D5CFFA46-4A75-4DD4-B5F8-723DFB50690D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620" name="Line 3">
          <a:extLst>
            <a:ext uri="{FF2B5EF4-FFF2-40B4-BE49-F238E27FC236}">
              <a16:creationId xmlns:a16="http://schemas.microsoft.com/office/drawing/2014/main" id="{B73A2A35-03CE-4DA7-91B8-D37666FE631B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621" name="Line 4">
          <a:extLst>
            <a:ext uri="{FF2B5EF4-FFF2-40B4-BE49-F238E27FC236}">
              <a16:creationId xmlns:a16="http://schemas.microsoft.com/office/drawing/2014/main" id="{9F666947-F7FA-4467-BE74-56C820C405DB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622" name="Line 5">
          <a:extLst>
            <a:ext uri="{FF2B5EF4-FFF2-40B4-BE49-F238E27FC236}">
              <a16:creationId xmlns:a16="http://schemas.microsoft.com/office/drawing/2014/main" id="{7EF2400B-44E3-4408-8108-F67BEC3FA8C7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623" name="Line 2">
          <a:extLst>
            <a:ext uri="{FF2B5EF4-FFF2-40B4-BE49-F238E27FC236}">
              <a16:creationId xmlns:a16="http://schemas.microsoft.com/office/drawing/2014/main" id="{93FAC17A-7103-4533-A485-772F0B209547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624" name="Line 3">
          <a:extLst>
            <a:ext uri="{FF2B5EF4-FFF2-40B4-BE49-F238E27FC236}">
              <a16:creationId xmlns:a16="http://schemas.microsoft.com/office/drawing/2014/main" id="{AE4ADF35-5A42-4F35-870C-2A1DB07ED86C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625" name="Line 4">
          <a:extLst>
            <a:ext uri="{FF2B5EF4-FFF2-40B4-BE49-F238E27FC236}">
              <a16:creationId xmlns:a16="http://schemas.microsoft.com/office/drawing/2014/main" id="{8D88B464-DE93-4C3C-8EFB-8863E8AB670F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626" name="Line 5">
          <a:extLst>
            <a:ext uri="{FF2B5EF4-FFF2-40B4-BE49-F238E27FC236}">
              <a16:creationId xmlns:a16="http://schemas.microsoft.com/office/drawing/2014/main" id="{CAD23FF4-DC5C-4525-A288-6730C3A50717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627" name="Line 7">
          <a:extLst>
            <a:ext uri="{FF2B5EF4-FFF2-40B4-BE49-F238E27FC236}">
              <a16:creationId xmlns:a16="http://schemas.microsoft.com/office/drawing/2014/main" id="{3909B22B-B5C3-459C-BD04-0AA0222D776D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628" name="Line 8">
          <a:extLst>
            <a:ext uri="{FF2B5EF4-FFF2-40B4-BE49-F238E27FC236}">
              <a16:creationId xmlns:a16="http://schemas.microsoft.com/office/drawing/2014/main" id="{86DBE386-8D17-4D40-8EFC-C42236C9774C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629" name="Rectangle 7">
          <a:extLst>
            <a:ext uri="{FF2B5EF4-FFF2-40B4-BE49-F238E27FC236}">
              <a16:creationId xmlns:a16="http://schemas.microsoft.com/office/drawing/2014/main" id="{B0F4563F-046B-48E4-9B55-C9CE28F82218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630" name="Rectangle 8">
          <a:extLst>
            <a:ext uri="{FF2B5EF4-FFF2-40B4-BE49-F238E27FC236}">
              <a16:creationId xmlns:a16="http://schemas.microsoft.com/office/drawing/2014/main" id="{664C8EC4-5FE0-40E4-989B-BFDB9385A4F2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631" name="Line 2">
          <a:extLst>
            <a:ext uri="{FF2B5EF4-FFF2-40B4-BE49-F238E27FC236}">
              <a16:creationId xmlns:a16="http://schemas.microsoft.com/office/drawing/2014/main" id="{B63D8221-02B0-4959-A4EB-990033EFBBDA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32" name="Line 3">
          <a:extLst>
            <a:ext uri="{FF2B5EF4-FFF2-40B4-BE49-F238E27FC236}">
              <a16:creationId xmlns:a16="http://schemas.microsoft.com/office/drawing/2014/main" id="{2FA18358-A54A-4C03-8D24-9AD4EFE86518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633" name="Line 5">
          <a:extLst>
            <a:ext uri="{FF2B5EF4-FFF2-40B4-BE49-F238E27FC236}">
              <a16:creationId xmlns:a16="http://schemas.microsoft.com/office/drawing/2014/main" id="{94B42B7F-5AB4-403C-9D07-A7019CC6AACD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634" name="Line 2">
          <a:extLst>
            <a:ext uri="{FF2B5EF4-FFF2-40B4-BE49-F238E27FC236}">
              <a16:creationId xmlns:a16="http://schemas.microsoft.com/office/drawing/2014/main" id="{CA32B9D2-B44C-4355-99F8-092A4E54B5ED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635" name="Line 3">
          <a:extLst>
            <a:ext uri="{FF2B5EF4-FFF2-40B4-BE49-F238E27FC236}">
              <a16:creationId xmlns:a16="http://schemas.microsoft.com/office/drawing/2014/main" id="{4C85FC56-53BA-42A5-B177-3C161C2516BB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636" name="Line 4">
          <a:extLst>
            <a:ext uri="{FF2B5EF4-FFF2-40B4-BE49-F238E27FC236}">
              <a16:creationId xmlns:a16="http://schemas.microsoft.com/office/drawing/2014/main" id="{AFA43CDA-FA65-49D3-8A72-2E9F06F8BA66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637" name="Line 5">
          <a:extLst>
            <a:ext uri="{FF2B5EF4-FFF2-40B4-BE49-F238E27FC236}">
              <a16:creationId xmlns:a16="http://schemas.microsoft.com/office/drawing/2014/main" id="{44DFFCEC-83D5-41E1-901C-AD7FBCA0DFF8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638" name="Line 2">
          <a:extLst>
            <a:ext uri="{FF2B5EF4-FFF2-40B4-BE49-F238E27FC236}">
              <a16:creationId xmlns:a16="http://schemas.microsoft.com/office/drawing/2014/main" id="{26CC75EE-DABF-45B1-816A-04C5879C692E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639" name="Line 3">
          <a:extLst>
            <a:ext uri="{FF2B5EF4-FFF2-40B4-BE49-F238E27FC236}">
              <a16:creationId xmlns:a16="http://schemas.microsoft.com/office/drawing/2014/main" id="{9A1D4A7C-8ED8-48B2-8C31-DCE528100711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640" name="Line 4">
          <a:extLst>
            <a:ext uri="{FF2B5EF4-FFF2-40B4-BE49-F238E27FC236}">
              <a16:creationId xmlns:a16="http://schemas.microsoft.com/office/drawing/2014/main" id="{0D8801B8-A421-409C-8492-976974610664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641" name="Line 5">
          <a:extLst>
            <a:ext uri="{FF2B5EF4-FFF2-40B4-BE49-F238E27FC236}">
              <a16:creationId xmlns:a16="http://schemas.microsoft.com/office/drawing/2014/main" id="{FB9D72A8-C75F-4BCD-8B00-2C05FE8568D1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642" name="Line 2">
          <a:extLst>
            <a:ext uri="{FF2B5EF4-FFF2-40B4-BE49-F238E27FC236}">
              <a16:creationId xmlns:a16="http://schemas.microsoft.com/office/drawing/2014/main" id="{A2FC1BA7-A4BF-4E4E-BBA4-153CC55A7065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643" name="Line 3">
          <a:extLst>
            <a:ext uri="{FF2B5EF4-FFF2-40B4-BE49-F238E27FC236}">
              <a16:creationId xmlns:a16="http://schemas.microsoft.com/office/drawing/2014/main" id="{AFA89D7B-F3A9-44BF-9CF7-92F3F63B957F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644" name="Line 4">
          <a:extLst>
            <a:ext uri="{FF2B5EF4-FFF2-40B4-BE49-F238E27FC236}">
              <a16:creationId xmlns:a16="http://schemas.microsoft.com/office/drawing/2014/main" id="{1D69567F-E6DF-42AE-A3D5-461A7F8D6CB9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645" name="Line 5">
          <a:extLst>
            <a:ext uri="{FF2B5EF4-FFF2-40B4-BE49-F238E27FC236}">
              <a16:creationId xmlns:a16="http://schemas.microsoft.com/office/drawing/2014/main" id="{66BC074A-430C-4D74-8729-B6A91325799B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646" name="Line 7">
          <a:extLst>
            <a:ext uri="{FF2B5EF4-FFF2-40B4-BE49-F238E27FC236}">
              <a16:creationId xmlns:a16="http://schemas.microsoft.com/office/drawing/2014/main" id="{255182ED-5F7E-40EB-AC6E-BC65462E7A00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647" name="Line 8">
          <a:extLst>
            <a:ext uri="{FF2B5EF4-FFF2-40B4-BE49-F238E27FC236}">
              <a16:creationId xmlns:a16="http://schemas.microsoft.com/office/drawing/2014/main" id="{8F70FC7D-797E-4425-AAC6-D46B3A73E365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648" name="Rectangle 7">
          <a:extLst>
            <a:ext uri="{FF2B5EF4-FFF2-40B4-BE49-F238E27FC236}">
              <a16:creationId xmlns:a16="http://schemas.microsoft.com/office/drawing/2014/main" id="{A7FE0B78-8705-4F7A-9CB1-A6EEC5F76C2A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0500" cy="933450"/>
    <xdr:sp macro="" textlink="">
      <xdr:nvSpPr>
        <xdr:cNvPr id="1649" name="Rectangle 8">
          <a:extLst>
            <a:ext uri="{FF2B5EF4-FFF2-40B4-BE49-F238E27FC236}">
              <a16:creationId xmlns:a16="http://schemas.microsoft.com/office/drawing/2014/main" id="{35A7E6A5-FA62-425E-8657-B4C213823F7E}"/>
            </a:ext>
          </a:extLst>
        </xdr:cNvPr>
        <xdr:cNvSpPr>
          <a:spLocks noChangeArrowheads="1"/>
        </xdr:cNvSpPr>
      </xdr:nvSpPr>
      <xdr:spPr bwMode="auto">
        <a:xfrm>
          <a:off x="4924425" y="3706177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650" name="Line 3">
          <a:extLst>
            <a:ext uri="{FF2B5EF4-FFF2-40B4-BE49-F238E27FC236}">
              <a16:creationId xmlns:a16="http://schemas.microsoft.com/office/drawing/2014/main" id="{81BB53CF-3275-45C0-99D2-4A0018FCF709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651" name="Line 5">
          <a:extLst>
            <a:ext uri="{FF2B5EF4-FFF2-40B4-BE49-F238E27FC236}">
              <a16:creationId xmlns:a16="http://schemas.microsoft.com/office/drawing/2014/main" id="{6BEF0875-177C-40B3-9EB7-318892594566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652" name="Line 2">
          <a:extLst>
            <a:ext uri="{FF2B5EF4-FFF2-40B4-BE49-F238E27FC236}">
              <a16:creationId xmlns:a16="http://schemas.microsoft.com/office/drawing/2014/main" id="{88295BB7-DAC5-4203-A39A-DFBA11FC51AC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653" name="Line 3">
          <a:extLst>
            <a:ext uri="{FF2B5EF4-FFF2-40B4-BE49-F238E27FC236}">
              <a16:creationId xmlns:a16="http://schemas.microsoft.com/office/drawing/2014/main" id="{61E1504C-1654-4762-BD13-5AA5DA07089A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654" name="Line 4">
          <a:extLst>
            <a:ext uri="{FF2B5EF4-FFF2-40B4-BE49-F238E27FC236}">
              <a16:creationId xmlns:a16="http://schemas.microsoft.com/office/drawing/2014/main" id="{0A484ACD-AD66-46F0-9412-10509B2F9F77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655" name="Line 5">
          <a:extLst>
            <a:ext uri="{FF2B5EF4-FFF2-40B4-BE49-F238E27FC236}">
              <a16:creationId xmlns:a16="http://schemas.microsoft.com/office/drawing/2014/main" id="{52747308-ADA4-4B73-ADCD-53643976F6D4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657" name="Line 2">
          <a:extLst>
            <a:ext uri="{FF2B5EF4-FFF2-40B4-BE49-F238E27FC236}">
              <a16:creationId xmlns:a16="http://schemas.microsoft.com/office/drawing/2014/main" id="{9554C7E3-83EC-44BD-9DE0-413A539A00EC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658" name="Line 3">
          <a:extLst>
            <a:ext uri="{FF2B5EF4-FFF2-40B4-BE49-F238E27FC236}">
              <a16:creationId xmlns:a16="http://schemas.microsoft.com/office/drawing/2014/main" id="{68718E3A-8FCE-44BD-BA02-0C4931606519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659" name="Line 4">
          <a:extLst>
            <a:ext uri="{FF2B5EF4-FFF2-40B4-BE49-F238E27FC236}">
              <a16:creationId xmlns:a16="http://schemas.microsoft.com/office/drawing/2014/main" id="{F7A8E8FF-BAB7-49D4-AF3F-E116C30081FD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660" name="Line 5">
          <a:extLst>
            <a:ext uri="{FF2B5EF4-FFF2-40B4-BE49-F238E27FC236}">
              <a16:creationId xmlns:a16="http://schemas.microsoft.com/office/drawing/2014/main" id="{525C4EC5-272B-4041-892C-034803ACBA99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661" name="Line 2">
          <a:extLst>
            <a:ext uri="{FF2B5EF4-FFF2-40B4-BE49-F238E27FC236}">
              <a16:creationId xmlns:a16="http://schemas.microsoft.com/office/drawing/2014/main" id="{9EB14ACD-1422-4085-88CC-D0CC29DC3664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662" name="Line 3">
          <a:extLst>
            <a:ext uri="{FF2B5EF4-FFF2-40B4-BE49-F238E27FC236}">
              <a16:creationId xmlns:a16="http://schemas.microsoft.com/office/drawing/2014/main" id="{844CF8E7-71C2-431B-BE0C-2432EC5FAE9C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663" name="Line 4">
          <a:extLst>
            <a:ext uri="{FF2B5EF4-FFF2-40B4-BE49-F238E27FC236}">
              <a16:creationId xmlns:a16="http://schemas.microsoft.com/office/drawing/2014/main" id="{20EFF1A1-6518-40F1-B25F-95B4FC41401A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338</xdr:row>
      <xdr:rowOff>0</xdr:rowOff>
    </xdr:from>
    <xdr:to>
      <xdr:col>8</xdr:col>
      <xdr:colOff>180975</xdr:colOff>
      <xdr:row>338</xdr:row>
      <xdr:rowOff>0</xdr:rowOff>
    </xdr:to>
    <xdr:sp macro="" textlink="">
      <xdr:nvSpPr>
        <xdr:cNvPr id="1665" name="Line 7">
          <a:extLst>
            <a:ext uri="{FF2B5EF4-FFF2-40B4-BE49-F238E27FC236}">
              <a16:creationId xmlns:a16="http://schemas.microsoft.com/office/drawing/2014/main" id="{70949D98-3F37-44EE-BBB6-4EE47B18E761}"/>
            </a:ext>
          </a:extLst>
        </xdr:cNvPr>
        <xdr:cNvSpPr>
          <a:spLocks noChangeShapeType="1"/>
        </xdr:cNvSpPr>
      </xdr:nvSpPr>
      <xdr:spPr bwMode="auto">
        <a:xfrm>
          <a:off x="4924425" y="56540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666" name="Line 3">
          <a:extLst>
            <a:ext uri="{FF2B5EF4-FFF2-40B4-BE49-F238E27FC236}">
              <a16:creationId xmlns:a16="http://schemas.microsoft.com/office/drawing/2014/main" id="{A08EC185-9017-4C92-94C4-61613124C5B0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667" name="Line 5">
          <a:extLst>
            <a:ext uri="{FF2B5EF4-FFF2-40B4-BE49-F238E27FC236}">
              <a16:creationId xmlns:a16="http://schemas.microsoft.com/office/drawing/2014/main" id="{284B202F-95CE-471E-88BF-278D5551E7B5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668" name="Line 2">
          <a:extLst>
            <a:ext uri="{FF2B5EF4-FFF2-40B4-BE49-F238E27FC236}">
              <a16:creationId xmlns:a16="http://schemas.microsoft.com/office/drawing/2014/main" id="{B93133BE-E84A-4D19-95CE-12238C549121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669" name="Line 3">
          <a:extLst>
            <a:ext uri="{FF2B5EF4-FFF2-40B4-BE49-F238E27FC236}">
              <a16:creationId xmlns:a16="http://schemas.microsoft.com/office/drawing/2014/main" id="{9728786C-B000-47C8-AAC2-EE425FEE3DBB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670" name="Line 4">
          <a:extLst>
            <a:ext uri="{FF2B5EF4-FFF2-40B4-BE49-F238E27FC236}">
              <a16:creationId xmlns:a16="http://schemas.microsoft.com/office/drawing/2014/main" id="{757A4E6C-9A0E-4E13-9FD9-A2228E58F4E0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671" name="Line 5">
          <a:extLst>
            <a:ext uri="{FF2B5EF4-FFF2-40B4-BE49-F238E27FC236}">
              <a16:creationId xmlns:a16="http://schemas.microsoft.com/office/drawing/2014/main" id="{27017CF0-7FFC-4E4F-A874-E3F5EBDBC910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672" name="Line 2">
          <a:extLst>
            <a:ext uri="{FF2B5EF4-FFF2-40B4-BE49-F238E27FC236}">
              <a16:creationId xmlns:a16="http://schemas.microsoft.com/office/drawing/2014/main" id="{C93F8D1B-B83C-444D-A8F8-017B09422D45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673" name="Line 3">
          <a:extLst>
            <a:ext uri="{FF2B5EF4-FFF2-40B4-BE49-F238E27FC236}">
              <a16:creationId xmlns:a16="http://schemas.microsoft.com/office/drawing/2014/main" id="{11AC81FE-CBBC-4206-8040-D28F153DAF9B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674" name="Line 4">
          <a:extLst>
            <a:ext uri="{FF2B5EF4-FFF2-40B4-BE49-F238E27FC236}">
              <a16:creationId xmlns:a16="http://schemas.microsoft.com/office/drawing/2014/main" id="{08513C8A-E0E8-4E4F-9FE2-332053B7D0AA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675" name="Line 5">
          <a:extLst>
            <a:ext uri="{FF2B5EF4-FFF2-40B4-BE49-F238E27FC236}">
              <a16:creationId xmlns:a16="http://schemas.microsoft.com/office/drawing/2014/main" id="{3D165A00-5C30-4320-8405-73E61AF1A44A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676" name="Line 2">
          <a:extLst>
            <a:ext uri="{FF2B5EF4-FFF2-40B4-BE49-F238E27FC236}">
              <a16:creationId xmlns:a16="http://schemas.microsoft.com/office/drawing/2014/main" id="{660AA638-C495-4359-88DC-94A70A371187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677" name="Line 3">
          <a:extLst>
            <a:ext uri="{FF2B5EF4-FFF2-40B4-BE49-F238E27FC236}">
              <a16:creationId xmlns:a16="http://schemas.microsoft.com/office/drawing/2014/main" id="{BF22DE75-E77C-40DD-83C9-6E8523A6E28F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678" name="Line 4">
          <a:extLst>
            <a:ext uri="{FF2B5EF4-FFF2-40B4-BE49-F238E27FC236}">
              <a16:creationId xmlns:a16="http://schemas.microsoft.com/office/drawing/2014/main" id="{D93598B1-2BD7-477B-9284-1F015717645D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437</xdr:row>
      <xdr:rowOff>0</xdr:rowOff>
    </xdr:from>
    <xdr:to>
      <xdr:col>8</xdr:col>
      <xdr:colOff>180975</xdr:colOff>
      <xdr:row>437</xdr:row>
      <xdr:rowOff>0</xdr:rowOff>
    </xdr:to>
    <xdr:sp macro="" textlink="">
      <xdr:nvSpPr>
        <xdr:cNvPr id="1679" name="Line 5">
          <a:extLst>
            <a:ext uri="{FF2B5EF4-FFF2-40B4-BE49-F238E27FC236}">
              <a16:creationId xmlns:a16="http://schemas.microsoft.com/office/drawing/2014/main" id="{E3A91771-E705-401D-8403-0630E979AADB}"/>
            </a:ext>
          </a:extLst>
        </xdr:cNvPr>
        <xdr:cNvSpPr>
          <a:spLocks noChangeShapeType="1"/>
        </xdr:cNvSpPr>
      </xdr:nvSpPr>
      <xdr:spPr bwMode="auto">
        <a:xfrm>
          <a:off x="4924425" y="73590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438</xdr:row>
      <xdr:rowOff>0</xdr:rowOff>
    </xdr:from>
    <xdr:to>
      <xdr:col>8</xdr:col>
      <xdr:colOff>180975</xdr:colOff>
      <xdr:row>438</xdr:row>
      <xdr:rowOff>0</xdr:rowOff>
    </xdr:to>
    <xdr:sp macro="" textlink="">
      <xdr:nvSpPr>
        <xdr:cNvPr id="1680" name="Line 7">
          <a:extLst>
            <a:ext uri="{FF2B5EF4-FFF2-40B4-BE49-F238E27FC236}">
              <a16:creationId xmlns:a16="http://schemas.microsoft.com/office/drawing/2014/main" id="{103FD1CC-598F-43EE-9ED7-E013A5F7F291}"/>
            </a:ext>
          </a:extLst>
        </xdr:cNvPr>
        <xdr:cNvSpPr>
          <a:spLocks noChangeShapeType="1"/>
        </xdr:cNvSpPr>
      </xdr:nvSpPr>
      <xdr:spPr bwMode="auto">
        <a:xfrm>
          <a:off x="4924425" y="73733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681" name="Line 2">
          <a:extLst>
            <a:ext uri="{FF2B5EF4-FFF2-40B4-BE49-F238E27FC236}">
              <a16:creationId xmlns:a16="http://schemas.microsoft.com/office/drawing/2014/main" id="{499E7CF9-CE22-4831-9B08-4FD1EB07116E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682" name="Line 3">
          <a:extLst>
            <a:ext uri="{FF2B5EF4-FFF2-40B4-BE49-F238E27FC236}">
              <a16:creationId xmlns:a16="http://schemas.microsoft.com/office/drawing/2014/main" id="{1B3D3C78-F93F-4441-96B0-B4AB4D950311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1683" name="Line 4">
          <a:extLst>
            <a:ext uri="{FF2B5EF4-FFF2-40B4-BE49-F238E27FC236}">
              <a16:creationId xmlns:a16="http://schemas.microsoft.com/office/drawing/2014/main" id="{95953435-5698-4CB5-BF41-5BEE6ACBCEFE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686" name="Line 2">
          <a:extLst>
            <a:ext uri="{FF2B5EF4-FFF2-40B4-BE49-F238E27FC236}">
              <a16:creationId xmlns:a16="http://schemas.microsoft.com/office/drawing/2014/main" id="{739FF005-ADB2-4F7F-A99C-93EA1522A0AC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687" name="Line 3">
          <a:extLst>
            <a:ext uri="{FF2B5EF4-FFF2-40B4-BE49-F238E27FC236}">
              <a16:creationId xmlns:a16="http://schemas.microsoft.com/office/drawing/2014/main" id="{FB686242-7E02-4567-A129-777113804D1E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688" name="Line 4">
          <a:extLst>
            <a:ext uri="{FF2B5EF4-FFF2-40B4-BE49-F238E27FC236}">
              <a16:creationId xmlns:a16="http://schemas.microsoft.com/office/drawing/2014/main" id="{18819B8F-5739-4FB7-BE1C-8B555BD4E9D5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689" name="Line 5">
          <a:extLst>
            <a:ext uri="{FF2B5EF4-FFF2-40B4-BE49-F238E27FC236}">
              <a16:creationId xmlns:a16="http://schemas.microsoft.com/office/drawing/2014/main" id="{98F0A5CA-7C4E-411B-A06A-6124B108B69C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691" name="Line 2">
          <a:extLst>
            <a:ext uri="{FF2B5EF4-FFF2-40B4-BE49-F238E27FC236}">
              <a16:creationId xmlns:a16="http://schemas.microsoft.com/office/drawing/2014/main" id="{99C175B5-EA56-4807-BA0C-E56D60458608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692" name="Line 3">
          <a:extLst>
            <a:ext uri="{FF2B5EF4-FFF2-40B4-BE49-F238E27FC236}">
              <a16:creationId xmlns:a16="http://schemas.microsoft.com/office/drawing/2014/main" id="{1C20725D-D93A-40EF-B3CE-DD832174F0BA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693" name="Line 4">
          <a:extLst>
            <a:ext uri="{FF2B5EF4-FFF2-40B4-BE49-F238E27FC236}">
              <a16:creationId xmlns:a16="http://schemas.microsoft.com/office/drawing/2014/main" id="{51877890-FA10-41CE-8875-BE923AB0E835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694" name="Line 5">
          <a:extLst>
            <a:ext uri="{FF2B5EF4-FFF2-40B4-BE49-F238E27FC236}">
              <a16:creationId xmlns:a16="http://schemas.microsoft.com/office/drawing/2014/main" id="{AA8A2E87-EBE4-48C5-B6B3-41A17F9E4794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695" name="Line 2">
          <a:extLst>
            <a:ext uri="{FF2B5EF4-FFF2-40B4-BE49-F238E27FC236}">
              <a16:creationId xmlns:a16="http://schemas.microsoft.com/office/drawing/2014/main" id="{F9B5A438-DFB0-4C81-8209-4BE2F06A4227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696" name="Line 3">
          <a:extLst>
            <a:ext uri="{FF2B5EF4-FFF2-40B4-BE49-F238E27FC236}">
              <a16:creationId xmlns:a16="http://schemas.microsoft.com/office/drawing/2014/main" id="{A70C8898-CA64-43FB-B5BB-FA684DA4E5B7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697" name="Line 4">
          <a:extLst>
            <a:ext uri="{FF2B5EF4-FFF2-40B4-BE49-F238E27FC236}">
              <a16:creationId xmlns:a16="http://schemas.microsoft.com/office/drawing/2014/main" id="{B230ED74-4A5A-49F8-8A57-D49B6E441DD6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698" name="Line 2">
          <a:extLst>
            <a:ext uri="{FF2B5EF4-FFF2-40B4-BE49-F238E27FC236}">
              <a16:creationId xmlns:a16="http://schemas.microsoft.com/office/drawing/2014/main" id="{A4B6470C-3065-4220-8327-1B44BAD8135C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699" name="Line 3">
          <a:extLst>
            <a:ext uri="{FF2B5EF4-FFF2-40B4-BE49-F238E27FC236}">
              <a16:creationId xmlns:a16="http://schemas.microsoft.com/office/drawing/2014/main" id="{8C9435A0-B0AB-4D09-9B23-B988D781351B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1700" name="Line 4">
          <a:extLst>
            <a:ext uri="{FF2B5EF4-FFF2-40B4-BE49-F238E27FC236}">
              <a16:creationId xmlns:a16="http://schemas.microsoft.com/office/drawing/2014/main" id="{5C520DEC-218A-44FC-8AEC-3F2B81B6E7EE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701" name="Line 2">
          <a:extLst>
            <a:ext uri="{FF2B5EF4-FFF2-40B4-BE49-F238E27FC236}">
              <a16:creationId xmlns:a16="http://schemas.microsoft.com/office/drawing/2014/main" id="{A33470C2-161C-4510-9ECD-D47FC8FFC21B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702" name="Line 3">
          <a:extLst>
            <a:ext uri="{FF2B5EF4-FFF2-40B4-BE49-F238E27FC236}">
              <a16:creationId xmlns:a16="http://schemas.microsoft.com/office/drawing/2014/main" id="{B4CCFB7A-D877-4705-B6CF-F92A8DB18E0B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475</xdr:row>
      <xdr:rowOff>0</xdr:rowOff>
    </xdr:from>
    <xdr:to>
      <xdr:col>8</xdr:col>
      <xdr:colOff>180975</xdr:colOff>
      <xdr:row>475</xdr:row>
      <xdr:rowOff>0</xdr:rowOff>
    </xdr:to>
    <xdr:sp macro="" textlink="">
      <xdr:nvSpPr>
        <xdr:cNvPr id="1703" name="Line 4">
          <a:extLst>
            <a:ext uri="{FF2B5EF4-FFF2-40B4-BE49-F238E27FC236}">
              <a16:creationId xmlns:a16="http://schemas.microsoft.com/office/drawing/2014/main" id="{72B52BF0-33A0-4D24-88BE-7B1CE62522C0}"/>
            </a:ext>
          </a:extLst>
        </xdr:cNvPr>
        <xdr:cNvSpPr>
          <a:spLocks noChangeShapeType="1"/>
        </xdr:cNvSpPr>
      </xdr:nvSpPr>
      <xdr:spPr bwMode="auto">
        <a:xfrm>
          <a:off x="4924425" y="809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704" name="Line 3">
          <a:extLst>
            <a:ext uri="{FF2B5EF4-FFF2-40B4-BE49-F238E27FC236}">
              <a16:creationId xmlns:a16="http://schemas.microsoft.com/office/drawing/2014/main" id="{B8342460-3982-426F-896F-2F6A260F3888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705" name="Line 5">
          <a:extLst>
            <a:ext uri="{FF2B5EF4-FFF2-40B4-BE49-F238E27FC236}">
              <a16:creationId xmlns:a16="http://schemas.microsoft.com/office/drawing/2014/main" id="{6DA82D29-EBD9-45DF-949B-787C64016DE2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706" name="Line 2">
          <a:extLst>
            <a:ext uri="{FF2B5EF4-FFF2-40B4-BE49-F238E27FC236}">
              <a16:creationId xmlns:a16="http://schemas.microsoft.com/office/drawing/2014/main" id="{DBD233D8-4DF8-43DF-B6C5-AC0FE6DA079E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707" name="Line 3">
          <a:extLst>
            <a:ext uri="{FF2B5EF4-FFF2-40B4-BE49-F238E27FC236}">
              <a16:creationId xmlns:a16="http://schemas.microsoft.com/office/drawing/2014/main" id="{79A19117-2AEF-4B07-A2CA-B7C7EBB4DF5A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708" name="Line 4">
          <a:extLst>
            <a:ext uri="{FF2B5EF4-FFF2-40B4-BE49-F238E27FC236}">
              <a16:creationId xmlns:a16="http://schemas.microsoft.com/office/drawing/2014/main" id="{DD101575-24B1-4655-B5CA-E057C11F8F15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709" name="Line 5">
          <a:extLst>
            <a:ext uri="{FF2B5EF4-FFF2-40B4-BE49-F238E27FC236}">
              <a16:creationId xmlns:a16="http://schemas.microsoft.com/office/drawing/2014/main" id="{72A6B5F3-7DF5-4915-B205-A90F17D5699D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710" name="Line 7">
          <a:extLst>
            <a:ext uri="{FF2B5EF4-FFF2-40B4-BE49-F238E27FC236}">
              <a16:creationId xmlns:a16="http://schemas.microsoft.com/office/drawing/2014/main" id="{EB343A9C-BC4C-4B2D-8842-7BFC5AB226B7}"/>
            </a:ext>
          </a:extLst>
        </xdr:cNvPr>
        <xdr:cNvSpPr>
          <a:spLocks noChangeShapeType="1"/>
        </xdr:cNvSpPr>
      </xdr:nvSpPr>
      <xdr:spPr bwMode="auto">
        <a:xfrm>
          <a:off x="4924425" y="92954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711" name="Line 2">
          <a:extLst>
            <a:ext uri="{FF2B5EF4-FFF2-40B4-BE49-F238E27FC236}">
              <a16:creationId xmlns:a16="http://schemas.microsoft.com/office/drawing/2014/main" id="{E3438CF0-C557-42BB-9DB1-18CABC6FFDCE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712" name="Line 3">
          <a:extLst>
            <a:ext uri="{FF2B5EF4-FFF2-40B4-BE49-F238E27FC236}">
              <a16:creationId xmlns:a16="http://schemas.microsoft.com/office/drawing/2014/main" id="{54429772-1D65-4DB5-A52F-9487452604B6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713" name="Line 4">
          <a:extLst>
            <a:ext uri="{FF2B5EF4-FFF2-40B4-BE49-F238E27FC236}">
              <a16:creationId xmlns:a16="http://schemas.microsoft.com/office/drawing/2014/main" id="{7D38EB00-0BBA-4D96-98A3-EE5A6F20018F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714" name="Line 5">
          <a:extLst>
            <a:ext uri="{FF2B5EF4-FFF2-40B4-BE49-F238E27FC236}">
              <a16:creationId xmlns:a16="http://schemas.microsoft.com/office/drawing/2014/main" id="{D3DCEBF3-A91D-4A56-87C7-803446C1557A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715" name="Line 2">
          <a:extLst>
            <a:ext uri="{FF2B5EF4-FFF2-40B4-BE49-F238E27FC236}">
              <a16:creationId xmlns:a16="http://schemas.microsoft.com/office/drawing/2014/main" id="{BE2A2A66-A185-4D42-B33C-4FACE04B6558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716" name="Line 3">
          <a:extLst>
            <a:ext uri="{FF2B5EF4-FFF2-40B4-BE49-F238E27FC236}">
              <a16:creationId xmlns:a16="http://schemas.microsoft.com/office/drawing/2014/main" id="{09D69F5D-5538-44C2-A337-252E1C9F7FDD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717" name="Line 4">
          <a:extLst>
            <a:ext uri="{FF2B5EF4-FFF2-40B4-BE49-F238E27FC236}">
              <a16:creationId xmlns:a16="http://schemas.microsoft.com/office/drawing/2014/main" id="{A1179B24-C6B2-45F1-87A2-8318A63057B5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718" name="Line 2">
          <a:extLst>
            <a:ext uri="{FF2B5EF4-FFF2-40B4-BE49-F238E27FC236}">
              <a16:creationId xmlns:a16="http://schemas.microsoft.com/office/drawing/2014/main" id="{D04E505E-EFD4-419E-B60E-684A560DE4B3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719" name="Line 3">
          <a:extLst>
            <a:ext uri="{FF2B5EF4-FFF2-40B4-BE49-F238E27FC236}">
              <a16:creationId xmlns:a16="http://schemas.microsoft.com/office/drawing/2014/main" id="{5C997D87-06D9-4C95-AE46-9630CC4E5C42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508</xdr:row>
      <xdr:rowOff>0</xdr:rowOff>
    </xdr:from>
    <xdr:to>
      <xdr:col>8</xdr:col>
      <xdr:colOff>180975</xdr:colOff>
      <xdr:row>508</xdr:row>
      <xdr:rowOff>0</xdr:rowOff>
    </xdr:to>
    <xdr:sp macro="" textlink="">
      <xdr:nvSpPr>
        <xdr:cNvPr id="1720" name="Line 4">
          <a:extLst>
            <a:ext uri="{FF2B5EF4-FFF2-40B4-BE49-F238E27FC236}">
              <a16:creationId xmlns:a16="http://schemas.microsoft.com/office/drawing/2014/main" id="{86711720-6976-43D1-BC9F-70B8CE4544F7}"/>
            </a:ext>
          </a:extLst>
        </xdr:cNvPr>
        <xdr:cNvSpPr>
          <a:spLocks noChangeShapeType="1"/>
        </xdr:cNvSpPr>
      </xdr:nvSpPr>
      <xdr:spPr bwMode="auto">
        <a:xfrm>
          <a:off x="4924425" y="89373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721" name="Line 2">
          <a:extLst>
            <a:ext uri="{FF2B5EF4-FFF2-40B4-BE49-F238E27FC236}">
              <a16:creationId xmlns:a16="http://schemas.microsoft.com/office/drawing/2014/main" id="{35C68156-645F-4F2A-ADEC-7DC44EAE65BE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722" name="Line 3">
          <a:extLst>
            <a:ext uri="{FF2B5EF4-FFF2-40B4-BE49-F238E27FC236}">
              <a16:creationId xmlns:a16="http://schemas.microsoft.com/office/drawing/2014/main" id="{B0ED56C1-CB14-4199-A6B8-5FFF4F3130FB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1723" name="Line 4">
          <a:extLst>
            <a:ext uri="{FF2B5EF4-FFF2-40B4-BE49-F238E27FC236}">
              <a16:creationId xmlns:a16="http://schemas.microsoft.com/office/drawing/2014/main" id="{9AC38F62-ABC7-4A74-BFD4-671FF5F093C0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724" name="Line 3">
          <a:extLst>
            <a:ext uri="{FF2B5EF4-FFF2-40B4-BE49-F238E27FC236}">
              <a16:creationId xmlns:a16="http://schemas.microsoft.com/office/drawing/2014/main" id="{97FDD9DF-9B1F-4B29-B8DE-D0597CB4C0C0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725" name="Line 5">
          <a:extLst>
            <a:ext uri="{FF2B5EF4-FFF2-40B4-BE49-F238E27FC236}">
              <a16:creationId xmlns:a16="http://schemas.microsoft.com/office/drawing/2014/main" id="{EBFF2694-17E2-4A48-AF07-0D1A7CF0949C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726" name="Line 2">
          <a:extLst>
            <a:ext uri="{FF2B5EF4-FFF2-40B4-BE49-F238E27FC236}">
              <a16:creationId xmlns:a16="http://schemas.microsoft.com/office/drawing/2014/main" id="{FA5B58E0-5C1F-4168-9A7D-3447582149D8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727" name="Line 3">
          <a:extLst>
            <a:ext uri="{FF2B5EF4-FFF2-40B4-BE49-F238E27FC236}">
              <a16:creationId xmlns:a16="http://schemas.microsoft.com/office/drawing/2014/main" id="{457EC99A-5230-483F-8F10-B33CBC16549A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728" name="Line 4">
          <a:extLst>
            <a:ext uri="{FF2B5EF4-FFF2-40B4-BE49-F238E27FC236}">
              <a16:creationId xmlns:a16="http://schemas.microsoft.com/office/drawing/2014/main" id="{B18F26CC-C608-4EFD-AA2B-BB15AAA8198C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729" name="Line 5">
          <a:extLst>
            <a:ext uri="{FF2B5EF4-FFF2-40B4-BE49-F238E27FC236}">
              <a16:creationId xmlns:a16="http://schemas.microsoft.com/office/drawing/2014/main" id="{8E99FB6F-C918-4A3E-97DA-6CCF02DCEB5B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583</xdr:row>
      <xdr:rowOff>0</xdr:rowOff>
    </xdr:from>
    <xdr:to>
      <xdr:col>8</xdr:col>
      <xdr:colOff>180975</xdr:colOff>
      <xdr:row>583</xdr:row>
      <xdr:rowOff>0</xdr:rowOff>
    </xdr:to>
    <xdr:sp macro="" textlink="">
      <xdr:nvSpPr>
        <xdr:cNvPr id="1730" name="Line 7">
          <a:extLst>
            <a:ext uri="{FF2B5EF4-FFF2-40B4-BE49-F238E27FC236}">
              <a16:creationId xmlns:a16="http://schemas.microsoft.com/office/drawing/2014/main" id="{81902FF3-C40A-4BD2-80B1-109344162F75}"/>
            </a:ext>
          </a:extLst>
        </xdr:cNvPr>
        <xdr:cNvSpPr>
          <a:spLocks noChangeShapeType="1"/>
        </xdr:cNvSpPr>
      </xdr:nvSpPr>
      <xdr:spPr bwMode="auto">
        <a:xfrm>
          <a:off x="4924425" y="101765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731" name="Line 2">
          <a:extLst>
            <a:ext uri="{FF2B5EF4-FFF2-40B4-BE49-F238E27FC236}">
              <a16:creationId xmlns:a16="http://schemas.microsoft.com/office/drawing/2014/main" id="{34DE8911-F988-4EC5-9C43-3C082DB2603C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732" name="Line 3">
          <a:extLst>
            <a:ext uri="{FF2B5EF4-FFF2-40B4-BE49-F238E27FC236}">
              <a16:creationId xmlns:a16="http://schemas.microsoft.com/office/drawing/2014/main" id="{694D0A21-15ED-4663-AD6E-B115E6100946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733" name="Line 4">
          <a:extLst>
            <a:ext uri="{FF2B5EF4-FFF2-40B4-BE49-F238E27FC236}">
              <a16:creationId xmlns:a16="http://schemas.microsoft.com/office/drawing/2014/main" id="{19D4CF04-FD49-413C-A1C9-577C7E3612B5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734" name="Line 5">
          <a:extLst>
            <a:ext uri="{FF2B5EF4-FFF2-40B4-BE49-F238E27FC236}">
              <a16:creationId xmlns:a16="http://schemas.microsoft.com/office/drawing/2014/main" id="{FFEF3CFA-7A4B-4A46-8CAB-584A06798AD4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735" name="Line 2">
          <a:extLst>
            <a:ext uri="{FF2B5EF4-FFF2-40B4-BE49-F238E27FC236}">
              <a16:creationId xmlns:a16="http://schemas.microsoft.com/office/drawing/2014/main" id="{A340DE0E-727A-4BEF-ACD9-423A710CB3F6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736" name="Line 3">
          <a:extLst>
            <a:ext uri="{FF2B5EF4-FFF2-40B4-BE49-F238E27FC236}">
              <a16:creationId xmlns:a16="http://schemas.microsoft.com/office/drawing/2014/main" id="{646F9820-34B2-43F1-82A5-5EC1F571E8B9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737" name="Line 4">
          <a:extLst>
            <a:ext uri="{FF2B5EF4-FFF2-40B4-BE49-F238E27FC236}">
              <a16:creationId xmlns:a16="http://schemas.microsoft.com/office/drawing/2014/main" id="{581DB2F5-793C-4391-A65B-C0BE656FB914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738" name="Line 2">
          <a:extLst>
            <a:ext uri="{FF2B5EF4-FFF2-40B4-BE49-F238E27FC236}">
              <a16:creationId xmlns:a16="http://schemas.microsoft.com/office/drawing/2014/main" id="{0789EB1E-8985-4741-A3B0-4F8F2BD63403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739" name="Line 3">
          <a:extLst>
            <a:ext uri="{FF2B5EF4-FFF2-40B4-BE49-F238E27FC236}">
              <a16:creationId xmlns:a16="http://schemas.microsoft.com/office/drawing/2014/main" id="{2CA50CA2-B678-4192-ABA1-12602C3D6A5D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558</xdr:row>
      <xdr:rowOff>0</xdr:rowOff>
    </xdr:from>
    <xdr:to>
      <xdr:col>8</xdr:col>
      <xdr:colOff>180975</xdr:colOff>
      <xdr:row>558</xdr:row>
      <xdr:rowOff>0</xdr:rowOff>
    </xdr:to>
    <xdr:sp macro="" textlink="">
      <xdr:nvSpPr>
        <xdr:cNvPr id="1740" name="Line 4">
          <a:extLst>
            <a:ext uri="{FF2B5EF4-FFF2-40B4-BE49-F238E27FC236}">
              <a16:creationId xmlns:a16="http://schemas.microsoft.com/office/drawing/2014/main" id="{B9B3C66A-B7CC-4D52-8EB6-EDD338070A0C}"/>
            </a:ext>
          </a:extLst>
        </xdr:cNvPr>
        <xdr:cNvSpPr>
          <a:spLocks noChangeShapeType="1"/>
        </xdr:cNvSpPr>
      </xdr:nvSpPr>
      <xdr:spPr bwMode="auto">
        <a:xfrm>
          <a:off x="4924425" y="9805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741" name="Line 2">
          <a:extLst>
            <a:ext uri="{FF2B5EF4-FFF2-40B4-BE49-F238E27FC236}">
              <a16:creationId xmlns:a16="http://schemas.microsoft.com/office/drawing/2014/main" id="{4B82B79B-967E-40EE-B15F-ADD92C3AE616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742" name="Line 3">
          <a:extLst>
            <a:ext uri="{FF2B5EF4-FFF2-40B4-BE49-F238E27FC236}">
              <a16:creationId xmlns:a16="http://schemas.microsoft.com/office/drawing/2014/main" id="{69CE9D95-627F-4F71-8667-B91A8BE1B67E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562</xdr:row>
      <xdr:rowOff>0</xdr:rowOff>
    </xdr:from>
    <xdr:to>
      <xdr:col>8</xdr:col>
      <xdr:colOff>180975</xdr:colOff>
      <xdr:row>562</xdr:row>
      <xdr:rowOff>0</xdr:rowOff>
    </xdr:to>
    <xdr:sp macro="" textlink="">
      <xdr:nvSpPr>
        <xdr:cNvPr id="1743" name="Line 4">
          <a:extLst>
            <a:ext uri="{FF2B5EF4-FFF2-40B4-BE49-F238E27FC236}">
              <a16:creationId xmlns:a16="http://schemas.microsoft.com/office/drawing/2014/main" id="{0B5C658D-530D-4EC3-9833-731BB2C60BFE}"/>
            </a:ext>
          </a:extLst>
        </xdr:cNvPr>
        <xdr:cNvSpPr>
          <a:spLocks noChangeShapeType="1"/>
        </xdr:cNvSpPr>
      </xdr:nvSpPr>
      <xdr:spPr bwMode="auto">
        <a:xfrm>
          <a:off x="4924425" y="98621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744" name="Line 3">
          <a:extLst>
            <a:ext uri="{FF2B5EF4-FFF2-40B4-BE49-F238E27FC236}">
              <a16:creationId xmlns:a16="http://schemas.microsoft.com/office/drawing/2014/main" id="{B5FE062C-ACF9-4F66-AFA2-C27A50D35798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745" name="Line 5">
          <a:extLst>
            <a:ext uri="{FF2B5EF4-FFF2-40B4-BE49-F238E27FC236}">
              <a16:creationId xmlns:a16="http://schemas.microsoft.com/office/drawing/2014/main" id="{1118D45B-135B-48AF-ABBB-8FF0AB021C72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746" name="Line 2">
          <a:extLst>
            <a:ext uri="{FF2B5EF4-FFF2-40B4-BE49-F238E27FC236}">
              <a16:creationId xmlns:a16="http://schemas.microsoft.com/office/drawing/2014/main" id="{ABC4D499-67DC-4F4A-A4CF-5425F5F96BCC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747" name="Line 3">
          <a:extLst>
            <a:ext uri="{FF2B5EF4-FFF2-40B4-BE49-F238E27FC236}">
              <a16:creationId xmlns:a16="http://schemas.microsoft.com/office/drawing/2014/main" id="{783D6E9A-1790-4621-8109-8A6CA4C55283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748" name="Line 4">
          <a:extLst>
            <a:ext uri="{FF2B5EF4-FFF2-40B4-BE49-F238E27FC236}">
              <a16:creationId xmlns:a16="http://schemas.microsoft.com/office/drawing/2014/main" id="{34897FB5-C155-4DDB-8381-A62503D8E12B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749" name="Line 5">
          <a:extLst>
            <a:ext uri="{FF2B5EF4-FFF2-40B4-BE49-F238E27FC236}">
              <a16:creationId xmlns:a16="http://schemas.microsoft.com/office/drawing/2014/main" id="{18E58351-4A43-42A6-935B-598470798A7F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1750" name="Line 7">
          <a:extLst>
            <a:ext uri="{FF2B5EF4-FFF2-40B4-BE49-F238E27FC236}">
              <a16:creationId xmlns:a16="http://schemas.microsoft.com/office/drawing/2014/main" id="{2723489D-6483-4C23-93A8-7EA07DE9F943}"/>
            </a:ext>
          </a:extLst>
        </xdr:cNvPr>
        <xdr:cNvSpPr>
          <a:spLocks noChangeShapeType="1"/>
        </xdr:cNvSpPr>
      </xdr:nvSpPr>
      <xdr:spPr bwMode="auto">
        <a:xfrm>
          <a:off x="4924425" y="11015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751" name="Line 2">
          <a:extLst>
            <a:ext uri="{FF2B5EF4-FFF2-40B4-BE49-F238E27FC236}">
              <a16:creationId xmlns:a16="http://schemas.microsoft.com/office/drawing/2014/main" id="{60DD6390-9DE8-4107-8934-398EB5FF9722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752" name="Line 3">
          <a:extLst>
            <a:ext uri="{FF2B5EF4-FFF2-40B4-BE49-F238E27FC236}">
              <a16:creationId xmlns:a16="http://schemas.microsoft.com/office/drawing/2014/main" id="{A209761F-84F3-4368-8045-5759BD5BC49B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753" name="Line 4">
          <a:extLst>
            <a:ext uri="{FF2B5EF4-FFF2-40B4-BE49-F238E27FC236}">
              <a16:creationId xmlns:a16="http://schemas.microsoft.com/office/drawing/2014/main" id="{F9FC4554-FC68-4611-B0CA-06BAEFEDC3D8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754" name="Line 5">
          <a:extLst>
            <a:ext uri="{FF2B5EF4-FFF2-40B4-BE49-F238E27FC236}">
              <a16:creationId xmlns:a16="http://schemas.microsoft.com/office/drawing/2014/main" id="{16ED6F02-E672-40EB-8DD1-94FD1DEEA7B4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755" name="Line 2">
          <a:extLst>
            <a:ext uri="{FF2B5EF4-FFF2-40B4-BE49-F238E27FC236}">
              <a16:creationId xmlns:a16="http://schemas.microsoft.com/office/drawing/2014/main" id="{9D03E1E1-8F76-4EA7-B0B6-3AFFC4B67FCE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756" name="Line 3">
          <a:extLst>
            <a:ext uri="{FF2B5EF4-FFF2-40B4-BE49-F238E27FC236}">
              <a16:creationId xmlns:a16="http://schemas.microsoft.com/office/drawing/2014/main" id="{B8B0B2FA-7CE3-4AFC-B3DC-E53DD40FFA56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757" name="Line 4">
          <a:extLst>
            <a:ext uri="{FF2B5EF4-FFF2-40B4-BE49-F238E27FC236}">
              <a16:creationId xmlns:a16="http://schemas.microsoft.com/office/drawing/2014/main" id="{593E147E-8E83-4FAD-83A7-49B12758B698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758" name="Line 2">
          <a:extLst>
            <a:ext uri="{FF2B5EF4-FFF2-40B4-BE49-F238E27FC236}">
              <a16:creationId xmlns:a16="http://schemas.microsoft.com/office/drawing/2014/main" id="{2DE7387F-2326-483B-AAE3-3D57F35AE26A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759" name="Line 3">
          <a:extLst>
            <a:ext uri="{FF2B5EF4-FFF2-40B4-BE49-F238E27FC236}">
              <a16:creationId xmlns:a16="http://schemas.microsoft.com/office/drawing/2014/main" id="{24A663B4-27B4-44C8-A211-9D5B2DCFB95C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760" name="Line 4">
          <a:extLst>
            <a:ext uri="{FF2B5EF4-FFF2-40B4-BE49-F238E27FC236}">
              <a16:creationId xmlns:a16="http://schemas.microsoft.com/office/drawing/2014/main" id="{5EA888C8-5F3E-4991-B016-DC215F74F643}"/>
            </a:ext>
          </a:extLst>
        </xdr:cNvPr>
        <xdr:cNvSpPr>
          <a:spLocks noChangeShapeType="1"/>
        </xdr:cNvSpPr>
      </xdr:nvSpPr>
      <xdr:spPr bwMode="auto">
        <a:xfrm>
          <a:off x="4924425" y="106584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761" name="Line 2">
          <a:extLst>
            <a:ext uri="{FF2B5EF4-FFF2-40B4-BE49-F238E27FC236}">
              <a16:creationId xmlns:a16="http://schemas.microsoft.com/office/drawing/2014/main" id="{4F129BE6-2DB2-486C-BA5F-9190C6558297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762" name="Line 3">
          <a:extLst>
            <a:ext uri="{FF2B5EF4-FFF2-40B4-BE49-F238E27FC236}">
              <a16:creationId xmlns:a16="http://schemas.microsoft.com/office/drawing/2014/main" id="{2608C1A0-E14F-455E-B886-1BA98909FB92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612</xdr:row>
      <xdr:rowOff>0</xdr:rowOff>
    </xdr:from>
    <xdr:to>
      <xdr:col>8</xdr:col>
      <xdr:colOff>180975</xdr:colOff>
      <xdr:row>612</xdr:row>
      <xdr:rowOff>0</xdr:rowOff>
    </xdr:to>
    <xdr:sp macro="" textlink="">
      <xdr:nvSpPr>
        <xdr:cNvPr id="1763" name="Line 4">
          <a:extLst>
            <a:ext uri="{FF2B5EF4-FFF2-40B4-BE49-F238E27FC236}">
              <a16:creationId xmlns:a16="http://schemas.microsoft.com/office/drawing/2014/main" id="{286A5F0A-6993-4D48-B351-907B060A1E07}"/>
            </a:ext>
          </a:extLst>
        </xdr:cNvPr>
        <xdr:cNvSpPr>
          <a:spLocks noChangeShapeType="1"/>
        </xdr:cNvSpPr>
      </xdr:nvSpPr>
      <xdr:spPr bwMode="auto">
        <a:xfrm>
          <a:off x="4924425" y="107013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765" name="Line 3">
          <a:extLst>
            <a:ext uri="{FF2B5EF4-FFF2-40B4-BE49-F238E27FC236}">
              <a16:creationId xmlns:a16="http://schemas.microsoft.com/office/drawing/2014/main" id="{94B80611-E909-41D7-BB61-0CEB8F5A5645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766" name="Line 5">
          <a:extLst>
            <a:ext uri="{FF2B5EF4-FFF2-40B4-BE49-F238E27FC236}">
              <a16:creationId xmlns:a16="http://schemas.microsoft.com/office/drawing/2014/main" id="{CC83549D-5D78-4F46-B705-7002215B68FA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112</xdr:row>
      <xdr:rowOff>0</xdr:rowOff>
    </xdr:from>
    <xdr:to>
      <xdr:col>8</xdr:col>
      <xdr:colOff>180975</xdr:colOff>
      <xdr:row>112</xdr:row>
      <xdr:rowOff>0</xdr:rowOff>
    </xdr:to>
    <xdr:sp macro="" textlink="">
      <xdr:nvSpPr>
        <xdr:cNvPr id="1767" name="Line 2">
          <a:extLst>
            <a:ext uri="{FF2B5EF4-FFF2-40B4-BE49-F238E27FC236}">
              <a16:creationId xmlns:a16="http://schemas.microsoft.com/office/drawing/2014/main" id="{F17274EB-69F3-43A5-BF14-4F68121F2758}"/>
            </a:ext>
          </a:extLst>
        </xdr:cNvPr>
        <xdr:cNvSpPr>
          <a:spLocks noChangeShapeType="1"/>
        </xdr:cNvSpPr>
      </xdr:nvSpPr>
      <xdr:spPr bwMode="auto">
        <a:xfrm>
          <a:off x="492442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768" name="Line 3">
          <a:extLst>
            <a:ext uri="{FF2B5EF4-FFF2-40B4-BE49-F238E27FC236}">
              <a16:creationId xmlns:a16="http://schemas.microsoft.com/office/drawing/2014/main" id="{DC279BAF-6F3B-4E12-8F37-F456EC5E870B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769" name="Line 5">
          <a:extLst>
            <a:ext uri="{FF2B5EF4-FFF2-40B4-BE49-F238E27FC236}">
              <a16:creationId xmlns:a16="http://schemas.microsoft.com/office/drawing/2014/main" id="{48C25775-9396-4A39-879B-D2FEF256ED9A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770" name="Line 2">
          <a:extLst>
            <a:ext uri="{FF2B5EF4-FFF2-40B4-BE49-F238E27FC236}">
              <a16:creationId xmlns:a16="http://schemas.microsoft.com/office/drawing/2014/main" id="{4F16E5DB-8074-440B-92BB-C9A42319F1FB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771" name="Line 3">
          <a:extLst>
            <a:ext uri="{FF2B5EF4-FFF2-40B4-BE49-F238E27FC236}">
              <a16:creationId xmlns:a16="http://schemas.microsoft.com/office/drawing/2014/main" id="{BB11ADD3-098C-4ADA-8C39-1D518C666C5B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772" name="Line 4">
          <a:extLst>
            <a:ext uri="{FF2B5EF4-FFF2-40B4-BE49-F238E27FC236}">
              <a16:creationId xmlns:a16="http://schemas.microsoft.com/office/drawing/2014/main" id="{4148AE21-7BEE-4F77-BB84-4C5C2629E0CE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101</xdr:row>
      <xdr:rowOff>0</xdr:rowOff>
    </xdr:from>
    <xdr:to>
      <xdr:col>8</xdr:col>
      <xdr:colOff>180975</xdr:colOff>
      <xdr:row>101</xdr:row>
      <xdr:rowOff>0</xdr:rowOff>
    </xdr:to>
    <xdr:sp macro="" textlink="">
      <xdr:nvSpPr>
        <xdr:cNvPr id="1774" name="Line 7">
          <a:extLst>
            <a:ext uri="{FF2B5EF4-FFF2-40B4-BE49-F238E27FC236}">
              <a16:creationId xmlns:a16="http://schemas.microsoft.com/office/drawing/2014/main" id="{602607CA-74A8-4CA7-9806-BE84215C702D}"/>
            </a:ext>
          </a:extLst>
        </xdr:cNvPr>
        <xdr:cNvSpPr>
          <a:spLocks noChangeShapeType="1"/>
        </xdr:cNvSpPr>
      </xdr:nvSpPr>
      <xdr:spPr bwMode="auto">
        <a:xfrm>
          <a:off x="4924425" y="15335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775" name="Line 2">
          <a:extLst>
            <a:ext uri="{FF2B5EF4-FFF2-40B4-BE49-F238E27FC236}">
              <a16:creationId xmlns:a16="http://schemas.microsoft.com/office/drawing/2014/main" id="{E9D672B1-DC76-453C-9354-4DCBA50DEBD1}"/>
            </a:ext>
          </a:extLst>
        </xdr:cNvPr>
        <xdr:cNvSpPr>
          <a:spLocks noChangeShapeType="1"/>
        </xdr:cNvSpPr>
      </xdr:nvSpPr>
      <xdr:spPr bwMode="auto">
        <a:xfrm>
          <a:off x="4924425" y="2517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778" name="Line 2">
          <a:extLst>
            <a:ext uri="{FF2B5EF4-FFF2-40B4-BE49-F238E27FC236}">
              <a16:creationId xmlns:a16="http://schemas.microsoft.com/office/drawing/2014/main" id="{AC707E91-D7D3-4A0B-B0E6-4BDCCD310836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779" name="Line 3">
          <a:extLst>
            <a:ext uri="{FF2B5EF4-FFF2-40B4-BE49-F238E27FC236}">
              <a16:creationId xmlns:a16="http://schemas.microsoft.com/office/drawing/2014/main" id="{7F5E6B64-206A-43AC-B776-C5A66A04152F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780" name="Line 4">
          <a:extLst>
            <a:ext uri="{FF2B5EF4-FFF2-40B4-BE49-F238E27FC236}">
              <a16:creationId xmlns:a16="http://schemas.microsoft.com/office/drawing/2014/main" id="{785FC2E3-D042-4D36-AE0C-6268FB65AAE4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781" name="Line 5">
          <a:extLst>
            <a:ext uri="{FF2B5EF4-FFF2-40B4-BE49-F238E27FC236}">
              <a16:creationId xmlns:a16="http://schemas.microsoft.com/office/drawing/2014/main" id="{197D173E-341C-4E6D-BE0E-9F42BFF5D7AB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783" name="Line 2">
          <a:extLst>
            <a:ext uri="{FF2B5EF4-FFF2-40B4-BE49-F238E27FC236}">
              <a16:creationId xmlns:a16="http://schemas.microsoft.com/office/drawing/2014/main" id="{A599BDF1-0BC9-424B-9475-D4B481FA29EE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784" name="Line 3">
          <a:extLst>
            <a:ext uri="{FF2B5EF4-FFF2-40B4-BE49-F238E27FC236}">
              <a16:creationId xmlns:a16="http://schemas.microsoft.com/office/drawing/2014/main" id="{3390215F-5ED0-4094-ADAD-35ADA162E906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785" name="Line 4">
          <a:extLst>
            <a:ext uri="{FF2B5EF4-FFF2-40B4-BE49-F238E27FC236}">
              <a16:creationId xmlns:a16="http://schemas.microsoft.com/office/drawing/2014/main" id="{B883F5B7-CA1C-4C7D-9ACF-50538E873304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786" name="Line 5">
          <a:extLst>
            <a:ext uri="{FF2B5EF4-FFF2-40B4-BE49-F238E27FC236}">
              <a16:creationId xmlns:a16="http://schemas.microsoft.com/office/drawing/2014/main" id="{156CCEBB-1FFE-4756-954C-1F3D607C2973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787" name="Line 2">
          <a:extLst>
            <a:ext uri="{FF2B5EF4-FFF2-40B4-BE49-F238E27FC236}">
              <a16:creationId xmlns:a16="http://schemas.microsoft.com/office/drawing/2014/main" id="{B4004061-93B9-4C63-877B-9F14E8BD4D08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88" name="Line 3">
          <a:extLst>
            <a:ext uri="{FF2B5EF4-FFF2-40B4-BE49-F238E27FC236}">
              <a16:creationId xmlns:a16="http://schemas.microsoft.com/office/drawing/2014/main" id="{26FE38A1-E586-4F52-9A0C-174493AB46E1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789" name="Line 5">
          <a:extLst>
            <a:ext uri="{FF2B5EF4-FFF2-40B4-BE49-F238E27FC236}">
              <a16:creationId xmlns:a16="http://schemas.microsoft.com/office/drawing/2014/main" id="{0DB2C78A-DC57-498C-9DF1-BE7BEB02A1A6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790" name="Line 2">
          <a:extLst>
            <a:ext uri="{FF2B5EF4-FFF2-40B4-BE49-F238E27FC236}">
              <a16:creationId xmlns:a16="http://schemas.microsoft.com/office/drawing/2014/main" id="{787B2D13-FBE1-408C-AA2C-3F54AAD6B81F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791" name="Line 3">
          <a:extLst>
            <a:ext uri="{FF2B5EF4-FFF2-40B4-BE49-F238E27FC236}">
              <a16:creationId xmlns:a16="http://schemas.microsoft.com/office/drawing/2014/main" id="{6976C1FA-7E95-4820-92D2-94906DD2042E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792" name="Line 4">
          <a:extLst>
            <a:ext uri="{FF2B5EF4-FFF2-40B4-BE49-F238E27FC236}">
              <a16:creationId xmlns:a16="http://schemas.microsoft.com/office/drawing/2014/main" id="{6F138DFE-0AA6-4C13-A2EC-D318FCFD587E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793" name="Line 5">
          <a:extLst>
            <a:ext uri="{FF2B5EF4-FFF2-40B4-BE49-F238E27FC236}">
              <a16:creationId xmlns:a16="http://schemas.microsoft.com/office/drawing/2014/main" id="{968119DC-C41B-4076-97B2-DBBFF0F81673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794" name="Line 2">
          <a:extLst>
            <a:ext uri="{FF2B5EF4-FFF2-40B4-BE49-F238E27FC236}">
              <a16:creationId xmlns:a16="http://schemas.microsoft.com/office/drawing/2014/main" id="{2451A768-E1BD-401F-A5B6-D7152C720D37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795" name="Line 3">
          <a:extLst>
            <a:ext uri="{FF2B5EF4-FFF2-40B4-BE49-F238E27FC236}">
              <a16:creationId xmlns:a16="http://schemas.microsoft.com/office/drawing/2014/main" id="{0CD443D9-66B1-4ACA-98E7-E9B2789801B3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796" name="Line 4">
          <a:extLst>
            <a:ext uri="{FF2B5EF4-FFF2-40B4-BE49-F238E27FC236}">
              <a16:creationId xmlns:a16="http://schemas.microsoft.com/office/drawing/2014/main" id="{BC9E416A-442E-43B1-BD40-383281C4DDB3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797" name="Line 5">
          <a:extLst>
            <a:ext uri="{FF2B5EF4-FFF2-40B4-BE49-F238E27FC236}">
              <a16:creationId xmlns:a16="http://schemas.microsoft.com/office/drawing/2014/main" id="{511BABBA-54CE-45CB-A4D1-1B0243115445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798" name="Line 2">
          <a:extLst>
            <a:ext uri="{FF2B5EF4-FFF2-40B4-BE49-F238E27FC236}">
              <a16:creationId xmlns:a16="http://schemas.microsoft.com/office/drawing/2014/main" id="{84CBD629-732A-40CD-B00E-424892F1E295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799" name="Line 3">
          <a:extLst>
            <a:ext uri="{FF2B5EF4-FFF2-40B4-BE49-F238E27FC236}">
              <a16:creationId xmlns:a16="http://schemas.microsoft.com/office/drawing/2014/main" id="{65153E8B-B8CE-4D08-BC5F-406E42A1BB0D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800" name="Line 4">
          <a:extLst>
            <a:ext uri="{FF2B5EF4-FFF2-40B4-BE49-F238E27FC236}">
              <a16:creationId xmlns:a16="http://schemas.microsoft.com/office/drawing/2014/main" id="{3B4A0F40-6B60-4261-A582-714ED8C21B93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801" name="Line 5">
          <a:extLst>
            <a:ext uri="{FF2B5EF4-FFF2-40B4-BE49-F238E27FC236}">
              <a16:creationId xmlns:a16="http://schemas.microsoft.com/office/drawing/2014/main" id="{1156904C-6D81-4F02-BB3D-2E1692091591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802" name="Line 7">
          <a:extLst>
            <a:ext uri="{FF2B5EF4-FFF2-40B4-BE49-F238E27FC236}">
              <a16:creationId xmlns:a16="http://schemas.microsoft.com/office/drawing/2014/main" id="{11506840-DACF-4AFD-9DC2-95E22897C345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803" name="Line 8">
          <a:extLst>
            <a:ext uri="{FF2B5EF4-FFF2-40B4-BE49-F238E27FC236}">
              <a16:creationId xmlns:a16="http://schemas.microsoft.com/office/drawing/2014/main" id="{C101D858-3A56-47A3-BE5C-33323D1C7341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804" name="Rectangle 7">
          <a:extLst>
            <a:ext uri="{FF2B5EF4-FFF2-40B4-BE49-F238E27FC236}">
              <a16:creationId xmlns:a16="http://schemas.microsoft.com/office/drawing/2014/main" id="{68FB4CB8-D132-404B-88F6-FEAE6F5F60B5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38100</xdr:colOff>
      <xdr:row>223</xdr:row>
      <xdr:rowOff>0</xdr:rowOff>
    </xdr:from>
    <xdr:ext cx="190500" cy="933450"/>
    <xdr:sp macro="" textlink="">
      <xdr:nvSpPr>
        <xdr:cNvPr id="12" name="Rectangle 8">
          <a:extLst>
            <a:ext uri="{FF2B5EF4-FFF2-40B4-BE49-F238E27FC236}">
              <a16:creationId xmlns:a16="http://schemas.microsoft.com/office/drawing/2014/main" id="{DFA1A06E-CE1D-4900-B8A7-6FDCC23FC6B2}"/>
            </a:ext>
          </a:extLst>
        </xdr:cNvPr>
        <xdr:cNvSpPr>
          <a:spLocks noChangeArrowheads="1"/>
        </xdr:cNvSpPr>
      </xdr:nvSpPr>
      <xdr:spPr bwMode="auto">
        <a:xfrm>
          <a:off x="5505450" y="31937325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806" name="Line 2">
          <a:extLst>
            <a:ext uri="{FF2B5EF4-FFF2-40B4-BE49-F238E27FC236}">
              <a16:creationId xmlns:a16="http://schemas.microsoft.com/office/drawing/2014/main" id="{8139CB08-0A97-4B24-AF69-342E2964D6FC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807" name="Line 3">
          <a:extLst>
            <a:ext uri="{FF2B5EF4-FFF2-40B4-BE49-F238E27FC236}">
              <a16:creationId xmlns:a16="http://schemas.microsoft.com/office/drawing/2014/main" id="{85DF3325-AF08-482E-8DBE-688115655C2D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808" name="Line 5">
          <a:extLst>
            <a:ext uri="{FF2B5EF4-FFF2-40B4-BE49-F238E27FC236}">
              <a16:creationId xmlns:a16="http://schemas.microsoft.com/office/drawing/2014/main" id="{BDF18539-6687-47D3-A130-6B85DA92BFFB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809" name="Line 2">
          <a:extLst>
            <a:ext uri="{FF2B5EF4-FFF2-40B4-BE49-F238E27FC236}">
              <a16:creationId xmlns:a16="http://schemas.microsoft.com/office/drawing/2014/main" id="{473F17AB-F42E-4AEB-B276-038A35317940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810" name="Line 3">
          <a:extLst>
            <a:ext uri="{FF2B5EF4-FFF2-40B4-BE49-F238E27FC236}">
              <a16:creationId xmlns:a16="http://schemas.microsoft.com/office/drawing/2014/main" id="{A68C97F8-F53F-4254-87C1-D3F784484877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811" name="Line 4">
          <a:extLst>
            <a:ext uri="{FF2B5EF4-FFF2-40B4-BE49-F238E27FC236}">
              <a16:creationId xmlns:a16="http://schemas.microsoft.com/office/drawing/2014/main" id="{F6925170-C2C4-4250-829A-36BF9BDC8D77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812" name="Line 5">
          <a:extLst>
            <a:ext uri="{FF2B5EF4-FFF2-40B4-BE49-F238E27FC236}">
              <a16:creationId xmlns:a16="http://schemas.microsoft.com/office/drawing/2014/main" id="{72554BC1-8114-4282-BFE1-25D8A2F86DD1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813" name="Line 2">
          <a:extLst>
            <a:ext uri="{FF2B5EF4-FFF2-40B4-BE49-F238E27FC236}">
              <a16:creationId xmlns:a16="http://schemas.microsoft.com/office/drawing/2014/main" id="{F70A51DA-DE94-4F84-A51D-016519C79F64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814" name="Line 3">
          <a:extLst>
            <a:ext uri="{FF2B5EF4-FFF2-40B4-BE49-F238E27FC236}">
              <a16:creationId xmlns:a16="http://schemas.microsoft.com/office/drawing/2014/main" id="{3C48E4F2-69CC-415B-BB0E-91EE67E6F280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815" name="Line 4">
          <a:extLst>
            <a:ext uri="{FF2B5EF4-FFF2-40B4-BE49-F238E27FC236}">
              <a16:creationId xmlns:a16="http://schemas.microsoft.com/office/drawing/2014/main" id="{4AA963F7-9B56-4435-9B01-BA6C3683D3A7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816" name="Line 5">
          <a:extLst>
            <a:ext uri="{FF2B5EF4-FFF2-40B4-BE49-F238E27FC236}">
              <a16:creationId xmlns:a16="http://schemas.microsoft.com/office/drawing/2014/main" id="{6FE7C000-288C-4CE6-812A-EDE8A7DF114D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817" name="Line 2">
          <a:extLst>
            <a:ext uri="{FF2B5EF4-FFF2-40B4-BE49-F238E27FC236}">
              <a16:creationId xmlns:a16="http://schemas.microsoft.com/office/drawing/2014/main" id="{2ECD80FB-EFE9-4CC2-910F-8FA22C8A69FC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818" name="Line 3">
          <a:extLst>
            <a:ext uri="{FF2B5EF4-FFF2-40B4-BE49-F238E27FC236}">
              <a16:creationId xmlns:a16="http://schemas.microsoft.com/office/drawing/2014/main" id="{6BDB56D9-2BFC-4186-A887-C013FF6D922C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819" name="Line 4">
          <a:extLst>
            <a:ext uri="{FF2B5EF4-FFF2-40B4-BE49-F238E27FC236}">
              <a16:creationId xmlns:a16="http://schemas.microsoft.com/office/drawing/2014/main" id="{71586B51-ED81-4C37-BD97-F8621269A3DE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820" name="Line 5">
          <a:extLst>
            <a:ext uri="{FF2B5EF4-FFF2-40B4-BE49-F238E27FC236}">
              <a16:creationId xmlns:a16="http://schemas.microsoft.com/office/drawing/2014/main" id="{E30EDAA8-9CD7-4EF0-B0CB-835D821F634C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821" name="Line 7">
          <a:extLst>
            <a:ext uri="{FF2B5EF4-FFF2-40B4-BE49-F238E27FC236}">
              <a16:creationId xmlns:a16="http://schemas.microsoft.com/office/drawing/2014/main" id="{AC8FBEAE-AFF2-47DA-B281-BDD1A94E1C7B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822" name="Line 8">
          <a:extLst>
            <a:ext uri="{FF2B5EF4-FFF2-40B4-BE49-F238E27FC236}">
              <a16:creationId xmlns:a16="http://schemas.microsoft.com/office/drawing/2014/main" id="{14F11024-20B4-4277-9643-E9B318A9CAE3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823" name="Rectangle 7">
          <a:extLst>
            <a:ext uri="{FF2B5EF4-FFF2-40B4-BE49-F238E27FC236}">
              <a16:creationId xmlns:a16="http://schemas.microsoft.com/office/drawing/2014/main" id="{9D387D2A-EE94-41B3-9217-0862358B03C9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825" name="Line 3">
          <a:extLst>
            <a:ext uri="{FF2B5EF4-FFF2-40B4-BE49-F238E27FC236}">
              <a16:creationId xmlns:a16="http://schemas.microsoft.com/office/drawing/2014/main" id="{37B14960-79E0-4B02-AE1D-CB20F4138553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826" name="Line 5">
          <a:extLst>
            <a:ext uri="{FF2B5EF4-FFF2-40B4-BE49-F238E27FC236}">
              <a16:creationId xmlns:a16="http://schemas.microsoft.com/office/drawing/2014/main" id="{53085C2D-B6D7-4F9E-A999-95C24F93D3FF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827" name="Line 2">
          <a:extLst>
            <a:ext uri="{FF2B5EF4-FFF2-40B4-BE49-F238E27FC236}">
              <a16:creationId xmlns:a16="http://schemas.microsoft.com/office/drawing/2014/main" id="{99E11550-BA34-4F2F-A6FB-4D134113AC3B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828" name="Line 3">
          <a:extLst>
            <a:ext uri="{FF2B5EF4-FFF2-40B4-BE49-F238E27FC236}">
              <a16:creationId xmlns:a16="http://schemas.microsoft.com/office/drawing/2014/main" id="{B93E2386-71BC-4B87-9087-B87938235480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829" name="Line 4">
          <a:extLst>
            <a:ext uri="{FF2B5EF4-FFF2-40B4-BE49-F238E27FC236}">
              <a16:creationId xmlns:a16="http://schemas.microsoft.com/office/drawing/2014/main" id="{887EA951-0575-46FC-8F04-AEC5352B68FB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830" name="Line 5">
          <a:extLst>
            <a:ext uri="{FF2B5EF4-FFF2-40B4-BE49-F238E27FC236}">
              <a16:creationId xmlns:a16="http://schemas.microsoft.com/office/drawing/2014/main" id="{D5F82DC0-3F5F-4F92-BBCC-1E82328F240A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832" name="Line 2">
          <a:extLst>
            <a:ext uri="{FF2B5EF4-FFF2-40B4-BE49-F238E27FC236}">
              <a16:creationId xmlns:a16="http://schemas.microsoft.com/office/drawing/2014/main" id="{70B7B378-5AE5-427A-A086-A827F0E7098F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833" name="Line 3">
          <a:extLst>
            <a:ext uri="{FF2B5EF4-FFF2-40B4-BE49-F238E27FC236}">
              <a16:creationId xmlns:a16="http://schemas.microsoft.com/office/drawing/2014/main" id="{6DB025B1-C37E-4A2D-809A-10E830610505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834" name="Line 4">
          <a:extLst>
            <a:ext uri="{FF2B5EF4-FFF2-40B4-BE49-F238E27FC236}">
              <a16:creationId xmlns:a16="http://schemas.microsoft.com/office/drawing/2014/main" id="{DC58DDCE-62A9-4882-BB7C-26D7C54B63FF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1835" name="Line 5">
          <a:extLst>
            <a:ext uri="{FF2B5EF4-FFF2-40B4-BE49-F238E27FC236}">
              <a16:creationId xmlns:a16="http://schemas.microsoft.com/office/drawing/2014/main" id="{CF7A043E-61FB-4276-90CE-67BCE0024A40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836" name="Line 2">
          <a:extLst>
            <a:ext uri="{FF2B5EF4-FFF2-40B4-BE49-F238E27FC236}">
              <a16:creationId xmlns:a16="http://schemas.microsoft.com/office/drawing/2014/main" id="{738C372C-9503-4FD0-9A99-5F51E1C2C06C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1837" name="Line 3">
          <a:extLst>
            <a:ext uri="{FF2B5EF4-FFF2-40B4-BE49-F238E27FC236}">
              <a16:creationId xmlns:a16="http://schemas.microsoft.com/office/drawing/2014/main" id="{7D06D75F-DFF5-49C5-A790-820181FB2069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1838" name="Line 4">
          <a:extLst>
            <a:ext uri="{FF2B5EF4-FFF2-40B4-BE49-F238E27FC236}">
              <a16:creationId xmlns:a16="http://schemas.microsoft.com/office/drawing/2014/main" id="{B083E56A-5699-44FC-B050-C80B45444B98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338</xdr:row>
      <xdr:rowOff>0</xdr:rowOff>
    </xdr:from>
    <xdr:to>
      <xdr:col>8</xdr:col>
      <xdr:colOff>180975</xdr:colOff>
      <xdr:row>338</xdr:row>
      <xdr:rowOff>0</xdr:rowOff>
    </xdr:to>
    <xdr:sp macro="" textlink="">
      <xdr:nvSpPr>
        <xdr:cNvPr id="1840" name="Line 7">
          <a:extLst>
            <a:ext uri="{FF2B5EF4-FFF2-40B4-BE49-F238E27FC236}">
              <a16:creationId xmlns:a16="http://schemas.microsoft.com/office/drawing/2014/main" id="{4AD5E772-7B57-4C05-8639-B649F463129D}"/>
            </a:ext>
          </a:extLst>
        </xdr:cNvPr>
        <xdr:cNvSpPr>
          <a:spLocks noChangeShapeType="1"/>
        </xdr:cNvSpPr>
      </xdr:nvSpPr>
      <xdr:spPr bwMode="auto">
        <a:xfrm>
          <a:off x="4924425" y="56540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841" name="Line 3">
          <a:extLst>
            <a:ext uri="{FF2B5EF4-FFF2-40B4-BE49-F238E27FC236}">
              <a16:creationId xmlns:a16="http://schemas.microsoft.com/office/drawing/2014/main" id="{BDF7CE9B-B28A-4BE8-8367-40FEF0EE4099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1842" name="Line 5">
          <a:extLst>
            <a:ext uri="{FF2B5EF4-FFF2-40B4-BE49-F238E27FC236}">
              <a16:creationId xmlns:a16="http://schemas.microsoft.com/office/drawing/2014/main" id="{E0943352-21C8-4EF9-A8B8-9A8F81C66C26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843" name="Line 2">
          <a:extLst>
            <a:ext uri="{FF2B5EF4-FFF2-40B4-BE49-F238E27FC236}">
              <a16:creationId xmlns:a16="http://schemas.microsoft.com/office/drawing/2014/main" id="{D6530302-EB87-44EA-8399-75D7AF4A9D7E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844" name="Line 3">
          <a:extLst>
            <a:ext uri="{FF2B5EF4-FFF2-40B4-BE49-F238E27FC236}">
              <a16:creationId xmlns:a16="http://schemas.microsoft.com/office/drawing/2014/main" id="{68AB012B-EC24-44CA-9D6C-CE55CE3AA0ED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845" name="Line 4">
          <a:extLst>
            <a:ext uri="{FF2B5EF4-FFF2-40B4-BE49-F238E27FC236}">
              <a16:creationId xmlns:a16="http://schemas.microsoft.com/office/drawing/2014/main" id="{94EC4FFE-676E-4BD6-A377-6BD38E76C0AC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846" name="Line 5">
          <a:extLst>
            <a:ext uri="{FF2B5EF4-FFF2-40B4-BE49-F238E27FC236}">
              <a16:creationId xmlns:a16="http://schemas.microsoft.com/office/drawing/2014/main" id="{CC1CD996-B2FF-40AE-B488-53FC727385AF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847" name="Line 2">
          <a:extLst>
            <a:ext uri="{FF2B5EF4-FFF2-40B4-BE49-F238E27FC236}">
              <a16:creationId xmlns:a16="http://schemas.microsoft.com/office/drawing/2014/main" id="{7CA79F07-C9AD-4F97-8AB9-B109D3DB3B0A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848" name="Line 3">
          <a:extLst>
            <a:ext uri="{FF2B5EF4-FFF2-40B4-BE49-F238E27FC236}">
              <a16:creationId xmlns:a16="http://schemas.microsoft.com/office/drawing/2014/main" id="{CD5B2F91-3014-4BF7-83BA-7EF8B89EAF3A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849" name="Line 4">
          <a:extLst>
            <a:ext uri="{FF2B5EF4-FFF2-40B4-BE49-F238E27FC236}">
              <a16:creationId xmlns:a16="http://schemas.microsoft.com/office/drawing/2014/main" id="{1033A18A-4707-4035-B633-78C6A8E33B36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1850" name="Line 5">
          <a:extLst>
            <a:ext uri="{FF2B5EF4-FFF2-40B4-BE49-F238E27FC236}">
              <a16:creationId xmlns:a16="http://schemas.microsoft.com/office/drawing/2014/main" id="{6B6D0E95-F1AC-43D6-B475-ABBC3EAD0E11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851" name="Line 2">
          <a:extLst>
            <a:ext uri="{FF2B5EF4-FFF2-40B4-BE49-F238E27FC236}">
              <a16:creationId xmlns:a16="http://schemas.microsoft.com/office/drawing/2014/main" id="{E58EE322-E134-44D7-95D2-3C9364363371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1852" name="Line 3">
          <a:extLst>
            <a:ext uri="{FF2B5EF4-FFF2-40B4-BE49-F238E27FC236}">
              <a16:creationId xmlns:a16="http://schemas.microsoft.com/office/drawing/2014/main" id="{85E7DC6E-F94F-401E-B5CB-62CB5AFA382C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1853" name="Line 4">
          <a:extLst>
            <a:ext uri="{FF2B5EF4-FFF2-40B4-BE49-F238E27FC236}">
              <a16:creationId xmlns:a16="http://schemas.microsoft.com/office/drawing/2014/main" id="{541E3E24-9FD0-4CAE-8335-EC06B83B24EF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437</xdr:row>
      <xdr:rowOff>0</xdr:rowOff>
    </xdr:from>
    <xdr:to>
      <xdr:col>8</xdr:col>
      <xdr:colOff>180975</xdr:colOff>
      <xdr:row>437</xdr:row>
      <xdr:rowOff>0</xdr:rowOff>
    </xdr:to>
    <xdr:sp macro="" textlink="">
      <xdr:nvSpPr>
        <xdr:cNvPr id="1854" name="Line 5">
          <a:extLst>
            <a:ext uri="{FF2B5EF4-FFF2-40B4-BE49-F238E27FC236}">
              <a16:creationId xmlns:a16="http://schemas.microsoft.com/office/drawing/2014/main" id="{84A0AE40-9D85-40A6-A9DF-C97243EFC956}"/>
            </a:ext>
          </a:extLst>
        </xdr:cNvPr>
        <xdr:cNvSpPr>
          <a:spLocks noChangeShapeType="1"/>
        </xdr:cNvSpPr>
      </xdr:nvSpPr>
      <xdr:spPr bwMode="auto">
        <a:xfrm>
          <a:off x="4924425" y="73590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438</xdr:row>
      <xdr:rowOff>0</xdr:rowOff>
    </xdr:from>
    <xdr:to>
      <xdr:col>8</xdr:col>
      <xdr:colOff>180975</xdr:colOff>
      <xdr:row>438</xdr:row>
      <xdr:rowOff>0</xdr:rowOff>
    </xdr:to>
    <xdr:sp macro="" textlink="">
      <xdr:nvSpPr>
        <xdr:cNvPr id="1855" name="Line 7">
          <a:extLst>
            <a:ext uri="{FF2B5EF4-FFF2-40B4-BE49-F238E27FC236}">
              <a16:creationId xmlns:a16="http://schemas.microsoft.com/office/drawing/2014/main" id="{2AE059BB-9F50-4B56-A40F-4B5139CFD990}"/>
            </a:ext>
          </a:extLst>
        </xdr:cNvPr>
        <xdr:cNvSpPr>
          <a:spLocks noChangeShapeType="1"/>
        </xdr:cNvSpPr>
      </xdr:nvSpPr>
      <xdr:spPr bwMode="auto">
        <a:xfrm>
          <a:off x="4924425" y="73733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856" name="Line 2">
          <a:extLst>
            <a:ext uri="{FF2B5EF4-FFF2-40B4-BE49-F238E27FC236}">
              <a16:creationId xmlns:a16="http://schemas.microsoft.com/office/drawing/2014/main" id="{4AB4DE3D-7263-44C8-9DAC-18E32AB6E8DA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1857" name="Line 3">
          <a:extLst>
            <a:ext uri="{FF2B5EF4-FFF2-40B4-BE49-F238E27FC236}">
              <a16:creationId xmlns:a16="http://schemas.microsoft.com/office/drawing/2014/main" id="{65ECEC6C-5FE5-4F9C-8092-EB96011BC68C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1858" name="Line 4">
          <a:extLst>
            <a:ext uri="{FF2B5EF4-FFF2-40B4-BE49-F238E27FC236}">
              <a16:creationId xmlns:a16="http://schemas.microsoft.com/office/drawing/2014/main" id="{4C57D6DE-89EE-4761-884F-82AFF54078D6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861" name="Line 2">
          <a:extLst>
            <a:ext uri="{FF2B5EF4-FFF2-40B4-BE49-F238E27FC236}">
              <a16:creationId xmlns:a16="http://schemas.microsoft.com/office/drawing/2014/main" id="{8B902F9A-5D4A-4E4D-BCB9-16595754DBB5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862" name="Line 3">
          <a:extLst>
            <a:ext uri="{FF2B5EF4-FFF2-40B4-BE49-F238E27FC236}">
              <a16:creationId xmlns:a16="http://schemas.microsoft.com/office/drawing/2014/main" id="{F4ACE4D5-28A1-4149-86E6-F473CFE49843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863" name="Line 4">
          <a:extLst>
            <a:ext uri="{FF2B5EF4-FFF2-40B4-BE49-F238E27FC236}">
              <a16:creationId xmlns:a16="http://schemas.microsoft.com/office/drawing/2014/main" id="{70038454-2614-444D-8FDB-9E6060203A8A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864" name="Line 5">
          <a:extLst>
            <a:ext uri="{FF2B5EF4-FFF2-40B4-BE49-F238E27FC236}">
              <a16:creationId xmlns:a16="http://schemas.microsoft.com/office/drawing/2014/main" id="{1A44983B-4385-44B4-8E1D-48FABA7C0C0E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866" name="Line 2">
          <a:extLst>
            <a:ext uri="{FF2B5EF4-FFF2-40B4-BE49-F238E27FC236}">
              <a16:creationId xmlns:a16="http://schemas.microsoft.com/office/drawing/2014/main" id="{CEF008E5-01D0-4B60-9D37-FA980764DEF3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867" name="Line 3">
          <a:extLst>
            <a:ext uri="{FF2B5EF4-FFF2-40B4-BE49-F238E27FC236}">
              <a16:creationId xmlns:a16="http://schemas.microsoft.com/office/drawing/2014/main" id="{5FCA4128-0230-4C46-A1EC-C932D9754EE3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868" name="Line 4">
          <a:extLst>
            <a:ext uri="{FF2B5EF4-FFF2-40B4-BE49-F238E27FC236}">
              <a16:creationId xmlns:a16="http://schemas.microsoft.com/office/drawing/2014/main" id="{4829BCDB-B9B9-4446-BD09-AB140E1BCA9B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1869" name="Line 5">
          <a:extLst>
            <a:ext uri="{FF2B5EF4-FFF2-40B4-BE49-F238E27FC236}">
              <a16:creationId xmlns:a16="http://schemas.microsoft.com/office/drawing/2014/main" id="{D9D25033-1197-4E1F-BD1B-B69F07FAF713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870" name="Line 2">
          <a:extLst>
            <a:ext uri="{FF2B5EF4-FFF2-40B4-BE49-F238E27FC236}">
              <a16:creationId xmlns:a16="http://schemas.microsoft.com/office/drawing/2014/main" id="{B23DF79B-5F99-4899-8F1B-259823EA7314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1871" name="Line 3">
          <a:extLst>
            <a:ext uri="{FF2B5EF4-FFF2-40B4-BE49-F238E27FC236}">
              <a16:creationId xmlns:a16="http://schemas.microsoft.com/office/drawing/2014/main" id="{95AF8789-255D-4FC5-9D2B-03FF59873713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1872" name="Line 4">
          <a:extLst>
            <a:ext uri="{FF2B5EF4-FFF2-40B4-BE49-F238E27FC236}">
              <a16:creationId xmlns:a16="http://schemas.microsoft.com/office/drawing/2014/main" id="{D47885EB-3D25-4582-B776-F4303830F831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873" name="Line 2">
          <a:extLst>
            <a:ext uri="{FF2B5EF4-FFF2-40B4-BE49-F238E27FC236}">
              <a16:creationId xmlns:a16="http://schemas.microsoft.com/office/drawing/2014/main" id="{B1BBE6AD-B9E1-4D28-90F6-3DD61F205EDF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874" name="Line 3">
          <a:extLst>
            <a:ext uri="{FF2B5EF4-FFF2-40B4-BE49-F238E27FC236}">
              <a16:creationId xmlns:a16="http://schemas.microsoft.com/office/drawing/2014/main" id="{62684D19-1464-4E61-AC84-1CE8AEE2BB41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1875" name="Line 4">
          <a:extLst>
            <a:ext uri="{FF2B5EF4-FFF2-40B4-BE49-F238E27FC236}">
              <a16:creationId xmlns:a16="http://schemas.microsoft.com/office/drawing/2014/main" id="{43A5DB0B-0482-4908-BE00-36F9D56129E9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876" name="Line 2">
          <a:extLst>
            <a:ext uri="{FF2B5EF4-FFF2-40B4-BE49-F238E27FC236}">
              <a16:creationId xmlns:a16="http://schemas.microsoft.com/office/drawing/2014/main" id="{D2483E82-7B9B-4854-961E-36E8C0B52B2B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1877" name="Line 3">
          <a:extLst>
            <a:ext uri="{FF2B5EF4-FFF2-40B4-BE49-F238E27FC236}">
              <a16:creationId xmlns:a16="http://schemas.microsoft.com/office/drawing/2014/main" id="{34E94507-2F9F-45EA-8474-B548A18798A3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475</xdr:row>
      <xdr:rowOff>0</xdr:rowOff>
    </xdr:from>
    <xdr:to>
      <xdr:col>8</xdr:col>
      <xdr:colOff>180975</xdr:colOff>
      <xdr:row>475</xdr:row>
      <xdr:rowOff>0</xdr:rowOff>
    </xdr:to>
    <xdr:sp macro="" textlink="">
      <xdr:nvSpPr>
        <xdr:cNvPr id="1878" name="Line 4">
          <a:extLst>
            <a:ext uri="{FF2B5EF4-FFF2-40B4-BE49-F238E27FC236}">
              <a16:creationId xmlns:a16="http://schemas.microsoft.com/office/drawing/2014/main" id="{70961C31-FB8D-4671-B038-547D552720BA}"/>
            </a:ext>
          </a:extLst>
        </xdr:cNvPr>
        <xdr:cNvSpPr>
          <a:spLocks noChangeShapeType="1"/>
        </xdr:cNvSpPr>
      </xdr:nvSpPr>
      <xdr:spPr bwMode="auto">
        <a:xfrm>
          <a:off x="4924425" y="809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879" name="Line 3">
          <a:extLst>
            <a:ext uri="{FF2B5EF4-FFF2-40B4-BE49-F238E27FC236}">
              <a16:creationId xmlns:a16="http://schemas.microsoft.com/office/drawing/2014/main" id="{DC8FB3D3-C2A4-4B93-AE53-9D0099018872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1880" name="Line 5">
          <a:extLst>
            <a:ext uri="{FF2B5EF4-FFF2-40B4-BE49-F238E27FC236}">
              <a16:creationId xmlns:a16="http://schemas.microsoft.com/office/drawing/2014/main" id="{E20A683D-C2E9-45B3-B7ED-05C6F0CB54C2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881" name="Line 2">
          <a:extLst>
            <a:ext uri="{FF2B5EF4-FFF2-40B4-BE49-F238E27FC236}">
              <a16:creationId xmlns:a16="http://schemas.microsoft.com/office/drawing/2014/main" id="{62A03337-8AB0-4350-9699-2C108981169E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882" name="Line 3">
          <a:extLst>
            <a:ext uri="{FF2B5EF4-FFF2-40B4-BE49-F238E27FC236}">
              <a16:creationId xmlns:a16="http://schemas.microsoft.com/office/drawing/2014/main" id="{5B8DB2F0-4162-4CAC-86F5-7F93E621C53D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883" name="Line 4">
          <a:extLst>
            <a:ext uri="{FF2B5EF4-FFF2-40B4-BE49-F238E27FC236}">
              <a16:creationId xmlns:a16="http://schemas.microsoft.com/office/drawing/2014/main" id="{E80FDEEE-B3C6-4953-891B-81C6BD578097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884" name="Line 5">
          <a:extLst>
            <a:ext uri="{FF2B5EF4-FFF2-40B4-BE49-F238E27FC236}">
              <a16:creationId xmlns:a16="http://schemas.microsoft.com/office/drawing/2014/main" id="{67A483A6-CA2C-4D9B-A0D5-8E88E51E082E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1885" name="Line 7">
          <a:extLst>
            <a:ext uri="{FF2B5EF4-FFF2-40B4-BE49-F238E27FC236}">
              <a16:creationId xmlns:a16="http://schemas.microsoft.com/office/drawing/2014/main" id="{782F0698-7190-4759-9C33-7D6E3A44AB79}"/>
            </a:ext>
          </a:extLst>
        </xdr:cNvPr>
        <xdr:cNvSpPr>
          <a:spLocks noChangeShapeType="1"/>
        </xdr:cNvSpPr>
      </xdr:nvSpPr>
      <xdr:spPr bwMode="auto">
        <a:xfrm>
          <a:off x="4924425" y="92954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886" name="Line 2">
          <a:extLst>
            <a:ext uri="{FF2B5EF4-FFF2-40B4-BE49-F238E27FC236}">
              <a16:creationId xmlns:a16="http://schemas.microsoft.com/office/drawing/2014/main" id="{0177B4B4-B5AC-4350-8E05-7DA422BED306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887" name="Line 3">
          <a:extLst>
            <a:ext uri="{FF2B5EF4-FFF2-40B4-BE49-F238E27FC236}">
              <a16:creationId xmlns:a16="http://schemas.microsoft.com/office/drawing/2014/main" id="{69350A6C-7AB8-4F99-88DF-2F8F1E7ECAFA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888" name="Line 4">
          <a:extLst>
            <a:ext uri="{FF2B5EF4-FFF2-40B4-BE49-F238E27FC236}">
              <a16:creationId xmlns:a16="http://schemas.microsoft.com/office/drawing/2014/main" id="{03AD8F58-E60F-4688-9075-E0DD5BBD449F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1889" name="Line 5">
          <a:extLst>
            <a:ext uri="{FF2B5EF4-FFF2-40B4-BE49-F238E27FC236}">
              <a16:creationId xmlns:a16="http://schemas.microsoft.com/office/drawing/2014/main" id="{2289F234-D19F-4CAF-AD2B-EFCCE71E90D4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890" name="Line 2">
          <a:extLst>
            <a:ext uri="{FF2B5EF4-FFF2-40B4-BE49-F238E27FC236}">
              <a16:creationId xmlns:a16="http://schemas.microsoft.com/office/drawing/2014/main" id="{D32B3A44-B9C1-4CCE-899F-A9D5D3E14E60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1891" name="Line 3">
          <a:extLst>
            <a:ext uri="{FF2B5EF4-FFF2-40B4-BE49-F238E27FC236}">
              <a16:creationId xmlns:a16="http://schemas.microsoft.com/office/drawing/2014/main" id="{B7899618-5BDF-46BE-9660-95BBFB70E862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1892" name="Line 4">
          <a:extLst>
            <a:ext uri="{FF2B5EF4-FFF2-40B4-BE49-F238E27FC236}">
              <a16:creationId xmlns:a16="http://schemas.microsoft.com/office/drawing/2014/main" id="{36B8A6BB-EF01-4D50-87FD-712CB38CEAE4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893" name="Line 2">
          <a:extLst>
            <a:ext uri="{FF2B5EF4-FFF2-40B4-BE49-F238E27FC236}">
              <a16:creationId xmlns:a16="http://schemas.microsoft.com/office/drawing/2014/main" id="{361A85E9-4C8C-48A7-940A-FAF0C89AAD66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894" name="Line 3">
          <a:extLst>
            <a:ext uri="{FF2B5EF4-FFF2-40B4-BE49-F238E27FC236}">
              <a16:creationId xmlns:a16="http://schemas.microsoft.com/office/drawing/2014/main" id="{5776417B-57BE-406D-B2FC-6A590B0CE8D8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508</xdr:row>
      <xdr:rowOff>0</xdr:rowOff>
    </xdr:from>
    <xdr:to>
      <xdr:col>8</xdr:col>
      <xdr:colOff>180975</xdr:colOff>
      <xdr:row>508</xdr:row>
      <xdr:rowOff>0</xdr:rowOff>
    </xdr:to>
    <xdr:sp macro="" textlink="">
      <xdr:nvSpPr>
        <xdr:cNvPr id="1895" name="Line 4">
          <a:extLst>
            <a:ext uri="{FF2B5EF4-FFF2-40B4-BE49-F238E27FC236}">
              <a16:creationId xmlns:a16="http://schemas.microsoft.com/office/drawing/2014/main" id="{73C28874-D6CA-42DE-94D2-DE80EEDB5973}"/>
            </a:ext>
          </a:extLst>
        </xdr:cNvPr>
        <xdr:cNvSpPr>
          <a:spLocks noChangeShapeType="1"/>
        </xdr:cNvSpPr>
      </xdr:nvSpPr>
      <xdr:spPr bwMode="auto">
        <a:xfrm>
          <a:off x="4924425" y="89373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896" name="Line 2">
          <a:extLst>
            <a:ext uri="{FF2B5EF4-FFF2-40B4-BE49-F238E27FC236}">
              <a16:creationId xmlns:a16="http://schemas.microsoft.com/office/drawing/2014/main" id="{B32C3507-CBC0-4A67-B419-64339097AC56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1897" name="Line 3">
          <a:extLst>
            <a:ext uri="{FF2B5EF4-FFF2-40B4-BE49-F238E27FC236}">
              <a16:creationId xmlns:a16="http://schemas.microsoft.com/office/drawing/2014/main" id="{BD25CA09-A639-48F4-B671-12CE80A8245C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1898" name="Line 4">
          <a:extLst>
            <a:ext uri="{FF2B5EF4-FFF2-40B4-BE49-F238E27FC236}">
              <a16:creationId xmlns:a16="http://schemas.microsoft.com/office/drawing/2014/main" id="{2F03B242-E5F2-4690-8C91-1FA1474C4604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899" name="Line 3">
          <a:extLst>
            <a:ext uri="{FF2B5EF4-FFF2-40B4-BE49-F238E27FC236}">
              <a16:creationId xmlns:a16="http://schemas.microsoft.com/office/drawing/2014/main" id="{480EDB85-84B9-4EEB-83EC-5C5B04BF1183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1900" name="Line 5">
          <a:extLst>
            <a:ext uri="{FF2B5EF4-FFF2-40B4-BE49-F238E27FC236}">
              <a16:creationId xmlns:a16="http://schemas.microsoft.com/office/drawing/2014/main" id="{1E181679-828C-4392-9C24-54411F73AAC0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901" name="Line 2">
          <a:extLst>
            <a:ext uri="{FF2B5EF4-FFF2-40B4-BE49-F238E27FC236}">
              <a16:creationId xmlns:a16="http://schemas.microsoft.com/office/drawing/2014/main" id="{D320D804-2DE4-48E1-B9B0-0E353D88F12D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902" name="Line 3">
          <a:extLst>
            <a:ext uri="{FF2B5EF4-FFF2-40B4-BE49-F238E27FC236}">
              <a16:creationId xmlns:a16="http://schemas.microsoft.com/office/drawing/2014/main" id="{9EB6603B-3DAF-4D50-90CE-F5A297DFB0FC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903" name="Line 4">
          <a:extLst>
            <a:ext uri="{FF2B5EF4-FFF2-40B4-BE49-F238E27FC236}">
              <a16:creationId xmlns:a16="http://schemas.microsoft.com/office/drawing/2014/main" id="{272A8EE6-A380-463E-8CEA-D33235163ED1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904" name="Line 5">
          <a:extLst>
            <a:ext uri="{FF2B5EF4-FFF2-40B4-BE49-F238E27FC236}">
              <a16:creationId xmlns:a16="http://schemas.microsoft.com/office/drawing/2014/main" id="{58D6C98D-C512-4DAE-8694-914E06D03A1D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583</xdr:row>
      <xdr:rowOff>0</xdr:rowOff>
    </xdr:from>
    <xdr:to>
      <xdr:col>8</xdr:col>
      <xdr:colOff>180975</xdr:colOff>
      <xdr:row>583</xdr:row>
      <xdr:rowOff>0</xdr:rowOff>
    </xdr:to>
    <xdr:sp macro="" textlink="">
      <xdr:nvSpPr>
        <xdr:cNvPr id="1905" name="Line 7">
          <a:extLst>
            <a:ext uri="{FF2B5EF4-FFF2-40B4-BE49-F238E27FC236}">
              <a16:creationId xmlns:a16="http://schemas.microsoft.com/office/drawing/2014/main" id="{0B701F1E-6C2C-458E-84BD-32D2E3BA4894}"/>
            </a:ext>
          </a:extLst>
        </xdr:cNvPr>
        <xdr:cNvSpPr>
          <a:spLocks noChangeShapeType="1"/>
        </xdr:cNvSpPr>
      </xdr:nvSpPr>
      <xdr:spPr bwMode="auto">
        <a:xfrm>
          <a:off x="4924425" y="101765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906" name="Line 2">
          <a:extLst>
            <a:ext uri="{FF2B5EF4-FFF2-40B4-BE49-F238E27FC236}">
              <a16:creationId xmlns:a16="http://schemas.microsoft.com/office/drawing/2014/main" id="{5AFC1F1B-A565-40E8-8FA3-B6A1463E9D06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907" name="Line 3">
          <a:extLst>
            <a:ext uri="{FF2B5EF4-FFF2-40B4-BE49-F238E27FC236}">
              <a16:creationId xmlns:a16="http://schemas.microsoft.com/office/drawing/2014/main" id="{A98ADBC4-20B4-49C9-A5A3-7ADA4E3E7EA7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908" name="Line 4">
          <a:extLst>
            <a:ext uri="{FF2B5EF4-FFF2-40B4-BE49-F238E27FC236}">
              <a16:creationId xmlns:a16="http://schemas.microsoft.com/office/drawing/2014/main" id="{622B7226-A451-4617-9560-5CBCD1B20022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1909" name="Line 5">
          <a:extLst>
            <a:ext uri="{FF2B5EF4-FFF2-40B4-BE49-F238E27FC236}">
              <a16:creationId xmlns:a16="http://schemas.microsoft.com/office/drawing/2014/main" id="{A9D479BB-2840-4A48-BB4B-E69E43745912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910" name="Line 2">
          <a:extLst>
            <a:ext uri="{FF2B5EF4-FFF2-40B4-BE49-F238E27FC236}">
              <a16:creationId xmlns:a16="http://schemas.microsoft.com/office/drawing/2014/main" id="{033129A8-071E-4138-BA3F-29155E5EED16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1911" name="Line 3">
          <a:extLst>
            <a:ext uri="{FF2B5EF4-FFF2-40B4-BE49-F238E27FC236}">
              <a16:creationId xmlns:a16="http://schemas.microsoft.com/office/drawing/2014/main" id="{8E99D4FA-E4A2-49B7-A757-6761D3F66A8E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1912" name="Line 4">
          <a:extLst>
            <a:ext uri="{FF2B5EF4-FFF2-40B4-BE49-F238E27FC236}">
              <a16:creationId xmlns:a16="http://schemas.microsoft.com/office/drawing/2014/main" id="{456787E6-0CAB-4A96-8D3F-E9B80F319B72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913" name="Line 2">
          <a:extLst>
            <a:ext uri="{FF2B5EF4-FFF2-40B4-BE49-F238E27FC236}">
              <a16:creationId xmlns:a16="http://schemas.microsoft.com/office/drawing/2014/main" id="{879D673A-8DBD-4968-8A87-87C421FD56C0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914" name="Line 3">
          <a:extLst>
            <a:ext uri="{FF2B5EF4-FFF2-40B4-BE49-F238E27FC236}">
              <a16:creationId xmlns:a16="http://schemas.microsoft.com/office/drawing/2014/main" id="{08A9CC3E-3CE0-408E-AF0E-C875E3600F57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558</xdr:row>
      <xdr:rowOff>0</xdr:rowOff>
    </xdr:from>
    <xdr:to>
      <xdr:col>8</xdr:col>
      <xdr:colOff>180975</xdr:colOff>
      <xdr:row>558</xdr:row>
      <xdr:rowOff>0</xdr:rowOff>
    </xdr:to>
    <xdr:sp macro="" textlink="">
      <xdr:nvSpPr>
        <xdr:cNvPr id="1915" name="Line 4">
          <a:extLst>
            <a:ext uri="{FF2B5EF4-FFF2-40B4-BE49-F238E27FC236}">
              <a16:creationId xmlns:a16="http://schemas.microsoft.com/office/drawing/2014/main" id="{1CB47FFD-E6C7-4F17-96BC-E311A9882887}"/>
            </a:ext>
          </a:extLst>
        </xdr:cNvPr>
        <xdr:cNvSpPr>
          <a:spLocks noChangeShapeType="1"/>
        </xdr:cNvSpPr>
      </xdr:nvSpPr>
      <xdr:spPr bwMode="auto">
        <a:xfrm>
          <a:off x="4924425" y="9805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916" name="Line 2">
          <a:extLst>
            <a:ext uri="{FF2B5EF4-FFF2-40B4-BE49-F238E27FC236}">
              <a16:creationId xmlns:a16="http://schemas.microsoft.com/office/drawing/2014/main" id="{DBFE44A8-D277-413B-8EB7-C4981DB3C2CA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1917" name="Line 3">
          <a:extLst>
            <a:ext uri="{FF2B5EF4-FFF2-40B4-BE49-F238E27FC236}">
              <a16:creationId xmlns:a16="http://schemas.microsoft.com/office/drawing/2014/main" id="{2FD9BD60-35AD-47EF-BF71-D033AEF5CDA2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562</xdr:row>
      <xdr:rowOff>0</xdr:rowOff>
    </xdr:from>
    <xdr:to>
      <xdr:col>8</xdr:col>
      <xdr:colOff>180975</xdr:colOff>
      <xdr:row>562</xdr:row>
      <xdr:rowOff>0</xdr:rowOff>
    </xdr:to>
    <xdr:sp macro="" textlink="">
      <xdr:nvSpPr>
        <xdr:cNvPr id="1918" name="Line 4">
          <a:extLst>
            <a:ext uri="{FF2B5EF4-FFF2-40B4-BE49-F238E27FC236}">
              <a16:creationId xmlns:a16="http://schemas.microsoft.com/office/drawing/2014/main" id="{BD194F9D-4A1A-407D-9938-CDBC8595ADD2}"/>
            </a:ext>
          </a:extLst>
        </xdr:cNvPr>
        <xdr:cNvSpPr>
          <a:spLocks noChangeShapeType="1"/>
        </xdr:cNvSpPr>
      </xdr:nvSpPr>
      <xdr:spPr bwMode="auto">
        <a:xfrm>
          <a:off x="4924425" y="98621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919" name="Line 3">
          <a:extLst>
            <a:ext uri="{FF2B5EF4-FFF2-40B4-BE49-F238E27FC236}">
              <a16:creationId xmlns:a16="http://schemas.microsoft.com/office/drawing/2014/main" id="{53CE2F22-CC7A-4431-9E3E-B5F19A6D1115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1920" name="Line 5">
          <a:extLst>
            <a:ext uri="{FF2B5EF4-FFF2-40B4-BE49-F238E27FC236}">
              <a16:creationId xmlns:a16="http://schemas.microsoft.com/office/drawing/2014/main" id="{A8AA3C88-58D2-4645-8199-AE28543AE8CF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921" name="Line 2">
          <a:extLst>
            <a:ext uri="{FF2B5EF4-FFF2-40B4-BE49-F238E27FC236}">
              <a16:creationId xmlns:a16="http://schemas.microsoft.com/office/drawing/2014/main" id="{68D751EF-BF5A-4B30-BD8C-F18F4A45682E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922" name="Line 3">
          <a:extLst>
            <a:ext uri="{FF2B5EF4-FFF2-40B4-BE49-F238E27FC236}">
              <a16:creationId xmlns:a16="http://schemas.microsoft.com/office/drawing/2014/main" id="{E504D531-045B-424A-9F99-0A4AF5641089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923" name="Line 4">
          <a:extLst>
            <a:ext uri="{FF2B5EF4-FFF2-40B4-BE49-F238E27FC236}">
              <a16:creationId xmlns:a16="http://schemas.microsoft.com/office/drawing/2014/main" id="{43210E58-5AB2-49EE-AE7E-038DBA8C729B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924" name="Line 5">
          <a:extLst>
            <a:ext uri="{FF2B5EF4-FFF2-40B4-BE49-F238E27FC236}">
              <a16:creationId xmlns:a16="http://schemas.microsoft.com/office/drawing/2014/main" id="{953A0179-CA47-4789-A39D-FFB41B4F25D4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1925" name="Line 7">
          <a:extLst>
            <a:ext uri="{FF2B5EF4-FFF2-40B4-BE49-F238E27FC236}">
              <a16:creationId xmlns:a16="http://schemas.microsoft.com/office/drawing/2014/main" id="{17DD8F5B-0879-491D-8026-817CAA3930E8}"/>
            </a:ext>
          </a:extLst>
        </xdr:cNvPr>
        <xdr:cNvSpPr>
          <a:spLocks noChangeShapeType="1"/>
        </xdr:cNvSpPr>
      </xdr:nvSpPr>
      <xdr:spPr bwMode="auto">
        <a:xfrm>
          <a:off x="4924425" y="11015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926" name="Line 2">
          <a:extLst>
            <a:ext uri="{FF2B5EF4-FFF2-40B4-BE49-F238E27FC236}">
              <a16:creationId xmlns:a16="http://schemas.microsoft.com/office/drawing/2014/main" id="{6B217E91-6BC9-4A76-A732-A76FCB2C634F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927" name="Line 3">
          <a:extLst>
            <a:ext uri="{FF2B5EF4-FFF2-40B4-BE49-F238E27FC236}">
              <a16:creationId xmlns:a16="http://schemas.microsoft.com/office/drawing/2014/main" id="{5B6AE16D-6817-4417-9671-9B4C745B6A06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928" name="Line 4">
          <a:extLst>
            <a:ext uri="{FF2B5EF4-FFF2-40B4-BE49-F238E27FC236}">
              <a16:creationId xmlns:a16="http://schemas.microsoft.com/office/drawing/2014/main" id="{2972E523-9F36-4811-BCC1-93530277AC54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1929" name="Line 5">
          <a:extLst>
            <a:ext uri="{FF2B5EF4-FFF2-40B4-BE49-F238E27FC236}">
              <a16:creationId xmlns:a16="http://schemas.microsoft.com/office/drawing/2014/main" id="{A000BB9E-8E28-4DC2-96CA-2333E3AA2B82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930" name="Line 2">
          <a:extLst>
            <a:ext uri="{FF2B5EF4-FFF2-40B4-BE49-F238E27FC236}">
              <a16:creationId xmlns:a16="http://schemas.microsoft.com/office/drawing/2014/main" id="{B74AA55F-994C-4963-B680-87F9AD8D0CB8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1931" name="Line 3">
          <a:extLst>
            <a:ext uri="{FF2B5EF4-FFF2-40B4-BE49-F238E27FC236}">
              <a16:creationId xmlns:a16="http://schemas.microsoft.com/office/drawing/2014/main" id="{073958F8-1AAF-409E-BCF0-B97848E01341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1932" name="Line 4">
          <a:extLst>
            <a:ext uri="{FF2B5EF4-FFF2-40B4-BE49-F238E27FC236}">
              <a16:creationId xmlns:a16="http://schemas.microsoft.com/office/drawing/2014/main" id="{77891177-8CA5-4C2E-9D09-63A276555779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933" name="Line 2">
          <a:extLst>
            <a:ext uri="{FF2B5EF4-FFF2-40B4-BE49-F238E27FC236}">
              <a16:creationId xmlns:a16="http://schemas.microsoft.com/office/drawing/2014/main" id="{EA0F21D0-756B-4567-9C5F-06B31F7D398E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934" name="Line 3">
          <a:extLst>
            <a:ext uri="{FF2B5EF4-FFF2-40B4-BE49-F238E27FC236}">
              <a16:creationId xmlns:a16="http://schemas.microsoft.com/office/drawing/2014/main" id="{34121443-570B-4F7D-A9B5-8B238E38FB9A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1935" name="Line 4">
          <a:extLst>
            <a:ext uri="{FF2B5EF4-FFF2-40B4-BE49-F238E27FC236}">
              <a16:creationId xmlns:a16="http://schemas.microsoft.com/office/drawing/2014/main" id="{6D70DDBF-DB09-4F2E-A48F-50AF01C9B20D}"/>
            </a:ext>
          </a:extLst>
        </xdr:cNvPr>
        <xdr:cNvSpPr>
          <a:spLocks noChangeShapeType="1"/>
        </xdr:cNvSpPr>
      </xdr:nvSpPr>
      <xdr:spPr bwMode="auto">
        <a:xfrm>
          <a:off x="4924425" y="106584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936" name="Line 2">
          <a:extLst>
            <a:ext uri="{FF2B5EF4-FFF2-40B4-BE49-F238E27FC236}">
              <a16:creationId xmlns:a16="http://schemas.microsoft.com/office/drawing/2014/main" id="{4FFC7C6F-C4E8-4278-99AB-7D06EEFB7070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1937" name="Line 3">
          <a:extLst>
            <a:ext uri="{FF2B5EF4-FFF2-40B4-BE49-F238E27FC236}">
              <a16:creationId xmlns:a16="http://schemas.microsoft.com/office/drawing/2014/main" id="{024E5449-D20B-4453-A355-54C84685E568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612</xdr:row>
      <xdr:rowOff>0</xdr:rowOff>
    </xdr:from>
    <xdr:to>
      <xdr:col>8</xdr:col>
      <xdr:colOff>180975</xdr:colOff>
      <xdr:row>612</xdr:row>
      <xdr:rowOff>0</xdr:rowOff>
    </xdr:to>
    <xdr:sp macro="" textlink="">
      <xdr:nvSpPr>
        <xdr:cNvPr id="1938" name="Line 4">
          <a:extLst>
            <a:ext uri="{FF2B5EF4-FFF2-40B4-BE49-F238E27FC236}">
              <a16:creationId xmlns:a16="http://schemas.microsoft.com/office/drawing/2014/main" id="{199B5614-853C-4562-B44B-225AD785FE0D}"/>
            </a:ext>
          </a:extLst>
        </xdr:cNvPr>
        <xdr:cNvSpPr>
          <a:spLocks noChangeShapeType="1"/>
        </xdr:cNvSpPr>
      </xdr:nvSpPr>
      <xdr:spPr bwMode="auto">
        <a:xfrm>
          <a:off x="4924425" y="107013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940" name="Line 3">
          <a:extLst>
            <a:ext uri="{FF2B5EF4-FFF2-40B4-BE49-F238E27FC236}">
              <a16:creationId xmlns:a16="http://schemas.microsoft.com/office/drawing/2014/main" id="{A772D85C-61B9-4910-B1E7-098703D3A14C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36</xdr:row>
      <xdr:rowOff>0</xdr:rowOff>
    </xdr:from>
    <xdr:to>
      <xdr:col>8</xdr:col>
      <xdr:colOff>180975</xdr:colOff>
      <xdr:row>36</xdr:row>
      <xdr:rowOff>0</xdr:rowOff>
    </xdr:to>
    <xdr:sp macro="" textlink="">
      <xdr:nvSpPr>
        <xdr:cNvPr id="1941" name="Line 5">
          <a:extLst>
            <a:ext uri="{FF2B5EF4-FFF2-40B4-BE49-F238E27FC236}">
              <a16:creationId xmlns:a16="http://schemas.microsoft.com/office/drawing/2014/main" id="{327C3C29-504D-41C0-9264-D8D75603978F}"/>
            </a:ext>
          </a:extLst>
        </xdr:cNvPr>
        <xdr:cNvSpPr>
          <a:spLocks noChangeShapeType="1"/>
        </xdr:cNvSpPr>
      </xdr:nvSpPr>
      <xdr:spPr bwMode="auto">
        <a:xfrm>
          <a:off x="4924425" y="52292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112</xdr:row>
      <xdr:rowOff>0</xdr:rowOff>
    </xdr:from>
    <xdr:to>
      <xdr:col>8</xdr:col>
      <xdr:colOff>180975</xdr:colOff>
      <xdr:row>112</xdr:row>
      <xdr:rowOff>0</xdr:rowOff>
    </xdr:to>
    <xdr:sp macro="" textlink="">
      <xdr:nvSpPr>
        <xdr:cNvPr id="1942" name="Line 2">
          <a:extLst>
            <a:ext uri="{FF2B5EF4-FFF2-40B4-BE49-F238E27FC236}">
              <a16:creationId xmlns:a16="http://schemas.microsoft.com/office/drawing/2014/main" id="{627E3F08-F56E-4358-8CB8-EB62AD10D0BA}"/>
            </a:ext>
          </a:extLst>
        </xdr:cNvPr>
        <xdr:cNvSpPr>
          <a:spLocks noChangeShapeType="1"/>
        </xdr:cNvSpPr>
      </xdr:nvSpPr>
      <xdr:spPr bwMode="auto">
        <a:xfrm>
          <a:off x="4924425" y="16497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943" name="Line 3">
          <a:extLst>
            <a:ext uri="{FF2B5EF4-FFF2-40B4-BE49-F238E27FC236}">
              <a16:creationId xmlns:a16="http://schemas.microsoft.com/office/drawing/2014/main" id="{AEF8A685-E161-46AB-A1F9-EB0E2E232129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88</xdr:row>
      <xdr:rowOff>0</xdr:rowOff>
    </xdr:from>
    <xdr:to>
      <xdr:col>8</xdr:col>
      <xdr:colOff>180975</xdr:colOff>
      <xdr:row>88</xdr:row>
      <xdr:rowOff>0</xdr:rowOff>
    </xdr:to>
    <xdr:sp macro="" textlink="">
      <xdr:nvSpPr>
        <xdr:cNvPr id="1944" name="Line 5">
          <a:extLst>
            <a:ext uri="{FF2B5EF4-FFF2-40B4-BE49-F238E27FC236}">
              <a16:creationId xmlns:a16="http://schemas.microsoft.com/office/drawing/2014/main" id="{3690AE01-13D4-42ED-AD4F-9FD0F94F2CE0}"/>
            </a:ext>
          </a:extLst>
        </xdr:cNvPr>
        <xdr:cNvSpPr>
          <a:spLocks noChangeShapeType="1"/>
        </xdr:cNvSpPr>
      </xdr:nvSpPr>
      <xdr:spPr bwMode="auto">
        <a:xfrm>
          <a:off x="4924425" y="13477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945" name="Line 2">
          <a:extLst>
            <a:ext uri="{FF2B5EF4-FFF2-40B4-BE49-F238E27FC236}">
              <a16:creationId xmlns:a16="http://schemas.microsoft.com/office/drawing/2014/main" id="{797150A5-FF6D-4165-AC2E-E631B976940E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946" name="Line 3">
          <a:extLst>
            <a:ext uri="{FF2B5EF4-FFF2-40B4-BE49-F238E27FC236}">
              <a16:creationId xmlns:a16="http://schemas.microsoft.com/office/drawing/2014/main" id="{08FAF18F-24E2-48EC-A436-4EEF6A1AEFD8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75</xdr:row>
      <xdr:rowOff>0</xdr:rowOff>
    </xdr:from>
    <xdr:to>
      <xdr:col>8</xdr:col>
      <xdr:colOff>180975</xdr:colOff>
      <xdr:row>75</xdr:row>
      <xdr:rowOff>0</xdr:rowOff>
    </xdr:to>
    <xdr:sp macro="" textlink="">
      <xdr:nvSpPr>
        <xdr:cNvPr id="1947" name="Line 4">
          <a:extLst>
            <a:ext uri="{FF2B5EF4-FFF2-40B4-BE49-F238E27FC236}">
              <a16:creationId xmlns:a16="http://schemas.microsoft.com/office/drawing/2014/main" id="{71413FC3-08CB-42F0-99A4-4A9B79FB3A75}"/>
            </a:ext>
          </a:extLst>
        </xdr:cNvPr>
        <xdr:cNvSpPr>
          <a:spLocks noChangeShapeType="1"/>
        </xdr:cNvSpPr>
      </xdr:nvSpPr>
      <xdr:spPr bwMode="auto">
        <a:xfrm>
          <a:off x="4924425" y="1104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101</xdr:row>
      <xdr:rowOff>0</xdr:rowOff>
    </xdr:from>
    <xdr:to>
      <xdr:col>8</xdr:col>
      <xdr:colOff>180975</xdr:colOff>
      <xdr:row>101</xdr:row>
      <xdr:rowOff>0</xdr:rowOff>
    </xdr:to>
    <xdr:sp macro="" textlink="">
      <xdr:nvSpPr>
        <xdr:cNvPr id="1949" name="Line 7">
          <a:extLst>
            <a:ext uri="{FF2B5EF4-FFF2-40B4-BE49-F238E27FC236}">
              <a16:creationId xmlns:a16="http://schemas.microsoft.com/office/drawing/2014/main" id="{C81009E1-546F-44BD-BB4B-26CB39BC0D07}"/>
            </a:ext>
          </a:extLst>
        </xdr:cNvPr>
        <xdr:cNvSpPr>
          <a:spLocks noChangeShapeType="1"/>
        </xdr:cNvSpPr>
      </xdr:nvSpPr>
      <xdr:spPr bwMode="auto">
        <a:xfrm>
          <a:off x="4924425" y="15335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147</xdr:row>
      <xdr:rowOff>0</xdr:rowOff>
    </xdr:from>
    <xdr:to>
      <xdr:col>8</xdr:col>
      <xdr:colOff>180975</xdr:colOff>
      <xdr:row>147</xdr:row>
      <xdr:rowOff>0</xdr:rowOff>
    </xdr:to>
    <xdr:sp macro="" textlink="">
      <xdr:nvSpPr>
        <xdr:cNvPr id="1950" name="Line 2">
          <a:extLst>
            <a:ext uri="{FF2B5EF4-FFF2-40B4-BE49-F238E27FC236}">
              <a16:creationId xmlns:a16="http://schemas.microsoft.com/office/drawing/2014/main" id="{6CFB90F8-6F94-49C7-8B18-4759477548AB}"/>
            </a:ext>
          </a:extLst>
        </xdr:cNvPr>
        <xdr:cNvSpPr>
          <a:spLocks noChangeShapeType="1"/>
        </xdr:cNvSpPr>
      </xdr:nvSpPr>
      <xdr:spPr bwMode="auto">
        <a:xfrm>
          <a:off x="4924425" y="2517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953" name="Line 2">
          <a:extLst>
            <a:ext uri="{FF2B5EF4-FFF2-40B4-BE49-F238E27FC236}">
              <a16:creationId xmlns:a16="http://schemas.microsoft.com/office/drawing/2014/main" id="{473F67F7-6AF8-4404-81AF-21F2392348BA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954" name="Line 3">
          <a:extLst>
            <a:ext uri="{FF2B5EF4-FFF2-40B4-BE49-F238E27FC236}">
              <a16:creationId xmlns:a16="http://schemas.microsoft.com/office/drawing/2014/main" id="{AA4D0795-8D08-451C-A85F-75A242A0C858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134</xdr:row>
      <xdr:rowOff>0</xdr:rowOff>
    </xdr:from>
    <xdr:to>
      <xdr:col>8</xdr:col>
      <xdr:colOff>180975</xdr:colOff>
      <xdr:row>134</xdr:row>
      <xdr:rowOff>0</xdr:rowOff>
    </xdr:to>
    <xdr:sp macro="" textlink="">
      <xdr:nvSpPr>
        <xdr:cNvPr id="1955" name="Line 4">
          <a:extLst>
            <a:ext uri="{FF2B5EF4-FFF2-40B4-BE49-F238E27FC236}">
              <a16:creationId xmlns:a16="http://schemas.microsoft.com/office/drawing/2014/main" id="{3B5C6D61-0FA2-4A31-BF9E-5E0FE31B452A}"/>
            </a:ext>
          </a:extLst>
        </xdr:cNvPr>
        <xdr:cNvSpPr>
          <a:spLocks noChangeShapeType="1"/>
        </xdr:cNvSpPr>
      </xdr:nvSpPr>
      <xdr:spPr bwMode="auto">
        <a:xfrm>
          <a:off x="4924425" y="1972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56" name="Line 5">
          <a:extLst>
            <a:ext uri="{FF2B5EF4-FFF2-40B4-BE49-F238E27FC236}">
              <a16:creationId xmlns:a16="http://schemas.microsoft.com/office/drawing/2014/main" id="{81DE68F4-E8AD-4B75-914A-72E25D04697E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958" name="Line 2">
          <a:extLst>
            <a:ext uri="{FF2B5EF4-FFF2-40B4-BE49-F238E27FC236}">
              <a16:creationId xmlns:a16="http://schemas.microsoft.com/office/drawing/2014/main" id="{58F7CDF4-10D0-4246-9D5D-C1E820686DE6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959" name="Line 3">
          <a:extLst>
            <a:ext uri="{FF2B5EF4-FFF2-40B4-BE49-F238E27FC236}">
              <a16:creationId xmlns:a16="http://schemas.microsoft.com/office/drawing/2014/main" id="{153F97A3-5264-4F5D-A399-0F332085D92F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132</xdr:row>
      <xdr:rowOff>0</xdr:rowOff>
    </xdr:from>
    <xdr:to>
      <xdr:col>8</xdr:col>
      <xdr:colOff>180975</xdr:colOff>
      <xdr:row>132</xdr:row>
      <xdr:rowOff>0</xdr:rowOff>
    </xdr:to>
    <xdr:sp macro="" textlink="">
      <xdr:nvSpPr>
        <xdr:cNvPr id="1960" name="Line 4">
          <a:extLst>
            <a:ext uri="{FF2B5EF4-FFF2-40B4-BE49-F238E27FC236}">
              <a16:creationId xmlns:a16="http://schemas.microsoft.com/office/drawing/2014/main" id="{643D5CB4-529D-4400-A6EC-6B6BCB34212F}"/>
            </a:ext>
          </a:extLst>
        </xdr:cNvPr>
        <xdr:cNvSpPr>
          <a:spLocks noChangeShapeType="1"/>
        </xdr:cNvSpPr>
      </xdr:nvSpPr>
      <xdr:spPr bwMode="auto">
        <a:xfrm>
          <a:off x="4924425" y="194405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139</xdr:row>
      <xdr:rowOff>0</xdr:rowOff>
    </xdr:from>
    <xdr:to>
      <xdr:col>8</xdr:col>
      <xdr:colOff>180975</xdr:colOff>
      <xdr:row>139</xdr:row>
      <xdr:rowOff>0</xdr:rowOff>
    </xdr:to>
    <xdr:sp macro="" textlink="">
      <xdr:nvSpPr>
        <xdr:cNvPr id="1961" name="Line 5">
          <a:extLst>
            <a:ext uri="{FF2B5EF4-FFF2-40B4-BE49-F238E27FC236}">
              <a16:creationId xmlns:a16="http://schemas.microsoft.com/office/drawing/2014/main" id="{80935971-785B-46B5-B615-DE21297AA2E6}"/>
            </a:ext>
          </a:extLst>
        </xdr:cNvPr>
        <xdr:cNvSpPr>
          <a:spLocks noChangeShapeType="1"/>
        </xdr:cNvSpPr>
      </xdr:nvSpPr>
      <xdr:spPr bwMode="auto">
        <a:xfrm>
          <a:off x="4924425" y="20440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962" name="Line 2">
          <a:extLst>
            <a:ext uri="{FF2B5EF4-FFF2-40B4-BE49-F238E27FC236}">
              <a16:creationId xmlns:a16="http://schemas.microsoft.com/office/drawing/2014/main" id="{54BAF42E-1BAE-4959-B735-BC40EF61FA9D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63" name="Line 3">
          <a:extLst>
            <a:ext uri="{FF2B5EF4-FFF2-40B4-BE49-F238E27FC236}">
              <a16:creationId xmlns:a16="http://schemas.microsoft.com/office/drawing/2014/main" id="{9A7D5722-E354-4C96-98F7-CAC82A8F6461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64" name="Line 5">
          <a:extLst>
            <a:ext uri="{FF2B5EF4-FFF2-40B4-BE49-F238E27FC236}">
              <a16:creationId xmlns:a16="http://schemas.microsoft.com/office/drawing/2014/main" id="{D93CFBA1-BC51-4D5D-9757-526AFB7A2A7E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965" name="Line 2">
          <a:extLst>
            <a:ext uri="{FF2B5EF4-FFF2-40B4-BE49-F238E27FC236}">
              <a16:creationId xmlns:a16="http://schemas.microsoft.com/office/drawing/2014/main" id="{5C34384F-7CA5-4B35-ABC1-40C0707D0807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966" name="Line 3">
          <a:extLst>
            <a:ext uri="{FF2B5EF4-FFF2-40B4-BE49-F238E27FC236}">
              <a16:creationId xmlns:a16="http://schemas.microsoft.com/office/drawing/2014/main" id="{51BC88D6-E97E-401B-AEDA-D2A5E4E94BF9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967" name="Line 4">
          <a:extLst>
            <a:ext uri="{FF2B5EF4-FFF2-40B4-BE49-F238E27FC236}">
              <a16:creationId xmlns:a16="http://schemas.microsoft.com/office/drawing/2014/main" id="{40E5F86F-49BF-4680-B8B1-A522F166E659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968" name="Line 5">
          <a:extLst>
            <a:ext uri="{FF2B5EF4-FFF2-40B4-BE49-F238E27FC236}">
              <a16:creationId xmlns:a16="http://schemas.microsoft.com/office/drawing/2014/main" id="{3DB5F174-56D2-431B-8582-2DC649E18F40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969" name="Line 2">
          <a:extLst>
            <a:ext uri="{FF2B5EF4-FFF2-40B4-BE49-F238E27FC236}">
              <a16:creationId xmlns:a16="http://schemas.microsoft.com/office/drawing/2014/main" id="{2CE76997-7601-4F26-989F-D5AA0EF9FB15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970" name="Line 3">
          <a:extLst>
            <a:ext uri="{FF2B5EF4-FFF2-40B4-BE49-F238E27FC236}">
              <a16:creationId xmlns:a16="http://schemas.microsoft.com/office/drawing/2014/main" id="{7E684C95-81F8-4D9A-8573-B3A9844EF822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971" name="Line 4">
          <a:extLst>
            <a:ext uri="{FF2B5EF4-FFF2-40B4-BE49-F238E27FC236}">
              <a16:creationId xmlns:a16="http://schemas.microsoft.com/office/drawing/2014/main" id="{B424E530-3D31-4EAF-8644-7B3A8D146EC2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972" name="Line 5">
          <a:extLst>
            <a:ext uri="{FF2B5EF4-FFF2-40B4-BE49-F238E27FC236}">
              <a16:creationId xmlns:a16="http://schemas.microsoft.com/office/drawing/2014/main" id="{64BFA400-AEB3-4239-B060-A51575732EF2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973" name="Line 2">
          <a:extLst>
            <a:ext uri="{FF2B5EF4-FFF2-40B4-BE49-F238E27FC236}">
              <a16:creationId xmlns:a16="http://schemas.microsoft.com/office/drawing/2014/main" id="{92FCFD74-07AE-47AB-9D83-E99142F15778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974" name="Line 3">
          <a:extLst>
            <a:ext uri="{FF2B5EF4-FFF2-40B4-BE49-F238E27FC236}">
              <a16:creationId xmlns:a16="http://schemas.microsoft.com/office/drawing/2014/main" id="{1D8FFB23-D242-4DB1-A528-03067252BA04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975" name="Line 4">
          <a:extLst>
            <a:ext uri="{FF2B5EF4-FFF2-40B4-BE49-F238E27FC236}">
              <a16:creationId xmlns:a16="http://schemas.microsoft.com/office/drawing/2014/main" id="{9910EBBB-AF44-4417-8BDB-90C0A1BECB6F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976" name="Line 5">
          <a:extLst>
            <a:ext uri="{FF2B5EF4-FFF2-40B4-BE49-F238E27FC236}">
              <a16:creationId xmlns:a16="http://schemas.microsoft.com/office/drawing/2014/main" id="{518B2E3D-10D3-426B-9A74-00DC34D5FEB4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977" name="Line 7">
          <a:extLst>
            <a:ext uri="{FF2B5EF4-FFF2-40B4-BE49-F238E27FC236}">
              <a16:creationId xmlns:a16="http://schemas.microsoft.com/office/drawing/2014/main" id="{8BB00764-82B5-4C6E-8FDA-BEB98C515496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978" name="Line 8">
          <a:extLst>
            <a:ext uri="{FF2B5EF4-FFF2-40B4-BE49-F238E27FC236}">
              <a16:creationId xmlns:a16="http://schemas.microsoft.com/office/drawing/2014/main" id="{4DC7ED8A-5373-4B63-BFCA-40A0CB7A0619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979" name="Rectangle 7">
          <a:extLst>
            <a:ext uri="{FF2B5EF4-FFF2-40B4-BE49-F238E27FC236}">
              <a16:creationId xmlns:a16="http://schemas.microsoft.com/office/drawing/2014/main" id="{CEB054E7-BE23-498E-99E2-CABF11B8F914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200</xdr:row>
      <xdr:rowOff>0</xdr:rowOff>
    </xdr:from>
    <xdr:to>
      <xdr:col>8</xdr:col>
      <xdr:colOff>180975</xdr:colOff>
      <xdr:row>200</xdr:row>
      <xdr:rowOff>0</xdr:rowOff>
    </xdr:to>
    <xdr:sp macro="" textlink="">
      <xdr:nvSpPr>
        <xdr:cNvPr id="1980" name="Line 2">
          <a:extLst>
            <a:ext uri="{FF2B5EF4-FFF2-40B4-BE49-F238E27FC236}">
              <a16:creationId xmlns:a16="http://schemas.microsoft.com/office/drawing/2014/main" id="{331C2C41-DA0E-4E6D-972B-FE8BDD2EC6B2}"/>
            </a:ext>
          </a:extLst>
        </xdr:cNvPr>
        <xdr:cNvSpPr>
          <a:spLocks noChangeShapeType="1"/>
        </xdr:cNvSpPr>
      </xdr:nvSpPr>
      <xdr:spPr bwMode="auto">
        <a:xfrm>
          <a:off x="4924425" y="33689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81" name="Line 3">
          <a:extLst>
            <a:ext uri="{FF2B5EF4-FFF2-40B4-BE49-F238E27FC236}">
              <a16:creationId xmlns:a16="http://schemas.microsoft.com/office/drawing/2014/main" id="{B8CED8FC-04E2-4332-8EB3-BD0E69E5B8B2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179</xdr:row>
      <xdr:rowOff>0</xdr:rowOff>
    </xdr:from>
    <xdr:to>
      <xdr:col>8</xdr:col>
      <xdr:colOff>180975</xdr:colOff>
      <xdr:row>179</xdr:row>
      <xdr:rowOff>0</xdr:rowOff>
    </xdr:to>
    <xdr:sp macro="" textlink="">
      <xdr:nvSpPr>
        <xdr:cNvPr id="1982" name="Line 5">
          <a:extLst>
            <a:ext uri="{FF2B5EF4-FFF2-40B4-BE49-F238E27FC236}">
              <a16:creationId xmlns:a16="http://schemas.microsoft.com/office/drawing/2014/main" id="{7E86B2AC-4375-4D09-A895-7AA5EE842E2F}"/>
            </a:ext>
          </a:extLst>
        </xdr:cNvPr>
        <xdr:cNvSpPr>
          <a:spLocks noChangeShapeType="1"/>
        </xdr:cNvSpPr>
      </xdr:nvSpPr>
      <xdr:spPr bwMode="auto">
        <a:xfrm>
          <a:off x="4924425" y="30118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983" name="Line 2">
          <a:extLst>
            <a:ext uri="{FF2B5EF4-FFF2-40B4-BE49-F238E27FC236}">
              <a16:creationId xmlns:a16="http://schemas.microsoft.com/office/drawing/2014/main" id="{A077503A-803A-48D1-9A6F-2858B5FEB8A1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984" name="Line 3">
          <a:extLst>
            <a:ext uri="{FF2B5EF4-FFF2-40B4-BE49-F238E27FC236}">
              <a16:creationId xmlns:a16="http://schemas.microsoft.com/office/drawing/2014/main" id="{06F10507-0F1E-40D8-ADC8-F1F9E03678E8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168</xdr:row>
      <xdr:rowOff>0</xdr:rowOff>
    </xdr:from>
    <xdr:to>
      <xdr:col>8</xdr:col>
      <xdr:colOff>180975</xdr:colOff>
      <xdr:row>168</xdr:row>
      <xdr:rowOff>0</xdr:rowOff>
    </xdr:to>
    <xdr:sp macro="" textlink="">
      <xdr:nvSpPr>
        <xdr:cNvPr id="1985" name="Line 4">
          <a:extLst>
            <a:ext uri="{FF2B5EF4-FFF2-40B4-BE49-F238E27FC236}">
              <a16:creationId xmlns:a16="http://schemas.microsoft.com/office/drawing/2014/main" id="{B3DFA790-6861-42F6-AA89-CD67843A5ABC}"/>
            </a:ext>
          </a:extLst>
        </xdr:cNvPr>
        <xdr:cNvSpPr>
          <a:spLocks noChangeShapeType="1"/>
        </xdr:cNvSpPr>
      </xdr:nvSpPr>
      <xdr:spPr bwMode="auto">
        <a:xfrm>
          <a:off x="4924425" y="28260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986" name="Line 5">
          <a:extLst>
            <a:ext uri="{FF2B5EF4-FFF2-40B4-BE49-F238E27FC236}">
              <a16:creationId xmlns:a16="http://schemas.microsoft.com/office/drawing/2014/main" id="{6345FA6F-E5A1-4D26-B337-BA74A39447E2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987" name="Line 2">
          <a:extLst>
            <a:ext uri="{FF2B5EF4-FFF2-40B4-BE49-F238E27FC236}">
              <a16:creationId xmlns:a16="http://schemas.microsoft.com/office/drawing/2014/main" id="{96EAEA34-EAD1-45FF-AF1F-68BC9316997D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988" name="Line 3">
          <a:extLst>
            <a:ext uri="{FF2B5EF4-FFF2-40B4-BE49-F238E27FC236}">
              <a16:creationId xmlns:a16="http://schemas.microsoft.com/office/drawing/2014/main" id="{655F1CF6-FF36-4174-B7F8-BDD49134D4C7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166</xdr:row>
      <xdr:rowOff>0</xdr:rowOff>
    </xdr:from>
    <xdr:to>
      <xdr:col>8</xdr:col>
      <xdr:colOff>180975</xdr:colOff>
      <xdr:row>166</xdr:row>
      <xdr:rowOff>0</xdr:rowOff>
    </xdr:to>
    <xdr:sp macro="" textlink="">
      <xdr:nvSpPr>
        <xdr:cNvPr id="1989" name="Line 4">
          <a:extLst>
            <a:ext uri="{FF2B5EF4-FFF2-40B4-BE49-F238E27FC236}">
              <a16:creationId xmlns:a16="http://schemas.microsoft.com/office/drawing/2014/main" id="{6F425A95-B698-4CB6-8007-969CD4B7F3D3}"/>
            </a:ext>
          </a:extLst>
        </xdr:cNvPr>
        <xdr:cNvSpPr>
          <a:spLocks noChangeShapeType="1"/>
        </xdr:cNvSpPr>
      </xdr:nvSpPr>
      <xdr:spPr bwMode="auto">
        <a:xfrm>
          <a:off x="4924425" y="27974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171</xdr:row>
      <xdr:rowOff>0</xdr:rowOff>
    </xdr:from>
    <xdr:to>
      <xdr:col>8</xdr:col>
      <xdr:colOff>180975</xdr:colOff>
      <xdr:row>171</xdr:row>
      <xdr:rowOff>0</xdr:rowOff>
    </xdr:to>
    <xdr:sp macro="" textlink="">
      <xdr:nvSpPr>
        <xdr:cNvPr id="1990" name="Line 5">
          <a:extLst>
            <a:ext uri="{FF2B5EF4-FFF2-40B4-BE49-F238E27FC236}">
              <a16:creationId xmlns:a16="http://schemas.microsoft.com/office/drawing/2014/main" id="{5AA14545-CE15-4E33-975A-FA3C43711DC5}"/>
            </a:ext>
          </a:extLst>
        </xdr:cNvPr>
        <xdr:cNvSpPr>
          <a:spLocks noChangeShapeType="1"/>
        </xdr:cNvSpPr>
      </xdr:nvSpPr>
      <xdr:spPr bwMode="auto">
        <a:xfrm>
          <a:off x="4924425" y="28975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991" name="Line 2">
          <a:extLst>
            <a:ext uri="{FF2B5EF4-FFF2-40B4-BE49-F238E27FC236}">
              <a16:creationId xmlns:a16="http://schemas.microsoft.com/office/drawing/2014/main" id="{5A922749-7BB3-40A2-867D-D8634E490FFF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165</xdr:row>
      <xdr:rowOff>0</xdr:rowOff>
    </xdr:from>
    <xdr:to>
      <xdr:col>8</xdr:col>
      <xdr:colOff>180975</xdr:colOff>
      <xdr:row>165</xdr:row>
      <xdr:rowOff>0</xdr:rowOff>
    </xdr:to>
    <xdr:sp macro="" textlink="">
      <xdr:nvSpPr>
        <xdr:cNvPr id="1992" name="Line 3">
          <a:extLst>
            <a:ext uri="{FF2B5EF4-FFF2-40B4-BE49-F238E27FC236}">
              <a16:creationId xmlns:a16="http://schemas.microsoft.com/office/drawing/2014/main" id="{046CE0DE-ED0B-42DD-97A6-0D853C7A098B}"/>
            </a:ext>
          </a:extLst>
        </xdr:cNvPr>
        <xdr:cNvSpPr>
          <a:spLocks noChangeShapeType="1"/>
        </xdr:cNvSpPr>
      </xdr:nvSpPr>
      <xdr:spPr bwMode="auto">
        <a:xfrm>
          <a:off x="4924425" y="27832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167</xdr:row>
      <xdr:rowOff>0</xdr:rowOff>
    </xdr:from>
    <xdr:to>
      <xdr:col>8</xdr:col>
      <xdr:colOff>180975</xdr:colOff>
      <xdr:row>167</xdr:row>
      <xdr:rowOff>0</xdr:rowOff>
    </xdr:to>
    <xdr:sp macro="" textlink="">
      <xdr:nvSpPr>
        <xdr:cNvPr id="1993" name="Line 4">
          <a:extLst>
            <a:ext uri="{FF2B5EF4-FFF2-40B4-BE49-F238E27FC236}">
              <a16:creationId xmlns:a16="http://schemas.microsoft.com/office/drawing/2014/main" id="{B8E60847-1549-4E62-965E-05F62A3C4CE1}"/>
            </a:ext>
          </a:extLst>
        </xdr:cNvPr>
        <xdr:cNvSpPr>
          <a:spLocks noChangeShapeType="1"/>
        </xdr:cNvSpPr>
      </xdr:nvSpPr>
      <xdr:spPr bwMode="auto">
        <a:xfrm>
          <a:off x="4924425" y="28117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248</xdr:row>
      <xdr:rowOff>0</xdr:rowOff>
    </xdr:from>
    <xdr:to>
      <xdr:col>8</xdr:col>
      <xdr:colOff>180975</xdr:colOff>
      <xdr:row>248</xdr:row>
      <xdr:rowOff>0</xdr:rowOff>
    </xdr:to>
    <xdr:sp macro="" textlink="">
      <xdr:nvSpPr>
        <xdr:cNvPr id="1994" name="Line 5">
          <a:extLst>
            <a:ext uri="{FF2B5EF4-FFF2-40B4-BE49-F238E27FC236}">
              <a16:creationId xmlns:a16="http://schemas.microsoft.com/office/drawing/2014/main" id="{CC2ABC4F-478A-4564-9FA8-DBED5E56F0A7}"/>
            </a:ext>
          </a:extLst>
        </xdr:cNvPr>
        <xdr:cNvSpPr>
          <a:spLocks noChangeShapeType="1"/>
        </xdr:cNvSpPr>
      </xdr:nvSpPr>
      <xdr:spPr bwMode="auto">
        <a:xfrm>
          <a:off x="4924425" y="403669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235</xdr:row>
      <xdr:rowOff>0</xdr:rowOff>
    </xdr:from>
    <xdr:to>
      <xdr:col>8</xdr:col>
      <xdr:colOff>180975</xdr:colOff>
      <xdr:row>235</xdr:row>
      <xdr:rowOff>0</xdr:rowOff>
    </xdr:to>
    <xdr:sp macro="" textlink="">
      <xdr:nvSpPr>
        <xdr:cNvPr id="1995" name="Line 7">
          <a:extLst>
            <a:ext uri="{FF2B5EF4-FFF2-40B4-BE49-F238E27FC236}">
              <a16:creationId xmlns:a16="http://schemas.microsoft.com/office/drawing/2014/main" id="{FD2349E4-C086-4B10-88D1-3CA2DA04D0E0}"/>
            </a:ext>
          </a:extLst>
        </xdr:cNvPr>
        <xdr:cNvSpPr>
          <a:spLocks noChangeShapeType="1"/>
        </xdr:cNvSpPr>
      </xdr:nvSpPr>
      <xdr:spPr bwMode="auto">
        <a:xfrm>
          <a:off x="4924425" y="387762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238</xdr:row>
      <xdr:rowOff>0</xdr:rowOff>
    </xdr:from>
    <xdr:to>
      <xdr:col>8</xdr:col>
      <xdr:colOff>180975</xdr:colOff>
      <xdr:row>238</xdr:row>
      <xdr:rowOff>0</xdr:rowOff>
    </xdr:to>
    <xdr:sp macro="" textlink="">
      <xdr:nvSpPr>
        <xdr:cNvPr id="1996" name="Line 8">
          <a:extLst>
            <a:ext uri="{FF2B5EF4-FFF2-40B4-BE49-F238E27FC236}">
              <a16:creationId xmlns:a16="http://schemas.microsoft.com/office/drawing/2014/main" id="{A6A0A9B3-62A5-467B-88D6-162384B4EA3E}"/>
            </a:ext>
          </a:extLst>
        </xdr:cNvPr>
        <xdr:cNvSpPr>
          <a:spLocks noChangeShapeType="1"/>
        </xdr:cNvSpPr>
      </xdr:nvSpPr>
      <xdr:spPr bwMode="auto">
        <a:xfrm>
          <a:off x="4924425" y="392049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0</xdr:colOff>
      <xdr:row>165</xdr:row>
      <xdr:rowOff>38100</xdr:rowOff>
    </xdr:from>
    <xdr:ext cx="180975" cy="933450"/>
    <xdr:sp macro="" textlink="">
      <xdr:nvSpPr>
        <xdr:cNvPr id="1997" name="Rectangle 7">
          <a:extLst>
            <a:ext uri="{FF2B5EF4-FFF2-40B4-BE49-F238E27FC236}">
              <a16:creationId xmlns:a16="http://schemas.microsoft.com/office/drawing/2014/main" id="{02FD8360-96E2-4E39-85AE-7626B9394FDE}"/>
            </a:ext>
          </a:extLst>
        </xdr:cNvPr>
        <xdr:cNvSpPr>
          <a:spLocks noChangeArrowheads="1"/>
        </xdr:cNvSpPr>
      </xdr:nvSpPr>
      <xdr:spPr bwMode="auto">
        <a:xfrm>
          <a:off x="4924425" y="27870150"/>
          <a:ext cx="180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1999" name="Line 3">
          <a:extLst>
            <a:ext uri="{FF2B5EF4-FFF2-40B4-BE49-F238E27FC236}">
              <a16:creationId xmlns:a16="http://schemas.microsoft.com/office/drawing/2014/main" id="{915354E0-9B68-4262-94B5-89723BA57A4D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285</xdr:row>
      <xdr:rowOff>0</xdr:rowOff>
    </xdr:from>
    <xdr:to>
      <xdr:col>8</xdr:col>
      <xdr:colOff>180975</xdr:colOff>
      <xdr:row>285</xdr:row>
      <xdr:rowOff>0</xdr:rowOff>
    </xdr:to>
    <xdr:sp macro="" textlink="">
      <xdr:nvSpPr>
        <xdr:cNvPr id="2000" name="Line 5">
          <a:extLst>
            <a:ext uri="{FF2B5EF4-FFF2-40B4-BE49-F238E27FC236}">
              <a16:creationId xmlns:a16="http://schemas.microsoft.com/office/drawing/2014/main" id="{F1B6FC87-1905-4CDF-816A-2FB404952457}"/>
            </a:ext>
          </a:extLst>
        </xdr:cNvPr>
        <xdr:cNvSpPr>
          <a:spLocks noChangeShapeType="1"/>
        </xdr:cNvSpPr>
      </xdr:nvSpPr>
      <xdr:spPr bwMode="auto">
        <a:xfrm>
          <a:off x="4924425" y="47596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2001" name="Line 2">
          <a:extLst>
            <a:ext uri="{FF2B5EF4-FFF2-40B4-BE49-F238E27FC236}">
              <a16:creationId xmlns:a16="http://schemas.microsoft.com/office/drawing/2014/main" id="{91FA771C-8D45-4A61-A7A1-64DD47FA0A53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2002" name="Line 3">
          <a:extLst>
            <a:ext uri="{FF2B5EF4-FFF2-40B4-BE49-F238E27FC236}">
              <a16:creationId xmlns:a16="http://schemas.microsoft.com/office/drawing/2014/main" id="{60831979-3630-479C-9D94-48642181D037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2003" name="Line 4">
          <a:extLst>
            <a:ext uri="{FF2B5EF4-FFF2-40B4-BE49-F238E27FC236}">
              <a16:creationId xmlns:a16="http://schemas.microsoft.com/office/drawing/2014/main" id="{57A4B4B7-AE7D-49A7-A4D7-EC50A7E9044C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2004" name="Line 5">
          <a:extLst>
            <a:ext uri="{FF2B5EF4-FFF2-40B4-BE49-F238E27FC236}">
              <a16:creationId xmlns:a16="http://schemas.microsoft.com/office/drawing/2014/main" id="{EED00B1A-506A-4DF5-B3F9-BAF58295C987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2006" name="Line 2">
          <a:extLst>
            <a:ext uri="{FF2B5EF4-FFF2-40B4-BE49-F238E27FC236}">
              <a16:creationId xmlns:a16="http://schemas.microsoft.com/office/drawing/2014/main" id="{D388A522-9AD9-418C-A0B4-3B0069DC36C0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2007" name="Line 3">
          <a:extLst>
            <a:ext uri="{FF2B5EF4-FFF2-40B4-BE49-F238E27FC236}">
              <a16:creationId xmlns:a16="http://schemas.microsoft.com/office/drawing/2014/main" id="{F441BE37-76BE-4818-93B5-9002D7FD779A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2008" name="Line 4">
          <a:extLst>
            <a:ext uri="{FF2B5EF4-FFF2-40B4-BE49-F238E27FC236}">
              <a16:creationId xmlns:a16="http://schemas.microsoft.com/office/drawing/2014/main" id="{450AA4A5-7751-4308-BB56-1F9B1C2DE5AE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277</xdr:row>
      <xdr:rowOff>0</xdr:rowOff>
    </xdr:from>
    <xdr:to>
      <xdr:col>8</xdr:col>
      <xdr:colOff>180975</xdr:colOff>
      <xdr:row>277</xdr:row>
      <xdr:rowOff>0</xdr:rowOff>
    </xdr:to>
    <xdr:sp macro="" textlink="">
      <xdr:nvSpPr>
        <xdr:cNvPr id="2009" name="Line 5">
          <a:extLst>
            <a:ext uri="{FF2B5EF4-FFF2-40B4-BE49-F238E27FC236}">
              <a16:creationId xmlns:a16="http://schemas.microsoft.com/office/drawing/2014/main" id="{65EBA5BB-6A0E-4B03-B174-AC12301ED695}"/>
            </a:ext>
          </a:extLst>
        </xdr:cNvPr>
        <xdr:cNvSpPr>
          <a:spLocks noChangeShapeType="1"/>
        </xdr:cNvSpPr>
      </xdr:nvSpPr>
      <xdr:spPr bwMode="auto">
        <a:xfrm>
          <a:off x="4924425" y="46453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2010" name="Line 2">
          <a:extLst>
            <a:ext uri="{FF2B5EF4-FFF2-40B4-BE49-F238E27FC236}">
              <a16:creationId xmlns:a16="http://schemas.microsoft.com/office/drawing/2014/main" id="{BEBECE46-12EA-472E-83D5-3077751E56FE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270</xdr:row>
      <xdr:rowOff>0</xdr:rowOff>
    </xdr:from>
    <xdr:to>
      <xdr:col>8</xdr:col>
      <xdr:colOff>180975</xdr:colOff>
      <xdr:row>270</xdr:row>
      <xdr:rowOff>0</xdr:rowOff>
    </xdr:to>
    <xdr:sp macro="" textlink="">
      <xdr:nvSpPr>
        <xdr:cNvPr id="2011" name="Line 3">
          <a:extLst>
            <a:ext uri="{FF2B5EF4-FFF2-40B4-BE49-F238E27FC236}">
              <a16:creationId xmlns:a16="http://schemas.microsoft.com/office/drawing/2014/main" id="{CBA63C75-85AA-4527-81B8-9DACF8D273BC}"/>
            </a:ext>
          </a:extLst>
        </xdr:cNvPr>
        <xdr:cNvSpPr>
          <a:spLocks noChangeShapeType="1"/>
        </xdr:cNvSpPr>
      </xdr:nvSpPr>
      <xdr:spPr bwMode="auto">
        <a:xfrm>
          <a:off x="4924425" y="45453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272</xdr:row>
      <xdr:rowOff>0</xdr:rowOff>
    </xdr:from>
    <xdr:to>
      <xdr:col>8</xdr:col>
      <xdr:colOff>180975</xdr:colOff>
      <xdr:row>272</xdr:row>
      <xdr:rowOff>0</xdr:rowOff>
    </xdr:to>
    <xdr:sp macro="" textlink="">
      <xdr:nvSpPr>
        <xdr:cNvPr id="2012" name="Line 4">
          <a:extLst>
            <a:ext uri="{FF2B5EF4-FFF2-40B4-BE49-F238E27FC236}">
              <a16:creationId xmlns:a16="http://schemas.microsoft.com/office/drawing/2014/main" id="{023A18F7-F687-4611-8339-CFF59D309CA8}"/>
            </a:ext>
          </a:extLst>
        </xdr:cNvPr>
        <xdr:cNvSpPr>
          <a:spLocks noChangeShapeType="1"/>
        </xdr:cNvSpPr>
      </xdr:nvSpPr>
      <xdr:spPr bwMode="auto">
        <a:xfrm>
          <a:off x="4924425" y="45739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338</xdr:row>
      <xdr:rowOff>0</xdr:rowOff>
    </xdr:from>
    <xdr:to>
      <xdr:col>8</xdr:col>
      <xdr:colOff>180975</xdr:colOff>
      <xdr:row>338</xdr:row>
      <xdr:rowOff>0</xdr:rowOff>
    </xdr:to>
    <xdr:sp macro="" textlink="">
      <xdr:nvSpPr>
        <xdr:cNvPr id="2014" name="Line 7">
          <a:extLst>
            <a:ext uri="{FF2B5EF4-FFF2-40B4-BE49-F238E27FC236}">
              <a16:creationId xmlns:a16="http://schemas.microsoft.com/office/drawing/2014/main" id="{C20C131F-E120-460A-B167-9BF4C8772D6B}"/>
            </a:ext>
          </a:extLst>
        </xdr:cNvPr>
        <xdr:cNvSpPr>
          <a:spLocks noChangeShapeType="1"/>
        </xdr:cNvSpPr>
      </xdr:nvSpPr>
      <xdr:spPr bwMode="auto">
        <a:xfrm>
          <a:off x="4924425" y="565404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2015" name="Line 3">
          <a:extLst>
            <a:ext uri="{FF2B5EF4-FFF2-40B4-BE49-F238E27FC236}">
              <a16:creationId xmlns:a16="http://schemas.microsoft.com/office/drawing/2014/main" id="{2A721A6F-E9EE-4086-970B-2C7036D18231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387</xdr:row>
      <xdr:rowOff>0</xdr:rowOff>
    </xdr:from>
    <xdr:to>
      <xdr:col>8</xdr:col>
      <xdr:colOff>180975</xdr:colOff>
      <xdr:row>387</xdr:row>
      <xdr:rowOff>0</xdr:rowOff>
    </xdr:to>
    <xdr:sp macro="" textlink="">
      <xdr:nvSpPr>
        <xdr:cNvPr id="2016" name="Line 5">
          <a:extLst>
            <a:ext uri="{FF2B5EF4-FFF2-40B4-BE49-F238E27FC236}">
              <a16:creationId xmlns:a16="http://schemas.microsoft.com/office/drawing/2014/main" id="{B6CBAB4E-8C67-41DC-AC16-BB061F14EE03}"/>
            </a:ext>
          </a:extLst>
        </xdr:cNvPr>
        <xdr:cNvSpPr>
          <a:spLocks noChangeShapeType="1"/>
        </xdr:cNvSpPr>
      </xdr:nvSpPr>
      <xdr:spPr bwMode="auto">
        <a:xfrm>
          <a:off x="4924425" y="65217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2017" name="Line 2">
          <a:extLst>
            <a:ext uri="{FF2B5EF4-FFF2-40B4-BE49-F238E27FC236}">
              <a16:creationId xmlns:a16="http://schemas.microsoft.com/office/drawing/2014/main" id="{C3A49461-7CF5-471B-AD1C-8C851E87BF4F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2018" name="Line 3">
          <a:extLst>
            <a:ext uri="{FF2B5EF4-FFF2-40B4-BE49-F238E27FC236}">
              <a16:creationId xmlns:a16="http://schemas.microsoft.com/office/drawing/2014/main" id="{94656DD5-98E4-4431-86FB-871B9976B686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2019" name="Line 4">
          <a:extLst>
            <a:ext uri="{FF2B5EF4-FFF2-40B4-BE49-F238E27FC236}">
              <a16:creationId xmlns:a16="http://schemas.microsoft.com/office/drawing/2014/main" id="{B56A738B-C78D-4C17-AB89-22FC84BE4193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2020" name="Line 5">
          <a:extLst>
            <a:ext uri="{FF2B5EF4-FFF2-40B4-BE49-F238E27FC236}">
              <a16:creationId xmlns:a16="http://schemas.microsoft.com/office/drawing/2014/main" id="{809E39B5-F57F-4915-A7FE-4D29C17FE22D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2021" name="Line 2">
          <a:extLst>
            <a:ext uri="{FF2B5EF4-FFF2-40B4-BE49-F238E27FC236}">
              <a16:creationId xmlns:a16="http://schemas.microsoft.com/office/drawing/2014/main" id="{C6E9D8DC-8F8F-486C-9DBA-C729C6015444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2022" name="Line 3">
          <a:extLst>
            <a:ext uri="{FF2B5EF4-FFF2-40B4-BE49-F238E27FC236}">
              <a16:creationId xmlns:a16="http://schemas.microsoft.com/office/drawing/2014/main" id="{F3A53376-0E99-4502-8DBC-76BE983C7532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2023" name="Line 4">
          <a:extLst>
            <a:ext uri="{FF2B5EF4-FFF2-40B4-BE49-F238E27FC236}">
              <a16:creationId xmlns:a16="http://schemas.microsoft.com/office/drawing/2014/main" id="{24D73948-7EA2-4BCE-8C7E-22A9494F80E2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377</xdr:row>
      <xdr:rowOff>0</xdr:rowOff>
    </xdr:from>
    <xdr:to>
      <xdr:col>8</xdr:col>
      <xdr:colOff>180975</xdr:colOff>
      <xdr:row>377</xdr:row>
      <xdr:rowOff>0</xdr:rowOff>
    </xdr:to>
    <xdr:sp macro="" textlink="">
      <xdr:nvSpPr>
        <xdr:cNvPr id="2024" name="Line 5">
          <a:extLst>
            <a:ext uri="{FF2B5EF4-FFF2-40B4-BE49-F238E27FC236}">
              <a16:creationId xmlns:a16="http://schemas.microsoft.com/office/drawing/2014/main" id="{47E21A98-F3B7-4ED0-B17D-72F89C51DA1F}"/>
            </a:ext>
          </a:extLst>
        </xdr:cNvPr>
        <xdr:cNvSpPr>
          <a:spLocks noChangeShapeType="1"/>
        </xdr:cNvSpPr>
      </xdr:nvSpPr>
      <xdr:spPr bwMode="auto">
        <a:xfrm>
          <a:off x="4924425" y="63788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2025" name="Line 2">
          <a:extLst>
            <a:ext uri="{FF2B5EF4-FFF2-40B4-BE49-F238E27FC236}">
              <a16:creationId xmlns:a16="http://schemas.microsoft.com/office/drawing/2014/main" id="{24351247-7C6C-4623-846D-E7FC5AEBECF8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370</xdr:row>
      <xdr:rowOff>0</xdr:rowOff>
    </xdr:from>
    <xdr:to>
      <xdr:col>8</xdr:col>
      <xdr:colOff>180975</xdr:colOff>
      <xdr:row>370</xdr:row>
      <xdr:rowOff>0</xdr:rowOff>
    </xdr:to>
    <xdr:sp macro="" textlink="">
      <xdr:nvSpPr>
        <xdr:cNvPr id="2026" name="Line 3">
          <a:extLst>
            <a:ext uri="{FF2B5EF4-FFF2-40B4-BE49-F238E27FC236}">
              <a16:creationId xmlns:a16="http://schemas.microsoft.com/office/drawing/2014/main" id="{87C83ECE-62DC-4223-98B5-14CFC32E2CB1}"/>
            </a:ext>
          </a:extLst>
        </xdr:cNvPr>
        <xdr:cNvSpPr>
          <a:spLocks noChangeShapeType="1"/>
        </xdr:cNvSpPr>
      </xdr:nvSpPr>
      <xdr:spPr bwMode="auto">
        <a:xfrm>
          <a:off x="4924425" y="627888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372</xdr:row>
      <xdr:rowOff>0</xdr:rowOff>
    </xdr:from>
    <xdr:to>
      <xdr:col>8</xdr:col>
      <xdr:colOff>180975</xdr:colOff>
      <xdr:row>372</xdr:row>
      <xdr:rowOff>0</xdr:rowOff>
    </xdr:to>
    <xdr:sp macro="" textlink="">
      <xdr:nvSpPr>
        <xdr:cNvPr id="2027" name="Line 4">
          <a:extLst>
            <a:ext uri="{FF2B5EF4-FFF2-40B4-BE49-F238E27FC236}">
              <a16:creationId xmlns:a16="http://schemas.microsoft.com/office/drawing/2014/main" id="{62F89688-36ED-4FAB-8F3C-C7B6017E5E1A}"/>
            </a:ext>
          </a:extLst>
        </xdr:cNvPr>
        <xdr:cNvSpPr>
          <a:spLocks noChangeShapeType="1"/>
        </xdr:cNvSpPr>
      </xdr:nvSpPr>
      <xdr:spPr bwMode="auto">
        <a:xfrm>
          <a:off x="4924425" y="63074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437</xdr:row>
      <xdr:rowOff>0</xdr:rowOff>
    </xdr:from>
    <xdr:to>
      <xdr:col>8</xdr:col>
      <xdr:colOff>180975</xdr:colOff>
      <xdr:row>437</xdr:row>
      <xdr:rowOff>0</xdr:rowOff>
    </xdr:to>
    <xdr:sp macro="" textlink="">
      <xdr:nvSpPr>
        <xdr:cNvPr id="2028" name="Line 5">
          <a:extLst>
            <a:ext uri="{FF2B5EF4-FFF2-40B4-BE49-F238E27FC236}">
              <a16:creationId xmlns:a16="http://schemas.microsoft.com/office/drawing/2014/main" id="{5C058C29-4D34-4D91-AC78-08A51A90BDF6}"/>
            </a:ext>
          </a:extLst>
        </xdr:cNvPr>
        <xdr:cNvSpPr>
          <a:spLocks noChangeShapeType="1"/>
        </xdr:cNvSpPr>
      </xdr:nvSpPr>
      <xdr:spPr bwMode="auto">
        <a:xfrm>
          <a:off x="4924425" y="735901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438</xdr:row>
      <xdr:rowOff>0</xdr:rowOff>
    </xdr:from>
    <xdr:to>
      <xdr:col>8</xdr:col>
      <xdr:colOff>180975</xdr:colOff>
      <xdr:row>438</xdr:row>
      <xdr:rowOff>0</xdr:rowOff>
    </xdr:to>
    <xdr:sp macro="" textlink="">
      <xdr:nvSpPr>
        <xdr:cNvPr id="2029" name="Line 7">
          <a:extLst>
            <a:ext uri="{FF2B5EF4-FFF2-40B4-BE49-F238E27FC236}">
              <a16:creationId xmlns:a16="http://schemas.microsoft.com/office/drawing/2014/main" id="{AAEAB907-7078-4370-852F-F3CAF85DD21F}"/>
            </a:ext>
          </a:extLst>
        </xdr:cNvPr>
        <xdr:cNvSpPr>
          <a:spLocks noChangeShapeType="1"/>
        </xdr:cNvSpPr>
      </xdr:nvSpPr>
      <xdr:spPr bwMode="auto">
        <a:xfrm>
          <a:off x="4924425" y="737330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2030" name="Line 2">
          <a:extLst>
            <a:ext uri="{FF2B5EF4-FFF2-40B4-BE49-F238E27FC236}">
              <a16:creationId xmlns:a16="http://schemas.microsoft.com/office/drawing/2014/main" id="{60335BB0-5972-4FE5-A798-0BB4CD4BC05F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371</xdr:row>
      <xdr:rowOff>0</xdr:rowOff>
    </xdr:from>
    <xdr:to>
      <xdr:col>8</xdr:col>
      <xdr:colOff>180975</xdr:colOff>
      <xdr:row>371</xdr:row>
      <xdr:rowOff>0</xdr:rowOff>
    </xdr:to>
    <xdr:sp macro="" textlink="">
      <xdr:nvSpPr>
        <xdr:cNvPr id="2031" name="Line 3">
          <a:extLst>
            <a:ext uri="{FF2B5EF4-FFF2-40B4-BE49-F238E27FC236}">
              <a16:creationId xmlns:a16="http://schemas.microsoft.com/office/drawing/2014/main" id="{7FEA5722-5B72-4713-BF77-FEFDBAEC8599}"/>
            </a:ext>
          </a:extLst>
        </xdr:cNvPr>
        <xdr:cNvSpPr>
          <a:spLocks noChangeShapeType="1"/>
        </xdr:cNvSpPr>
      </xdr:nvSpPr>
      <xdr:spPr bwMode="auto">
        <a:xfrm>
          <a:off x="4924425" y="62931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373</xdr:row>
      <xdr:rowOff>0</xdr:rowOff>
    </xdr:from>
    <xdr:to>
      <xdr:col>8</xdr:col>
      <xdr:colOff>180975</xdr:colOff>
      <xdr:row>373</xdr:row>
      <xdr:rowOff>0</xdr:rowOff>
    </xdr:to>
    <xdr:sp macro="" textlink="">
      <xdr:nvSpPr>
        <xdr:cNvPr id="2032" name="Line 4">
          <a:extLst>
            <a:ext uri="{FF2B5EF4-FFF2-40B4-BE49-F238E27FC236}">
              <a16:creationId xmlns:a16="http://schemas.microsoft.com/office/drawing/2014/main" id="{C2A1A533-7C88-41ED-AC16-7F51C4F955F7}"/>
            </a:ext>
          </a:extLst>
        </xdr:cNvPr>
        <xdr:cNvSpPr>
          <a:spLocks noChangeShapeType="1"/>
        </xdr:cNvSpPr>
      </xdr:nvSpPr>
      <xdr:spPr bwMode="auto">
        <a:xfrm>
          <a:off x="4924425" y="63217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2035" name="Line 2">
          <a:extLst>
            <a:ext uri="{FF2B5EF4-FFF2-40B4-BE49-F238E27FC236}">
              <a16:creationId xmlns:a16="http://schemas.microsoft.com/office/drawing/2014/main" id="{B45CCABB-B015-49A3-AB4E-B441D7633012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2036" name="Line 3">
          <a:extLst>
            <a:ext uri="{FF2B5EF4-FFF2-40B4-BE49-F238E27FC236}">
              <a16:creationId xmlns:a16="http://schemas.microsoft.com/office/drawing/2014/main" id="{36A50547-4B38-4EF6-84F9-6EB01C3E5D9A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2037" name="Line 4">
          <a:extLst>
            <a:ext uri="{FF2B5EF4-FFF2-40B4-BE49-F238E27FC236}">
              <a16:creationId xmlns:a16="http://schemas.microsoft.com/office/drawing/2014/main" id="{A7E52212-BB7D-4D7B-874F-0D792A29DDC8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2038" name="Line 5">
          <a:extLst>
            <a:ext uri="{FF2B5EF4-FFF2-40B4-BE49-F238E27FC236}">
              <a16:creationId xmlns:a16="http://schemas.microsoft.com/office/drawing/2014/main" id="{1A4B94A4-BF4B-421B-AC5A-2094DDD44B94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2040" name="Line 2">
          <a:extLst>
            <a:ext uri="{FF2B5EF4-FFF2-40B4-BE49-F238E27FC236}">
              <a16:creationId xmlns:a16="http://schemas.microsoft.com/office/drawing/2014/main" id="{739EC99C-6000-4673-976E-00B0394EAB5F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2041" name="Line 3">
          <a:extLst>
            <a:ext uri="{FF2B5EF4-FFF2-40B4-BE49-F238E27FC236}">
              <a16:creationId xmlns:a16="http://schemas.microsoft.com/office/drawing/2014/main" id="{DA9DED4E-60FB-472A-A57A-89F421D9522F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2042" name="Line 4">
          <a:extLst>
            <a:ext uri="{FF2B5EF4-FFF2-40B4-BE49-F238E27FC236}">
              <a16:creationId xmlns:a16="http://schemas.microsoft.com/office/drawing/2014/main" id="{52A2CB9E-EA33-4256-A924-70658C2B25F6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476</xdr:row>
      <xdr:rowOff>0</xdr:rowOff>
    </xdr:from>
    <xdr:to>
      <xdr:col>8</xdr:col>
      <xdr:colOff>180975</xdr:colOff>
      <xdr:row>476</xdr:row>
      <xdr:rowOff>0</xdr:rowOff>
    </xdr:to>
    <xdr:sp macro="" textlink="">
      <xdr:nvSpPr>
        <xdr:cNvPr id="2043" name="Line 5">
          <a:extLst>
            <a:ext uri="{FF2B5EF4-FFF2-40B4-BE49-F238E27FC236}">
              <a16:creationId xmlns:a16="http://schemas.microsoft.com/office/drawing/2014/main" id="{0768B601-98B5-4012-BC0D-D64F15C5659B}"/>
            </a:ext>
          </a:extLst>
        </xdr:cNvPr>
        <xdr:cNvSpPr>
          <a:spLocks noChangeShapeType="1"/>
        </xdr:cNvSpPr>
      </xdr:nvSpPr>
      <xdr:spPr bwMode="auto">
        <a:xfrm>
          <a:off x="4924425" y="811244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2044" name="Line 2">
          <a:extLst>
            <a:ext uri="{FF2B5EF4-FFF2-40B4-BE49-F238E27FC236}">
              <a16:creationId xmlns:a16="http://schemas.microsoft.com/office/drawing/2014/main" id="{A8EEC44D-9AD8-454B-A6EB-AC06B8FDD390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469</xdr:row>
      <xdr:rowOff>0</xdr:rowOff>
    </xdr:from>
    <xdr:to>
      <xdr:col>8</xdr:col>
      <xdr:colOff>180975</xdr:colOff>
      <xdr:row>469</xdr:row>
      <xdr:rowOff>0</xdr:rowOff>
    </xdr:to>
    <xdr:sp macro="" textlink="">
      <xdr:nvSpPr>
        <xdr:cNvPr id="2045" name="Line 3">
          <a:extLst>
            <a:ext uri="{FF2B5EF4-FFF2-40B4-BE49-F238E27FC236}">
              <a16:creationId xmlns:a16="http://schemas.microsoft.com/office/drawing/2014/main" id="{894B0A25-73D4-4B61-89C5-EE7434303B69}"/>
            </a:ext>
          </a:extLst>
        </xdr:cNvPr>
        <xdr:cNvSpPr>
          <a:spLocks noChangeShapeType="1"/>
        </xdr:cNvSpPr>
      </xdr:nvSpPr>
      <xdr:spPr bwMode="auto">
        <a:xfrm>
          <a:off x="4924425" y="801243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471</xdr:row>
      <xdr:rowOff>0</xdr:rowOff>
    </xdr:from>
    <xdr:to>
      <xdr:col>8</xdr:col>
      <xdr:colOff>180975</xdr:colOff>
      <xdr:row>471</xdr:row>
      <xdr:rowOff>0</xdr:rowOff>
    </xdr:to>
    <xdr:sp macro="" textlink="">
      <xdr:nvSpPr>
        <xdr:cNvPr id="2046" name="Line 4">
          <a:extLst>
            <a:ext uri="{FF2B5EF4-FFF2-40B4-BE49-F238E27FC236}">
              <a16:creationId xmlns:a16="http://schemas.microsoft.com/office/drawing/2014/main" id="{BF7DF4AF-84CA-4ECF-9B1D-6826148AB223}"/>
            </a:ext>
          </a:extLst>
        </xdr:cNvPr>
        <xdr:cNvSpPr>
          <a:spLocks noChangeShapeType="1"/>
        </xdr:cNvSpPr>
      </xdr:nvSpPr>
      <xdr:spPr bwMode="auto">
        <a:xfrm>
          <a:off x="4924425" y="804100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2047" name="Line 2">
          <a:extLst>
            <a:ext uri="{FF2B5EF4-FFF2-40B4-BE49-F238E27FC236}">
              <a16:creationId xmlns:a16="http://schemas.microsoft.com/office/drawing/2014/main" id="{7C969B1A-0B91-4B1F-AE18-7C7E2B570C8F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2048" name="Line 3">
          <a:extLst>
            <a:ext uri="{FF2B5EF4-FFF2-40B4-BE49-F238E27FC236}">
              <a16:creationId xmlns:a16="http://schemas.microsoft.com/office/drawing/2014/main" id="{BB83DAF7-36EE-4FF1-8530-270318D04A56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472</xdr:row>
      <xdr:rowOff>0</xdr:rowOff>
    </xdr:from>
    <xdr:to>
      <xdr:col>8</xdr:col>
      <xdr:colOff>180975</xdr:colOff>
      <xdr:row>472</xdr:row>
      <xdr:rowOff>0</xdr:rowOff>
    </xdr:to>
    <xdr:sp macro="" textlink="">
      <xdr:nvSpPr>
        <xdr:cNvPr id="2049" name="Line 4">
          <a:extLst>
            <a:ext uri="{FF2B5EF4-FFF2-40B4-BE49-F238E27FC236}">
              <a16:creationId xmlns:a16="http://schemas.microsoft.com/office/drawing/2014/main" id="{30F90DF7-2637-452E-88D7-C5C6CE480174}"/>
            </a:ext>
          </a:extLst>
        </xdr:cNvPr>
        <xdr:cNvSpPr>
          <a:spLocks noChangeShapeType="1"/>
        </xdr:cNvSpPr>
      </xdr:nvSpPr>
      <xdr:spPr bwMode="auto">
        <a:xfrm>
          <a:off x="4924425" y="805529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2050" name="Line 2">
          <a:extLst>
            <a:ext uri="{FF2B5EF4-FFF2-40B4-BE49-F238E27FC236}">
              <a16:creationId xmlns:a16="http://schemas.microsoft.com/office/drawing/2014/main" id="{03D451B6-253B-451F-9CE8-A229CFEE4051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470</xdr:row>
      <xdr:rowOff>0</xdr:rowOff>
    </xdr:from>
    <xdr:to>
      <xdr:col>8</xdr:col>
      <xdr:colOff>180975</xdr:colOff>
      <xdr:row>470</xdr:row>
      <xdr:rowOff>0</xdr:rowOff>
    </xdr:to>
    <xdr:sp macro="" textlink="">
      <xdr:nvSpPr>
        <xdr:cNvPr id="2051" name="Line 3">
          <a:extLst>
            <a:ext uri="{FF2B5EF4-FFF2-40B4-BE49-F238E27FC236}">
              <a16:creationId xmlns:a16="http://schemas.microsoft.com/office/drawing/2014/main" id="{F408EDBA-7326-41CF-BA93-9755ACBAC821}"/>
            </a:ext>
          </a:extLst>
        </xdr:cNvPr>
        <xdr:cNvSpPr>
          <a:spLocks noChangeShapeType="1"/>
        </xdr:cNvSpPr>
      </xdr:nvSpPr>
      <xdr:spPr bwMode="auto">
        <a:xfrm>
          <a:off x="4924425" y="802671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475</xdr:row>
      <xdr:rowOff>0</xdr:rowOff>
    </xdr:from>
    <xdr:to>
      <xdr:col>8</xdr:col>
      <xdr:colOff>180975</xdr:colOff>
      <xdr:row>475</xdr:row>
      <xdr:rowOff>0</xdr:rowOff>
    </xdr:to>
    <xdr:sp macro="" textlink="">
      <xdr:nvSpPr>
        <xdr:cNvPr id="2052" name="Line 4">
          <a:extLst>
            <a:ext uri="{FF2B5EF4-FFF2-40B4-BE49-F238E27FC236}">
              <a16:creationId xmlns:a16="http://schemas.microsoft.com/office/drawing/2014/main" id="{834F821D-D580-47CE-8A1E-4F9643F22DC3}"/>
            </a:ext>
          </a:extLst>
        </xdr:cNvPr>
        <xdr:cNvSpPr>
          <a:spLocks noChangeShapeType="1"/>
        </xdr:cNvSpPr>
      </xdr:nvSpPr>
      <xdr:spPr bwMode="auto">
        <a:xfrm>
          <a:off x="4924425" y="809815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2053" name="Line 3">
          <a:extLst>
            <a:ext uri="{FF2B5EF4-FFF2-40B4-BE49-F238E27FC236}">
              <a16:creationId xmlns:a16="http://schemas.microsoft.com/office/drawing/2014/main" id="{DAE49119-DAC0-44BB-91A8-9454CB895CA8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522</xdr:row>
      <xdr:rowOff>0</xdr:rowOff>
    </xdr:from>
    <xdr:to>
      <xdr:col>8</xdr:col>
      <xdr:colOff>180975</xdr:colOff>
      <xdr:row>522</xdr:row>
      <xdr:rowOff>0</xdr:rowOff>
    </xdr:to>
    <xdr:sp macro="" textlink="">
      <xdr:nvSpPr>
        <xdr:cNvPr id="2054" name="Line 5">
          <a:extLst>
            <a:ext uri="{FF2B5EF4-FFF2-40B4-BE49-F238E27FC236}">
              <a16:creationId xmlns:a16="http://schemas.microsoft.com/office/drawing/2014/main" id="{49F7A4A0-4980-4928-A4BF-6C1BDF801AEE}"/>
            </a:ext>
          </a:extLst>
        </xdr:cNvPr>
        <xdr:cNvSpPr>
          <a:spLocks noChangeShapeType="1"/>
        </xdr:cNvSpPr>
      </xdr:nvSpPr>
      <xdr:spPr bwMode="auto">
        <a:xfrm>
          <a:off x="4924425" y="91373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2055" name="Line 2">
          <a:extLst>
            <a:ext uri="{FF2B5EF4-FFF2-40B4-BE49-F238E27FC236}">
              <a16:creationId xmlns:a16="http://schemas.microsoft.com/office/drawing/2014/main" id="{48802CD9-C04A-47BE-958F-65CD60AC0416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2056" name="Line 3">
          <a:extLst>
            <a:ext uri="{FF2B5EF4-FFF2-40B4-BE49-F238E27FC236}">
              <a16:creationId xmlns:a16="http://schemas.microsoft.com/office/drawing/2014/main" id="{8E2B771E-1004-4F0A-B0B4-0D9EEBB97F1E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2057" name="Line 4">
          <a:extLst>
            <a:ext uri="{FF2B5EF4-FFF2-40B4-BE49-F238E27FC236}">
              <a16:creationId xmlns:a16="http://schemas.microsoft.com/office/drawing/2014/main" id="{BD4A97DC-91A0-4460-B383-2B48E47F4038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2058" name="Line 5">
          <a:extLst>
            <a:ext uri="{FF2B5EF4-FFF2-40B4-BE49-F238E27FC236}">
              <a16:creationId xmlns:a16="http://schemas.microsoft.com/office/drawing/2014/main" id="{3C3B974D-C346-44B4-88D8-6A8465B5001B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533</xdr:row>
      <xdr:rowOff>0</xdr:rowOff>
    </xdr:from>
    <xdr:to>
      <xdr:col>8</xdr:col>
      <xdr:colOff>180975</xdr:colOff>
      <xdr:row>533</xdr:row>
      <xdr:rowOff>0</xdr:rowOff>
    </xdr:to>
    <xdr:sp macro="" textlink="">
      <xdr:nvSpPr>
        <xdr:cNvPr id="2059" name="Line 7">
          <a:extLst>
            <a:ext uri="{FF2B5EF4-FFF2-40B4-BE49-F238E27FC236}">
              <a16:creationId xmlns:a16="http://schemas.microsoft.com/office/drawing/2014/main" id="{F3010990-E1D8-431D-B54F-5D8993F47042}"/>
            </a:ext>
          </a:extLst>
        </xdr:cNvPr>
        <xdr:cNvSpPr>
          <a:spLocks noChangeShapeType="1"/>
        </xdr:cNvSpPr>
      </xdr:nvSpPr>
      <xdr:spPr bwMode="auto">
        <a:xfrm>
          <a:off x="4924425" y="92954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2060" name="Line 2">
          <a:extLst>
            <a:ext uri="{FF2B5EF4-FFF2-40B4-BE49-F238E27FC236}">
              <a16:creationId xmlns:a16="http://schemas.microsoft.com/office/drawing/2014/main" id="{F32ED56B-4938-4BE7-A28C-C232BDCC5B09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2061" name="Line 3">
          <a:extLst>
            <a:ext uri="{FF2B5EF4-FFF2-40B4-BE49-F238E27FC236}">
              <a16:creationId xmlns:a16="http://schemas.microsoft.com/office/drawing/2014/main" id="{6AC42AE4-3388-4FD1-A2B8-4AD86184C58B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2062" name="Line 4">
          <a:extLst>
            <a:ext uri="{FF2B5EF4-FFF2-40B4-BE49-F238E27FC236}">
              <a16:creationId xmlns:a16="http://schemas.microsoft.com/office/drawing/2014/main" id="{C1D0BBAB-0559-4899-9BCE-2BE0998F23CB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512</xdr:row>
      <xdr:rowOff>0</xdr:rowOff>
    </xdr:from>
    <xdr:to>
      <xdr:col>8</xdr:col>
      <xdr:colOff>180975</xdr:colOff>
      <xdr:row>512</xdr:row>
      <xdr:rowOff>0</xdr:rowOff>
    </xdr:to>
    <xdr:sp macro="" textlink="">
      <xdr:nvSpPr>
        <xdr:cNvPr id="2063" name="Line 5">
          <a:extLst>
            <a:ext uri="{FF2B5EF4-FFF2-40B4-BE49-F238E27FC236}">
              <a16:creationId xmlns:a16="http://schemas.microsoft.com/office/drawing/2014/main" id="{600460FD-8D3A-47F9-A08B-1F371813B7BB}"/>
            </a:ext>
          </a:extLst>
        </xdr:cNvPr>
        <xdr:cNvSpPr>
          <a:spLocks noChangeShapeType="1"/>
        </xdr:cNvSpPr>
      </xdr:nvSpPr>
      <xdr:spPr bwMode="auto">
        <a:xfrm>
          <a:off x="4924425" y="899445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2064" name="Line 2">
          <a:extLst>
            <a:ext uri="{FF2B5EF4-FFF2-40B4-BE49-F238E27FC236}">
              <a16:creationId xmlns:a16="http://schemas.microsoft.com/office/drawing/2014/main" id="{69E2C451-CBA5-4A90-9DF0-CDA168F7A045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505</xdr:row>
      <xdr:rowOff>0</xdr:rowOff>
    </xdr:from>
    <xdr:to>
      <xdr:col>8</xdr:col>
      <xdr:colOff>180975</xdr:colOff>
      <xdr:row>505</xdr:row>
      <xdr:rowOff>0</xdr:rowOff>
    </xdr:to>
    <xdr:sp macro="" textlink="">
      <xdr:nvSpPr>
        <xdr:cNvPr id="2065" name="Line 3">
          <a:extLst>
            <a:ext uri="{FF2B5EF4-FFF2-40B4-BE49-F238E27FC236}">
              <a16:creationId xmlns:a16="http://schemas.microsoft.com/office/drawing/2014/main" id="{B053A95A-AE7D-48E0-8AB2-3543BC4DB685}"/>
            </a:ext>
          </a:extLst>
        </xdr:cNvPr>
        <xdr:cNvSpPr>
          <a:spLocks noChangeShapeType="1"/>
        </xdr:cNvSpPr>
      </xdr:nvSpPr>
      <xdr:spPr bwMode="auto">
        <a:xfrm>
          <a:off x="4924425" y="889444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507</xdr:row>
      <xdr:rowOff>0</xdr:rowOff>
    </xdr:from>
    <xdr:to>
      <xdr:col>8</xdr:col>
      <xdr:colOff>180975</xdr:colOff>
      <xdr:row>507</xdr:row>
      <xdr:rowOff>0</xdr:rowOff>
    </xdr:to>
    <xdr:sp macro="" textlink="">
      <xdr:nvSpPr>
        <xdr:cNvPr id="2066" name="Line 4">
          <a:extLst>
            <a:ext uri="{FF2B5EF4-FFF2-40B4-BE49-F238E27FC236}">
              <a16:creationId xmlns:a16="http://schemas.microsoft.com/office/drawing/2014/main" id="{C1732F97-94B6-440A-A17A-3E79C324134A}"/>
            </a:ext>
          </a:extLst>
        </xdr:cNvPr>
        <xdr:cNvSpPr>
          <a:spLocks noChangeShapeType="1"/>
        </xdr:cNvSpPr>
      </xdr:nvSpPr>
      <xdr:spPr bwMode="auto">
        <a:xfrm>
          <a:off x="4924425" y="892302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2067" name="Line 2">
          <a:extLst>
            <a:ext uri="{FF2B5EF4-FFF2-40B4-BE49-F238E27FC236}">
              <a16:creationId xmlns:a16="http://schemas.microsoft.com/office/drawing/2014/main" id="{AD8C8855-B533-4A68-A9B0-1AA6A84C731D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2068" name="Line 3">
          <a:extLst>
            <a:ext uri="{FF2B5EF4-FFF2-40B4-BE49-F238E27FC236}">
              <a16:creationId xmlns:a16="http://schemas.microsoft.com/office/drawing/2014/main" id="{000BF44D-02F5-4A1B-8364-829D3B5E7B5D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508</xdr:row>
      <xdr:rowOff>0</xdr:rowOff>
    </xdr:from>
    <xdr:to>
      <xdr:col>8</xdr:col>
      <xdr:colOff>180975</xdr:colOff>
      <xdr:row>508</xdr:row>
      <xdr:rowOff>0</xdr:rowOff>
    </xdr:to>
    <xdr:sp macro="" textlink="">
      <xdr:nvSpPr>
        <xdr:cNvPr id="2069" name="Line 4">
          <a:extLst>
            <a:ext uri="{FF2B5EF4-FFF2-40B4-BE49-F238E27FC236}">
              <a16:creationId xmlns:a16="http://schemas.microsoft.com/office/drawing/2014/main" id="{70F3B060-9E53-4255-883A-140B1B71D919}"/>
            </a:ext>
          </a:extLst>
        </xdr:cNvPr>
        <xdr:cNvSpPr>
          <a:spLocks noChangeShapeType="1"/>
        </xdr:cNvSpPr>
      </xdr:nvSpPr>
      <xdr:spPr bwMode="auto">
        <a:xfrm>
          <a:off x="4924425" y="893730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2070" name="Line 2">
          <a:extLst>
            <a:ext uri="{FF2B5EF4-FFF2-40B4-BE49-F238E27FC236}">
              <a16:creationId xmlns:a16="http://schemas.microsoft.com/office/drawing/2014/main" id="{23D9D4C9-193E-4B90-A3F1-1E2B037C534E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506</xdr:row>
      <xdr:rowOff>0</xdr:rowOff>
    </xdr:from>
    <xdr:to>
      <xdr:col>8</xdr:col>
      <xdr:colOff>180975</xdr:colOff>
      <xdr:row>506</xdr:row>
      <xdr:rowOff>0</xdr:rowOff>
    </xdr:to>
    <xdr:sp macro="" textlink="">
      <xdr:nvSpPr>
        <xdr:cNvPr id="2071" name="Line 3">
          <a:extLst>
            <a:ext uri="{FF2B5EF4-FFF2-40B4-BE49-F238E27FC236}">
              <a16:creationId xmlns:a16="http://schemas.microsoft.com/office/drawing/2014/main" id="{30238209-EACD-4CD3-859D-FD30D4DEE820}"/>
            </a:ext>
          </a:extLst>
        </xdr:cNvPr>
        <xdr:cNvSpPr>
          <a:spLocks noChangeShapeType="1"/>
        </xdr:cNvSpPr>
      </xdr:nvSpPr>
      <xdr:spPr bwMode="auto">
        <a:xfrm>
          <a:off x="4924425" y="890873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511</xdr:row>
      <xdr:rowOff>0</xdr:rowOff>
    </xdr:from>
    <xdr:to>
      <xdr:col>8</xdr:col>
      <xdr:colOff>180975</xdr:colOff>
      <xdr:row>511</xdr:row>
      <xdr:rowOff>0</xdr:rowOff>
    </xdr:to>
    <xdr:sp macro="" textlink="">
      <xdr:nvSpPr>
        <xdr:cNvPr id="2072" name="Line 4">
          <a:extLst>
            <a:ext uri="{FF2B5EF4-FFF2-40B4-BE49-F238E27FC236}">
              <a16:creationId xmlns:a16="http://schemas.microsoft.com/office/drawing/2014/main" id="{DAFB2167-C3F5-442D-95E1-DC3CF79E58CA}"/>
            </a:ext>
          </a:extLst>
        </xdr:cNvPr>
        <xdr:cNvSpPr>
          <a:spLocks noChangeShapeType="1"/>
        </xdr:cNvSpPr>
      </xdr:nvSpPr>
      <xdr:spPr bwMode="auto">
        <a:xfrm>
          <a:off x="4924425" y="898017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2073" name="Line 3">
          <a:extLst>
            <a:ext uri="{FF2B5EF4-FFF2-40B4-BE49-F238E27FC236}">
              <a16:creationId xmlns:a16="http://schemas.microsoft.com/office/drawing/2014/main" id="{8E20A45A-257D-4173-9D68-099053653190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573</xdr:row>
      <xdr:rowOff>0</xdr:rowOff>
    </xdr:from>
    <xdr:to>
      <xdr:col>8</xdr:col>
      <xdr:colOff>180975</xdr:colOff>
      <xdr:row>573</xdr:row>
      <xdr:rowOff>0</xdr:rowOff>
    </xdr:to>
    <xdr:sp macro="" textlink="">
      <xdr:nvSpPr>
        <xdr:cNvPr id="2074" name="Line 5">
          <a:extLst>
            <a:ext uri="{FF2B5EF4-FFF2-40B4-BE49-F238E27FC236}">
              <a16:creationId xmlns:a16="http://schemas.microsoft.com/office/drawing/2014/main" id="{D347F7AF-51F8-4D28-A0F4-938CA8A75BEC}"/>
            </a:ext>
          </a:extLst>
        </xdr:cNvPr>
        <xdr:cNvSpPr>
          <a:spLocks noChangeShapeType="1"/>
        </xdr:cNvSpPr>
      </xdr:nvSpPr>
      <xdr:spPr bwMode="auto">
        <a:xfrm>
          <a:off x="4924425" y="100193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2075" name="Line 2">
          <a:extLst>
            <a:ext uri="{FF2B5EF4-FFF2-40B4-BE49-F238E27FC236}">
              <a16:creationId xmlns:a16="http://schemas.microsoft.com/office/drawing/2014/main" id="{92111866-6CA4-4E67-9F2C-17D37CA37185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2076" name="Line 3">
          <a:extLst>
            <a:ext uri="{FF2B5EF4-FFF2-40B4-BE49-F238E27FC236}">
              <a16:creationId xmlns:a16="http://schemas.microsoft.com/office/drawing/2014/main" id="{374DAF06-C6B1-4D62-98E6-59825F1B558F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2077" name="Line 4">
          <a:extLst>
            <a:ext uri="{FF2B5EF4-FFF2-40B4-BE49-F238E27FC236}">
              <a16:creationId xmlns:a16="http://schemas.microsoft.com/office/drawing/2014/main" id="{32E3E184-8F3B-44DE-8A4F-492670EC8A23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2078" name="Line 5">
          <a:extLst>
            <a:ext uri="{FF2B5EF4-FFF2-40B4-BE49-F238E27FC236}">
              <a16:creationId xmlns:a16="http://schemas.microsoft.com/office/drawing/2014/main" id="{378DD8C2-5675-4F1F-BE78-26115236329B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583</xdr:row>
      <xdr:rowOff>0</xdr:rowOff>
    </xdr:from>
    <xdr:to>
      <xdr:col>8</xdr:col>
      <xdr:colOff>180975</xdr:colOff>
      <xdr:row>583</xdr:row>
      <xdr:rowOff>0</xdr:rowOff>
    </xdr:to>
    <xdr:sp macro="" textlink="">
      <xdr:nvSpPr>
        <xdr:cNvPr id="2079" name="Line 7">
          <a:extLst>
            <a:ext uri="{FF2B5EF4-FFF2-40B4-BE49-F238E27FC236}">
              <a16:creationId xmlns:a16="http://schemas.microsoft.com/office/drawing/2014/main" id="{304CAEB4-51E0-4418-BE1E-859E6A50D393}"/>
            </a:ext>
          </a:extLst>
        </xdr:cNvPr>
        <xdr:cNvSpPr>
          <a:spLocks noChangeShapeType="1"/>
        </xdr:cNvSpPr>
      </xdr:nvSpPr>
      <xdr:spPr bwMode="auto">
        <a:xfrm>
          <a:off x="4924425" y="1017651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2080" name="Line 2">
          <a:extLst>
            <a:ext uri="{FF2B5EF4-FFF2-40B4-BE49-F238E27FC236}">
              <a16:creationId xmlns:a16="http://schemas.microsoft.com/office/drawing/2014/main" id="{C936198C-DFB6-4660-BA52-0DB3C1E8FD55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2081" name="Line 3">
          <a:extLst>
            <a:ext uri="{FF2B5EF4-FFF2-40B4-BE49-F238E27FC236}">
              <a16:creationId xmlns:a16="http://schemas.microsoft.com/office/drawing/2014/main" id="{49B48BC0-B7DD-4299-B80B-578E18D6C129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2082" name="Line 4">
          <a:extLst>
            <a:ext uri="{FF2B5EF4-FFF2-40B4-BE49-F238E27FC236}">
              <a16:creationId xmlns:a16="http://schemas.microsoft.com/office/drawing/2014/main" id="{927AE85B-9409-4C30-9076-501CD3080CD2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563</xdr:row>
      <xdr:rowOff>0</xdr:rowOff>
    </xdr:from>
    <xdr:to>
      <xdr:col>8</xdr:col>
      <xdr:colOff>180975</xdr:colOff>
      <xdr:row>563</xdr:row>
      <xdr:rowOff>0</xdr:rowOff>
    </xdr:to>
    <xdr:sp macro="" textlink="">
      <xdr:nvSpPr>
        <xdr:cNvPr id="2083" name="Line 5">
          <a:extLst>
            <a:ext uri="{FF2B5EF4-FFF2-40B4-BE49-F238E27FC236}">
              <a16:creationId xmlns:a16="http://schemas.microsoft.com/office/drawing/2014/main" id="{F089D511-C642-4E4C-9721-438F5866AE5A}"/>
            </a:ext>
          </a:extLst>
        </xdr:cNvPr>
        <xdr:cNvSpPr>
          <a:spLocks noChangeShapeType="1"/>
        </xdr:cNvSpPr>
      </xdr:nvSpPr>
      <xdr:spPr bwMode="auto">
        <a:xfrm>
          <a:off x="4924425" y="98764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2084" name="Line 2">
          <a:extLst>
            <a:ext uri="{FF2B5EF4-FFF2-40B4-BE49-F238E27FC236}">
              <a16:creationId xmlns:a16="http://schemas.microsoft.com/office/drawing/2014/main" id="{125A25F6-2210-40C4-B026-5F1013B13106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555</xdr:row>
      <xdr:rowOff>0</xdr:rowOff>
    </xdr:from>
    <xdr:to>
      <xdr:col>8</xdr:col>
      <xdr:colOff>180975</xdr:colOff>
      <xdr:row>555</xdr:row>
      <xdr:rowOff>0</xdr:rowOff>
    </xdr:to>
    <xdr:sp macro="" textlink="">
      <xdr:nvSpPr>
        <xdr:cNvPr id="2085" name="Line 3">
          <a:extLst>
            <a:ext uri="{FF2B5EF4-FFF2-40B4-BE49-F238E27FC236}">
              <a16:creationId xmlns:a16="http://schemas.microsoft.com/office/drawing/2014/main" id="{31EC6DDF-A718-490A-B955-D1298AFF4606}"/>
            </a:ext>
          </a:extLst>
        </xdr:cNvPr>
        <xdr:cNvSpPr>
          <a:spLocks noChangeShapeType="1"/>
        </xdr:cNvSpPr>
      </xdr:nvSpPr>
      <xdr:spPr bwMode="auto">
        <a:xfrm>
          <a:off x="4924425" y="976217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557</xdr:row>
      <xdr:rowOff>0</xdr:rowOff>
    </xdr:from>
    <xdr:to>
      <xdr:col>8</xdr:col>
      <xdr:colOff>180975</xdr:colOff>
      <xdr:row>557</xdr:row>
      <xdr:rowOff>0</xdr:rowOff>
    </xdr:to>
    <xdr:sp macro="" textlink="">
      <xdr:nvSpPr>
        <xdr:cNvPr id="2086" name="Line 4">
          <a:extLst>
            <a:ext uri="{FF2B5EF4-FFF2-40B4-BE49-F238E27FC236}">
              <a16:creationId xmlns:a16="http://schemas.microsoft.com/office/drawing/2014/main" id="{AAD93761-E86D-417F-B4EA-578C757AD88F}"/>
            </a:ext>
          </a:extLst>
        </xdr:cNvPr>
        <xdr:cNvSpPr>
          <a:spLocks noChangeShapeType="1"/>
        </xdr:cNvSpPr>
      </xdr:nvSpPr>
      <xdr:spPr bwMode="auto">
        <a:xfrm>
          <a:off x="4924425" y="979074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2087" name="Line 2">
          <a:extLst>
            <a:ext uri="{FF2B5EF4-FFF2-40B4-BE49-F238E27FC236}">
              <a16:creationId xmlns:a16="http://schemas.microsoft.com/office/drawing/2014/main" id="{FA3D123C-6A33-44D4-941D-380FCBD94E4E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2088" name="Line 3">
          <a:extLst>
            <a:ext uri="{FF2B5EF4-FFF2-40B4-BE49-F238E27FC236}">
              <a16:creationId xmlns:a16="http://schemas.microsoft.com/office/drawing/2014/main" id="{F2A3FA39-101A-46CE-B879-4C0864923109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558</xdr:row>
      <xdr:rowOff>0</xdr:rowOff>
    </xdr:from>
    <xdr:to>
      <xdr:col>8</xdr:col>
      <xdr:colOff>180975</xdr:colOff>
      <xdr:row>558</xdr:row>
      <xdr:rowOff>0</xdr:rowOff>
    </xdr:to>
    <xdr:sp macro="" textlink="">
      <xdr:nvSpPr>
        <xdr:cNvPr id="2089" name="Line 4">
          <a:extLst>
            <a:ext uri="{FF2B5EF4-FFF2-40B4-BE49-F238E27FC236}">
              <a16:creationId xmlns:a16="http://schemas.microsoft.com/office/drawing/2014/main" id="{8C01A80A-3EC7-4491-9D54-CB5A7AB8ADB6}"/>
            </a:ext>
          </a:extLst>
        </xdr:cNvPr>
        <xdr:cNvSpPr>
          <a:spLocks noChangeShapeType="1"/>
        </xdr:cNvSpPr>
      </xdr:nvSpPr>
      <xdr:spPr bwMode="auto">
        <a:xfrm>
          <a:off x="4924425" y="980503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2090" name="Line 2">
          <a:extLst>
            <a:ext uri="{FF2B5EF4-FFF2-40B4-BE49-F238E27FC236}">
              <a16:creationId xmlns:a16="http://schemas.microsoft.com/office/drawing/2014/main" id="{C98595E8-094F-498D-AF4C-7C6A0C5D9F24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556</xdr:row>
      <xdr:rowOff>0</xdr:rowOff>
    </xdr:from>
    <xdr:to>
      <xdr:col>8</xdr:col>
      <xdr:colOff>180975</xdr:colOff>
      <xdr:row>556</xdr:row>
      <xdr:rowOff>0</xdr:rowOff>
    </xdr:to>
    <xdr:sp macro="" textlink="">
      <xdr:nvSpPr>
        <xdr:cNvPr id="2091" name="Line 3">
          <a:extLst>
            <a:ext uri="{FF2B5EF4-FFF2-40B4-BE49-F238E27FC236}">
              <a16:creationId xmlns:a16="http://schemas.microsoft.com/office/drawing/2014/main" id="{E8C2FBBC-D8EE-4425-89FD-FC2FAD1AE448}"/>
            </a:ext>
          </a:extLst>
        </xdr:cNvPr>
        <xdr:cNvSpPr>
          <a:spLocks noChangeShapeType="1"/>
        </xdr:cNvSpPr>
      </xdr:nvSpPr>
      <xdr:spPr bwMode="auto">
        <a:xfrm>
          <a:off x="4924425" y="977646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562</xdr:row>
      <xdr:rowOff>0</xdr:rowOff>
    </xdr:from>
    <xdr:to>
      <xdr:col>8</xdr:col>
      <xdr:colOff>180975</xdr:colOff>
      <xdr:row>562</xdr:row>
      <xdr:rowOff>0</xdr:rowOff>
    </xdr:to>
    <xdr:sp macro="" textlink="">
      <xdr:nvSpPr>
        <xdr:cNvPr id="2092" name="Line 4">
          <a:extLst>
            <a:ext uri="{FF2B5EF4-FFF2-40B4-BE49-F238E27FC236}">
              <a16:creationId xmlns:a16="http://schemas.microsoft.com/office/drawing/2014/main" id="{5921D4F7-B5A9-4D47-A0CF-3EBEF02EB86A}"/>
            </a:ext>
          </a:extLst>
        </xdr:cNvPr>
        <xdr:cNvSpPr>
          <a:spLocks noChangeShapeType="1"/>
        </xdr:cNvSpPr>
      </xdr:nvSpPr>
      <xdr:spPr bwMode="auto">
        <a:xfrm>
          <a:off x="4924425" y="986218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2093" name="Line 3">
          <a:extLst>
            <a:ext uri="{FF2B5EF4-FFF2-40B4-BE49-F238E27FC236}">
              <a16:creationId xmlns:a16="http://schemas.microsoft.com/office/drawing/2014/main" id="{EDD25E37-A4FC-4797-955A-4F90C7B1D99B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623</xdr:row>
      <xdr:rowOff>0</xdr:rowOff>
    </xdr:from>
    <xdr:to>
      <xdr:col>8</xdr:col>
      <xdr:colOff>180975</xdr:colOff>
      <xdr:row>623</xdr:row>
      <xdr:rowOff>0</xdr:rowOff>
    </xdr:to>
    <xdr:sp macro="" textlink="">
      <xdr:nvSpPr>
        <xdr:cNvPr id="2094" name="Line 5">
          <a:extLst>
            <a:ext uri="{FF2B5EF4-FFF2-40B4-BE49-F238E27FC236}">
              <a16:creationId xmlns:a16="http://schemas.microsoft.com/office/drawing/2014/main" id="{A48D5E29-0013-434D-8815-ABDA4C69DA90}"/>
            </a:ext>
          </a:extLst>
        </xdr:cNvPr>
        <xdr:cNvSpPr>
          <a:spLocks noChangeShapeType="1"/>
        </xdr:cNvSpPr>
      </xdr:nvSpPr>
      <xdr:spPr bwMode="auto">
        <a:xfrm>
          <a:off x="4924425" y="108585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2095" name="Line 2">
          <a:extLst>
            <a:ext uri="{FF2B5EF4-FFF2-40B4-BE49-F238E27FC236}">
              <a16:creationId xmlns:a16="http://schemas.microsoft.com/office/drawing/2014/main" id="{F24E9024-6BC3-4628-82E8-154D313D6E25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2096" name="Line 3">
          <a:extLst>
            <a:ext uri="{FF2B5EF4-FFF2-40B4-BE49-F238E27FC236}">
              <a16:creationId xmlns:a16="http://schemas.microsoft.com/office/drawing/2014/main" id="{309A3B44-FC1B-40BC-B68A-A559A9C822CD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2097" name="Line 4">
          <a:extLst>
            <a:ext uri="{FF2B5EF4-FFF2-40B4-BE49-F238E27FC236}">
              <a16:creationId xmlns:a16="http://schemas.microsoft.com/office/drawing/2014/main" id="{2128EC16-6844-474B-9A2D-B94E676D6F15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2098" name="Line 5">
          <a:extLst>
            <a:ext uri="{FF2B5EF4-FFF2-40B4-BE49-F238E27FC236}">
              <a16:creationId xmlns:a16="http://schemas.microsoft.com/office/drawing/2014/main" id="{1FAD93D1-D162-48D2-816A-1F4EF74F2F5C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634</xdr:row>
      <xdr:rowOff>0</xdr:rowOff>
    </xdr:from>
    <xdr:to>
      <xdr:col>8</xdr:col>
      <xdr:colOff>180975</xdr:colOff>
      <xdr:row>634</xdr:row>
      <xdr:rowOff>0</xdr:rowOff>
    </xdr:to>
    <xdr:sp macro="" textlink="">
      <xdr:nvSpPr>
        <xdr:cNvPr id="2099" name="Line 7">
          <a:extLst>
            <a:ext uri="{FF2B5EF4-FFF2-40B4-BE49-F238E27FC236}">
              <a16:creationId xmlns:a16="http://schemas.microsoft.com/office/drawing/2014/main" id="{8F80AEF1-A17E-480E-9835-080B6CB598A7}"/>
            </a:ext>
          </a:extLst>
        </xdr:cNvPr>
        <xdr:cNvSpPr>
          <a:spLocks noChangeShapeType="1"/>
        </xdr:cNvSpPr>
      </xdr:nvSpPr>
      <xdr:spPr bwMode="auto">
        <a:xfrm>
          <a:off x="4924425" y="1101566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2100" name="Line 2">
          <a:extLst>
            <a:ext uri="{FF2B5EF4-FFF2-40B4-BE49-F238E27FC236}">
              <a16:creationId xmlns:a16="http://schemas.microsoft.com/office/drawing/2014/main" id="{61971CC0-174E-4802-8623-D51D58224E7D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2101" name="Line 3">
          <a:extLst>
            <a:ext uri="{FF2B5EF4-FFF2-40B4-BE49-F238E27FC236}">
              <a16:creationId xmlns:a16="http://schemas.microsoft.com/office/drawing/2014/main" id="{563D9466-9C68-439E-BE5A-7CDDDC5C853D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2102" name="Line 4">
          <a:extLst>
            <a:ext uri="{FF2B5EF4-FFF2-40B4-BE49-F238E27FC236}">
              <a16:creationId xmlns:a16="http://schemas.microsoft.com/office/drawing/2014/main" id="{93E0C11F-73AB-47D1-911B-658000A62B17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613</xdr:row>
      <xdr:rowOff>0</xdr:rowOff>
    </xdr:from>
    <xdr:to>
      <xdr:col>8</xdr:col>
      <xdr:colOff>180975</xdr:colOff>
      <xdr:row>613</xdr:row>
      <xdr:rowOff>0</xdr:rowOff>
    </xdr:to>
    <xdr:sp macro="" textlink="">
      <xdr:nvSpPr>
        <xdr:cNvPr id="2103" name="Line 5">
          <a:extLst>
            <a:ext uri="{FF2B5EF4-FFF2-40B4-BE49-F238E27FC236}">
              <a16:creationId xmlns:a16="http://schemas.microsoft.com/office/drawing/2014/main" id="{C183DBA1-C358-41C5-B348-54D0F5D52D4E}"/>
            </a:ext>
          </a:extLst>
        </xdr:cNvPr>
        <xdr:cNvSpPr>
          <a:spLocks noChangeShapeType="1"/>
        </xdr:cNvSpPr>
      </xdr:nvSpPr>
      <xdr:spPr bwMode="auto">
        <a:xfrm>
          <a:off x="4924425" y="1071562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2104" name="Line 2">
          <a:extLst>
            <a:ext uri="{FF2B5EF4-FFF2-40B4-BE49-F238E27FC236}">
              <a16:creationId xmlns:a16="http://schemas.microsoft.com/office/drawing/2014/main" id="{838EB0BB-5936-4235-976D-71BB56205A5E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606</xdr:row>
      <xdr:rowOff>0</xdr:rowOff>
    </xdr:from>
    <xdr:to>
      <xdr:col>8</xdr:col>
      <xdr:colOff>180975</xdr:colOff>
      <xdr:row>606</xdr:row>
      <xdr:rowOff>0</xdr:rowOff>
    </xdr:to>
    <xdr:sp macro="" textlink="">
      <xdr:nvSpPr>
        <xdr:cNvPr id="2105" name="Line 3">
          <a:extLst>
            <a:ext uri="{FF2B5EF4-FFF2-40B4-BE49-F238E27FC236}">
              <a16:creationId xmlns:a16="http://schemas.microsoft.com/office/drawing/2014/main" id="{828B58C0-F32E-47E6-A9E3-7F8EF5FA307D}"/>
            </a:ext>
          </a:extLst>
        </xdr:cNvPr>
        <xdr:cNvSpPr>
          <a:spLocks noChangeShapeType="1"/>
        </xdr:cNvSpPr>
      </xdr:nvSpPr>
      <xdr:spPr bwMode="auto">
        <a:xfrm>
          <a:off x="4924425" y="10615612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608</xdr:row>
      <xdr:rowOff>0</xdr:rowOff>
    </xdr:from>
    <xdr:to>
      <xdr:col>8</xdr:col>
      <xdr:colOff>180975</xdr:colOff>
      <xdr:row>608</xdr:row>
      <xdr:rowOff>0</xdr:rowOff>
    </xdr:to>
    <xdr:sp macro="" textlink="">
      <xdr:nvSpPr>
        <xdr:cNvPr id="2106" name="Line 4">
          <a:extLst>
            <a:ext uri="{FF2B5EF4-FFF2-40B4-BE49-F238E27FC236}">
              <a16:creationId xmlns:a16="http://schemas.microsoft.com/office/drawing/2014/main" id="{B45EE4DC-AE6A-4ECC-BD24-75C94AB6E30A}"/>
            </a:ext>
          </a:extLst>
        </xdr:cNvPr>
        <xdr:cNvSpPr>
          <a:spLocks noChangeShapeType="1"/>
        </xdr:cNvSpPr>
      </xdr:nvSpPr>
      <xdr:spPr bwMode="auto">
        <a:xfrm>
          <a:off x="4924425" y="106441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2107" name="Line 2">
          <a:extLst>
            <a:ext uri="{FF2B5EF4-FFF2-40B4-BE49-F238E27FC236}">
              <a16:creationId xmlns:a16="http://schemas.microsoft.com/office/drawing/2014/main" id="{5A3E9D7B-22D4-4CC4-B4E2-EF34AFA39C00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2108" name="Line 3">
          <a:extLst>
            <a:ext uri="{FF2B5EF4-FFF2-40B4-BE49-F238E27FC236}">
              <a16:creationId xmlns:a16="http://schemas.microsoft.com/office/drawing/2014/main" id="{6DEA5619-980E-4A66-A51C-8C3769CEBD9D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609</xdr:row>
      <xdr:rowOff>0</xdr:rowOff>
    </xdr:from>
    <xdr:to>
      <xdr:col>8</xdr:col>
      <xdr:colOff>180975</xdr:colOff>
      <xdr:row>609</xdr:row>
      <xdr:rowOff>0</xdr:rowOff>
    </xdr:to>
    <xdr:sp macro="" textlink="">
      <xdr:nvSpPr>
        <xdr:cNvPr id="2109" name="Line 4">
          <a:extLst>
            <a:ext uri="{FF2B5EF4-FFF2-40B4-BE49-F238E27FC236}">
              <a16:creationId xmlns:a16="http://schemas.microsoft.com/office/drawing/2014/main" id="{2B1919CD-93A7-4E02-A3C0-383DE3210E0C}"/>
            </a:ext>
          </a:extLst>
        </xdr:cNvPr>
        <xdr:cNvSpPr>
          <a:spLocks noChangeShapeType="1"/>
        </xdr:cNvSpPr>
      </xdr:nvSpPr>
      <xdr:spPr bwMode="auto">
        <a:xfrm>
          <a:off x="4924425" y="1065847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2110" name="Line 2">
          <a:extLst>
            <a:ext uri="{FF2B5EF4-FFF2-40B4-BE49-F238E27FC236}">
              <a16:creationId xmlns:a16="http://schemas.microsoft.com/office/drawing/2014/main" id="{D08E49C7-F6EA-477A-8D78-CE340A17DECB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607</xdr:row>
      <xdr:rowOff>0</xdr:rowOff>
    </xdr:from>
    <xdr:to>
      <xdr:col>8</xdr:col>
      <xdr:colOff>180975</xdr:colOff>
      <xdr:row>607</xdr:row>
      <xdr:rowOff>0</xdr:rowOff>
    </xdr:to>
    <xdr:sp macro="" textlink="">
      <xdr:nvSpPr>
        <xdr:cNvPr id="2111" name="Line 3">
          <a:extLst>
            <a:ext uri="{FF2B5EF4-FFF2-40B4-BE49-F238E27FC236}">
              <a16:creationId xmlns:a16="http://schemas.microsoft.com/office/drawing/2014/main" id="{1FEEEF25-5271-4B7A-9003-5BB75E40351A}"/>
            </a:ext>
          </a:extLst>
        </xdr:cNvPr>
        <xdr:cNvSpPr>
          <a:spLocks noChangeShapeType="1"/>
        </xdr:cNvSpPr>
      </xdr:nvSpPr>
      <xdr:spPr bwMode="auto">
        <a:xfrm>
          <a:off x="4924425" y="10629900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612</xdr:row>
      <xdr:rowOff>0</xdr:rowOff>
    </xdr:from>
    <xdr:to>
      <xdr:col>8</xdr:col>
      <xdr:colOff>180975</xdr:colOff>
      <xdr:row>612</xdr:row>
      <xdr:rowOff>0</xdr:rowOff>
    </xdr:to>
    <xdr:sp macro="" textlink="">
      <xdr:nvSpPr>
        <xdr:cNvPr id="2112" name="Line 4">
          <a:extLst>
            <a:ext uri="{FF2B5EF4-FFF2-40B4-BE49-F238E27FC236}">
              <a16:creationId xmlns:a16="http://schemas.microsoft.com/office/drawing/2014/main" id="{0FE4C5C9-490F-422E-9FF0-70EEA473A669}"/>
            </a:ext>
          </a:extLst>
        </xdr:cNvPr>
        <xdr:cNvSpPr>
          <a:spLocks noChangeShapeType="1"/>
        </xdr:cNvSpPr>
      </xdr:nvSpPr>
      <xdr:spPr bwMode="auto">
        <a:xfrm>
          <a:off x="4924425" y="1070133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110</xdr:row>
      <xdr:rowOff>0</xdr:rowOff>
    </xdr:from>
    <xdr:to>
      <xdr:col>8</xdr:col>
      <xdr:colOff>180975</xdr:colOff>
      <xdr:row>110</xdr:row>
      <xdr:rowOff>0</xdr:rowOff>
    </xdr:to>
    <xdr:sp macro="" textlink="">
      <xdr:nvSpPr>
        <xdr:cNvPr id="2113" name="Line 2">
          <a:extLst>
            <a:ext uri="{FF2B5EF4-FFF2-40B4-BE49-F238E27FC236}">
              <a16:creationId xmlns:a16="http://schemas.microsoft.com/office/drawing/2014/main" id="{D5FA744F-8E79-4523-A48C-2B5C47D65EB8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110</xdr:row>
      <xdr:rowOff>0</xdr:rowOff>
    </xdr:from>
    <xdr:to>
      <xdr:col>8</xdr:col>
      <xdr:colOff>180975</xdr:colOff>
      <xdr:row>110</xdr:row>
      <xdr:rowOff>0</xdr:rowOff>
    </xdr:to>
    <xdr:sp macro="" textlink="">
      <xdr:nvSpPr>
        <xdr:cNvPr id="2114" name="Line 2">
          <a:extLst>
            <a:ext uri="{FF2B5EF4-FFF2-40B4-BE49-F238E27FC236}">
              <a16:creationId xmlns:a16="http://schemas.microsoft.com/office/drawing/2014/main" id="{D50B3079-FC8C-4BEC-860E-D97E1AD23488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110</xdr:row>
      <xdr:rowOff>0</xdr:rowOff>
    </xdr:from>
    <xdr:to>
      <xdr:col>8</xdr:col>
      <xdr:colOff>180975</xdr:colOff>
      <xdr:row>110</xdr:row>
      <xdr:rowOff>0</xdr:rowOff>
    </xdr:to>
    <xdr:sp macro="" textlink="">
      <xdr:nvSpPr>
        <xdr:cNvPr id="2115" name="Line 2">
          <a:extLst>
            <a:ext uri="{FF2B5EF4-FFF2-40B4-BE49-F238E27FC236}">
              <a16:creationId xmlns:a16="http://schemas.microsoft.com/office/drawing/2014/main" id="{A57F109C-CDB3-462B-9BC4-4D2A1AF30269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110</xdr:row>
      <xdr:rowOff>0</xdr:rowOff>
    </xdr:from>
    <xdr:to>
      <xdr:col>8</xdr:col>
      <xdr:colOff>180975</xdr:colOff>
      <xdr:row>110</xdr:row>
      <xdr:rowOff>0</xdr:rowOff>
    </xdr:to>
    <xdr:sp macro="" textlink="">
      <xdr:nvSpPr>
        <xdr:cNvPr id="2116" name="Line 2">
          <a:extLst>
            <a:ext uri="{FF2B5EF4-FFF2-40B4-BE49-F238E27FC236}">
              <a16:creationId xmlns:a16="http://schemas.microsoft.com/office/drawing/2014/main" id="{BEBAA6D6-A6FD-4AB3-93DB-0FB833E6E0C8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110</xdr:row>
      <xdr:rowOff>0</xdr:rowOff>
    </xdr:from>
    <xdr:to>
      <xdr:col>8</xdr:col>
      <xdr:colOff>180975</xdr:colOff>
      <xdr:row>110</xdr:row>
      <xdr:rowOff>0</xdr:rowOff>
    </xdr:to>
    <xdr:sp macro="" textlink="">
      <xdr:nvSpPr>
        <xdr:cNvPr id="2117" name="Line 2">
          <a:extLst>
            <a:ext uri="{FF2B5EF4-FFF2-40B4-BE49-F238E27FC236}">
              <a16:creationId xmlns:a16="http://schemas.microsoft.com/office/drawing/2014/main" id="{5C23FC9D-5C40-4F27-8BD1-06A50CA6F278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110</xdr:row>
      <xdr:rowOff>0</xdr:rowOff>
    </xdr:from>
    <xdr:to>
      <xdr:col>8</xdr:col>
      <xdr:colOff>180975</xdr:colOff>
      <xdr:row>110</xdr:row>
      <xdr:rowOff>0</xdr:rowOff>
    </xdr:to>
    <xdr:sp macro="" textlink="">
      <xdr:nvSpPr>
        <xdr:cNvPr id="2118" name="Line 2">
          <a:extLst>
            <a:ext uri="{FF2B5EF4-FFF2-40B4-BE49-F238E27FC236}">
              <a16:creationId xmlns:a16="http://schemas.microsoft.com/office/drawing/2014/main" id="{C2CE7419-6494-40F7-8911-1C27D69DE773}"/>
            </a:ext>
          </a:extLst>
        </xdr:cNvPr>
        <xdr:cNvSpPr>
          <a:spLocks noChangeShapeType="1"/>
        </xdr:cNvSpPr>
      </xdr:nvSpPr>
      <xdr:spPr bwMode="auto">
        <a:xfrm>
          <a:off x="4924425" y="7105650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145</xdr:row>
      <xdr:rowOff>0</xdr:rowOff>
    </xdr:from>
    <xdr:to>
      <xdr:col>8</xdr:col>
      <xdr:colOff>180975</xdr:colOff>
      <xdr:row>145</xdr:row>
      <xdr:rowOff>0</xdr:rowOff>
    </xdr:to>
    <xdr:sp macro="" textlink="">
      <xdr:nvSpPr>
        <xdr:cNvPr id="2125" name="Line 2">
          <a:extLst>
            <a:ext uri="{FF2B5EF4-FFF2-40B4-BE49-F238E27FC236}">
              <a16:creationId xmlns:a16="http://schemas.microsoft.com/office/drawing/2014/main" id="{8FB86147-D3D6-445B-BAD6-ABE5A0A92C0B}"/>
            </a:ext>
          </a:extLst>
        </xdr:cNvPr>
        <xdr:cNvSpPr>
          <a:spLocks noChangeShapeType="1"/>
        </xdr:cNvSpPr>
      </xdr:nvSpPr>
      <xdr:spPr bwMode="auto">
        <a:xfrm>
          <a:off x="4924425" y="16068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145</xdr:row>
      <xdr:rowOff>0</xdr:rowOff>
    </xdr:from>
    <xdr:to>
      <xdr:col>8</xdr:col>
      <xdr:colOff>180975</xdr:colOff>
      <xdr:row>145</xdr:row>
      <xdr:rowOff>0</xdr:rowOff>
    </xdr:to>
    <xdr:sp macro="" textlink="">
      <xdr:nvSpPr>
        <xdr:cNvPr id="2126" name="Line 2">
          <a:extLst>
            <a:ext uri="{FF2B5EF4-FFF2-40B4-BE49-F238E27FC236}">
              <a16:creationId xmlns:a16="http://schemas.microsoft.com/office/drawing/2014/main" id="{6587F514-4223-4261-8D35-444C2E20D862}"/>
            </a:ext>
          </a:extLst>
        </xdr:cNvPr>
        <xdr:cNvSpPr>
          <a:spLocks noChangeShapeType="1"/>
        </xdr:cNvSpPr>
      </xdr:nvSpPr>
      <xdr:spPr bwMode="auto">
        <a:xfrm>
          <a:off x="4924425" y="16068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145</xdr:row>
      <xdr:rowOff>0</xdr:rowOff>
    </xdr:from>
    <xdr:to>
      <xdr:col>8</xdr:col>
      <xdr:colOff>180975</xdr:colOff>
      <xdr:row>145</xdr:row>
      <xdr:rowOff>0</xdr:rowOff>
    </xdr:to>
    <xdr:sp macro="" textlink="">
      <xdr:nvSpPr>
        <xdr:cNvPr id="2127" name="Line 2">
          <a:extLst>
            <a:ext uri="{FF2B5EF4-FFF2-40B4-BE49-F238E27FC236}">
              <a16:creationId xmlns:a16="http://schemas.microsoft.com/office/drawing/2014/main" id="{3607AE4E-DFF4-425E-858A-6FA5CA3407A2}"/>
            </a:ext>
          </a:extLst>
        </xdr:cNvPr>
        <xdr:cNvSpPr>
          <a:spLocks noChangeShapeType="1"/>
        </xdr:cNvSpPr>
      </xdr:nvSpPr>
      <xdr:spPr bwMode="auto">
        <a:xfrm>
          <a:off x="4924425" y="16068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145</xdr:row>
      <xdr:rowOff>0</xdr:rowOff>
    </xdr:from>
    <xdr:to>
      <xdr:col>8</xdr:col>
      <xdr:colOff>180975</xdr:colOff>
      <xdr:row>145</xdr:row>
      <xdr:rowOff>0</xdr:rowOff>
    </xdr:to>
    <xdr:sp macro="" textlink="">
      <xdr:nvSpPr>
        <xdr:cNvPr id="2128" name="Line 2">
          <a:extLst>
            <a:ext uri="{FF2B5EF4-FFF2-40B4-BE49-F238E27FC236}">
              <a16:creationId xmlns:a16="http://schemas.microsoft.com/office/drawing/2014/main" id="{5C0414AF-D9AD-4BA6-AF68-5C3BF3984651}"/>
            </a:ext>
          </a:extLst>
        </xdr:cNvPr>
        <xdr:cNvSpPr>
          <a:spLocks noChangeShapeType="1"/>
        </xdr:cNvSpPr>
      </xdr:nvSpPr>
      <xdr:spPr bwMode="auto">
        <a:xfrm>
          <a:off x="4924425" y="16068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145</xdr:row>
      <xdr:rowOff>0</xdr:rowOff>
    </xdr:from>
    <xdr:to>
      <xdr:col>8</xdr:col>
      <xdr:colOff>180975</xdr:colOff>
      <xdr:row>145</xdr:row>
      <xdr:rowOff>0</xdr:rowOff>
    </xdr:to>
    <xdr:sp macro="" textlink="">
      <xdr:nvSpPr>
        <xdr:cNvPr id="2129" name="Line 2">
          <a:extLst>
            <a:ext uri="{FF2B5EF4-FFF2-40B4-BE49-F238E27FC236}">
              <a16:creationId xmlns:a16="http://schemas.microsoft.com/office/drawing/2014/main" id="{F8BD94AA-E4BB-471B-894B-90FF2C896524}"/>
            </a:ext>
          </a:extLst>
        </xdr:cNvPr>
        <xdr:cNvSpPr>
          <a:spLocks noChangeShapeType="1"/>
        </xdr:cNvSpPr>
      </xdr:nvSpPr>
      <xdr:spPr bwMode="auto">
        <a:xfrm>
          <a:off x="4924425" y="16068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145</xdr:row>
      <xdr:rowOff>0</xdr:rowOff>
    </xdr:from>
    <xdr:to>
      <xdr:col>8</xdr:col>
      <xdr:colOff>180975</xdr:colOff>
      <xdr:row>145</xdr:row>
      <xdr:rowOff>0</xdr:rowOff>
    </xdr:to>
    <xdr:sp macro="" textlink="">
      <xdr:nvSpPr>
        <xdr:cNvPr id="2130" name="Line 2">
          <a:extLst>
            <a:ext uri="{FF2B5EF4-FFF2-40B4-BE49-F238E27FC236}">
              <a16:creationId xmlns:a16="http://schemas.microsoft.com/office/drawing/2014/main" id="{EA468BAD-F835-4E9F-BC90-17C19C0985E2}"/>
            </a:ext>
          </a:extLst>
        </xdr:cNvPr>
        <xdr:cNvSpPr>
          <a:spLocks noChangeShapeType="1"/>
        </xdr:cNvSpPr>
      </xdr:nvSpPr>
      <xdr:spPr bwMode="auto">
        <a:xfrm>
          <a:off x="4924425" y="160686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05C0B-5E2D-492D-ACED-AC5C89FEC2F3}">
  <sheetPr>
    <tabColor rgb="FFFF0000"/>
  </sheetPr>
  <dimension ref="A1:AA80"/>
  <sheetViews>
    <sheetView workbookViewId="0">
      <selection activeCell="D78" sqref="D78"/>
    </sheetView>
  </sheetViews>
  <sheetFormatPr defaultColWidth="10.44140625" defaultRowHeight="13.8" x14ac:dyDescent="0.3"/>
  <cols>
    <col min="1" max="1" width="4.44140625" style="439" customWidth="1"/>
    <col min="2" max="2" width="16.44140625" style="439" customWidth="1"/>
    <col min="3" max="3" width="21.109375" style="439" customWidth="1"/>
    <col min="4" max="4" width="26.109375" style="439" customWidth="1"/>
    <col min="5" max="5" width="25" style="439" bestFit="1" customWidth="1"/>
    <col min="6" max="6" width="12.109375" style="439" customWidth="1"/>
    <col min="7" max="7" width="11.5546875" style="439" bestFit="1" customWidth="1"/>
    <col min="8" max="8" width="10.5546875" style="439" bestFit="1" customWidth="1"/>
    <col min="9" max="9" width="11.44140625" style="439" customWidth="1"/>
    <col min="10" max="10" width="13.88671875" style="439" customWidth="1"/>
    <col min="11" max="11" width="11.88671875" style="439" customWidth="1"/>
    <col min="12" max="12" width="9.88671875" style="439" bestFit="1" customWidth="1"/>
    <col min="13" max="13" width="11.33203125" style="439" bestFit="1" customWidth="1"/>
    <col min="14" max="14" width="9.44140625" style="439" bestFit="1" customWidth="1"/>
    <col min="15" max="15" width="10.5546875" style="439" bestFit="1" customWidth="1"/>
    <col min="16" max="25" width="0.5546875" style="439" customWidth="1"/>
    <col min="26" max="26" width="10.44140625" style="439"/>
    <col min="27" max="27" width="11.5546875" style="439" bestFit="1" customWidth="1"/>
    <col min="28" max="16384" width="10.44140625" style="439"/>
  </cols>
  <sheetData>
    <row r="1" spans="1:25" ht="18" x14ac:dyDescent="0.35">
      <c r="A1" s="1113">
        <v>2026</v>
      </c>
      <c r="B1" s="1113"/>
      <c r="C1" s="1113"/>
      <c r="D1" s="1113"/>
      <c r="E1" s="1113"/>
      <c r="F1" s="1113"/>
      <c r="G1" s="1113"/>
      <c r="H1" s="1113"/>
      <c r="I1" s="1113"/>
      <c r="J1" s="1113"/>
      <c r="K1" s="1113"/>
      <c r="L1" s="1113"/>
      <c r="M1" s="1113"/>
      <c r="N1" s="1113"/>
      <c r="O1" s="1113"/>
      <c r="P1" s="1113"/>
      <c r="Q1" s="1113"/>
      <c r="R1" s="1113"/>
      <c r="S1" s="1113"/>
      <c r="T1" s="1113"/>
      <c r="U1" s="1113"/>
      <c r="V1" s="1113"/>
      <c r="W1" s="1113"/>
      <c r="X1" s="1113"/>
      <c r="Y1" s="1113"/>
    </row>
    <row r="2" spans="1:25" x14ac:dyDescent="0.3">
      <c r="A2" s="539"/>
    </row>
    <row r="3" spans="1:25" s="463" customFormat="1" x14ac:dyDescent="0.3">
      <c r="A3" s="1114" t="s">
        <v>0</v>
      </c>
      <c r="E3" s="718" t="s">
        <v>1</v>
      </c>
      <c r="H3" s="512"/>
      <c r="M3" s="719" t="s">
        <v>2</v>
      </c>
    </row>
    <row r="4" spans="1:25" s="463" customFormat="1" ht="7.5" customHeight="1" x14ac:dyDescent="0.3">
      <c r="A4" s="1114"/>
      <c r="E4" s="512"/>
      <c r="F4" s="718"/>
      <c r="H4" s="512"/>
      <c r="J4" s="1115"/>
      <c r="K4" s="481"/>
      <c r="L4" s="481"/>
    </row>
    <row r="5" spans="1:25" s="463" customFormat="1" x14ac:dyDescent="0.3">
      <c r="A5" s="723" t="s">
        <v>3</v>
      </c>
      <c r="B5" s="721"/>
      <c r="C5" s="721"/>
      <c r="D5" s="721" t="s">
        <v>4</v>
      </c>
      <c r="E5" s="720" t="s">
        <v>5</v>
      </c>
      <c r="F5" s="721"/>
      <c r="G5" s="722"/>
      <c r="H5" s="722"/>
      <c r="I5" s="722"/>
      <c r="J5" s="724" t="s">
        <v>6</v>
      </c>
      <c r="M5" s="722"/>
    </row>
    <row r="6" spans="1:25" s="463" customFormat="1" x14ac:dyDescent="0.3">
      <c r="A6" s="725"/>
      <c r="F6" s="718"/>
      <c r="G6" s="512"/>
      <c r="H6" s="512"/>
      <c r="I6" s="512"/>
      <c r="J6" s="1298" t="s">
        <v>7</v>
      </c>
      <c r="K6" s="512" t="s">
        <v>8</v>
      </c>
      <c r="M6" s="1157">
        <v>46752</v>
      </c>
    </row>
    <row r="7" spans="1:25" s="463" customFormat="1" x14ac:dyDescent="0.3">
      <c r="A7" s="20" t="s">
        <v>9</v>
      </c>
      <c r="F7" s="496"/>
      <c r="G7" s="512"/>
      <c r="H7" s="512"/>
      <c r="I7" s="512"/>
      <c r="J7" s="1156" t="s">
        <v>10</v>
      </c>
      <c r="K7" s="512" t="s">
        <v>11</v>
      </c>
      <c r="M7" s="1157">
        <v>46387</v>
      </c>
    </row>
    <row r="8" spans="1:25" s="463" customFormat="1" x14ac:dyDescent="0.3">
      <c r="A8" s="21"/>
      <c r="F8" s="718"/>
      <c r="G8" s="512"/>
      <c r="H8" s="512"/>
      <c r="I8" s="512"/>
      <c r="J8" s="1298" t="s">
        <v>7</v>
      </c>
      <c r="K8" s="512" t="s">
        <v>12</v>
      </c>
      <c r="M8" s="1157">
        <v>46022</v>
      </c>
    </row>
    <row r="9" spans="1:25" s="463" customFormat="1" x14ac:dyDescent="0.3">
      <c r="A9" s="20" t="s">
        <v>13</v>
      </c>
      <c r="C9" s="22" t="s">
        <v>14</v>
      </c>
      <c r="F9" s="718"/>
      <c r="G9" s="512"/>
      <c r="H9" s="512"/>
      <c r="I9" s="512"/>
      <c r="J9" s="724" t="s">
        <v>15</v>
      </c>
      <c r="M9" s="512"/>
    </row>
    <row r="10" spans="1:25" s="463" customFormat="1" x14ac:dyDescent="0.3">
      <c r="A10" s="380"/>
      <c r="B10" s="1116" t="s">
        <v>16</v>
      </c>
      <c r="C10" s="1117"/>
      <c r="D10" s="1118" t="s">
        <v>17</v>
      </c>
      <c r="E10" s="1118" t="s">
        <v>18</v>
      </c>
      <c r="F10" s="1118" t="s">
        <v>19</v>
      </c>
      <c r="G10" s="1118" t="s">
        <v>20</v>
      </c>
      <c r="H10" s="1118" t="s">
        <v>21</v>
      </c>
      <c r="I10" s="1118" t="s">
        <v>22</v>
      </c>
      <c r="J10" s="1118" t="s">
        <v>23</v>
      </c>
      <c r="K10" s="1119" t="s">
        <v>24</v>
      </c>
      <c r="L10" s="1119" t="s">
        <v>25</v>
      </c>
      <c r="M10" s="1119" t="s">
        <v>26</v>
      </c>
    </row>
    <row r="11" spans="1:25" x14ac:dyDescent="0.3">
      <c r="A11" s="1120"/>
      <c r="B11" s="1120" t="s">
        <v>27</v>
      </c>
      <c r="C11" s="1120"/>
      <c r="D11" s="1120"/>
    </row>
    <row r="12" spans="1:25" x14ac:dyDescent="0.3">
      <c r="B12" s="641"/>
      <c r="C12" s="641"/>
      <c r="D12" s="641"/>
      <c r="E12" s="2"/>
      <c r="F12" s="2"/>
      <c r="G12" s="2" t="s">
        <v>28</v>
      </c>
      <c r="H12" s="2" t="s">
        <v>28</v>
      </c>
      <c r="I12" s="2" t="s">
        <v>28</v>
      </c>
      <c r="J12" s="1121" t="s">
        <v>29</v>
      </c>
      <c r="K12" s="1122"/>
      <c r="L12" s="1122"/>
      <c r="M12" s="2"/>
    </row>
    <row r="13" spans="1:25" x14ac:dyDescent="0.3">
      <c r="A13" s="2" t="s">
        <v>30</v>
      </c>
      <c r="B13" s="1240"/>
      <c r="C13" s="1240"/>
      <c r="D13" s="1240"/>
      <c r="E13" s="1121" t="s">
        <v>31</v>
      </c>
      <c r="F13" s="1121" t="s">
        <v>32</v>
      </c>
      <c r="G13" s="1121" t="s">
        <v>33</v>
      </c>
      <c r="H13" s="1121" t="s">
        <v>34</v>
      </c>
      <c r="I13" s="1121" t="s">
        <v>35</v>
      </c>
      <c r="J13" s="1121" t="s">
        <v>36</v>
      </c>
      <c r="K13" s="1376" t="s">
        <v>37</v>
      </c>
      <c r="L13" s="1377"/>
      <c r="M13" s="1121" t="s">
        <v>38</v>
      </c>
      <c r="N13" s="72"/>
      <c r="O13" s="1323"/>
    </row>
    <row r="14" spans="1:25" x14ac:dyDescent="0.3">
      <c r="A14" s="7" t="s">
        <v>39</v>
      </c>
      <c r="B14" s="1324" t="s">
        <v>40</v>
      </c>
      <c r="C14" s="1324"/>
      <c r="D14" s="1324" t="s">
        <v>41</v>
      </c>
      <c r="E14" s="1158" t="s">
        <v>42</v>
      </c>
      <c r="F14" s="1158" t="s">
        <v>43</v>
      </c>
      <c r="G14" s="1158" t="s">
        <v>44</v>
      </c>
      <c r="H14" s="1158" t="s">
        <v>45</v>
      </c>
      <c r="I14" s="1158" t="s">
        <v>46</v>
      </c>
      <c r="J14" s="1158" t="s">
        <v>47</v>
      </c>
      <c r="K14" s="1158" t="s">
        <v>48</v>
      </c>
      <c r="L14" s="1158" t="s">
        <v>49</v>
      </c>
      <c r="M14" s="1158" t="s">
        <v>50</v>
      </c>
      <c r="N14" s="72"/>
      <c r="O14" s="1323"/>
    </row>
    <row r="15" spans="1:25" ht="5.25" customHeight="1" x14ac:dyDescent="0.3">
      <c r="A15" s="641"/>
      <c r="B15" s="1325"/>
      <c r="C15" s="1325"/>
      <c r="D15" s="1325"/>
      <c r="E15" s="1326"/>
      <c r="F15" s="1327"/>
      <c r="G15" s="1327"/>
      <c r="H15" s="1327"/>
      <c r="I15" s="1327"/>
      <c r="J15" s="1327"/>
      <c r="K15" s="1326"/>
      <c r="L15" s="1327"/>
      <c r="M15" s="1327"/>
      <c r="N15" s="72"/>
      <c r="O15" s="72"/>
    </row>
    <row r="16" spans="1:25" x14ac:dyDescent="0.3">
      <c r="A16" s="1123">
        <v>1</v>
      </c>
      <c r="B16" s="4" t="s">
        <v>51</v>
      </c>
      <c r="C16" s="4"/>
      <c r="D16" s="4" t="s">
        <v>52</v>
      </c>
      <c r="E16" s="1124">
        <f>SUM(F16:M16)</f>
        <v>21428994.139796074</v>
      </c>
      <c r="F16" s="1133">
        <v>13391601.631407283</v>
      </c>
      <c r="G16" s="1133">
        <v>1197543.7000630745</v>
      </c>
      <c r="H16" s="1133">
        <v>71328.096700935057</v>
      </c>
      <c r="I16" s="1133">
        <v>5234605.9141329415</v>
      </c>
      <c r="J16" s="1133">
        <v>769480.49550555646</v>
      </c>
      <c r="K16" s="1133">
        <v>115010.79417689457</v>
      </c>
      <c r="L16" s="1133">
        <v>627087.68598622642</v>
      </c>
      <c r="M16" s="1133">
        <v>22335.821823159858</v>
      </c>
      <c r="N16" s="72"/>
      <c r="O16" s="72"/>
    </row>
    <row r="17" spans="1:27" x14ac:dyDescent="0.3">
      <c r="A17" s="1123">
        <f>+A16+1</f>
        <v>2</v>
      </c>
      <c r="B17" s="4"/>
      <c r="C17" s="4"/>
      <c r="D17" s="4"/>
      <c r="E17" s="1125"/>
      <c r="F17" s="1125"/>
      <c r="G17" s="1125"/>
      <c r="H17" s="1125"/>
      <c r="I17" s="1125"/>
      <c r="J17" s="1125"/>
      <c r="K17" s="1125"/>
      <c r="L17" s="1125"/>
      <c r="M17" s="1125"/>
      <c r="N17" s="72"/>
      <c r="O17" s="72"/>
    </row>
    <row r="18" spans="1:27" ht="15.6" x14ac:dyDescent="0.3">
      <c r="A18" s="1123">
        <f t="shared" ref="A18:A54" si="0">+A17+1</f>
        <v>3</v>
      </c>
      <c r="B18" s="1324" t="s">
        <v>53</v>
      </c>
      <c r="C18" s="1328"/>
      <c r="D18" s="1329"/>
      <c r="E18" s="1330"/>
      <c r="F18" s="1330"/>
      <c r="G18" s="1330"/>
      <c r="H18" s="1330"/>
      <c r="I18" s="1330"/>
      <c r="J18" s="1330"/>
      <c r="K18" s="1330"/>
      <c r="L18" s="1330"/>
      <c r="M18" s="1330"/>
      <c r="N18" s="72"/>
      <c r="O18" s="72"/>
    </row>
    <row r="19" spans="1:27" x14ac:dyDescent="0.3">
      <c r="A19" s="1123">
        <f t="shared" si="0"/>
        <v>4</v>
      </c>
      <c r="B19" s="1240" t="s">
        <v>54</v>
      </c>
      <c r="C19" s="1240"/>
      <c r="D19" s="1240"/>
      <c r="E19" s="1330"/>
      <c r="F19" s="1330"/>
      <c r="G19" s="1330"/>
      <c r="H19" s="1330"/>
      <c r="I19" s="1330"/>
      <c r="J19" s="1330"/>
      <c r="K19" s="1330"/>
      <c r="L19" s="1330"/>
      <c r="M19" s="1330"/>
      <c r="N19" s="72"/>
      <c r="O19" s="72"/>
    </row>
    <row r="20" spans="1:27" x14ac:dyDescent="0.3">
      <c r="A20" s="1123">
        <f t="shared" si="0"/>
        <v>5</v>
      </c>
      <c r="B20" s="1126" t="s">
        <v>55</v>
      </c>
      <c r="C20" s="1126"/>
      <c r="D20" s="4" t="s">
        <v>56</v>
      </c>
      <c r="E20" s="1124">
        <f>SUM(F20:M20)</f>
        <v>3548355.8705858095</v>
      </c>
      <c r="F20" s="1124">
        <f>'MFR E-5 Yr4'!J24</f>
        <v>2242205.1568560041</v>
      </c>
      <c r="G20" s="1124">
        <f>'MFR E-5 Yr4'!K24</f>
        <v>199992.29389740311</v>
      </c>
      <c r="H20" s="1124">
        <f>'MFR E-5 Yr4'!L24</f>
        <v>11991.78251042675</v>
      </c>
      <c r="I20" s="1124">
        <f>'MFR E-5 Yr4'!M24</f>
        <v>854345.203261205</v>
      </c>
      <c r="J20" s="1124">
        <f>'MFR E-5 Yr4'!N24+'MFR E-5 Yr4'!O24</f>
        <v>111629.63909349756</v>
      </c>
      <c r="K20" s="1124">
        <f>'MFR E-5 Yr4'!P24</f>
        <v>14930.794967272886</v>
      </c>
      <c r="L20" s="1124">
        <f>'MFR E-5 Yr4'!Q33</f>
        <v>108687</v>
      </c>
      <c r="M20" s="1124">
        <f>'MFR E-5 Yr4'!R32</f>
        <v>4574</v>
      </c>
      <c r="N20" s="72"/>
      <c r="O20" s="72"/>
    </row>
    <row r="21" spans="1:27" x14ac:dyDescent="0.3">
      <c r="A21" s="1123">
        <f t="shared" si="0"/>
        <v>6</v>
      </c>
      <c r="B21" s="1126" t="s">
        <v>57</v>
      </c>
      <c r="C21" s="1126"/>
      <c r="D21" s="4" t="s">
        <v>56</v>
      </c>
      <c r="E21" s="1128">
        <f>SUM(F21:M21)</f>
        <v>52101.590521698643</v>
      </c>
      <c r="F21" s="1128">
        <f>'MFR E-5 Yr4'!J42</f>
        <v>42016.714499319205</v>
      </c>
      <c r="G21" s="1128">
        <f>'MFR E-5 Yr4'!K42</f>
        <v>3237.1957824704887</v>
      </c>
      <c r="H21" s="1128">
        <f>'MFR E-5 Yr4'!L42</f>
        <v>289.56700443989621</v>
      </c>
      <c r="I21" s="1128">
        <f>'MFR E-5 Yr4'!M42</f>
        <v>4920.8111455204753</v>
      </c>
      <c r="J21" s="1128">
        <f>'MFR E-5 Yr4'!N42+'MFR E-5 Yr4'!O42</f>
        <v>519.95123240367172</v>
      </c>
      <c r="K21" s="1128">
        <f>'MFR E-5 Yr4'!P42</f>
        <v>1101.1107089133363</v>
      </c>
      <c r="L21" s="1128">
        <f>'MFR E-5 Yr4'!Q42-L20</f>
        <v>15.681597795672133</v>
      </c>
      <c r="M21" s="1128">
        <f>'MFR E-5 Yr4'!R42-M20</f>
        <v>0.55855083589722199</v>
      </c>
      <c r="N21" s="72"/>
      <c r="O21" s="72"/>
    </row>
    <row r="22" spans="1:27" x14ac:dyDescent="0.3">
      <c r="A22" s="1123">
        <f t="shared" si="0"/>
        <v>7</v>
      </c>
      <c r="B22" s="1126" t="s">
        <v>58</v>
      </c>
      <c r="C22" s="1126"/>
      <c r="D22" s="4" t="s">
        <v>59</v>
      </c>
      <c r="E22" s="1128">
        <f>+E20+E21</f>
        <v>3600457.4611075083</v>
      </c>
      <c r="F22" s="1128">
        <f>+F20+F21</f>
        <v>2284221.8713553231</v>
      </c>
      <c r="G22" s="1128">
        <f t="shared" ref="G22:M22" si="1">+G20+G21</f>
        <v>203229.4896798736</v>
      </c>
      <c r="H22" s="1128">
        <f t="shared" si="1"/>
        <v>12281.349514866646</v>
      </c>
      <c r="I22" s="1128">
        <f t="shared" si="1"/>
        <v>859266.01440672542</v>
      </c>
      <c r="J22" s="1128">
        <f t="shared" si="1"/>
        <v>112149.59032590124</v>
      </c>
      <c r="K22" s="1128">
        <f t="shared" si="1"/>
        <v>16031.905676186223</v>
      </c>
      <c r="L22" s="1128">
        <f t="shared" si="1"/>
        <v>108702.68159779567</v>
      </c>
      <c r="M22" s="1128">
        <f t="shared" si="1"/>
        <v>4574.5585508358972</v>
      </c>
      <c r="N22" s="72"/>
      <c r="O22" s="72"/>
    </row>
    <row r="23" spans="1:27" x14ac:dyDescent="0.3">
      <c r="A23" s="1123">
        <f t="shared" si="0"/>
        <v>8</v>
      </c>
      <c r="B23" s="1126" t="s">
        <v>60</v>
      </c>
      <c r="C23" s="1126"/>
      <c r="D23" s="4" t="s">
        <v>52</v>
      </c>
      <c r="E23" s="1128">
        <f>+E22-E24</f>
        <v>2168302.9242542288</v>
      </c>
      <c r="F23" s="1331">
        <v>1373098.3045825914</v>
      </c>
      <c r="G23" s="1331">
        <v>122324.79531552581</v>
      </c>
      <c r="H23" s="1331">
        <v>8195.7469481051958</v>
      </c>
      <c r="I23" s="1331">
        <v>504604.08071374352</v>
      </c>
      <c r="J23" s="1331">
        <v>73653.675740928578</v>
      </c>
      <c r="K23" s="1331">
        <v>15144.492776260271</v>
      </c>
      <c r="L23" s="1331">
        <v>67926.488852594353</v>
      </c>
      <c r="M23" s="1331">
        <v>3355.3393244790473</v>
      </c>
      <c r="N23" s="72"/>
      <c r="O23" s="72"/>
    </row>
    <row r="24" spans="1:27" x14ac:dyDescent="0.3">
      <c r="A24" s="1123">
        <f>+A23+1</f>
        <v>9</v>
      </c>
      <c r="B24" s="1126" t="s">
        <v>61</v>
      </c>
      <c r="C24" s="1126"/>
      <c r="D24" s="4" t="s">
        <v>62</v>
      </c>
      <c r="E24" s="1128">
        <f>SUM(F24:M24)</f>
        <v>1432154.5368532795</v>
      </c>
      <c r="F24" s="1128">
        <f t="shared" ref="F24:M24" si="2">+F22-F23</f>
        <v>911123.56677273172</v>
      </c>
      <c r="G24" s="1128">
        <f t="shared" si="2"/>
        <v>80904.694364347786</v>
      </c>
      <c r="H24" s="1128">
        <f t="shared" si="2"/>
        <v>4085.6025667614504</v>
      </c>
      <c r="I24" s="1128">
        <f t="shared" si="2"/>
        <v>354661.9336929819</v>
      </c>
      <c r="J24" s="1128">
        <f t="shared" si="2"/>
        <v>38495.914584972663</v>
      </c>
      <c r="K24" s="1128">
        <f t="shared" si="2"/>
        <v>887.41289992595193</v>
      </c>
      <c r="L24" s="1128">
        <f t="shared" si="2"/>
        <v>40776.192745201319</v>
      </c>
      <c r="M24" s="1128">
        <f t="shared" si="2"/>
        <v>1219.21922635685</v>
      </c>
      <c r="N24" s="72"/>
      <c r="O24" s="72"/>
    </row>
    <row r="25" spans="1:27" x14ac:dyDescent="0.3">
      <c r="A25" s="1123">
        <f t="shared" si="0"/>
        <v>10</v>
      </c>
      <c r="B25" s="1126" t="s">
        <v>63</v>
      </c>
      <c r="C25" s="1126"/>
      <c r="D25" s="4" t="s">
        <v>64</v>
      </c>
      <c r="E25" s="418">
        <f>+E24/E16</f>
        <v>6.6832560012399553E-2</v>
      </c>
      <c r="F25" s="418">
        <f t="shared" ref="F25:M25" si="3">+F24/F16</f>
        <v>6.8036937765224167E-2</v>
      </c>
      <c r="G25" s="418">
        <f t="shared" si="3"/>
        <v>6.7558866002206466E-2</v>
      </c>
      <c r="H25" s="418">
        <f t="shared" si="3"/>
        <v>5.7279007231772823E-2</v>
      </c>
      <c r="I25" s="418">
        <f t="shared" si="3"/>
        <v>6.775332078684819E-2</v>
      </c>
      <c r="J25" s="418">
        <f t="shared" si="3"/>
        <v>5.0028447517283019E-2</v>
      </c>
      <c r="K25" s="418">
        <f t="shared" si="3"/>
        <v>7.7159096785389498E-3</v>
      </c>
      <c r="L25" s="418">
        <f t="shared" si="3"/>
        <v>6.502470652261691E-2</v>
      </c>
      <c r="M25" s="418">
        <f t="shared" si="3"/>
        <v>5.4585823436890508E-2</v>
      </c>
      <c r="N25" s="72"/>
      <c r="O25" s="72"/>
    </row>
    <row r="26" spans="1:27" x14ac:dyDescent="0.3">
      <c r="A26" s="1123">
        <f t="shared" si="0"/>
        <v>11</v>
      </c>
      <c r="B26" s="1126" t="s">
        <v>65</v>
      </c>
      <c r="C26" s="1126"/>
      <c r="D26" s="4" t="s">
        <v>66</v>
      </c>
      <c r="E26" s="1239">
        <f>+E25/E25</f>
        <v>1</v>
      </c>
      <c r="F26" s="1239">
        <f>+F25/E25</f>
        <v>1.0180208232723864</v>
      </c>
      <c r="G26" s="1239">
        <f>+G25/E25</f>
        <v>1.0108675470410255</v>
      </c>
      <c r="H26" s="1239">
        <f>+H25/E25</f>
        <v>0.85705241907755381</v>
      </c>
      <c r="I26" s="1239">
        <f>+I25/E25</f>
        <v>1.0137771286073405</v>
      </c>
      <c r="J26" s="1239">
        <f>+J25/E25</f>
        <v>0.74856398599726182</v>
      </c>
      <c r="K26" s="1239">
        <f>+K25/E25</f>
        <v>0.11545135600233486</v>
      </c>
      <c r="L26" s="1239">
        <f>+L25/E25</f>
        <v>0.9729495100973653</v>
      </c>
      <c r="M26" s="1239">
        <f>+M25/E25</f>
        <v>0.81675493841270053</v>
      </c>
      <c r="N26" s="72"/>
      <c r="O26" s="72"/>
    </row>
    <row r="27" spans="1:27" x14ac:dyDescent="0.3">
      <c r="A27" s="1123">
        <f t="shared" si="0"/>
        <v>12</v>
      </c>
      <c r="B27" s="4"/>
      <c r="C27" s="4"/>
      <c r="D27" s="4"/>
      <c r="E27" s="1239"/>
      <c r="F27" s="1239"/>
      <c r="G27" s="1239"/>
      <c r="H27" s="1239"/>
      <c r="I27" s="1239"/>
      <c r="J27" s="1239"/>
      <c r="K27" s="1239"/>
      <c r="L27" s="1239"/>
      <c r="M27" s="1239"/>
      <c r="N27" s="72"/>
      <c r="O27" s="72"/>
    </row>
    <row r="28" spans="1:27" x14ac:dyDescent="0.3">
      <c r="A28" s="1123">
        <f t="shared" si="0"/>
        <v>13</v>
      </c>
      <c r="B28" s="1240" t="s">
        <v>67</v>
      </c>
      <c r="C28" s="1240"/>
      <c r="D28" s="1240"/>
      <c r="E28" s="1239"/>
      <c r="F28" s="1239"/>
      <c r="G28" s="1239"/>
      <c r="H28" s="1239"/>
      <c r="I28" s="1239"/>
      <c r="J28" s="1239"/>
      <c r="K28" s="1239"/>
      <c r="L28" s="1239"/>
      <c r="M28" s="1239"/>
      <c r="N28" s="72"/>
      <c r="O28" s="72"/>
    </row>
    <row r="29" spans="1:27" x14ac:dyDescent="0.3">
      <c r="A29" s="1123">
        <f t="shared" si="0"/>
        <v>14</v>
      </c>
      <c r="B29" s="1126" t="s">
        <v>68</v>
      </c>
      <c r="C29" s="1332">
        <v>7.0242016418533962E-2</v>
      </c>
      <c r="D29" s="418" t="s">
        <v>69</v>
      </c>
      <c r="E29" s="1124">
        <f>+E16*C29</f>
        <v>1505215.758200224</v>
      </c>
      <c r="F29" s="1124">
        <f>+F16*C29</f>
        <v>940653.10166377656</v>
      </c>
      <c r="G29" s="1124">
        <f>+G16*C29</f>
        <v>84117.884241742388</v>
      </c>
      <c r="H29" s="1124">
        <f>+H16*C29</f>
        <v>5010.229339569858</v>
      </c>
      <c r="I29" s="1124">
        <f>+I16*C29</f>
        <v>367689.27456508105</v>
      </c>
      <c r="J29" s="1124">
        <f>+J16*C29</f>
        <v>54049.861599042946</v>
      </c>
      <c r="K29" s="1124">
        <f>+K16*C29</f>
        <v>8078.5900928820593</v>
      </c>
      <c r="L29" s="1124">
        <f>+L16*C29</f>
        <v>44047.903534904988</v>
      </c>
      <c r="M29" s="1124">
        <f>+M16*C29</f>
        <v>1568.9131632238439</v>
      </c>
      <c r="N29" s="72"/>
      <c r="O29" s="72"/>
    </row>
    <row r="30" spans="1:27" x14ac:dyDescent="0.3">
      <c r="A30" s="1123">
        <f t="shared" si="0"/>
        <v>15</v>
      </c>
      <c r="B30" s="1126" t="s">
        <v>70</v>
      </c>
      <c r="C30" s="1126"/>
      <c r="D30" s="418" t="s">
        <v>71</v>
      </c>
      <c r="E30" s="1128">
        <f>+E29-E24</f>
        <v>73061.221346944571</v>
      </c>
      <c r="F30" s="1128">
        <f t="shared" ref="F30:M30" si="4">+F29-F24</f>
        <v>29529.534891044837</v>
      </c>
      <c r="G30" s="1128">
        <f t="shared" si="4"/>
        <v>3213.1898773946014</v>
      </c>
      <c r="H30" s="1128">
        <f t="shared" si="4"/>
        <v>924.62677280840762</v>
      </c>
      <c r="I30" s="1128">
        <f t="shared" si="4"/>
        <v>13027.340872099157</v>
      </c>
      <c r="J30" s="1128">
        <f t="shared" si="4"/>
        <v>15553.947014070283</v>
      </c>
      <c r="K30" s="1128">
        <f t="shared" si="4"/>
        <v>7191.1771929561073</v>
      </c>
      <c r="L30" s="1128">
        <f t="shared" si="4"/>
        <v>3271.7107897036694</v>
      </c>
      <c r="M30" s="1128">
        <f t="shared" si="4"/>
        <v>349.69393686699391</v>
      </c>
      <c r="N30" s="72"/>
      <c r="O30" s="72"/>
    </row>
    <row r="31" spans="1:27" x14ac:dyDescent="0.3">
      <c r="A31" s="1123">
        <f t="shared" si="0"/>
        <v>16</v>
      </c>
      <c r="B31" s="1126" t="s">
        <v>72</v>
      </c>
      <c r="C31" s="1126"/>
      <c r="D31" s="418" t="s">
        <v>73</v>
      </c>
      <c r="E31" s="1128">
        <f>E30*$AA$31</f>
        <v>98168.665423871891</v>
      </c>
      <c r="F31" s="1128">
        <f>F30*$AA$31</f>
        <v>39677.341514395077</v>
      </c>
      <c r="G31" s="1128">
        <f t="shared" ref="G31:M31" si="5">G30*$AA$31</f>
        <v>4317.4006155662773</v>
      </c>
      <c r="H31" s="1128">
        <f t="shared" si="5"/>
        <v>1242.3741983554858</v>
      </c>
      <c r="I31" s="1128">
        <f t="shared" si="5"/>
        <v>17504.178603350385</v>
      </c>
      <c r="J31" s="1128">
        <f t="shared" si="5"/>
        <v>20899.051402303889</v>
      </c>
      <c r="K31" s="1128">
        <f t="shared" si="5"/>
        <v>9662.4208416495239</v>
      </c>
      <c r="L31" s="1128">
        <f t="shared" si="5"/>
        <v>4396.0322036352454</v>
      </c>
      <c r="M31" s="1128">
        <f t="shared" si="5"/>
        <v>469.8660446153101</v>
      </c>
      <c r="N31" s="72"/>
      <c r="O31" s="72"/>
      <c r="AA31" s="1334">
        <v>1.3436493890199293</v>
      </c>
    </row>
    <row r="32" spans="1:27" x14ac:dyDescent="0.3">
      <c r="A32" s="1123">
        <f t="shared" si="0"/>
        <v>17</v>
      </c>
      <c r="B32" s="1126" t="s">
        <v>74</v>
      </c>
      <c r="C32" s="1126"/>
      <c r="D32" s="418" t="s">
        <v>75</v>
      </c>
      <c r="E32" s="1128">
        <f>+E22+E31</f>
        <v>3698626.1265313802</v>
      </c>
      <c r="F32" s="1128">
        <f>+F22+F31</f>
        <v>2323899.2128697182</v>
      </c>
      <c r="G32" s="1128">
        <f t="shared" ref="G32:M32" si="6">+G22+G31</f>
        <v>207546.89029543987</v>
      </c>
      <c r="H32" s="1128">
        <f t="shared" si="6"/>
        <v>13523.723713222133</v>
      </c>
      <c r="I32" s="1128">
        <f t="shared" si="6"/>
        <v>876770.19301007583</v>
      </c>
      <c r="J32" s="1128">
        <f t="shared" si="6"/>
        <v>133048.64172820514</v>
      </c>
      <c r="K32" s="1128">
        <f t="shared" si="6"/>
        <v>25694.326517835747</v>
      </c>
      <c r="L32" s="1128">
        <f t="shared" si="6"/>
        <v>113098.71380143092</v>
      </c>
      <c r="M32" s="1128">
        <f t="shared" si="6"/>
        <v>5044.4245954512071</v>
      </c>
      <c r="N32" s="72"/>
      <c r="O32" s="72"/>
    </row>
    <row r="33" spans="1:15" x14ac:dyDescent="0.3">
      <c r="A33" s="1123">
        <f t="shared" si="0"/>
        <v>18</v>
      </c>
      <c r="B33" s="1126" t="s">
        <v>76</v>
      </c>
      <c r="C33" s="1126"/>
      <c r="D33" s="418" t="s">
        <v>77</v>
      </c>
      <c r="E33" s="1128">
        <f>+E21</f>
        <v>52101.590521698643</v>
      </c>
      <c r="F33" s="1128">
        <f t="shared" ref="F33:M33" si="7">+F21</f>
        <v>42016.714499319205</v>
      </c>
      <c r="G33" s="1128">
        <f t="shared" si="7"/>
        <v>3237.1957824704887</v>
      </c>
      <c r="H33" s="1128">
        <f t="shared" si="7"/>
        <v>289.56700443989621</v>
      </c>
      <c r="I33" s="1128">
        <f t="shared" si="7"/>
        <v>4920.8111455204753</v>
      </c>
      <c r="J33" s="1128">
        <f t="shared" si="7"/>
        <v>519.95123240367172</v>
      </c>
      <c r="K33" s="1128">
        <f t="shared" si="7"/>
        <v>1101.1107089133363</v>
      </c>
      <c r="L33" s="1128">
        <f t="shared" si="7"/>
        <v>15.681597795672133</v>
      </c>
      <c r="M33" s="1128">
        <f t="shared" si="7"/>
        <v>0.55855083589722199</v>
      </c>
      <c r="N33" s="72"/>
      <c r="O33" s="72"/>
    </row>
    <row r="34" spans="1:15" x14ac:dyDescent="0.3">
      <c r="A34" s="1123">
        <f t="shared" si="0"/>
        <v>19</v>
      </c>
      <c r="B34" s="1126" t="s">
        <v>78</v>
      </c>
      <c r="C34" s="1126"/>
      <c r="D34" s="418" t="s">
        <v>79</v>
      </c>
      <c r="E34" s="1128">
        <f>+E32-E33</f>
        <v>3646524.5360096814</v>
      </c>
      <c r="F34" s="1128">
        <f t="shared" ref="F34:M34" si="8">+F32-F33</f>
        <v>2281882.4983703988</v>
      </c>
      <c r="G34" s="1128">
        <f t="shared" si="8"/>
        <v>204309.69451296938</v>
      </c>
      <c r="H34" s="1128">
        <f t="shared" si="8"/>
        <v>13234.156708782237</v>
      </c>
      <c r="I34" s="1128">
        <f t="shared" si="8"/>
        <v>871849.38186455541</v>
      </c>
      <c r="J34" s="1128">
        <f t="shared" si="8"/>
        <v>132528.69049580148</v>
      </c>
      <c r="K34" s="1128">
        <f t="shared" si="8"/>
        <v>24593.21580892241</v>
      </c>
      <c r="L34" s="1128">
        <f t="shared" si="8"/>
        <v>113083.03220363524</v>
      </c>
      <c r="M34" s="1128">
        <f t="shared" si="8"/>
        <v>5043.8660446153099</v>
      </c>
      <c r="N34" s="72"/>
      <c r="O34" s="72"/>
    </row>
    <row r="35" spans="1:15" x14ac:dyDescent="0.3">
      <c r="A35" s="1123">
        <f t="shared" si="0"/>
        <v>20</v>
      </c>
      <c r="B35" s="1126" t="s">
        <v>80</v>
      </c>
      <c r="C35" s="1126"/>
      <c r="D35" s="418" t="s">
        <v>81</v>
      </c>
      <c r="E35" s="1239">
        <f>+E20/E34</f>
        <v>0.97307884138596912</v>
      </c>
      <c r="F35" s="1239">
        <f t="shared" ref="F35:M35" si="9">+F20/F34</f>
        <v>0.98261201374622487</v>
      </c>
      <c r="G35" s="1239">
        <f>+G20/G34</f>
        <v>0.97886835166653241</v>
      </c>
      <c r="H35" s="1239">
        <f t="shared" si="9"/>
        <v>0.90612365973186326</v>
      </c>
      <c r="I35" s="1239">
        <f t="shared" si="9"/>
        <v>0.97992293282824194</v>
      </c>
      <c r="J35" s="1239">
        <f t="shared" si="9"/>
        <v>0.84230545609317709</v>
      </c>
      <c r="K35" s="1239">
        <f t="shared" si="9"/>
        <v>0.60711031380678571</v>
      </c>
      <c r="L35" s="1239">
        <f t="shared" si="9"/>
        <v>0.96112562496804077</v>
      </c>
      <c r="M35" s="1239">
        <f t="shared" si="9"/>
        <v>0.90684406753487723</v>
      </c>
      <c r="N35" s="72"/>
      <c r="O35" s="72"/>
    </row>
    <row r="36" spans="1:15" x14ac:dyDescent="0.3">
      <c r="A36" s="1123">
        <f t="shared" si="0"/>
        <v>21</v>
      </c>
      <c r="B36" s="4"/>
      <c r="C36" s="4"/>
      <c r="D36" s="418"/>
      <c r="E36" s="4"/>
      <c r="F36" s="4"/>
      <c r="G36" s="4"/>
      <c r="H36" s="4"/>
      <c r="I36" s="4"/>
      <c r="J36" s="4"/>
      <c r="K36" s="4"/>
      <c r="L36" s="4"/>
      <c r="M36" s="4"/>
      <c r="N36" s="72"/>
      <c r="O36" s="72"/>
    </row>
    <row r="37" spans="1:15" ht="15.6" x14ac:dyDescent="0.3">
      <c r="A37" s="1123">
        <f t="shared" si="0"/>
        <v>22</v>
      </c>
      <c r="B37" s="1324" t="s">
        <v>82</v>
      </c>
      <c r="C37" s="1328"/>
      <c r="D37" s="418"/>
      <c r="E37" s="4"/>
      <c r="F37" s="4"/>
      <c r="G37" s="4"/>
      <c r="H37" s="4"/>
      <c r="I37" s="4"/>
      <c r="J37" s="4"/>
      <c r="K37" s="4"/>
      <c r="L37" s="4"/>
      <c r="M37" s="4"/>
      <c r="N37" s="72"/>
      <c r="O37" s="72"/>
    </row>
    <row r="38" spans="1:15" x14ac:dyDescent="0.3">
      <c r="A38" s="1123">
        <f t="shared" si="0"/>
        <v>23</v>
      </c>
      <c r="B38" s="1240" t="s">
        <v>54</v>
      </c>
      <c r="C38" s="1240"/>
      <c r="D38" s="418"/>
      <c r="E38" s="4"/>
      <c r="F38" s="1239"/>
      <c r="G38" s="4"/>
      <c r="H38" s="4"/>
      <c r="I38" s="4"/>
      <c r="J38" s="4"/>
      <c r="K38" s="4"/>
      <c r="L38" s="4"/>
      <c r="M38" s="4"/>
      <c r="N38" s="72"/>
      <c r="O38" s="72"/>
    </row>
    <row r="39" spans="1:15" x14ac:dyDescent="0.3">
      <c r="A39" s="1123">
        <f t="shared" si="0"/>
        <v>24</v>
      </c>
      <c r="B39" s="1126" t="s">
        <v>83</v>
      </c>
      <c r="C39" s="1126"/>
      <c r="D39" s="4" t="s">
        <v>84</v>
      </c>
      <c r="E39" s="1333">
        <f>SUM(F39:M39)</f>
        <v>3646034.0930335042</v>
      </c>
      <c r="F39" s="1333">
        <f>F20+'MFR E-5 Yr4'!J57</f>
        <v>2299803.4301500805</v>
      </c>
      <c r="G39" s="1333">
        <f>G20+'MFR E-5 Yr4'!K57</f>
        <v>205905.7984041523</v>
      </c>
      <c r="H39" s="1333">
        <f>H20+'MFR E-5 Yr4'!L57</f>
        <v>12477.58858348337</v>
      </c>
      <c r="I39" s="1333">
        <f>I20+'MFR E-5 Yr4'!M57</f>
        <v>878029.9759091005</v>
      </c>
      <c r="J39" s="1333">
        <f>J20+'MFR E-5 Yr4'!N57+'MFR E-5 Yr4'!O57</f>
        <v>116149.45272593357</v>
      </c>
      <c r="K39" s="1333">
        <f>K20+'MFR E-5 Yr4'!P57</f>
        <v>15535.653983553464</v>
      </c>
      <c r="L39" s="1333">
        <f>L20+'MFR E-5 Yr4'!Q57</f>
        <v>113089.39845368821</v>
      </c>
      <c r="M39" s="1333">
        <f>M20+'MFR E-5 Yr4'!R57</f>
        <v>5042.7948235122058</v>
      </c>
      <c r="N39" s="72"/>
      <c r="O39" s="72"/>
    </row>
    <row r="40" spans="1:15" x14ac:dyDescent="0.3">
      <c r="A40" s="1123">
        <f t="shared" si="0"/>
        <v>25</v>
      </c>
      <c r="B40" s="1126" t="s">
        <v>85</v>
      </c>
      <c r="C40" s="1126"/>
      <c r="D40" s="4" t="s">
        <v>84</v>
      </c>
      <c r="E40" s="1128">
        <f>SUM(F40:M40)</f>
        <v>52101.590521698643</v>
      </c>
      <c r="F40" s="1128">
        <f>F21</f>
        <v>42016.714499319205</v>
      </c>
      <c r="G40" s="1128">
        <f t="shared" ref="G40:M40" si="10">G21</f>
        <v>3237.1957824704887</v>
      </c>
      <c r="H40" s="1128">
        <f t="shared" si="10"/>
        <v>289.56700443989621</v>
      </c>
      <c r="I40" s="1128">
        <f t="shared" si="10"/>
        <v>4920.8111455204753</v>
      </c>
      <c r="J40" s="1128">
        <f t="shared" si="10"/>
        <v>519.95123240367172</v>
      </c>
      <c r="K40" s="1128">
        <f t="shared" si="10"/>
        <v>1101.1107089133363</v>
      </c>
      <c r="L40" s="1128">
        <f t="shared" si="10"/>
        <v>15.681597795672133</v>
      </c>
      <c r="M40" s="1128">
        <f t="shared" si="10"/>
        <v>0.55855083589722199</v>
      </c>
      <c r="N40" s="72"/>
      <c r="O40" s="72"/>
    </row>
    <row r="41" spans="1:15" x14ac:dyDescent="0.3">
      <c r="A41" s="1123">
        <f t="shared" si="0"/>
        <v>26</v>
      </c>
      <c r="B41" s="1126" t="s">
        <v>58</v>
      </c>
      <c r="C41" s="1126"/>
      <c r="D41" s="4" t="s">
        <v>86</v>
      </c>
      <c r="E41" s="1128">
        <f>+E39+E40</f>
        <v>3698135.683555203</v>
      </c>
      <c r="F41" s="1128">
        <f t="shared" ref="F41:K41" si="11">+F39+F40</f>
        <v>2341820.1446493994</v>
      </c>
      <c r="G41" s="1128">
        <f t="shared" si="11"/>
        <v>209142.99418662279</v>
      </c>
      <c r="H41" s="1128">
        <f t="shared" si="11"/>
        <v>12767.155587923266</v>
      </c>
      <c r="I41" s="1128">
        <f t="shared" si="11"/>
        <v>882950.78705462092</v>
      </c>
      <c r="J41" s="1128">
        <f t="shared" si="11"/>
        <v>116669.40395833725</v>
      </c>
      <c r="K41" s="1128">
        <f t="shared" si="11"/>
        <v>16636.764692466801</v>
      </c>
      <c r="L41" s="1128">
        <f>+L39+L40</f>
        <v>113105.08005148388</v>
      </c>
      <c r="M41" s="1128">
        <f>+M39+M40</f>
        <v>5043.353374348103</v>
      </c>
      <c r="N41" s="72"/>
      <c r="O41" s="72"/>
    </row>
    <row r="42" spans="1:15" x14ac:dyDescent="0.3">
      <c r="A42" s="1123">
        <f t="shared" si="0"/>
        <v>27</v>
      </c>
      <c r="B42" s="1126" t="s">
        <v>60</v>
      </c>
      <c r="C42" s="1126"/>
      <c r="D42" s="4" t="s">
        <v>87</v>
      </c>
      <c r="E42" s="1128">
        <f>SUM(F42:M42)</f>
        <v>2192778.7561413078</v>
      </c>
      <c r="F42" s="1331">
        <v>1387851.380144754</v>
      </c>
      <c r="G42" s="1331">
        <v>123839.2043912107</v>
      </c>
      <c r="H42" s="1331">
        <v>8317.1722507411578</v>
      </c>
      <c r="I42" s="1331">
        <v>510166.01869205659</v>
      </c>
      <c r="J42" s="1331">
        <v>74785.68815784053</v>
      </c>
      <c r="K42" s="1331">
        <v>15295.770110384075</v>
      </c>
      <c r="L42" s="1331">
        <v>69048.427789678579</v>
      </c>
      <c r="M42" s="1331">
        <v>3475.0946046414942</v>
      </c>
      <c r="N42" s="72"/>
      <c r="O42" s="72"/>
    </row>
    <row r="43" spans="1:15" x14ac:dyDescent="0.3">
      <c r="A43" s="1123">
        <f t="shared" si="0"/>
        <v>28</v>
      </c>
      <c r="B43" s="1126" t="s">
        <v>61</v>
      </c>
      <c r="C43" s="1126"/>
      <c r="D43" s="4" t="s">
        <v>88</v>
      </c>
      <c r="E43" s="1128">
        <f>+E41-E42</f>
        <v>1505356.9274138953</v>
      </c>
      <c r="F43" s="1128">
        <f t="shared" ref="F43:M43" si="12">+F41-F42</f>
        <v>953968.76450464549</v>
      </c>
      <c r="G43" s="1128">
        <f t="shared" si="12"/>
        <v>85303.789795412085</v>
      </c>
      <c r="H43" s="1128">
        <f t="shared" si="12"/>
        <v>4449.9833371821078</v>
      </c>
      <c r="I43" s="1128">
        <f t="shared" si="12"/>
        <v>372784.76836256433</v>
      </c>
      <c r="J43" s="1128">
        <f t="shared" si="12"/>
        <v>41883.71580049672</v>
      </c>
      <c r="K43" s="1128">
        <f t="shared" si="12"/>
        <v>1340.9945820827252</v>
      </c>
      <c r="L43" s="1128">
        <f t="shared" si="12"/>
        <v>44056.652261805299</v>
      </c>
      <c r="M43" s="1128">
        <f t="shared" si="12"/>
        <v>1568.2587697066087</v>
      </c>
      <c r="N43" s="72"/>
      <c r="O43" s="72"/>
    </row>
    <row r="44" spans="1:15" x14ac:dyDescent="0.3">
      <c r="A44" s="1123">
        <f t="shared" si="0"/>
        <v>29</v>
      </c>
      <c r="B44" s="1126" t="s">
        <v>63</v>
      </c>
      <c r="C44" s="1126"/>
      <c r="D44" s="4" t="s">
        <v>89</v>
      </c>
      <c r="E44" s="418">
        <f>+E43/E16</f>
        <v>7.0248604185218222E-2</v>
      </c>
      <c r="F44" s="418">
        <f t="shared" ref="F44:M44" si="13">+F43/F16</f>
        <v>7.1236345790581565E-2</v>
      </c>
      <c r="G44" s="418">
        <f t="shared" si="13"/>
        <v>7.1232298070558212E-2</v>
      </c>
      <c r="H44" s="418">
        <f t="shared" si="13"/>
        <v>6.238752389314451E-2</v>
      </c>
      <c r="I44" s="418">
        <f t="shared" si="13"/>
        <v>7.1215440947728401E-2</v>
      </c>
      <c r="J44" s="418">
        <f t="shared" si="13"/>
        <v>5.4431159782651409E-2</v>
      </c>
      <c r="K44" s="418">
        <f t="shared" si="13"/>
        <v>1.1659728042745123E-2</v>
      </c>
      <c r="L44" s="418">
        <f t="shared" si="13"/>
        <v>7.0255967779875958E-2</v>
      </c>
      <c r="M44" s="418">
        <f t="shared" si="13"/>
        <v>7.0212718480789998E-2</v>
      </c>
      <c r="N44" s="72"/>
      <c r="O44" s="72"/>
    </row>
    <row r="45" spans="1:15" x14ac:dyDescent="0.3">
      <c r="A45" s="1123">
        <f t="shared" si="0"/>
        <v>30</v>
      </c>
      <c r="B45" s="1126" t="s">
        <v>90</v>
      </c>
      <c r="C45" s="1126"/>
      <c r="D45" s="4" t="s">
        <v>91</v>
      </c>
      <c r="E45" s="1239">
        <f>+E44/E44</f>
        <v>1</v>
      </c>
      <c r="F45" s="1239">
        <f>+F44/E44</f>
        <v>1.0140606580987581</v>
      </c>
      <c r="G45" s="1239">
        <f>+G44/E44</f>
        <v>1.0140030381635252</v>
      </c>
      <c r="H45" s="1239">
        <f>+H44/E44</f>
        <v>0.8880962777374608</v>
      </c>
      <c r="I45" s="1239">
        <f>+I44/E44</f>
        <v>1.0137630743517836</v>
      </c>
      <c r="J45" s="1239">
        <f>+J44/E44</f>
        <v>0.77483617523755532</v>
      </c>
      <c r="K45" s="1239">
        <f>+K44/E44</f>
        <v>0.16597807426896283</v>
      </c>
      <c r="L45" s="1239">
        <f>+L44/E44</f>
        <v>1.0001048219355124</v>
      </c>
      <c r="M45" s="1239">
        <f>+M44/E44</f>
        <v>0.99948916131723264</v>
      </c>
      <c r="N45" s="72"/>
      <c r="O45" s="72"/>
    </row>
    <row r="46" spans="1:15" x14ac:dyDescent="0.3">
      <c r="A46" s="1123">
        <f t="shared" si="0"/>
        <v>31</v>
      </c>
      <c r="B46" s="4"/>
      <c r="C46" s="4"/>
      <c r="D46" s="4"/>
      <c r="E46" s="1239"/>
      <c r="F46" s="1239"/>
      <c r="G46" s="1239"/>
      <c r="H46" s="1239"/>
      <c r="I46" s="1239"/>
      <c r="J46" s="1239"/>
      <c r="K46" s="1239"/>
      <c r="L46" s="1239"/>
      <c r="M46" s="1239"/>
      <c r="N46" s="72"/>
      <c r="O46" s="72"/>
    </row>
    <row r="47" spans="1:15" x14ac:dyDescent="0.3">
      <c r="A47" s="1123">
        <f t="shared" si="0"/>
        <v>32</v>
      </c>
      <c r="B47" s="1240" t="s">
        <v>67</v>
      </c>
      <c r="C47" s="1240"/>
      <c r="D47" s="1240"/>
      <c r="E47" s="1239"/>
      <c r="F47" s="1239"/>
      <c r="G47" s="1239"/>
      <c r="H47" s="1239"/>
      <c r="I47" s="1239"/>
      <c r="J47" s="1239"/>
      <c r="K47" s="1239"/>
      <c r="L47" s="1239"/>
      <c r="M47" s="1239"/>
      <c r="N47" s="72"/>
      <c r="O47" s="72"/>
    </row>
    <row r="48" spans="1:15" x14ac:dyDescent="0.3">
      <c r="A48" s="1123">
        <f t="shared" si="0"/>
        <v>33</v>
      </c>
      <c r="B48" s="1126" t="s">
        <v>68</v>
      </c>
      <c r="C48" s="1130">
        <f>+C29</f>
        <v>7.0242016418533962E-2</v>
      </c>
      <c r="D48" s="418" t="s">
        <v>69</v>
      </c>
      <c r="E48" s="1124">
        <f>+E16*C48</f>
        <v>1505215.758200224</v>
      </c>
      <c r="F48" s="1124">
        <f>+F16*C48</f>
        <v>940653.10166377656</v>
      </c>
      <c r="G48" s="1124">
        <f>+G16*C48</f>
        <v>84117.884241742388</v>
      </c>
      <c r="H48" s="1124">
        <f>+H16*C48</f>
        <v>5010.229339569858</v>
      </c>
      <c r="I48" s="1124">
        <f>+I16*C48</f>
        <v>367689.27456508105</v>
      </c>
      <c r="J48" s="1124">
        <f>+J16*C48</f>
        <v>54049.861599042946</v>
      </c>
      <c r="K48" s="1124">
        <f>+K16*C48</f>
        <v>8078.5900928820593</v>
      </c>
      <c r="L48" s="1124">
        <f>+L16*C48</f>
        <v>44047.903534904988</v>
      </c>
      <c r="M48" s="1124">
        <f>+M16*C48</f>
        <v>1568.9131632238439</v>
      </c>
      <c r="N48" s="72"/>
      <c r="O48" s="72"/>
    </row>
    <row r="49" spans="1:25" x14ac:dyDescent="0.3">
      <c r="A49" s="1123">
        <f t="shared" si="0"/>
        <v>34</v>
      </c>
      <c r="B49" s="1126" t="s">
        <v>70</v>
      </c>
      <c r="C49" s="1126"/>
      <c r="D49" s="4" t="s">
        <v>92</v>
      </c>
      <c r="E49" s="1128">
        <f>+E48-E43</f>
        <v>-141.16921367123723</v>
      </c>
      <c r="F49" s="1128">
        <f>+F48-F43</f>
        <v>-13315.662840868928</v>
      </c>
      <c r="G49" s="1128">
        <f t="shared" ref="G49:K49" si="14">+G48-G43</f>
        <v>-1185.9055536696978</v>
      </c>
      <c r="H49" s="1128">
        <f t="shared" si="14"/>
        <v>560.2460023877502</v>
      </c>
      <c r="I49" s="1128">
        <f t="shared" si="14"/>
        <v>-5095.4937974832719</v>
      </c>
      <c r="J49" s="1128">
        <f t="shared" si="14"/>
        <v>12166.145798546226</v>
      </c>
      <c r="K49" s="1128">
        <f t="shared" si="14"/>
        <v>6737.5955107993341</v>
      </c>
      <c r="L49" s="1128">
        <f>+L48-L43</f>
        <v>-8.7487269003104302</v>
      </c>
      <c r="M49" s="1128">
        <f>+M48-M43</f>
        <v>0.65439351723512118</v>
      </c>
      <c r="N49" s="72"/>
      <c r="O49" s="72"/>
    </row>
    <row r="50" spans="1:25" x14ac:dyDescent="0.3">
      <c r="A50" s="1123">
        <f t="shared" si="0"/>
        <v>35</v>
      </c>
      <c r="B50" s="1126" t="s">
        <v>72</v>
      </c>
      <c r="C50" s="1126"/>
      <c r="D50" s="418" t="s">
        <v>93</v>
      </c>
      <c r="E50" s="1128">
        <f>E49*$AA$31</f>
        <v>-189.68192769778176</v>
      </c>
      <c r="F50" s="1128">
        <f t="shared" ref="F50:M50" si="15">F49*$AA$31</f>
        <v>-17891.582240528911</v>
      </c>
      <c r="G50" s="1128">
        <f t="shared" si="15"/>
        <v>-1593.4412726236303</v>
      </c>
      <c r="H50" s="1128">
        <f t="shared" si="15"/>
        <v>752.77419880915841</v>
      </c>
      <c r="I50" s="1128">
        <f t="shared" si="15"/>
        <v>-6846.5571277432373</v>
      </c>
      <c r="J50" s="1128">
        <f t="shared" si="15"/>
        <v>16347.034368944016</v>
      </c>
      <c r="K50" s="1128">
        <f t="shared" si="15"/>
        <v>9052.966091548944</v>
      </c>
      <c r="L50" s="1128">
        <f t="shared" si="15"/>
        <v>-11.755221554304329</v>
      </c>
      <c r="M50" s="1128">
        <f t="shared" si="15"/>
        <v>0.87927544961157311</v>
      </c>
      <c r="N50" s="72"/>
      <c r="O50" s="72"/>
    </row>
    <row r="51" spans="1:25" x14ac:dyDescent="0.3">
      <c r="A51" s="1123">
        <f t="shared" si="0"/>
        <v>36</v>
      </c>
      <c r="B51" s="1126" t="s">
        <v>74</v>
      </c>
      <c r="C51" s="1126"/>
      <c r="D51" s="4" t="s">
        <v>94</v>
      </c>
      <c r="E51" s="1128">
        <f>+E41+E50</f>
        <v>3697946.0016275053</v>
      </c>
      <c r="F51" s="1128">
        <f t="shared" ref="F51:M51" si="16">+F41+F50</f>
        <v>2323928.5624088706</v>
      </c>
      <c r="G51" s="1128">
        <f t="shared" si="16"/>
        <v>207549.55291399916</v>
      </c>
      <c r="H51" s="1128">
        <f t="shared" si="16"/>
        <v>13519.929786732424</v>
      </c>
      <c r="I51" s="1128">
        <f t="shared" si="16"/>
        <v>876104.22992687766</v>
      </c>
      <c r="J51" s="1128">
        <f t="shared" si="16"/>
        <v>133016.43832728127</v>
      </c>
      <c r="K51" s="1128">
        <f t="shared" si="16"/>
        <v>25689.730784015745</v>
      </c>
      <c r="L51" s="1128">
        <f t="shared" si="16"/>
        <v>113093.32482992957</v>
      </c>
      <c r="M51" s="1128">
        <f t="shared" si="16"/>
        <v>5044.2326497977147</v>
      </c>
      <c r="N51" s="72"/>
      <c r="O51" s="72"/>
    </row>
    <row r="52" spans="1:25" x14ac:dyDescent="0.3">
      <c r="A52" s="1123">
        <f t="shared" si="0"/>
        <v>37</v>
      </c>
      <c r="B52" s="1126" t="s">
        <v>76</v>
      </c>
      <c r="C52" s="1126"/>
      <c r="D52" s="4" t="s">
        <v>95</v>
      </c>
      <c r="E52" s="1128">
        <f>+E40</f>
        <v>52101.590521698643</v>
      </c>
      <c r="F52" s="1128">
        <f t="shared" ref="F52:L52" si="17">+F40</f>
        <v>42016.714499319205</v>
      </c>
      <c r="G52" s="1128">
        <f t="shared" si="17"/>
        <v>3237.1957824704887</v>
      </c>
      <c r="H52" s="1128">
        <f t="shared" si="17"/>
        <v>289.56700443989621</v>
      </c>
      <c r="I52" s="1128">
        <f t="shared" si="17"/>
        <v>4920.8111455204753</v>
      </c>
      <c r="J52" s="1128">
        <f t="shared" si="17"/>
        <v>519.95123240367172</v>
      </c>
      <c r="K52" s="1128">
        <f t="shared" si="17"/>
        <v>1101.1107089133363</v>
      </c>
      <c r="L52" s="1128">
        <f t="shared" si="17"/>
        <v>15.681597795672133</v>
      </c>
      <c r="M52" s="1128">
        <f>+M40</f>
        <v>0.55855083589722199</v>
      </c>
      <c r="N52" s="72"/>
      <c r="O52" s="72"/>
    </row>
    <row r="53" spans="1:25" x14ac:dyDescent="0.3">
      <c r="A53" s="1123">
        <f t="shared" si="0"/>
        <v>38</v>
      </c>
      <c r="B53" s="1126" t="s">
        <v>78</v>
      </c>
      <c r="C53" s="1126"/>
      <c r="D53" s="4" t="s">
        <v>96</v>
      </c>
      <c r="E53" s="1128">
        <f>+E51-E52</f>
        <v>3645844.4111058065</v>
      </c>
      <c r="F53" s="1128">
        <f t="shared" ref="F53:M53" si="18">+F51-F52</f>
        <v>2281911.8479095511</v>
      </c>
      <c r="G53" s="1128">
        <f t="shared" si="18"/>
        <v>204312.35713152867</v>
      </c>
      <c r="H53" s="1128">
        <f t="shared" si="18"/>
        <v>13230.362782292528</v>
      </c>
      <c r="I53" s="1128">
        <f t="shared" si="18"/>
        <v>871183.41878135724</v>
      </c>
      <c r="J53" s="1128">
        <f t="shared" si="18"/>
        <v>132496.48709487761</v>
      </c>
      <c r="K53" s="1128">
        <f t="shared" si="18"/>
        <v>24588.620075102408</v>
      </c>
      <c r="L53" s="1128">
        <f t="shared" si="18"/>
        <v>113077.64323213389</v>
      </c>
      <c r="M53" s="1128">
        <f t="shared" si="18"/>
        <v>5043.6740989618174</v>
      </c>
      <c r="N53" s="72"/>
      <c r="O53" s="72"/>
    </row>
    <row r="54" spans="1:25" x14ac:dyDescent="0.3">
      <c r="A54" s="1123">
        <f t="shared" si="0"/>
        <v>39</v>
      </c>
      <c r="B54" s="1127" t="s">
        <v>80</v>
      </c>
      <c r="C54" s="1127"/>
      <c r="D54" s="1" t="s">
        <v>97</v>
      </c>
      <c r="E54" s="1129">
        <f t="shared" ref="E54:M54" si="19">+E39/E53</f>
        <v>1.0000520268849433</v>
      </c>
      <c r="F54" s="1129">
        <f t="shared" si="19"/>
        <v>1.0078406106076883</v>
      </c>
      <c r="G54" s="1129">
        <f t="shared" si="19"/>
        <v>1.0077990450259346</v>
      </c>
      <c r="H54" s="1129">
        <f t="shared" si="19"/>
        <v>0.94310252778429715</v>
      </c>
      <c r="I54" s="1129">
        <f t="shared" si="19"/>
        <v>1.0078589157921767</v>
      </c>
      <c r="J54" s="1129">
        <f t="shared" si="19"/>
        <v>0.87662288467136262</v>
      </c>
      <c r="K54" s="1129">
        <f t="shared" si="19"/>
        <v>0.63182293012385571</v>
      </c>
      <c r="L54" s="1129">
        <f t="shared" si="19"/>
        <v>1.0001039570795633</v>
      </c>
      <c r="M54" s="1129">
        <f t="shared" si="19"/>
        <v>0.99982566767155068</v>
      </c>
    </row>
    <row r="55" spans="1:25" ht="23.4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25" x14ac:dyDescent="0.3">
      <c r="A56" s="720" t="s">
        <v>98</v>
      </c>
      <c r="B56" s="721"/>
      <c r="C56" s="721"/>
      <c r="D56" s="721"/>
      <c r="E56" s="721"/>
      <c r="F56" s="721"/>
      <c r="G56" s="721"/>
      <c r="H56" s="721"/>
      <c r="I56" s="721"/>
      <c r="J56" s="720" t="s">
        <v>99</v>
      </c>
      <c r="K56" s="721"/>
      <c r="L56" s="650"/>
      <c r="M56" s="721"/>
    </row>
    <row r="57" spans="1:25" ht="3.6" customHeight="1" x14ac:dyDescent="0.3">
      <c r="A57" s="462"/>
      <c r="B57" s="462"/>
      <c r="C57" s="462"/>
      <c r="D57" s="462"/>
      <c r="E57" s="462"/>
      <c r="F57" s="462"/>
      <c r="G57" s="462"/>
      <c r="H57" s="462"/>
      <c r="I57" s="462"/>
      <c r="J57" s="462"/>
      <c r="K57" s="462"/>
      <c r="L57" s="462"/>
      <c r="M57" s="462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</row>
    <row r="58" spans="1:25" x14ac:dyDescent="0.3">
      <c r="A58" s="1"/>
      <c r="B58" s="1"/>
      <c r="C58" s="1"/>
      <c r="D58" s="1"/>
      <c r="E58" s="1"/>
      <c r="F58" s="1"/>
      <c r="G58" s="641"/>
      <c r="H58" s="1"/>
      <c r="I58" s="1"/>
      <c r="J58" s="1"/>
      <c r="K58" s="1"/>
      <c r="L58" s="1"/>
      <c r="M58" s="1"/>
    </row>
    <row r="61" spans="1:25" x14ac:dyDescent="0.3">
      <c r="A61" s="72"/>
      <c r="F61" s="72"/>
    </row>
    <row r="62" spans="1:25" x14ac:dyDescent="0.3">
      <c r="A62" s="72"/>
      <c r="F62" s="72"/>
    </row>
    <row r="63" spans="1:25" x14ac:dyDescent="0.3">
      <c r="A63" s="72"/>
      <c r="F63" s="72"/>
    </row>
    <row r="64" spans="1:25" x14ac:dyDescent="0.3">
      <c r="A64" s="72"/>
      <c r="F64" s="72"/>
    </row>
    <row r="65" spans="1:6" x14ac:dyDescent="0.3">
      <c r="A65" s="72"/>
      <c r="F65" s="72"/>
    </row>
    <row r="66" spans="1:6" x14ac:dyDescent="0.3">
      <c r="A66" s="72"/>
      <c r="B66" s="72"/>
      <c r="C66" s="72"/>
      <c r="D66" s="72"/>
      <c r="E66" s="72"/>
      <c r="F66" s="72"/>
    </row>
    <row r="67" spans="1:6" x14ac:dyDescent="0.3">
      <c r="A67" s="72"/>
      <c r="B67" s="72"/>
      <c r="C67" s="72"/>
      <c r="D67" s="72"/>
      <c r="E67" s="72"/>
      <c r="F67" s="72"/>
    </row>
    <row r="68" spans="1:6" x14ac:dyDescent="0.3">
      <c r="A68" s="72"/>
      <c r="B68" s="72"/>
      <c r="C68" s="72"/>
      <c r="D68" s="72"/>
      <c r="E68" s="72"/>
      <c r="F68" s="72"/>
    </row>
    <row r="69" spans="1:6" x14ac:dyDescent="0.3">
      <c r="A69" s="72"/>
      <c r="B69" s="72"/>
      <c r="C69" s="72"/>
      <c r="D69" s="72"/>
      <c r="E69" s="72"/>
      <c r="F69" s="72"/>
    </row>
    <row r="70" spans="1:6" x14ac:dyDescent="0.3">
      <c r="A70" s="72"/>
      <c r="B70" s="72"/>
      <c r="C70" s="72"/>
      <c r="D70" s="72"/>
      <c r="E70" s="72"/>
      <c r="F70" s="72"/>
    </row>
    <row r="71" spans="1:6" x14ac:dyDescent="0.3">
      <c r="A71" s="72"/>
      <c r="B71" s="72"/>
      <c r="C71" s="72"/>
      <c r="D71" s="72"/>
      <c r="E71" s="72"/>
      <c r="F71" s="72"/>
    </row>
    <row r="72" spans="1:6" x14ac:dyDescent="0.3">
      <c r="A72" s="72"/>
      <c r="B72" s="72"/>
      <c r="C72" s="72"/>
      <c r="D72" s="72"/>
      <c r="E72" s="72"/>
      <c r="F72" s="72"/>
    </row>
    <row r="73" spans="1:6" x14ac:dyDescent="0.3">
      <c r="A73" s="72"/>
      <c r="B73" s="72"/>
      <c r="C73" s="72"/>
      <c r="D73" s="72"/>
      <c r="E73" s="72"/>
      <c r="F73" s="72"/>
    </row>
    <row r="74" spans="1:6" x14ac:dyDescent="0.3">
      <c r="A74" s="72"/>
      <c r="B74" s="72"/>
      <c r="C74" s="72"/>
      <c r="D74" s="72"/>
      <c r="E74" s="72"/>
      <c r="F74" s="72"/>
    </row>
    <row r="75" spans="1:6" x14ac:dyDescent="0.3">
      <c r="A75" s="72"/>
      <c r="B75" s="72"/>
      <c r="C75" s="72"/>
      <c r="D75" s="72"/>
      <c r="E75" s="72"/>
      <c r="F75" s="1131"/>
    </row>
    <row r="76" spans="1:6" x14ac:dyDescent="0.3">
      <c r="A76" s="72"/>
      <c r="B76" s="72"/>
      <c r="C76" s="72"/>
      <c r="D76" s="72"/>
      <c r="E76" s="72"/>
      <c r="F76" s="72"/>
    </row>
    <row r="77" spans="1:6" x14ac:dyDescent="0.3">
      <c r="A77" s="72"/>
      <c r="B77" s="72"/>
      <c r="C77" s="72"/>
      <c r="D77" s="72"/>
      <c r="E77" s="72"/>
      <c r="F77" s="72"/>
    </row>
    <row r="78" spans="1:6" x14ac:dyDescent="0.3">
      <c r="A78" s="72"/>
      <c r="B78" s="72"/>
      <c r="C78" s="72"/>
      <c r="D78" s="72"/>
      <c r="E78" s="72"/>
      <c r="F78" s="72"/>
    </row>
    <row r="79" spans="1:6" x14ac:dyDescent="0.3">
      <c r="A79" s="72"/>
      <c r="B79" s="72"/>
      <c r="C79" s="72"/>
      <c r="D79" s="72"/>
      <c r="E79" s="72"/>
      <c r="F79" s="72"/>
    </row>
    <row r="80" spans="1:6" x14ac:dyDescent="0.3">
      <c r="A80" s="72"/>
      <c r="B80" s="72"/>
      <c r="C80" s="72"/>
      <c r="D80" s="72"/>
      <c r="E80" s="72"/>
      <c r="F80" s="72"/>
    </row>
  </sheetData>
  <mergeCells count="1">
    <mergeCell ref="K13:L13"/>
  </mergeCells>
  <printOptions horizontalCentered="1"/>
  <pageMargins left="0.5" right="0.5" top="0.75" bottom="0.3" header="0.3" footer="0.3"/>
  <pageSetup scale="72" orientation="landscape" horizontalDpi="4294967292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A83B-4D69-4EBD-8EB1-7FADCB1E11A7}">
  <sheetPr>
    <tabColor rgb="FFFFFF00"/>
    <pageSetUpPr fitToPage="1"/>
  </sheetPr>
  <dimension ref="A1:R141"/>
  <sheetViews>
    <sheetView topLeftCell="A17" workbookViewId="0"/>
  </sheetViews>
  <sheetFormatPr defaultColWidth="8.6640625" defaultRowHeight="13.8" x14ac:dyDescent="0.3"/>
  <cols>
    <col min="1" max="1" width="12.5546875" style="1162" customWidth="1"/>
    <col min="2" max="2" width="24" style="1162" bestFit="1" customWidth="1"/>
    <col min="3" max="3" width="12.44140625" style="1162" customWidth="1"/>
    <col min="4" max="4" width="19.33203125" style="1162" bestFit="1" customWidth="1"/>
    <col min="5" max="5" width="12.5546875" style="1162" customWidth="1"/>
    <col min="6" max="14" width="13" style="1162" customWidth="1"/>
    <col min="15" max="15" width="12.88671875" style="1162" customWidth="1"/>
    <col min="16" max="16" width="19.33203125" style="1162" bestFit="1" customWidth="1"/>
    <col min="17" max="17" width="9.109375" style="1162" bestFit="1" customWidth="1"/>
    <col min="18" max="18" width="10.44140625" style="1162" bestFit="1" customWidth="1"/>
    <col min="19" max="19" width="10.109375" style="1162" bestFit="1" customWidth="1"/>
    <col min="20" max="16384" width="8.6640625" style="1162"/>
  </cols>
  <sheetData>
    <row r="1" spans="1:16" ht="18" x14ac:dyDescent="0.35">
      <c r="A1" s="334">
        <f>'MFR E-12 (2-4)'!A1</f>
        <v>2026</v>
      </c>
      <c r="B1" s="335"/>
      <c r="C1" s="335"/>
      <c r="D1" s="336"/>
      <c r="E1" s="336"/>
      <c r="F1" s="336"/>
      <c r="G1" s="336"/>
      <c r="H1" s="335"/>
      <c r="I1" s="336"/>
      <c r="J1" s="335"/>
      <c r="K1" s="335"/>
      <c r="L1" s="337"/>
      <c r="M1" s="337"/>
      <c r="N1" s="337"/>
      <c r="O1" s="337"/>
      <c r="P1" s="337"/>
    </row>
    <row r="2" spans="1:16" ht="18" x14ac:dyDescent="0.35">
      <c r="A2" s="1163" t="s">
        <v>452</v>
      </c>
      <c r="B2" s="460"/>
      <c r="C2" s="460"/>
      <c r="D2" s="1164"/>
      <c r="E2" s="1164"/>
      <c r="F2" s="1164"/>
      <c r="G2" s="1164"/>
      <c r="H2" s="460"/>
      <c r="I2" s="1164"/>
      <c r="J2" s="460"/>
      <c r="K2" s="460"/>
      <c r="L2" s="460"/>
      <c r="M2" s="460"/>
      <c r="N2" s="460"/>
      <c r="O2" s="460"/>
      <c r="P2" s="460"/>
    </row>
    <row r="3" spans="1:16" ht="18" x14ac:dyDescent="0.35">
      <c r="A3" s="459"/>
      <c r="B3" s="460"/>
      <c r="C3" s="460"/>
      <c r="D3" s="1164"/>
      <c r="E3" s="1164"/>
      <c r="F3" s="1164"/>
      <c r="G3" s="1164"/>
      <c r="H3" s="460"/>
      <c r="I3" s="1164"/>
      <c r="J3" s="460"/>
      <c r="K3" s="460"/>
      <c r="L3" s="460"/>
      <c r="M3" s="460"/>
      <c r="N3" s="460"/>
      <c r="O3" s="460"/>
      <c r="P3" s="460"/>
    </row>
    <row r="4" spans="1:16" x14ac:dyDescent="0.3">
      <c r="D4" s="1165">
        <v>-1</v>
      </c>
      <c r="E4" s="1165">
        <f>+D4-1</f>
        <v>-2</v>
      </c>
      <c r="F4" s="1165">
        <f t="shared" ref="F4:P4" si="0">+E4-1</f>
        <v>-3</v>
      </c>
      <c r="G4" s="1165">
        <f t="shared" si="0"/>
        <v>-4</v>
      </c>
      <c r="H4" s="1165">
        <f t="shared" si="0"/>
        <v>-5</v>
      </c>
      <c r="I4" s="1165">
        <f t="shared" si="0"/>
        <v>-6</v>
      </c>
      <c r="J4" s="1165">
        <f t="shared" si="0"/>
        <v>-7</v>
      </c>
      <c r="K4" s="1165">
        <f t="shared" si="0"/>
        <v>-8</v>
      </c>
      <c r="L4" s="1165">
        <f t="shared" si="0"/>
        <v>-9</v>
      </c>
      <c r="M4" s="1165">
        <f t="shared" si="0"/>
        <v>-10</v>
      </c>
      <c r="N4" s="1165">
        <f t="shared" si="0"/>
        <v>-11</v>
      </c>
      <c r="O4" s="1165">
        <f t="shared" si="0"/>
        <v>-12</v>
      </c>
      <c r="P4" s="1165">
        <f t="shared" si="0"/>
        <v>-13</v>
      </c>
    </row>
    <row r="5" spans="1:16" x14ac:dyDescent="0.3">
      <c r="A5" s="1166" t="s">
        <v>453</v>
      </c>
      <c r="B5" s="382"/>
      <c r="C5" s="382"/>
      <c r="D5" s="1167">
        <f>'MFR E-12 (2-4)'!D5</f>
        <v>46023</v>
      </c>
      <c r="E5" s="1167">
        <f>'MFR E-12 (2-4)'!E5</f>
        <v>46054</v>
      </c>
      <c r="F5" s="1167">
        <f>'MFR E-12 (2-4)'!F5</f>
        <v>46082</v>
      </c>
      <c r="G5" s="1167">
        <f>'MFR E-12 (2-4)'!G5</f>
        <v>46113</v>
      </c>
      <c r="H5" s="1167">
        <f>'MFR E-12 (2-4)'!H5</f>
        <v>46143</v>
      </c>
      <c r="I5" s="1167">
        <f>'MFR E-12 (2-4)'!I5</f>
        <v>46174</v>
      </c>
      <c r="J5" s="1167">
        <f>'MFR E-12 (2-4)'!J5</f>
        <v>46204</v>
      </c>
      <c r="K5" s="1167">
        <f>'MFR E-12 (2-4)'!K5</f>
        <v>46235</v>
      </c>
      <c r="L5" s="1167">
        <f>'MFR E-12 (2-4)'!L5</f>
        <v>46266</v>
      </c>
      <c r="M5" s="1167">
        <f>'MFR E-12 (2-4)'!M5</f>
        <v>46296</v>
      </c>
      <c r="N5" s="1167">
        <f>'MFR E-12 (2-4)'!N5</f>
        <v>46327</v>
      </c>
      <c r="O5" s="1167">
        <f>'MFR E-12 (2-4)'!O5</f>
        <v>46357</v>
      </c>
      <c r="P5" s="1167" t="s">
        <v>121</v>
      </c>
    </row>
    <row r="6" spans="1:16" x14ac:dyDescent="0.3">
      <c r="A6" s="1166">
        <v>1</v>
      </c>
      <c r="B6" s="382"/>
      <c r="C6" s="382"/>
      <c r="D6" s="1168"/>
      <c r="E6" s="1168"/>
      <c r="F6" s="1168"/>
      <c r="G6" s="1168"/>
      <c r="H6" s="1168"/>
      <c r="I6" s="1168"/>
      <c r="J6" s="1168"/>
      <c r="K6" s="1168"/>
      <c r="L6" s="1168"/>
      <c r="M6" s="1168"/>
      <c r="N6" s="1168"/>
      <c r="O6" s="1168"/>
      <c r="P6" s="1169"/>
    </row>
    <row r="7" spans="1:16" x14ac:dyDescent="0.3">
      <c r="A7" s="1166">
        <f t="shared" ref="A7:A69" si="1">+A6+1</f>
        <v>2</v>
      </c>
      <c r="B7" s="1170" t="s">
        <v>457</v>
      </c>
      <c r="C7" s="382"/>
      <c r="D7" s="1176"/>
      <c r="E7" s="1169"/>
      <c r="F7" s="1169"/>
      <c r="G7" s="1169"/>
      <c r="H7" s="1169"/>
      <c r="I7" s="1169"/>
      <c r="J7" s="1169"/>
      <c r="K7" s="1169"/>
      <c r="L7" s="1169"/>
      <c r="M7" s="1169"/>
      <c r="N7" s="1169"/>
      <c r="O7" s="1169"/>
      <c r="P7" s="1169"/>
    </row>
    <row r="8" spans="1:16" x14ac:dyDescent="0.3">
      <c r="A8" s="1166">
        <f t="shared" si="1"/>
        <v>3</v>
      </c>
      <c r="B8" s="1172" t="s">
        <v>135</v>
      </c>
      <c r="C8" s="505"/>
      <c r="D8" s="1171">
        <f>'MFR E-12 (2-4)'!D47</f>
        <v>1578535.2397241695</v>
      </c>
      <c r="E8" s="1171">
        <f>'MFR E-12 (2-4)'!E47</f>
        <v>1349139.9650846978</v>
      </c>
      <c r="F8" s="1171">
        <f>'MFR E-12 (2-4)'!F47</f>
        <v>1318156.974784631</v>
      </c>
      <c r="G8" s="1171">
        <f>'MFR E-12 (2-4)'!G47</f>
        <v>1388545.5130590596</v>
      </c>
      <c r="H8" s="1171">
        <f>'MFR E-12 (2-4)'!H47</f>
        <v>1548604.2082082434</v>
      </c>
      <c r="I8" s="1171">
        <f>'MFR E-12 (2-4)'!I47</f>
        <v>2078868.1106794144</v>
      </c>
      <c r="J8" s="1171">
        <f>'MFR E-12 (2-4)'!J47</f>
        <v>2306173.0674933302</v>
      </c>
      <c r="K8" s="1171">
        <f>'MFR E-12 (2-4)'!K47</f>
        <v>2266167.8248810158</v>
      </c>
      <c r="L8" s="1171">
        <f>'MFR E-12 (2-4)'!L47</f>
        <v>2223587.3260774706</v>
      </c>
      <c r="M8" s="1171">
        <f>'MFR E-12 (2-4)'!M47</f>
        <v>1958947.7620040055</v>
      </c>
      <c r="N8" s="1171">
        <f>'MFR E-12 (2-4)'!N47</f>
        <v>1447811.7324599202</v>
      </c>
      <c r="O8" s="1171">
        <f>'MFR E-12 (2-4)'!O47</f>
        <v>1355682.9016734667</v>
      </c>
      <c r="P8" s="382">
        <f>SUM(D8:O8)</f>
        <v>20820220.626129426</v>
      </c>
    </row>
    <row r="9" spans="1:16" x14ac:dyDescent="0.3">
      <c r="A9" s="1166">
        <f t="shared" si="1"/>
        <v>4</v>
      </c>
      <c r="B9" s="1172" t="s">
        <v>136</v>
      </c>
      <c r="C9" s="505"/>
      <c r="D9" s="1171">
        <f>'MFR E-12 (2-4)'!D48</f>
        <v>168381.85976489153</v>
      </c>
      <c r="E9" s="1171">
        <f>'MFR E-12 (2-4)'!E48</f>
        <v>150382.894021863</v>
      </c>
      <c r="F9" s="1171">
        <f>'MFR E-12 (2-4)'!F48</f>
        <v>137451.38766398522</v>
      </c>
      <c r="G9" s="1171">
        <f>'MFR E-12 (2-4)'!G48</f>
        <v>157585.79466653912</v>
      </c>
      <c r="H9" s="1171">
        <f>'MFR E-12 (2-4)'!H48</f>
        <v>181286.34399840832</v>
      </c>
      <c r="I9" s="1171">
        <f>'MFR E-12 (2-4)'!I48</f>
        <v>212935.3203059255</v>
      </c>
      <c r="J9" s="1171">
        <f>'MFR E-12 (2-4)'!J48</f>
        <v>224486.35879341399</v>
      </c>
      <c r="K9" s="1171">
        <f>'MFR E-12 (2-4)'!K48</f>
        <v>232442.25749400555</v>
      </c>
      <c r="L9" s="1171">
        <f>'MFR E-12 (2-4)'!L48</f>
        <v>220321.87606893218</v>
      </c>
      <c r="M9" s="1171">
        <f>'MFR E-12 (2-4)'!M48</f>
        <v>198991.30733676461</v>
      </c>
      <c r="N9" s="1171">
        <f>'MFR E-12 (2-4)'!N48</f>
        <v>174474.10624119229</v>
      </c>
      <c r="O9" s="1171">
        <f>'MFR E-12 (2-4)'!O48</f>
        <v>148445.57916035608</v>
      </c>
      <c r="P9" s="382">
        <f t="shared" ref="P9:P17" si="2">SUM(D9:O9)</f>
        <v>2207185.0855162772</v>
      </c>
    </row>
    <row r="10" spans="1:16" x14ac:dyDescent="0.3">
      <c r="A10" s="1166">
        <f t="shared" si="1"/>
        <v>5</v>
      </c>
      <c r="B10" s="1172" t="s">
        <v>137</v>
      </c>
      <c r="C10" s="505"/>
      <c r="D10" s="1171">
        <f>'MFR E-12 (2-4)'!D49</f>
        <v>19395.012165316293</v>
      </c>
      <c r="E10" s="1171">
        <f>'MFR E-12 (2-4)'!E49</f>
        <v>16299.352549359028</v>
      </c>
      <c r="F10" s="1171">
        <f>'MFR E-12 (2-4)'!F49</f>
        <v>14131.01317016997</v>
      </c>
      <c r="G10" s="1171">
        <f>'MFR E-12 (2-4)'!G49</f>
        <v>18395.584502268495</v>
      </c>
      <c r="H10" s="1171">
        <f>'MFR E-12 (2-4)'!H49</f>
        <v>16923.404348854521</v>
      </c>
      <c r="I10" s="1171">
        <f>'MFR E-12 (2-4)'!I49</f>
        <v>18189.73749181924</v>
      </c>
      <c r="J10" s="1171">
        <f>'MFR E-12 (2-4)'!J49</f>
        <v>18193.177992706431</v>
      </c>
      <c r="K10" s="1171">
        <f>'MFR E-12 (2-4)'!K49</f>
        <v>17967.429681887676</v>
      </c>
      <c r="L10" s="1171">
        <f>'MFR E-12 (2-4)'!L49</f>
        <v>17625.180518568581</v>
      </c>
      <c r="M10" s="1171">
        <f>'MFR E-12 (2-4)'!M49</f>
        <v>18424.967030692645</v>
      </c>
      <c r="N10" s="1171">
        <f>'MFR E-12 (2-4)'!N49</f>
        <v>17114.054590472177</v>
      </c>
      <c r="O10" s="1171">
        <f>'MFR E-12 (2-4)'!O49</f>
        <v>16265.577112728053</v>
      </c>
      <c r="P10" s="382">
        <f t="shared" si="2"/>
        <v>208924.4911548431</v>
      </c>
    </row>
    <row r="11" spans="1:16" x14ac:dyDescent="0.3">
      <c r="A11" s="1166">
        <f t="shared" si="1"/>
        <v>6</v>
      </c>
      <c r="B11" s="1172" t="s">
        <v>272</v>
      </c>
      <c r="C11" s="505"/>
      <c r="D11" s="1171">
        <f>'MFR E-12 (2-4)'!D50</f>
        <v>941009.39998041093</v>
      </c>
      <c r="E11" s="1171">
        <f>'MFR E-12 (2-4)'!E50</f>
        <v>911617.25233843795</v>
      </c>
      <c r="F11" s="1171">
        <f>'MFR E-12 (2-4)'!F50</f>
        <v>982666.36685513344</v>
      </c>
      <c r="G11" s="1171">
        <f>'MFR E-12 (2-4)'!G50</f>
        <v>1011905.8499694484</v>
      </c>
      <c r="H11" s="1171">
        <f>'MFR E-12 (2-4)'!H50</f>
        <v>1059698.4779626315</v>
      </c>
      <c r="I11" s="1171">
        <f>'MFR E-12 (2-4)'!I50</f>
        <v>1218488.5100625281</v>
      </c>
      <c r="J11" s="1171">
        <f>'MFR E-12 (2-4)'!J50</f>
        <v>1288618.9357290745</v>
      </c>
      <c r="K11" s="1171">
        <f>'MFR E-12 (2-4)'!K50</f>
        <v>1284327.5559807606</v>
      </c>
      <c r="L11" s="1171">
        <f>'MFR E-12 (2-4)'!L50</f>
        <v>1267012.7758598633</v>
      </c>
      <c r="M11" s="1171">
        <f>'MFR E-12 (2-4)'!M50</f>
        <v>1200527.5207207508</v>
      </c>
      <c r="N11" s="1171">
        <f>'MFR E-12 (2-4)'!N50</f>
        <v>1085807.8893020959</v>
      </c>
      <c r="O11" s="1171">
        <f>'MFR E-12 (2-4)'!O50</f>
        <v>970882.18483574153</v>
      </c>
      <c r="P11" s="382">
        <f t="shared" si="2"/>
        <v>13222562.719596874</v>
      </c>
    </row>
    <row r="12" spans="1:16" x14ac:dyDescent="0.3">
      <c r="A12" s="1166">
        <f t="shared" si="1"/>
        <v>7</v>
      </c>
      <c r="B12" s="1172" t="s">
        <v>275</v>
      </c>
      <c r="C12" s="505"/>
      <c r="D12" s="1171">
        <f>'MFR E-12 (2-4)'!D51</f>
        <v>6100.5607901565809</v>
      </c>
      <c r="E12" s="1171">
        <f>'MFR E-12 (2-4)'!E51</f>
        <v>8847.8456385274694</v>
      </c>
      <c r="F12" s="1171">
        <f>'MFR E-12 (2-4)'!F51</f>
        <v>493.67090838314687</v>
      </c>
      <c r="G12" s="1171">
        <f>'MFR E-12 (2-4)'!G51</f>
        <v>3190.1778337698056</v>
      </c>
      <c r="H12" s="1171">
        <f>'MFR E-12 (2-4)'!H51</f>
        <v>11064.828141626751</v>
      </c>
      <c r="I12" s="1171">
        <f>'MFR E-12 (2-4)'!I51</f>
        <v>5113.6010415513092</v>
      </c>
      <c r="J12" s="1171">
        <f>'MFR E-12 (2-4)'!J51</f>
        <v>5373.4834019003556</v>
      </c>
      <c r="K12" s="1171">
        <f>'MFR E-12 (2-4)'!K51</f>
        <v>4150.3547627616517</v>
      </c>
      <c r="L12" s="1171">
        <f>'MFR E-12 (2-4)'!L51</f>
        <v>6369.0773245948103</v>
      </c>
      <c r="M12" s="1171">
        <f>'MFR E-12 (2-4)'!M51</f>
        <v>5321.3875135714397</v>
      </c>
      <c r="N12" s="1171">
        <f>'MFR E-12 (2-4)'!N51</f>
        <v>5670.6726263654418</v>
      </c>
      <c r="O12" s="1171">
        <f>'MFR E-12 (2-4)'!O51</f>
        <v>4918.7247506696103</v>
      </c>
      <c r="P12" s="382">
        <f t="shared" si="2"/>
        <v>66614.384733878367</v>
      </c>
    </row>
    <row r="13" spans="1:16" x14ac:dyDescent="0.3">
      <c r="A13" s="1166">
        <f t="shared" si="1"/>
        <v>8</v>
      </c>
      <c r="B13" s="1172" t="s">
        <v>273</v>
      </c>
      <c r="C13" s="505"/>
      <c r="D13" s="1171">
        <f>'MFR E-12 (2-4)'!D52</f>
        <v>177485.96766239934</v>
      </c>
      <c r="E13" s="1171">
        <f>'MFR E-12 (2-4)'!E52</f>
        <v>205210.95581533646</v>
      </c>
      <c r="F13" s="1171">
        <f>'MFR E-12 (2-4)'!F52</f>
        <v>209327.78019791079</v>
      </c>
      <c r="G13" s="1171">
        <f>'MFR E-12 (2-4)'!G52</f>
        <v>222827.20107187648</v>
      </c>
      <c r="H13" s="1171">
        <f>'MFR E-12 (2-4)'!H52</f>
        <v>216364.10046689893</v>
      </c>
      <c r="I13" s="1171">
        <f>'MFR E-12 (2-4)'!I52</f>
        <v>227973.17063447245</v>
      </c>
      <c r="J13" s="1171">
        <f>'MFR E-12 (2-4)'!J52</f>
        <v>222874.30145806036</v>
      </c>
      <c r="K13" s="1171">
        <f>'MFR E-12 (2-4)'!K52</f>
        <v>216745.94805575768</v>
      </c>
      <c r="L13" s="1171">
        <f>'MFR E-12 (2-4)'!L52</f>
        <v>233701.92457852029</v>
      </c>
      <c r="M13" s="1171">
        <f>'MFR E-12 (2-4)'!M52</f>
        <v>219802.52001074859</v>
      </c>
      <c r="N13" s="1171">
        <f>'MFR E-12 (2-4)'!N52</f>
        <v>167772.53879517212</v>
      </c>
      <c r="O13" s="1171">
        <f>'MFR E-12 (2-4)'!O52</f>
        <v>245710.94514881331</v>
      </c>
      <c r="P13" s="382">
        <f t="shared" si="2"/>
        <v>2565797.3538959669</v>
      </c>
    </row>
    <row r="14" spans="1:16" x14ac:dyDescent="0.3">
      <c r="A14" s="1166">
        <f t="shared" si="1"/>
        <v>9</v>
      </c>
      <c r="B14" s="1172" t="s">
        <v>274</v>
      </c>
      <c r="C14" s="505"/>
      <c r="D14" s="1171">
        <f>'MFR E-12 (2-4)'!D53</f>
        <v>32940.084430029136</v>
      </c>
      <c r="E14" s="1171">
        <f>'MFR E-12 (2-4)'!E53</f>
        <v>29722.478416434937</v>
      </c>
      <c r="F14" s="1171">
        <f>'MFR E-12 (2-4)'!F53</f>
        <v>23672.539118981113</v>
      </c>
      <c r="G14" s="1171">
        <f>'MFR E-12 (2-4)'!G53</f>
        <v>27454.295147344303</v>
      </c>
      <c r="H14" s="1171">
        <f>'MFR E-12 (2-4)'!H53</f>
        <v>29529.704383243465</v>
      </c>
      <c r="I14" s="1171">
        <f>'MFR E-12 (2-4)'!I53</f>
        <v>27363.48777176057</v>
      </c>
      <c r="J14" s="1171">
        <f>'MFR E-12 (2-4)'!J53</f>
        <v>25430.574488482667</v>
      </c>
      <c r="K14" s="1171">
        <f>'MFR E-12 (2-4)'!K53</f>
        <v>27699.758748254153</v>
      </c>
      <c r="L14" s="1171">
        <f>'MFR E-12 (2-4)'!L53</f>
        <v>26423.860321407898</v>
      </c>
      <c r="M14" s="1171">
        <f>'MFR E-12 (2-4)'!M53</f>
        <v>29185.532118138282</v>
      </c>
      <c r="N14" s="1171">
        <f>'MFR E-12 (2-4)'!N53</f>
        <v>29497.232155176192</v>
      </c>
      <c r="O14" s="1171">
        <f>'MFR E-12 (2-4)'!O53</f>
        <v>25181.468004020669</v>
      </c>
      <c r="P14" s="382">
        <f t="shared" si="2"/>
        <v>334101.01510327338</v>
      </c>
    </row>
    <row r="15" spans="1:16" x14ac:dyDescent="0.3">
      <c r="A15" s="1166">
        <f t="shared" si="1"/>
        <v>10</v>
      </c>
      <c r="B15" s="1172" t="s">
        <v>138</v>
      </c>
      <c r="C15" s="505"/>
      <c r="D15" s="1171">
        <f>'MFR E-12 (2-4)'!D54</f>
        <v>13190.358429252738</v>
      </c>
      <c r="E15" s="1171">
        <f>'MFR E-12 (2-4)'!E54</f>
        <v>8163.0217280182023</v>
      </c>
      <c r="F15" s="1171">
        <f>'MFR E-12 (2-4)'!F54</f>
        <v>323.42145512233685</v>
      </c>
      <c r="G15" s="1171">
        <f>'MFR E-12 (2-4)'!G54</f>
        <v>7377.2667174774042</v>
      </c>
      <c r="H15" s="1171">
        <f>'MFR E-12 (2-4)'!H54</f>
        <v>2561.0356883264949</v>
      </c>
      <c r="I15" s="1171">
        <f>'MFR E-12 (2-4)'!I54</f>
        <v>1774.9603391197027</v>
      </c>
      <c r="J15" s="1171">
        <f>'MFR E-12 (2-4)'!J54</f>
        <v>4826.1126131272522</v>
      </c>
      <c r="K15" s="1171">
        <f>'MFR E-12 (2-4)'!K54</f>
        <v>3546.5438715201412</v>
      </c>
      <c r="L15" s="1171">
        <f>'MFR E-12 (2-4)'!L54</f>
        <v>8463.8774740076115</v>
      </c>
      <c r="M15" s="1171">
        <f>'MFR E-12 (2-4)'!M54</f>
        <v>6353.8641488245439</v>
      </c>
      <c r="N15" s="1171">
        <f>'MFR E-12 (2-4)'!N54</f>
        <v>4046.69725926817</v>
      </c>
      <c r="O15" s="1171">
        <f>'MFR E-12 (2-4)'!O54</f>
        <v>4551.4237604040591</v>
      </c>
      <c r="P15" s="382">
        <f t="shared" si="2"/>
        <v>65178.583484468654</v>
      </c>
    </row>
    <row r="16" spans="1:16" x14ac:dyDescent="0.3">
      <c r="A16" s="1166">
        <f t="shared" si="1"/>
        <v>11</v>
      </c>
      <c r="B16" s="1172" t="s">
        <v>140</v>
      </c>
      <c r="C16" s="505"/>
      <c r="D16" s="1171">
        <f>'MFR E-12 (2-4)'!D55</f>
        <v>9126.2486781632251</v>
      </c>
      <c r="E16" s="1171">
        <f>'MFR E-12 (2-4)'!E55</f>
        <v>4095.2989351695778</v>
      </c>
      <c r="F16" s="1171">
        <f>'MFR E-12 (2-4)'!F55</f>
        <v>2785.7241367315874</v>
      </c>
      <c r="G16" s="1171">
        <f>'MFR E-12 (2-4)'!G55</f>
        <v>4013.0359829630816</v>
      </c>
      <c r="H16" s="1171">
        <f>'MFR E-12 (2-4)'!H55</f>
        <v>4348.9129807048012</v>
      </c>
      <c r="I16" s="1171">
        <f>'MFR E-12 (2-4)'!I55</f>
        <v>4657.6481527397727</v>
      </c>
      <c r="J16" s="1171">
        <f>'MFR E-12 (2-4)'!J55</f>
        <v>4640.8882930979862</v>
      </c>
      <c r="K16" s="1171">
        <f>'MFR E-12 (2-4)'!K55</f>
        <v>3581.5794936802804</v>
      </c>
      <c r="L16" s="1171">
        <f>'MFR E-12 (2-4)'!L55</f>
        <v>6664.0967801687548</v>
      </c>
      <c r="M16" s="1171">
        <f>'MFR E-12 (2-4)'!M55</f>
        <v>6964.959300374313</v>
      </c>
      <c r="N16" s="1171">
        <f>'MFR E-12 (2-4)'!N55</f>
        <v>3608.7520826413152</v>
      </c>
      <c r="O16" s="1171">
        <f>'MFR E-12 (2-4)'!O55</f>
        <v>1086.0548498579774</v>
      </c>
      <c r="P16" s="382">
        <f t="shared" si="2"/>
        <v>55573.199666292669</v>
      </c>
    </row>
    <row r="17" spans="1:16" x14ac:dyDescent="0.3">
      <c r="A17" s="1166">
        <f t="shared" si="1"/>
        <v>12</v>
      </c>
      <c r="B17" s="1172" t="s">
        <v>139</v>
      </c>
      <c r="C17" s="505"/>
      <c r="D17" s="1171">
        <f>'MFR E-12 (2-4)'!D56</f>
        <v>42211.066482695082</v>
      </c>
      <c r="E17" s="1171">
        <f>'MFR E-12 (2-4)'!E56</f>
        <v>0</v>
      </c>
      <c r="F17" s="1171">
        <f>'MFR E-12 (2-4)'!F56</f>
        <v>14161.846642981332</v>
      </c>
      <c r="G17" s="1171">
        <f>'MFR E-12 (2-4)'!G56</f>
        <v>10172.018566984148</v>
      </c>
      <c r="H17" s="1171">
        <f>'MFR E-12 (2-4)'!H56</f>
        <v>7613.638702518364</v>
      </c>
      <c r="I17" s="1171">
        <f>'MFR E-12 (2-4)'!I56</f>
        <v>11221.805497705736</v>
      </c>
      <c r="J17" s="1171">
        <f>'MFR E-12 (2-4)'!J56</f>
        <v>10522.767197486453</v>
      </c>
      <c r="K17" s="1171">
        <f>'MFR E-12 (2-4)'!K56</f>
        <v>9037.5754542129234</v>
      </c>
      <c r="L17" s="1171">
        <f>'MFR E-12 (2-4)'!L56</f>
        <v>9852.5975705771689</v>
      </c>
      <c r="M17" s="1171">
        <f>'MFR E-12 (2-4)'!M56</f>
        <v>11758.379098733651</v>
      </c>
      <c r="N17" s="1171">
        <f>'MFR E-12 (2-4)'!N56</f>
        <v>9255.4479882668657</v>
      </c>
      <c r="O17" s="1171">
        <f>'MFR E-12 (2-4)'!O56</f>
        <v>6987.0416846523931</v>
      </c>
      <c r="P17" s="382">
        <f t="shared" si="2"/>
        <v>142794.18488681412</v>
      </c>
    </row>
    <row r="18" spans="1:16" ht="14.4" thickBot="1" x14ac:dyDescent="0.35">
      <c r="A18" s="1166">
        <f t="shared" si="1"/>
        <v>13</v>
      </c>
      <c r="B18" s="382"/>
      <c r="C18" s="382"/>
      <c r="D18" s="1175">
        <f>SUM(D8:D17)</f>
        <v>2988375.7981074844</v>
      </c>
      <c r="E18" s="1175">
        <f t="shared" ref="E18:P18" si="3">SUM(E8:E17)</f>
        <v>2683479.0645278445</v>
      </c>
      <c r="F18" s="1175">
        <f t="shared" si="3"/>
        <v>2703170.7249340299</v>
      </c>
      <c r="G18" s="1175">
        <f t="shared" si="3"/>
        <v>2851466.7375177313</v>
      </c>
      <c r="H18" s="1175">
        <f t="shared" si="3"/>
        <v>3077994.6548814569</v>
      </c>
      <c r="I18" s="1175">
        <f t="shared" si="3"/>
        <v>3806586.3519770363</v>
      </c>
      <c r="J18" s="1175">
        <f t="shared" si="3"/>
        <v>4111139.66746068</v>
      </c>
      <c r="K18" s="1175">
        <f t="shared" si="3"/>
        <v>4065666.8284238568</v>
      </c>
      <c r="L18" s="1175">
        <f t="shared" si="3"/>
        <v>4020022.5925741112</v>
      </c>
      <c r="M18" s="1175">
        <f t="shared" si="3"/>
        <v>3656278.1992826043</v>
      </c>
      <c r="N18" s="1175">
        <f t="shared" si="3"/>
        <v>2945059.1235005711</v>
      </c>
      <c r="O18" s="1175">
        <f t="shared" si="3"/>
        <v>2779711.9009807101</v>
      </c>
      <c r="P18" s="1175">
        <f t="shared" si="3"/>
        <v>39688951.644168116</v>
      </c>
    </row>
    <row r="19" spans="1:16" ht="14.4" thickTop="1" x14ac:dyDescent="0.3">
      <c r="A19" s="1166">
        <f t="shared" si="1"/>
        <v>14</v>
      </c>
    </row>
    <row r="20" spans="1:16" x14ac:dyDescent="0.3">
      <c r="A20" s="1166">
        <f t="shared" si="1"/>
        <v>15</v>
      </c>
    </row>
    <row r="21" spans="1:16" x14ac:dyDescent="0.3">
      <c r="A21" s="1166">
        <f t="shared" si="1"/>
        <v>16</v>
      </c>
      <c r="B21" s="1170" t="s">
        <v>459</v>
      </c>
      <c r="C21" s="505"/>
      <c r="D21" s="1171"/>
      <c r="E21" s="1171"/>
      <c r="F21" s="1171"/>
      <c r="G21" s="1171"/>
      <c r="H21" s="1171"/>
      <c r="I21" s="1171"/>
      <c r="J21" s="1171"/>
      <c r="K21" s="1171"/>
      <c r="L21" s="1171"/>
      <c r="M21" s="1171"/>
      <c r="N21" s="1171"/>
      <c r="O21" s="1171"/>
      <c r="P21" s="1171"/>
    </row>
    <row r="22" spans="1:16" x14ac:dyDescent="0.3">
      <c r="A22" s="1166">
        <f t="shared" si="1"/>
        <v>17</v>
      </c>
      <c r="B22" s="1172" t="s">
        <v>135</v>
      </c>
      <c r="C22" s="505"/>
      <c r="D22" s="1171">
        <f>'MFR E-12 (2-4)'!D72</f>
        <v>-111207.76281847083</v>
      </c>
      <c r="E22" s="1171">
        <f>'MFR E-12 (2-4)'!E72</f>
        <v>-107736.62087270897</v>
      </c>
      <c r="F22" s="1171">
        <f>'MFR E-12 (2-4)'!F72</f>
        <v>56991.078265516553</v>
      </c>
      <c r="G22" s="1171">
        <f>'MFR E-12 (2-4)'!G72</f>
        <v>97885.080991412047</v>
      </c>
      <c r="H22" s="1171">
        <f>'MFR E-12 (2-4)'!H72</f>
        <v>375500.47318502772</v>
      </c>
      <c r="I22" s="1171">
        <f>'MFR E-12 (2-4)'!I72</f>
        <v>60098.103085932322</v>
      </c>
      <c r="J22" s="1171">
        <f>'MFR E-12 (2-4)'!J72</f>
        <v>233.3450419800356</v>
      </c>
      <c r="K22" s="1171">
        <f>'MFR E-12 (2-4)'!K72</f>
        <v>59687.631454476155</v>
      </c>
      <c r="L22" s="1171">
        <f>'MFR E-12 (2-4)'!L72</f>
        <v>-91671.998846651055</v>
      </c>
      <c r="M22" s="1171">
        <f>'MFR E-12 (2-4)'!M72</f>
        <v>-148920.09453224018</v>
      </c>
      <c r="N22" s="1171">
        <f>'MFR E-12 (2-4)'!N72</f>
        <v>-67168.042142670602</v>
      </c>
      <c r="O22" s="1171">
        <f>'MFR E-12 (2-4)'!O72</f>
        <v>92659.925903639989</v>
      </c>
      <c r="P22" s="382">
        <f>SUM(D22:O22)</f>
        <v>216351.11871524318</v>
      </c>
    </row>
    <row r="23" spans="1:16" x14ac:dyDescent="0.3">
      <c r="A23" s="1166">
        <f t="shared" si="1"/>
        <v>18</v>
      </c>
      <c r="B23" s="1172" t="s">
        <v>136</v>
      </c>
      <c r="C23" s="505"/>
      <c r="D23" s="1171">
        <f>'MFR E-12 (2-4)'!D73</f>
        <v>-5917.8721839843784</v>
      </c>
      <c r="E23" s="1171">
        <f>'MFR E-12 (2-4)'!E73</f>
        <v>271.86965910118306</v>
      </c>
      <c r="F23" s="1171">
        <f>'MFR E-12 (2-4)'!F73</f>
        <v>6462.9938660337357</v>
      </c>
      <c r="G23" s="1171">
        <f>'MFR E-12 (2-4)'!G73</f>
        <v>5276.1491997751873</v>
      </c>
      <c r="H23" s="1171">
        <f>'MFR E-12 (2-4)'!H73</f>
        <v>18280.796288853802</v>
      </c>
      <c r="I23" s="1171">
        <f>'MFR E-12 (2-4)'!I73</f>
        <v>2075.7986079861585</v>
      </c>
      <c r="J23" s="1171">
        <f>'MFR E-12 (2-4)'!J73</f>
        <v>-1431.8462995979644</v>
      </c>
      <c r="K23" s="1171">
        <f>'MFR E-12 (2-4)'!K73</f>
        <v>710.53521829092642</v>
      </c>
      <c r="L23" s="1171">
        <f>'MFR E-12 (2-4)'!L73</f>
        <v>-5198.4841806455806</v>
      </c>
      <c r="M23" s="1171">
        <f>'MFR E-12 (2-4)'!M73</f>
        <v>-8750.8625003386696</v>
      </c>
      <c r="N23" s="1171">
        <f>'MFR E-12 (2-4)'!N73</f>
        <v>-8050.3799491391983</v>
      </c>
      <c r="O23" s="1171">
        <f>'MFR E-12 (2-4)'!O73</f>
        <v>-2596.1313922856934</v>
      </c>
      <c r="P23" s="382">
        <f t="shared" ref="P23:P31" si="4">SUM(D23:O23)</f>
        <v>1132.5663340495084</v>
      </c>
    </row>
    <row r="24" spans="1:16" x14ac:dyDescent="0.3">
      <c r="A24" s="1166">
        <f t="shared" si="1"/>
        <v>19</v>
      </c>
      <c r="B24" s="1172" t="s">
        <v>137</v>
      </c>
      <c r="C24" s="505"/>
      <c r="D24" s="1171">
        <f>'MFR E-12 (2-4)'!D74</f>
        <v>-592.05263957553325</v>
      </c>
      <c r="E24" s="1171">
        <f>'MFR E-12 (2-4)'!E74</f>
        <v>139.39319200176033</v>
      </c>
      <c r="F24" s="1171">
        <f>'MFR E-12 (2-4)'!F74</f>
        <v>671.42645483137312</v>
      </c>
      <c r="G24" s="1171">
        <f>'MFR E-12 (2-4)'!G74</f>
        <v>587.52403082518504</v>
      </c>
      <c r="H24" s="1171">
        <f>'MFR E-12 (2-4)'!H74</f>
        <v>1712.4485325341229</v>
      </c>
      <c r="I24" s="1171">
        <f>'MFR E-12 (2-4)'!I74</f>
        <v>120.94765958245262</v>
      </c>
      <c r="J24" s="1171">
        <f>'MFR E-12 (2-4)'!J74</f>
        <v>-99.452552194092277</v>
      </c>
      <c r="K24" s="1171">
        <f>'MFR E-12 (2-4)'!K74</f>
        <v>51.58442173018193</v>
      </c>
      <c r="L24" s="1171">
        <f>'MFR E-12 (2-4)'!L74</f>
        <v>-441.07879380946906</v>
      </c>
      <c r="M24" s="1171">
        <f>'MFR E-12 (2-4)'!M74</f>
        <v>-875.76410806915374</v>
      </c>
      <c r="N24" s="1171">
        <f>'MFR E-12 (2-4)'!N74</f>
        <v>-800.17458281251857</v>
      </c>
      <c r="O24" s="1171">
        <f>'MFR E-12 (2-4)'!O74</f>
        <v>-281.38404798849115</v>
      </c>
      <c r="P24" s="382">
        <f t="shared" si="4"/>
        <v>193.41756705581793</v>
      </c>
    </row>
    <row r="25" spans="1:16" x14ac:dyDescent="0.3">
      <c r="A25" s="1166">
        <f t="shared" si="1"/>
        <v>20</v>
      </c>
      <c r="B25" s="1172" t="s">
        <v>272</v>
      </c>
      <c r="C25" s="505"/>
      <c r="D25" s="1171">
        <f>'MFR E-12 (2-4)'!D75</f>
        <v>-32614.164138287655</v>
      </c>
      <c r="E25" s="1171">
        <f>'MFR E-12 (2-4)'!E75</f>
        <v>-638.50594189681578</v>
      </c>
      <c r="F25" s="1171">
        <f>'MFR E-12 (2-4)'!F75</f>
        <v>41635.694107720046</v>
      </c>
      <c r="G25" s="1171">
        <f>'MFR E-12 (2-4)'!G75</f>
        <v>32460.832534515299</v>
      </c>
      <c r="H25" s="1171">
        <f>'MFR E-12 (2-4)'!H75</f>
        <v>99975.117226491682</v>
      </c>
      <c r="I25" s="1171">
        <f>'MFR E-12 (2-4)'!I75</f>
        <v>14207.701122257626</v>
      </c>
      <c r="J25" s="1171">
        <f>'MFR E-12 (2-4)'!J75</f>
        <v>-8778.5495724354405</v>
      </c>
      <c r="K25" s="1171">
        <f>'MFR E-12 (2-4)'!K75</f>
        <v>3482.0664218408056</v>
      </c>
      <c r="L25" s="1171">
        <f>'MFR E-12 (2-4)'!L75</f>
        <v>-26141.792676524259</v>
      </c>
      <c r="M25" s="1171">
        <f>'MFR E-12 (2-4)'!M75</f>
        <v>-46818.423447399633</v>
      </c>
      <c r="N25" s="1171">
        <f>'MFR E-12 (2-4)'!N75</f>
        <v>-45768.972128283815</v>
      </c>
      <c r="O25" s="1171">
        <f>'MFR E-12 (2-4)'!O75</f>
        <v>-15711.231896891026</v>
      </c>
      <c r="P25" s="382">
        <f t="shared" si="4"/>
        <v>15289.771611106815</v>
      </c>
    </row>
    <row r="26" spans="1:16" x14ac:dyDescent="0.3">
      <c r="A26" s="1166">
        <f t="shared" si="1"/>
        <v>21</v>
      </c>
      <c r="B26" s="1172" t="s">
        <v>275</v>
      </c>
      <c r="C26" s="505"/>
      <c r="D26" s="1171">
        <f>'MFR E-12 (2-4)'!D76</f>
        <v>-102.9904983175993</v>
      </c>
      <c r="E26" s="1171">
        <f>'MFR E-12 (2-4)'!E76</f>
        <v>66.663414294798713</v>
      </c>
      <c r="F26" s="1171">
        <f>'MFR E-12 (2-4)'!F76</f>
        <v>16.24003278418752</v>
      </c>
      <c r="G26" s="1171">
        <f>'MFR E-12 (2-4)'!G76</f>
        <v>128.34186710305539</v>
      </c>
      <c r="H26" s="1171">
        <f>'MFR E-12 (2-4)'!H76</f>
        <v>148.15757987622965</v>
      </c>
      <c r="I26" s="1171">
        <f>'MFR E-12 (2-4)'!I76</f>
        <v>56.202860590402452</v>
      </c>
      <c r="J26" s="1171">
        <f>'MFR E-12 (2-4)'!J76</f>
        <v>7.3467509182382855</v>
      </c>
      <c r="K26" s="1171">
        <f>'MFR E-12 (2-4)'!K76</f>
        <v>-24.72537789546368</v>
      </c>
      <c r="L26" s="1171">
        <f>'MFR E-12 (2-4)'!L76</f>
        <v>8.441952453356862</v>
      </c>
      <c r="M26" s="1171">
        <f>'MFR E-12 (2-4)'!M76</f>
        <v>-17.689094645214936</v>
      </c>
      <c r="N26" s="1171">
        <f>'MFR E-12 (2-4)'!N76</f>
        <v>-7.0530159522613758</v>
      </c>
      <c r="O26" s="1171">
        <f>'MFR E-12 (2-4)'!O76</f>
        <v>-9.5429802429362098</v>
      </c>
      <c r="P26" s="382">
        <f t="shared" si="4"/>
        <v>269.39349096679337</v>
      </c>
    </row>
    <row r="27" spans="1:16" x14ac:dyDescent="0.3">
      <c r="A27" s="1166">
        <f t="shared" si="1"/>
        <v>22</v>
      </c>
      <c r="B27" s="1172" t="s">
        <v>273</v>
      </c>
      <c r="C27" s="505"/>
      <c r="D27" s="1171">
        <f>'MFR E-12 (2-4)'!D77</f>
        <v>-2497.7975460985908</v>
      </c>
      <c r="E27" s="1171">
        <f>'MFR E-12 (2-4)'!E77</f>
        <v>1159.9308420431335</v>
      </c>
      <c r="F27" s="1171">
        <f>'MFR E-12 (2-4)'!F77</f>
        <v>2824.7269788324775</v>
      </c>
      <c r="G27" s="1171">
        <f>'MFR E-12 (2-4)'!G77</f>
        <v>1228.8084872992185</v>
      </c>
      <c r="H27" s="1171">
        <f>'MFR E-12 (2-4)'!H77</f>
        <v>3218.0813626969757</v>
      </c>
      <c r="I27" s="1171">
        <f>'MFR E-12 (2-4)'!I77</f>
        <v>771.53534539285465</v>
      </c>
      <c r="J27" s="1171">
        <f>'MFR E-12 (2-4)'!J77</f>
        <v>1149.3440401598054</v>
      </c>
      <c r="K27" s="1171">
        <f>'MFR E-12 (2-4)'!K77</f>
        <v>-1468.675980324886</v>
      </c>
      <c r="L27" s="1171">
        <f>'MFR E-12 (2-4)'!L77</f>
        <v>571.8504392329196</v>
      </c>
      <c r="M27" s="1171">
        <f>'MFR E-12 (2-4)'!M77</f>
        <v>-2220.7419233848341</v>
      </c>
      <c r="N27" s="1171">
        <f>'MFR E-12 (2-4)'!N77</f>
        <v>-71.574739518982824</v>
      </c>
      <c r="O27" s="1171">
        <f>'MFR E-12 (2-4)'!O77</f>
        <v>290.23301792677375</v>
      </c>
      <c r="P27" s="382">
        <f t="shared" si="4"/>
        <v>4955.7203242568648</v>
      </c>
    </row>
    <row r="28" spans="1:16" x14ac:dyDescent="0.3">
      <c r="A28" s="1166">
        <f t="shared" si="1"/>
        <v>23</v>
      </c>
      <c r="B28" s="1172" t="s">
        <v>274</v>
      </c>
      <c r="C28" s="505"/>
      <c r="D28" s="1171">
        <f>'MFR E-12 (2-4)'!D78</f>
        <v>-1569.8095340481013</v>
      </c>
      <c r="E28" s="1171">
        <f>'MFR E-12 (2-4)'!E78</f>
        <v>-596.72024628922372</v>
      </c>
      <c r="F28" s="1171">
        <f>'MFR E-12 (2-4)'!F78</f>
        <v>906.41013710203697</v>
      </c>
      <c r="G28" s="1171">
        <f>'MFR E-12 (2-4)'!G78</f>
        <v>1004.6654048627533</v>
      </c>
      <c r="H28" s="1171">
        <f>'MFR E-12 (2-4)'!H78</f>
        <v>2932.8683963362273</v>
      </c>
      <c r="I28" s="1171">
        <f>'MFR E-12 (2-4)'!I78</f>
        <v>568.23986000968216</v>
      </c>
      <c r="J28" s="1171">
        <f>'MFR E-12 (2-4)'!J78</f>
        <v>-248.87390585164394</v>
      </c>
      <c r="K28" s="1171">
        <f>'MFR E-12 (2-4)'!K78</f>
        <v>160.35993366204275</v>
      </c>
      <c r="L28" s="1171">
        <f>'MFR E-12 (2-4)'!L78</f>
        <v>-486.92903655884584</v>
      </c>
      <c r="M28" s="1171">
        <f>'MFR E-12 (2-4)'!M78</f>
        <v>-972.76626527027838</v>
      </c>
      <c r="N28" s="1171">
        <f>'MFR E-12 (2-4)'!N78</f>
        <v>-1209.9263745577809</v>
      </c>
      <c r="O28" s="1171">
        <f>'MFR E-12 (2-4)'!O78</f>
        <v>-255.47668611253175</v>
      </c>
      <c r="P28" s="382">
        <f t="shared" si="4"/>
        <v>232.04168328433661</v>
      </c>
    </row>
    <row r="29" spans="1:16" x14ac:dyDescent="0.3">
      <c r="A29" s="1166">
        <f t="shared" si="1"/>
        <v>24</v>
      </c>
      <c r="B29" s="1172" t="s">
        <v>138</v>
      </c>
      <c r="C29" s="505"/>
      <c r="D29" s="1171">
        <f>'MFR E-12 (2-4)'!D79</f>
        <v>-454.05276520936604</v>
      </c>
      <c r="E29" s="1171">
        <f>'MFR E-12 (2-4)'!E79</f>
        <v>-341.93406142122694</v>
      </c>
      <c r="F29" s="1171">
        <f>'MFR E-12 (2-4)'!F79</f>
        <v>16.377517034117432</v>
      </c>
      <c r="G29" s="1171">
        <f>'MFR E-12 (2-4)'!G79</f>
        <v>164.49136416513556</v>
      </c>
      <c r="H29" s="1171">
        <f>'MFR E-12 (2-4)'!H79</f>
        <v>191.03028500630626</v>
      </c>
      <c r="I29" s="1171">
        <f>'MFR E-12 (2-4)'!I79</f>
        <v>37.704219241838246</v>
      </c>
      <c r="J29" s="1171">
        <f>'MFR E-12 (2-4)'!J79</f>
        <v>-33.069963637288311</v>
      </c>
      <c r="K29" s="1171">
        <f>'MFR E-12 (2-4)'!K79</f>
        <v>-4.6133432357778474</v>
      </c>
      <c r="L29" s="1171">
        <f>'MFR E-12 (2-4)'!L79</f>
        <v>-10.885697873027311</v>
      </c>
      <c r="M29" s="1171">
        <f>'MFR E-12 (2-4)'!M79</f>
        <v>-77.43002583919224</v>
      </c>
      <c r="N29" s="1171">
        <f>'MFR E-12 (2-4)'!N79</f>
        <v>-93.569267507902623</v>
      </c>
      <c r="O29" s="1171">
        <f>'MFR E-12 (2-4)'!O79</f>
        <v>-47.309119160649971</v>
      </c>
      <c r="P29" s="382">
        <f t="shared" si="4"/>
        <v>-653.26085843703379</v>
      </c>
    </row>
    <row r="30" spans="1:16" x14ac:dyDescent="0.3">
      <c r="A30" s="1166">
        <f t="shared" si="1"/>
        <v>25</v>
      </c>
      <c r="B30" s="1172" t="s">
        <v>140</v>
      </c>
      <c r="C30" s="505"/>
      <c r="D30" s="1171">
        <f>'MFR E-12 (2-4)'!D80</f>
        <v>-74.440991305456919</v>
      </c>
      <c r="E30" s="1171">
        <f>'MFR E-12 (2-4)'!E80</f>
        <v>29.878181463633609</v>
      </c>
      <c r="F30" s="1171">
        <f>'MFR E-12 (2-4)'!F80</f>
        <v>18.292350602939223</v>
      </c>
      <c r="G30" s="1171">
        <f>'MFR E-12 (2-4)'!G80</f>
        <v>-1.5788241848185862</v>
      </c>
      <c r="H30" s="1171">
        <f>'MFR E-12 (2-4)'!H80</f>
        <v>-21.148337812891441</v>
      </c>
      <c r="I30" s="1171">
        <f>'MFR E-12 (2-4)'!I80</f>
        <v>6.0406078712867384</v>
      </c>
      <c r="J30" s="1171">
        <f>'MFR E-12 (2-4)'!J80</f>
        <v>37.975667908479409</v>
      </c>
      <c r="K30" s="1171">
        <f>'MFR E-12 (2-4)'!K80</f>
        <v>-26.898457760444671</v>
      </c>
      <c r="L30" s="1171">
        <f>'MFR E-12 (2-4)'!L80</f>
        <v>51.498035805720974</v>
      </c>
      <c r="M30" s="1171">
        <f>'MFR E-12 (2-4)'!M80</f>
        <v>-27.493608892054908</v>
      </c>
      <c r="N30" s="1171">
        <f>'MFR E-12 (2-4)'!N80</f>
        <v>9.3141693358606972</v>
      </c>
      <c r="O30" s="1171">
        <f>'MFR E-12 (2-4)'!O80</f>
        <v>-1.4387905072799185</v>
      </c>
      <c r="P30" s="382">
        <f t="shared" si="4"/>
        <v>2.5249742066080216E-6</v>
      </c>
    </row>
    <row r="31" spans="1:16" x14ac:dyDescent="0.3">
      <c r="A31" s="1166">
        <f t="shared" si="1"/>
        <v>26</v>
      </c>
      <c r="B31" s="1172" t="s">
        <v>139</v>
      </c>
      <c r="C31" s="505"/>
      <c r="D31" s="1171">
        <f>'MFR E-12 (2-4)'!D81</f>
        <v>-344.30725524177979</v>
      </c>
      <c r="E31" s="1171">
        <f>'MFR E-12 (2-4)'!E81</f>
        <v>0</v>
      </c>
      <c r="F31" s="1171">
        <f>'MFR E-12 (2-4)'!F81</f>
        <v>92.993222323304508</v>
      </c>
      <c r="G31" s="1171">
        <f>'MFR E-12 (2-4)'!G81</f>
        <v>-4.0019150065327267</v>
      </c>
      <c r="H31" s="1171">
        <f>'MFR E-12 (2-4)'!H81</f>
        <v>-37.024379190973377</v>
      </c>
      <c r="I31" s="1171">
        <f>'MFR E-12 (2-4)'!I81</f>
        <v>14.553810076791706</v>
      </c>
      <c r="J31" s="1171">
        <f>'MFR E-12 (2-4)'!J81</f>
        <v>86.106169192715242</v>
      </c>
      <c r="K31" s="1171">
        <f>'MFR E-12 (2-4)'!K81</f>
        <v>-79.966036758918563</v>
      </c>
      <c r="L31" s="1171">
        <f>'MFR E-12 (2-4)'!L81</f>
        <v>100.58931826045591</v>
      </c>
      <c r="M31" s="1171">
        <f>'MFR E-12 (2-4)'!M81</f>
        <v>-10.17431687878161</v>
      </c>
      <c r="N31" s="1171">
        <f>'MFR E-12 (2-4)'!N81</f>
        <v>46.075332580650866</v>
      </c>
      <c r="O31" s="1171">
        <f>'MFR E-12 (2-4)'!O81</f>
        <v>46.737420950776141</v>
      </c>
      <c r="P31" s="382">
        <f t="shared" si="4"/>
        <v>-88.418629692291688</v>
      </c>
    </row>
    <row r="32" spans="1:16" ht="14.4" thickBot="1" x14ac:dyDescent="0.35">
      <c r="A32" s="1166">
        <f t="shared" si="1"/>
        <v>27</v>
      </c>
      <c r="B32" s="382"/>
      <c r="C32" s="505"/>
      <c r="D32" s="1175">
        <f>SUM(D22:D31)</f>
        <v>-155375.25037053932</v>
      </c>
      <c r="E32" s="1175">
        <f t="shared" ref="E32:P32" si="5">SUM(E22:E31)</f>
        <v>-107646.04583341171</v>
      </c>
      <c r="F32" s="1175">
        <f t="shared" si="5"/>
        <v>109636.23293278077</v>
      </c>
      <c r="G32" s="1175">
        <f t="shared" si="5"/>
        <v>138730.31314076655</v>
      </c>
      <c r="H32" s="1175">
        <f t="shared" si="5"/>
        <v>501900.80013981916</v>
      </c>
      <c r="I32" s="1175">
        <f t="shared" si="5"/>
        <v>77956.827178941414</v>
      </c>
      <c r="J32" s="1175">
        <f t="shared" si="5"/>
        <v>-9077.6746235571572</v>
      </c>
      <c r="K32" s="1175">
        <f t="shared" si="5"/>
        <v>62487.298254024623</v>
      </c>
      <c r="L32" s="1175">
        <f t="shared" si="5"/>
        <v>-123218.78948630978</v>
      </c>
      <c r="M32" s="1175">
        <f t="shared" si="5"/>
        <v>-208691.43982295797</v>
      </c>
      <c r="N32" s="1175">
        <f t="shared" si="5"/>
        <v>-123114.30269852653</v>
      </c>
      <c r="O32" s="1175">
        <f t="shared" si="5"/>
        <v>74094.381429328932</v>
      </c>
      <c r="P32" s="1175">
        <f t="shared" si="5"/>
        <v>237682.35024035894</v>
      </c>
    </row>
    <row r="33" spans="1:18" ht="14.4" thickTop="1" x14ac:dyDescent="0.3">
      <c r="A33" s="1166">
        <f t="shared" si="1"/>
        <v>28</v>
      </c>
    </row>
    <row r="34" spans="1:18" x14ac:dyDescent="0.3">
      <c r="A34" s="1166">
        <f t="shared" si="1"/>
        <v>29</v>
      </c>
      <c r="B34" s="1170"/>
      <c r="C34" s="382"/>
      <c r="D34" s="1171"/>
      <c r="E34" s="1171"/>
      <c r="F34" s="1171"/>
      <c r="G34" s="1171"/>
      <c r="H34" s="1171"/>
      <c r="I34" s="1171"/>
      <c r="J34" s="1171"/>
      <c r="K34" s="1171"/>
      <c r="L34" s="1171"/>
      <c r="M34" s="1171"/>
      <c r="N34" s="1171"/>
      <c r="O34" s="1171"/>
      <c r="P34" s="1171"/>
    </row>
    <row r="35" spans="1:18" x14ac:dyDescent="0.3">
      <c r="A35" s="1166">
        <f t="shared" si="1"/>
        <v>30</v>
      </c>
      <c r="B35" s="1170" t="s">
        <v>465</v>
      </c>
      <c r="C35" s="382"/>
      <c r="D35" s="1171"/>
      <c r="E35" s="1171"/>
      <c r="F35" s="1171"/>
      <c r="G35" s="1171"/>
      <c r="H35" s="1171"/>
      <c r="I35" s="1171"/>
      <c r="J35" s="1171"/>
      <c r="K35" s="1171"/>
      <c r="L35" s="1171"/>
      <c r="M35" s="1171"/>
      <c r="N35" s="1171"/>
      <c r="O35" s="1171"/>
      <c r="P35" s="1171"/>
    </row>
    <row r="36" spans="1:18" x14ac:dyDescent="0.3">
      <c r="A36" s="1166">
        <f t="shared" si="1"/>
        <v>31</v>
      </c>
      <c r="B36" s="1270" t="s">
        <v>135</v>
      </c>
      <c r="D36" s="1271">
        <f>D22</f>
        <v>-111207.76281847083</v>
      </c>
      <c r="E36" s="1271">
        <f t="shared" ref="E36:O36" si="6">E22</f>
        <v>-107736.62087270897</v>
      </c>
      <c r="F36" s="1271">
        <f t="shared" si="6"/>
        <v>56991.078265516553</v>
      </c>
      <c r="G36" s="1271">
        <f t="shared" si="6"/>
        <v>97885.080991412047</v>
      </c>
      <c r="H36" s="1271">
        <f t="shared" si="6"/>
        <v>375500.47318502772</v>
      </c>
      <c r="I36" s="1271">
        <f t="shared" si="6"/>
        <v>60098.103085932322</v>
      </c>
      <c r="J36" s="1271">
        <f t="shared" si="6"/>
        <v>233.3450419800356</v>
      </c>
      <c r="K36" s="1271">
        <f t="shared" si="6"/>
        <v>59687.631454476155</v>
      </c>
      <c r="L36" s="1271">
        <f t="shared" si="6"/>
        <v>-91671.998846651055</v>
      </c>
      <c r="M36" s="1271">
        <f t="shared" si="6"/>
        <v>-148920.09453224018</v>
      </c>
      <c r="N36" s="1271">
        <f t="shared" si="6"/>
        <v>-67168.042142670602</v>
      </c>
      <c r="O36" s="1271">
        <f t="shared" si="6"/>
        <v>92659.925903639989</v>
      </c>
      <c r="P36" s="1271">
        <f>SUM(D36:O36)</f>
        <v>216351.11871524318</v>
      </c>
      <c r="Q36" s="1185" t="s">
        <v>466</v>
      </c>
      <c r="R36" s="1185" t="s">
        <v>467</v>
      </c>
    </row>
    <row r="37" spans="1:18" x14ac:dyDescent="0.3">
      <c r="A37" s="1166">
        <f t="shared" si="1"/>
        <v>32</v>
      </c>
      <c r="B37" s="1272" t="s">
        <v>468</v>
      </c>
      <c r="C37" s="1273">
        <f>('E-13c - prior to updates'!D26+'E-13c - prior to updates'!D31)/'E-13c - prior to updates'!$D$42</f>
        <v>0.71787593101679581</v>
      </c>
      <c r="D37" s="1171">
        <f>ROUND(D$36*$C37,3)</f>
        <v>-79833.376000000004</v>
      </c>
      <c r="E37" s="1171">
        <f t="shared" ref="E37:O37" si="7">ROUND(E$36*$C37,3)</f>
        <v>-77341.527000000002</v>
      </c>
      <c r="F37" s="1171">
        <f t="shared" si="7"/>
        <v>40912.523000000001</v>
      </c>
      <c r="G37" s="1171">
        <f t="shared" si="7"/>
        <v>70269.343999999997</v>
      </c>
      <c r="H37" s="1171">
        <f t="shared" si="7"/>
        <v>269562.75199999998</v>
      </c>
      <c r="I37" s="1171">
        <f t="shared" si="7"/>
        <v>43142.982000000004</v>
      </c>
      <c r="J37" s="1171">
        <f t="shared" si="7"/>
        <v>167.51300000000001</v>
      </c>
      <c r="K37" s="1171">
        <f t="shared" si="7"/>
        <v>42848.313999999998</v>
      </c>
      <c r="L37" s="1171">
        <f t="shared" si="7"/>
        <v>-65809.122000000003</v>
      </c>
      <c r="M37" s="1171">
        <f t="shared" si="7"/>
        <v>-106906.152</v>
      </c>
      <c r="N37" s="1171">
        <f t="shared" si="7"/>
        <v>-48218.321000000004</v>
      </c>
      <c r="O37" s="1171">
        <f t="shared" si="7"/>
        <v>66518.331000000006</v>
      </c>
      <c r="P37" s="505">
        <f t="shared" ref="P37:P54" si="8">SUM(D37:O37)</f>
        <v>155313.26099999997</v>
      </c>
      <c r="Q37" s="1274">
        <f>SUM(D37:E37,O37)</f>
        <v>-90656.571999999986</v>
      </c>
      <c r="R37" s="1274">
        <f>SUM(F37:N37)</f>
        <v>245969.83299999998</v>
      </c>
    </row>
    <row r="38" spans="1:18" x14ac:dyDescent="0.3">
      <c r="A38" s="1166">
        <f t="shared" si="1"/>
        <v>33</v>
      </c>
      <c r="B38" s="1272" t="s">
        <v>469</v>
      </c>
      <c r="C38" s="1273">
        <f>('E-13c - prior to updates'!D27+'E-13c - prior to updates'!D32)/'E-13c - prior to updates'!$D$42</f>
        <v>0.28196553497457943</v>
      </c>
      <c r="D38" s="1171">
        <f t="shared" ref="D38:O41" si="9">ROUND(D$36*$C38,3)</f>
        <v>-31356.756000000001</v>
      </c>
      <c r="E38" s="1171">
        <f t="shared" si="9"/>
        <v>-30378.013999999999</v>
      </c>
      <c r="F38" s="1171">
        <f t="shared" si="9"/>
        <v>16069.52</v>
      </c>
      <c r="G38" s="1171">
        <f t="shared" si="9"/>
        <v>27600.219000000001</v>
      </c>
      <c r="H38" s="1171">
        <f t="shared" si="9"/>
        <v>105878.192</v>
      </c>
      <c r="I38" s="1171">
        <f t="shared" si="9"/>
        <v>16945.594000000001</v>
      </c>
      <c r="J38" s="1171">
        <f t="shared" si="9"/>
        <v>65.795000000000002</v>
      </c>
      <c r="K38" s="1171">
        <f t="shared" si="9"/>
        <v>16829.855</v>
      </c>
      <c r="L38" s="1171">
        <f t="shared" si="9"/>
        <v>-25848.344000000001</v>
      </c>
      <c r="M38" s="1171">
        <f t="shared" si="9"/>
        <v>-41990.334000000003</v>
      </c>
      <c r="N38" s="1171">
        <f t="shared" si="9"/>
        <v>-18939.073</v>
      </c>
      <c r="O38" s="1171">
        <f t="shared" si="9"/>
        <v>26126.905999999999</v>
      </c>
      <c r="P38" s="505">
        <f t="shared" si="8"/>
        <v>61003.559999999983</v>
      </c>
      <c r="Q38" s="1274">
        <f>SUM(D38:E38,O38)</f>
        <v>-35607.864000000001</v>
      </c>
      <c r="R38" s="1274">
        <f>SUM(F38:N38)</f>
        <v>96611.423999999999</v>
      </c>
    </row>
    <row r="39" spans="1:18" x14ac:dyDescent="0.3">
      <c r="A39" s="1166">
        <f t="shared" si="1"/>
        <v>34</v>
      </c>
      <c r="B39" s="1272" t="s">
        <v>470</v>
      </c>
      <c r="C39" s="1273">
        <f>('E-13c - prior to updates'!D37)/'E-13c - prior to updates'!$D$42</f>
        <v>1.5834392077445744E-5</v>
      </c>
      <c r="D39" s="1171">
        <f t="shared" si="9"/>
        <v>-1.7609999999999999</v>
      </c>
      <c r="E39" s="1171">
        <f t="shared" si="9"/>
        <v>-1.706</v>
      </c>
      <c r="F39" s="1171">
        <f t="shared" si="9"/>
        <v>0.90200000000000002</v>
      </c>
      <c r="G39" s="1171">
        <f t="shared" si="9"/>
        <v>1.55</v>
      </c>
      <c r="H39" s="1171">
        <f t="shared" si="9"/>
        <v>5.9459999999999997</v>
      </c>
      <c r="I39" s="1171">
        <f t="shared" si="9"/>
        <v>0.95199999999999996</v>
      </c>
      <c r="J39" s="1171">
        <f t="shared" si="9"/>
        <v>4.0000000000000001E-3</v>
      </c>
      <c r="K39" s="1171">
        <f t="shared" si="9"/>
        <v>0.94499999999999995</v>
      </c>
      <c r="L39" s="1171">
        <f t="shared" si="9"/>
        <v>-1.452</v>
      </c>
      <c r="M39" s="1171">
        <f t="shared" si="9"/>
        <v>-2.3580000000000001</v>
      </c>
      <c r="N39" s="1171">
        <f t="shared" si="9"/>
        <v>-1.0640000000000001</v>
      </c>
      <c r="O39" s="1171">
        <f t="shared" si="9"/>
        <v>1.4670000000000001</v>
      </c>
      <c r="P39" s="1275">
        <f t="shared" si="8"/>
        <v>3.4249999999999998</v>
      </c>
    </row>
    <row r="40" spans="1:18" x14ac:dyDescent="0.3">
      <c r="A40" s="1166">
        <f t="shared" si="1"/>
        <v>35</v>
      </c>
      <c r="B40" s="1272" t="s">
        <v>471</v>
      </c>
      <c r="C40" s="1273">
        <f>('E-13c - prior to updates'!D38)/'E-13c - prior to updates'!$D$42</f>
        <v>1.0795461709538878E-4</v>
      </c>
      <c r="D40" s="1171">
        <f t="shared" si="9"/>
        <v>-12.005000000000001</v>
      </c>
      <c r="E40" s="1171">
        <f t="shared" si="9"/>
        <v>-11.631</v>
      </c>
      <c r="F40" s="1171">
        <f t="shared" si="9"/>
        <v>6.1520000000000001</v>
      </c>
      <c r="G40" s="1171">
        <f t="shared" si="9"/>
        <v>10.567</v>
      </c>
      <c r="H40" s="1171">
        <f t="shared" si="9"/>
        <v>40.536999999999999</v>
      </c>
      <c r="I40" s="1171">
        <f t="shared" si="9"/>
        <v>6.4880000000000004</v>
      </c>
      <c r="J40" s="1171">
        <f t="shared" si="9"/>
        <v>2.5000000000000001E-2</v>
      </c>
      <c r="K40" s="1171">
        <f t="shared" si="9"/>
        <v>6.444</v>
      </c>
      <c r="L40" s="1171">
        <f t="shared" si="9"/>
        <v>-9.8960000000000008</v>
      </c>
      <c r="M40" s="1171">
        <f t="shared" si="9"/>
        <v>-16.077000000000002</v>
      </c>
      <c r="N40" s="1171">
        <f t="shared" si="9"/>
        <v>-7.2510000000000003</v>
      </c>
      <c r="O40" s="1171">
        <f t="shared" si="9"/>
        <v>10.003</v>
      </c>
      <c r="P40" s="1275">
        <f t="shared" si="8"/>
        <v>23.355999999999995</v>
      </c>
    </row>
    <row r="41" spans="1:18" x14ac:dyDescent="0.3">
      <c r="A41" s="1166">
        <f t="shared" si="1"/>
        <v>36</v>
      </c>
      <c r="B41" s="1272" t="s">
        <v>472</v>
      </c>
      <c r="C41" s="1273">
        <f>('E-13c - prior to updates'!D39)/'E-13c - prior to updates'!$D$42</f>
        <v>3.4744999452005862E-5</v>
      </c>
      <c r="D41" s="1171">
        <f t="shared" si="9"/>
        <v>-3.8639999999999999</v>
      </c>
      <c r="E41" s="1171">
        <f t="shared" si="9"/>
        <v>-3.7429999999999999</v>
      </c>
      <c r="F41" s="1171">
        <f t="shared" si="9"/>
        <v>1.98</v>
      </c>
      <c r="G41" s="1171">
        <f t="shared" si="9"/>
        <v>3.4009999999999998</v>
      </c>
      <c r="H41" s="1171">
        <f t="shared" si="9"/>
        <v>13.047000000000001</v>
      </c>
      <c r="I41" s="1171">
        <f t="shared" si="9"/>
        <v>2.0880000000000001</v>
      </c>
      <c r="J41" s="1171">
        <f t="shared" si="9"/>
        <v>8.0000000000000002E-3</v>
      </c>
      <c r="K41" s="1171">
        <f t="shared" si="9"/>
        <v>2.0739999999999998</v>
      </c>
      <c r="L41" s="1171">
        <f t="shared" si="9"/>
        <v>-3.1850000000000001</v>
      </c>
      <c r="M41" s="1171">
        <f t="shared" si="9"/>
        <v>-5.1740000000000004</v>
      </c>
      <c r="N41" s="1171">
        <f t="shared" si="9"/>
        <v>-2.3340000000000001</v>
      </c>
      <c r="O41" s="1171">
        <f t="shared" si="9"/>
        <v>3.2189999999999999</v>
      </c>
      <c r="P41" s="1275">
        <f t="shared" si="8"/>
        <v>7.5169999999999995</v>
      </c>
    </row>
    <row r="42" spans="1:18" x14ac:dyDescent="0.3">
      <c r="A42" s="1166">
        <f t="shared" si="1"/>
        <v>37</v>
      </c>
      <c r="B42" s="1270" t="s">
        <v>136</v>
      </c>
      <c r="C42" s="505"/>
      <c r="D42" s="1271">
        <f>D23</f>
        <v>-5917.8721839843784</v>
      </c>
      <c r="E42" s="1271">
        <f t="shared" ref="E42:O42" si="10">E23</f>
        <v>271.86965910118306</v>
      </c>
      <c r="F42" s="1271">
        <f t="shared" si="10"/>
        <v>6462.9938660337357</v>
      </c>
      <c r="G42" s="1271">
        <f t="shared" si="10"/>
        <v>5276.1491997751873</v>
      </c>
      <c r="H42" s="1271">
        <f t="shared" si="10"/>
        <v>18280.796288853802</v>
      </c>
      <c r="I42" s="1271">
        <f t="shared" si="10"/>
        <v>2075.7986079861585</v>
      </c>
      <c r="J42" s="1271">
        <f t="shared" si="10"/>
        <v>-1431.8462995979644</v>
      </c>
      <c r="K42" s="1271">
        <f t="shared" si="10"/>
        <v>710.53521829092642</v>
      </c>
      <c r="L42" s="1271">
        <f t="shared" si="10"/>
        <v>-5198.4841806455806</v>
      </c>
      <c r="M42" s="1271">
        <f t="shared" si="10"/>
        <v>-8750.8625003386696</v>
      </c>
      <c r="N42" s="1271">
        <f t="shared" si="10"/>
        <v>-8050.3799491391983</v>
      </c>
      <c r="O42" s="1271">
        <f t="shared" si="10"/>
        <v>-2596.1313922856934</v>
      </c>
      <c r="P42" s="1170">
        <f t="shared" ref="P42:P104" si="11">SUM(D42:O42)</f>
        <v>1132.5663340495084</v>
      </c>
    </row>
    <row r="43" spans="1:18" x14ac:dyDescent="0.3">
      <c r="A43" s="1166">
        <f t="shared" si="1"/>
        <v>38</v>
      </c>
      <c r="B43" s="1272" t="s">
        <v>473</v>
      </c>
      <c r="C43" s="1273">
        <f>'E-13c - prior to updates'!D88/'E-13c - prior to updates'!$D$104</f>
        <v>0.92963282634863231</v>
      </c>
      <c r="D43" s="1171">
        <f>ROUND(D$42*$C43,3)</f>
        <v>-5501.4480000000003</v>
      </c>
      <c r="E43" s="1171">
        <f t="shared" ref="E43:O43" si="12">ROUND(E$42*$C43,3)</f>
        <v>252.739</v>
      </c>
      <c r="F43" s="1171">
        <f t="shared" si="12"/>
        <v>6008.2110000000002</v>
      </c>
      <c r="G43" s="1171">
        <f t="shared" si="12"/>
        <v>4904.8810000000003</v>
      </c>
      <c r="H43" s="1171">
        <f t="shared" si="12"/>
        <v>16994.428</v>
      </c>
      <c r="I43" s="1171">
        <f t="shared" si="12"/>
        <v>1929.731</v>
      </c>
      <c r="J43" s="1171">
        <f t="shared" si="12"/>
        <v>-1331.0909999999999</v>
      </c>
      <c r="K43" s="1171">
        <f t="shared" si="12"/>
        <v>660.53700000000003</v>
      </c>
      <c r="L43" s="1171">
        <f t="shared" si="12"/>
        <v>-4832.6819999999998</v>
      </c>
      <c r="M43" s="1171">
        <f t="shared" si="12"/>
        <v>-8135.0889999999999</v>
      </c>
      <c r="N43" s="1171">
        <f t="shared" si="12"/>
        <v>-7483.8969999999999</v>
      </c>
      <c r="O43" s="1171">
        <f t="shared" si="12"/>
        <v>-2413.4490000000001</v>
      </c>
      <c r="P43" s="1275">
        <f t="shared" si="8"/>
        <v>1052.8710000000005</v>
      </c>
    </row>
    <row r="44" spans="1:18" x14ac:dyDescent="0.3">
      <c r="A44" s="1166">
        <f t="shared" si="1"/>
        <v>39</v>
      </c>
      <c r="B44" s="1272" t="s">
        <v>474</v>
      </c>
      <c r="C44" s="1273">
        <f>'E-13c - prior to updates'!D89/'E-13c - prior to updates'!$D$104</f>
        <v>7.0646851599106509E-3</v>
      </c>
      <c r="D44" s="1171">
        <f t="shared" ref="D44:O54" si="13">ROUND(D$42*$C44,3)</f>
        <v>-41.808</v>
      </c>
      <c r="E44" s="1171">
        <f t="shared" si="13"/>
        <v>1.921</v>
      </c>
      <c r="F44" s="1171">
        <f t="shared" si="13"/>
        <v>45.658999999999999</v>
      </c>
      <c r="G44" s="1171">
        <f t="shared" si="13"/>
        <v>37.274000000000001</v>
      </c>
      <c r="H44" s="1171">
        <f t="shared" si="13"/>
        <v>129.148</v>
      </c>
      <c r="I44" s="1171">
        <f t="shared" si="13"/>
        <v>14.664999999999999</v>
      </c>
      <c r="J44" s="1171">
        <f t="shared" si="13"/>
        <v>-10.116</v>
      </c>
      <c r="K44" s="1171">
        <f t="shared" si="13"/>
        <v>5.0199999999999996</v>
      </c>
      <c r="L44" s="1171">
        <f t="shared" si="13"/>
        <v>-36.725999999999999</v>
      </c>
      <c r="M44" s="1171">
        <f t="shared" si="13"/>
        <v>-61.822000000000003</v>
      </c>
      <c r="N44" s="1171">
        <f t="shared" si="13"/>
        <v>-56.872999999999998</v>
      </c>
      <c r="O44" s="1171">
        <f t="shared" si="13"/>
        <v>-18.341000000000001</v>
      </c>
      <c r="P44" s="1275">
        <f t="shared" si="8"/>
        <v>8.0010000000000048</v>
      </c>
    </row>
    <row r="45" spans="1:18" x14ac:dyDescent="0.3">
      <c r="A45" s="1166">
        <f t="shared" si="1"/>
        <v>40</v>
      </c>
      <c r="B45" s="1272" t="s">
        <v>475</v>
      </c>
      <c r="C45" s="1273">
        <f>'E-13c - prior to updates'!D90/'E-13c - prior to updates'!$D$104</f>
        <v>0</v>
      </c>
      <c r="D45" s="1171">
        <f t="shared" si="13"/>
        <v>0</v>
      </c>
      <c r="E45" s="1171">
        <f t="shared" si="13"/>
        <v>0</v>
      </c>
      <c r="F45" s="1171">
        <f t="shared" si="13"/>
        <v>0</v>
      </c>
      <c r="G45" s="1171">
        <f t="shared" si="13"/>
        <v>0</v>
      </c>
      <c r="H45" s="1171">
        <f t="shared" si="13"/>
        <v>0</v>
      </c>
      <c r="I45" s="1171">
        <f t="shared" si="13"/>
        <v>0</v>
      </c>
      <c r="J45" s="1171">
        <f t="shared" si="13"/>
        <v>0</v>
      </c>
      <c r="K45" s="1171">
        <f t="shared" si="13"/>
        <v>0</v>
      </c>
      <c r="L45" s="1171">
        <f t="shared" si="13"/>
        <v>0</v>
      </c>
      <c r="M45" s="1171">
        <f t="shared" si="13"/>
        <v>0</v>
      </c>
      <c r="N45" s="1171">
        <f t="shared" si="13"/>
        <v>0</v>
      </c>
      <c r="O45" s="1171">
        <f t="shared" si="13"/>
        <v>0</v>
      </c>
      <c r="P45" s="1275">
        <f t="shared" si="8"/>
        <v>0</v>
      </c>
    </row>
    <row r="46" spans="1:18" x14ac:dyDescent="0.3">
      <c r="A46" s="1166">
        <f t="shared" si="1"/>
        <v>41</v>
      </c>
      <c r="B46" s="1272" t="s">
        <v>476</v>
      </c>
      <c r="C46" s="1273">
        <f>'E-13c - prior to updates'!D93/'E-13c - prior to updates'!$D$104</f>
        <v>6.8625638138770676E-3</v>
      </c>
      <c r="D46" s="1171">
        <f t="shared" si="13"/>
        <v>-40.612000000000002</v>
      </c>
      <c r="E46" s="1171">
        <f t="shared" si="13"/>
        <v>1.8660000000000001</v>
      </c>
      <c r="F46" s="1171">
        <f t="shared" si="13"/>
        <v>44.353000000000002</v>
      </c>
      <c r="G46" s="1171">
        <f t="shared" si="13"/>
        <v>36.207999999999998</v>
      </c>
      <c r="H46" s="1171">
        <f t="shared" si="13"/>
        <v>125.453</v>
      </c>
      <c r="I46" s="1171">
        <f t="shared" si="13"/>
        <v>14.244999999999999</v>
      </c>
      <c r="J46" s="1171">
        <f t="shared" si="13"/>
        <v>-9.8260000000000005</v>
      </c>
      <c r="K46" s="1171">
        <f t="shared" si="13"/>
        <v>4.8760000000000003</v>
      </c>
      <c r="L46" s="1171">
        <f t="shared" si="13"/>
        <v>-35.674999999999997</v>
      </c>
      <c r="M46" s="1171">
        <f t="shared" si="13"/>
        <v>-60.052999999999997</v>
      </c>
      <c r="N46" s="1171">
        <f t="shared" si="13"/>
        <v>-55.246000000000002</v>
      </c>
      <c r="O46" s="1171">
        <f t="shared" si="13"/>
        <v>-17.815999999999999</v>
      </c>
      <c r="P46" s="1275">
        <f t="shared" si="8"/>
        <v>7.7730000000000352</v>
      </c>
    </row>
    <row r="47" spans="1:18" x14ac:dyDescent="0.3">
      <c r="A47" s="1166">
        <f t="shared" si="1"/>
        <v>42</v>
      </c>
      <c r="B47" s="1272" t="s">
        <v>477</v>
      </c>
      <c r="C47" s="1273">
        <f>'E-13c - prior to updates'!D94/'E-13c - prior to updates'!$D$104</f>
        <v>3.739391049120195E-2</v>
      </c>
      <c r="D47" s="1171">
        <f t="shared" si="13"/>
        <v>-221.292</v>
      </c>
      <c r="E47" s="1171">
        <f t="shared" si="13"/>
        <v>10.166</v>
      </c>
      <c r="F47" s="1171">
        <f t="shared" si="13"/>
        <v>241.67699999999999</v>
      </c>
      <c r="G47" s="1171">
        <f t="shared" si="13"/>
        <v>197.29599999999999</v>
      </c>
      <c r="H47" s="1171">
        <f t="shared" si="13"/>
        <v>683.59</v>
      </c>
      <c r="I47" s="1171">
        <f t="shared" si="13"/>
        <v>77.622</v>
      </c>
      <c r="J47" s="1171">
        <f t="shared" si="13"/>
        <v>-53.542000000000002</v>
      </c>
      <c r="K47" s="1171">
        <f t="shared" si="13"/>
        <v>26.57</v>
      </c>
      <c r="L47" s="1171">
        <f t="shared" si="13"/>
        <v>-194.392</v>
      </c>
      <c r="M47" s="1171">
        <f t="shared" si="13"/>
        <v>-327.22899999999998</v>
      </c>
      <c r="N47" s="1171">
        <f t="shared" si="13"/>
        <v>-301.03500000000003</v>
      </c>
      <c r="O47" s="1171">
        <f t="shared" si="13"/>
        <v>-97.08</v>
      </c>
      <c r="P47" s="1275">
        <f t="shared" si="8"/>
        <v>42.350999999999928</v>
      </c>
    </row>
    <row r="48" spans="1:18" x14ac:dyDescent="0.3">
      <c r="A48" s="1166">
        <f t="shared" si="1"/>
        <v>43</v>
      </c>
      <c r="B48" s="1272" t="s">
        <v>478</v>
      </c>
      <c r="C48" s="1273">
        <f>'E-13c - prior to updates'!D95/'E-13c - prior to updates'!$D$104</f>
        <v>1.2339875484207584E-2</v>
      </c>
      <c r="D48" s="1171">
        <f t="shared" si="13"/>
        <v>-73.025999999999996</v>
      </c>
      <c r="E48" s="1171">
        <f t="shared" si="13"/>
        <v>3.355</v>
      </c>
      <c r="F48" s="1171">
        <f t="shared" si="13"/>
        <v>79.753</v>
      </c>
      <c r="G48" s="1171">
        <f t="shared" si="13"/>
        <v>65.106999999999999</v>
      </c>
      <c r="H48" s="1171">
        <f t="shared" si="13"/>
        <v>225.583</v>
      </c>
      <c r="I48" s="1171">
        <f t="shared" si="13"/>
        <v>25.614999999999998</v>
      </c>
      <c r="J48" s="1171">
        <f t="shared" si="13"/>
        <v>-17.669</v>
      </c>
      <c r="K48" s="1171">
        <f t="shared" si="13"/>
        <v>8.7680000000000007</v>
      </c>
      <c r="L48" s="1171">
        <f t="shared" si="13"/>
        <v>-64.149000000000001</v>
      </c>
      <c r="M48" s="1171">
        <f t="shared" si="13"/>
        <v>-107.985</v>
      </c>
      <c r="N48" s="1171">
        <f t="shared" si="13"/>
        <v>-99.340999999999994</v>
      </c>
      <c r="O48" s="1171">
        <f t="shared" si="13"/>
        <v>-32.036000000000001</v>
      </c>
      <c r="P48" s="1275">
        <f t="shared" si="8"/>
        <v>13.97499999999998</v>
      </c>
    </row>
    <row r="49" spans="1:16" x14ac:dyDescent="0.3">
      <c r="A49" s="1166">
        <f t="shared" si="1"/>
        <v>44</v>
      </c>
      <c r="B49" s="1272" t="s">
        <v>479</v>
      </c>
      <c r="C49" s="1273">
        <f>'E-13c - prior to updates'!D97/'E-13c - prior to updates'!$D$104</f>
        <v>5.6343909927030768E-4</v>
      </c>
      <c r="D49" s="1171">
        <f t="shared" si="13"/>
        <v>-3.3340000000000001</v>
      </c>
      <c r="E49" s="1171">
        <f t="shared" si="13"/>
        <v>0.153</v>
      </c>
      <c r="F49" s="1171">
        <f t="shared" si="13"/>
        <v>3.6419999999999999</v>
      </c>
      <c r="G49" s="1171">
        <f t="shared" si="13"/>
        <v>2.9729999999999999</v>
      </c>
      <c r="H49" s="1171">
        <f t="shared" si="13"/>
        <v>10.3</v>
      </c>
      <c r="I49" s="1171">
        <f t="shared" si="13"/>
        <v>1.17</v>
      </c>
      <c r="J49" s="1171">
        <f t="shared" si="13"/>
        <v>-0.80700000000000005</v>
      </c>
      <c r="K49" s="1171">
        <f t="shared" si="13"/>
        <v>0.4</v>
      </c>
      <c r="L49" s="1171">
        <f t="shared" si="13"/>
        <v>-2.9289999999999998</v>
      </c>
      <c r="M49" s="1171">
        <f t="shared" si="13"/>
        <v>-4.931</v>
      </c>
      <c r="N49" s="1171">
        <f t="shared" si="13"/>
        <v>-4.5359999999999996</v>
      </c>
      <c r="O49" s="1171">
        <f t="shared" si="13"/>
        <v>-1.4630000000000001</v>
      </c>
      <c r="P49" s="1275">
        <f t="shared" si="8"/>
        <v>0.6379999999999999</v>
      </c>
    </row>
    <row r="50" spans="1:16" x14ac:dyDescent="0.3">
      <c r="A50" s="1166">
        <f t="shared" si="1"/>
        <v>45</v>
      </c>
      <c r="B50" s="1272" t="s">
        <v>480</v>
      </c>
      <c r="C50" s="1273">
        <f>'E-13c - prior to updates'!D98/'E-13c - prior to updates'!$D$104</f>
        <v>3.9684096093449113E-3</v>
      </c>
      <c r="D50" s="1171">
        <f t="shared" si="13"/>
        <v>-23.484999999999999</v>
      </c>
      <c r="E50" s="1171">
        <f t="shared" si="13"/>
        <v>1.079</v>
      </c>
      <c r="F50" s="1171">
        <f t="shared" si="13"/>
        <v>25.648</v>
      </c>
      <c r="G50" s="1171">
        <f t="shared" si="13"/>
        <v>20.937999999999999</v>
      </c>
      <c r="H50" s="1171">
        <f t="shared" si="13"/>
        <v>72.546000000000006</v>
      </c>
      <c r="I50" s="1171">
        <f t="shared" si="13"/>
        <v>8.2379999999999995</v>
      </c>
      <c r="J50" s="1171">
        <f t="shared" si="13"/>
        <v>-5.6820000000000004</v>
      </c>
      <c r="K50" s="1171">
        <f t="shared" si="13"/>
        <v>2.82</v>
      </c>
      <c r="L50" s="1171">
        <f t="shared" si="13"/>
        <v>-20.63</v>
      </c>
      <c r="M50" s="1171">
        <f t="shared" si="13"/>
        <v>-34.726999999999997</v>
      </c>
      <c r="N50" s="1171">
        <f t="shared" si="13"/>
        <v>-31.946999999999999</v>
      </c>
      <c r="O50" s="1171">
        <f t="shared" si="13"/>
        <v>-10.303000000000001</v>
      </c>
      <c r="P50" s="1275">
        <f t="shared" si="8"/>
        <v>4.4949999999999974</v>
      </c>
    </row>
    <row r="51" spans="1:16" x14ac:dyDescent="0.3">
      <c r="A51" s="1166">
        <f t="shared" si="1"/>
        <v>46</v>
      </c>
      <c r="B51" s="1272" t="s">
        <v>481</v>
      </c>
      <c r="C51" s="1273">
        <f>'E-13c - prior to updates'!D99/'E-13c - prior to updates'!$D$104</f>
        <v>7.215347086457788E-4</v>
      </c>
      <c r="D51" s="1171">
        <f t="shared" si="13"/>
        <v>-4.2699999999999996</v>
      </c>
      <c r="E51" s="1171">
        <f t="shared" si="13"/>
        <v>0.19600000000000001</v>
      </c>
      <c r="F51" s="1171">
        <f t="shared" si="13"/>
        <v>4.6630000000000003</v>
      </c>
      <c r="G51" s="1171">
        <f t="shared" si="13"/>
        <v>3.8069999999999999</v>
      </c>
      <c r="H51" s="1171">
        <f t="shared" si="13"/>
        <v>13.19</v>
      </c>
      <c r="I51" s="1171">
        <f t="shared" si="13"/>
        <v>1.498</v>
      </c>
      <c r="J51" s="1171">
        <f t="shared" si="13"/>
        <v>-1.0329999999999999</v>
      </c>
      <c r="K51" s="1171">
        <f t="shared" si="13"/>
        <v>0.51300000000000001</v>
      </c>
      <c r="L51" s="1171">
        <f t="shared" si="13"/>
        <v>-3.7509999999999999</v>
      </c>
      <c r="M51" s="1171">
        <f t="shared" si="13"/>
        <v>-6.3140000000000001</v>
      </c>
      <c r="N51" s="1171">
        <f t="shared" si="13"/>
        <v>-5.8090000000000002</v>
      </c>
      <c r="O51" s="1171">
        <f t="shared" si="13"/>
        <v>-1.873</v>
      </c>
      <c r="P51" s="1275">
        <f t="shared" si="8"/>
        <v>0.81700000000000039</v>
      </c>
    </row>
    <row r="52" spans="1:16" x14ac:dyDescent="0.3">
      <c r="A52" s="1166">
        <f t="shared" si="1"/>
        <v>47</v>
      </c>
      <c r="B52" s="1272" t="s">
        <v>482</v>
      </c>
      <c r="C52" s="1273">
        <f>'E-13c - prior to updates'!D101/'E-13c - prior to updates'!$D$104</f>
        <v>1.023303307217732E-4</v>
      </c>
      <c r="D52" s="1171">
        <f t="shared" si="13"/>
        <v>-0.60599999999999998</v>
      </c>
      <c r="E52" s="1171">
        <f t="shared" si="13"/>
        <v>2.8000000000000001E-2</v>
      </c>
      <c r="F52" s="1171">
        <f t="shared" si="13"/>
        <v>0.66100000000000003</v>
      </c>
      <c r="G52" s="1171">
        <f t="shared" si="13"/>
        <v>0.54</v>
      </c>
      <c r="H52" s="1171">
        <f t="shared" si="13"/>
        <v>1.871</v>
      </c>
      <c r="I52" s="1171">
        <f t="shared" si="13"/>
        <v>0.21199999999999999</v>
      </c>
      <c r="J52" s="1171">
        <f t="shared" si="13"/>
        <v>-0.14699999999999999</v>
      </c>
      <c r="K52" s="1171">
        <f t="shared" si="13"/>
        <v>7.2999999999999995E-2</v>
      </c>
      <c r="L52" s="1171">
        <f t="shared" si="13"/>
        <v>-0.53200000000000003</v>
      </c>
      <c r="M52" s="1171">
        <f t="shared" si="13"/>
        <v>-0.89500000000000002</v>
      </c>
      <c r="N52" s="1171">
        <f t="shared" si="13"/>
        <v>-0.82399999999999995</v>
      </c>
      <c r="O52" s="1171">
        <f t="shared" si="13"/>
        <v>-0.26600000000000001</v>
      </c>
      <c r="P52" s="1275">
        <f t="shared" si="8"/>
        <v>0.11500000000000055</v>
      </c>
    </row>
    <row r="53" spans="1:16" x14ac:dyDescent="0.3">
      <c r="A53" s="1166">
        <f t="shared" si="1"/>
        <v>48</v>
      </c>
      <c r="B53" s="1272" t="s">
        <v>483</v>
      </c>
      <c r="C53" s="1273">
        <f>'E-13c - prior to updates'!D102/'E-13c - prior to updates'!$D$104</f>
        <v>8.5656916515542618E-4</v>
      </c>
      <c r="D53" s="1171">
        <f t="shared" si="13"/>
        <v>-5.069</v>
      </c>
      <c r="E53" s="1171">
        <f t="shared" si="13"/>
        <v>0.23300000000000001</v>
      </c>
      <c r="F53" s="1171">
        <f t="shared" si="13"/>
        <v>5.5359999999999996</v>
      </c>
      <c r="G53" s="1171">
        <f t="shared" si="13"/>
        <v>4.5190000000000001</v>
      </c>
      <c r="H53" s="1171">
        <f t="shared" si="13"/>
        <v>15.659000000000001</v>
      </c>
      <c r="I53" s="1171">
        <f t="shared" si="13"/>
        <v>1.778</v>
      </c>
      <c r="J53" s="1171">
        <f t="shared" si="13"/>
        <v>-1.226</v>
      </c>
      <c r="K53" s="1171">
        <f t="shared" si="13"/>
        <v>0.60899999999999999</v>
      </c>
      <c r="L53" s="1171">
        <f t="shared" si="13"/>
        <v>-4.4530000000000003</v>
      </c>
      <c r="M53" s="1171">
        <f t="shared" si="13"/>
        <v>-7.4960000000000004</v>
      </c>
      <c r="N53" s="1171">
        <f t="shared" si="13"/>
        <v>-6.8959999999999999</v>
      </c>
      <c r="O53" s="1171">
        <f t="shared" si="13"/>
        <v>-2.2240000000000002</v>
      </c>
      <c r="P53" s="1275">
        <f t="shared" si="8"/>
        <v>0.97000000000000153</v>
      </c>
    </row>
    <row r="54" spans="1:16" x14ac:dyDescent="0.3">
      <c r="A54" s="1166">
        <f t="shared" si="1"/>
        <v>49</v>
      </c>
      <c r="B54" s="1272" t="s">
        <v>484</v>
      </c>
      <c r="C54" s="1273">
        <f>'E-13c - prior to updates'!D103/'E-13c - prior to updates'!$D$104</f>
        <v>4.9385578903233466E-4</v>
      </c>
      <c r="D54" s="1171">
        <f t="shared" si="13"/>
        <v>-2.923</v>
      </c>
      <c r="E54" s="1171">
        <f t="shared" si="13"/>
        <v>0.13400000000000001</v>
      </c>
      <c r="F54" s="1171">
        <f t="shared" si="13"/>
        <v>3.1920000000000002</v>
      </c>
      <c r="G54" s="1171">
        <f t="shared" si="13"/>
        <v>2.6059999999999999</v>
      </c>
      <c r="H54" s="1171">
        <f t="shared" si="13"/>
        <v>9.0280000000000005</v>
      </c>
      <c r="I54" s="1171">
        <f t="shared" si="13"/>
        <v>1.0249999999999999</v>
      </c>
      <c r="J54" s="1171">
        <f t="shared" si="13"/>
        <v>-0.70699999999999996</v>
      </c>
      <c r="K54" s="1171">
        <f t="shared" si="13"/>
        <v>0.35099999999999998</v>
      </c>
      <c r="L54" s="1171">
        <f t="shared" si="13"/>
        <v>-2.5670000000000002</v>
      </c>
      <c r="M54" s="1171">
        <f t="shared" si="13"/>
        <v>-4.3220000000000001</v>
      </c>
      <c r="N54" s="1171">
        <f t="shared" si="13"/>
        <v>-3.976</v>
      </c>
      <c r="O54" s="1171">
        <f t="shared" si="13"/>
        <v>-1.282</v>
      </c>
      <c r="P54" s="1275">
        <f t="shared" si="8"/>
        <v>0.55899999999999928</v>
      </c>
    </row>
    <row r="55" spans="1:16" x14ac:dyDescent="0.3">
      <c r="A55" s="1166">
        <f>+A48+1</f>
        <v>44</v>
      </c>
      <c r="B55" s="1270" t="s">
        <v>137</v>
      </c>
      <c r="C55" s="505"/>
      <c r="D55" s="1271">
        <f t="shared" ref="D55:O55" si="14">D24</f>
        <v>-592.05263957553325</v>
      </c>
      <c r="E55" s="1271">
        <f t="shared" si="14"/>
        <v>139.39319200176033</v>
      </c>
      <c r="F55" s="1271">
        <f t="shared" si="14"/>
        <v>671.42645483137312</v>
      </c>
      <c r="G55" s="1271">
        <f t="shared" si="14"/>
        <v>587.52403082518504</v>
      </c>
      <c r="H55" s="1271">
        <f t="shared" si="14"/>
        <v>1712.4485325341229</v>
      </c>
      <c r="I55" s="1271">
        <f t="shared" si="14"/>
        <v>120.94765958245262</v>
      </c>
      <c r="J55" s="1271">
        <f t="shared" si="14"/>
        <v>-99.452552194092277</v>
      </c>
      <c r="K55" s="1271">
        <f t="shared" si="14"/>
        <v>51.58442173018193</v>
      </c>
      <c r="L55" s="1271">
        <f t="shared" si="14"/>
        <v>-441.07879380946906</v>
      </c>
      <c r="M55" s="1271">
        <f t="shared" si="14"/>
        <v>-875.76410806915374</v>
      </c>
      <c r="N55" s="1271">
        <f t="shared" si="14"/>
        <v>-800.17458281251857</v>
      </c>
      <c r="O55" s="1271">
        <f t="shared" si="14"/>
        <v>-281.38404798849115</v>
      </c>
      <c r="P55" s="1170">
        <f t="shared" si="11"/>
        <v>193.41756705581793</v>
      </c>
    </row>
    <row r="56" spans="1:16" x14ac:dyDescent="0.3">
      <c r="A56" s="1166">
        <f t="shared" si="1"/>
        <v>45</v>
      </c>
      <c r="B56" s="1272" t="s">
        <v>473</v>
      </c>
      <c r="C56" s="1273">
        <f>'E-13c - prior to updates'!D145/'E-13c - prior to updates'!$D$145</f>
        <v>1</v>
      </c>
      <c r="D56" s="1171">
        <f>ROUND(D$55*$C56,3)</f>
        <v>-592.053</v>
      </c>
      <c r="E56" s="1171">
        <f t="shared" ref="E56:O56" si="15">ROUND(E$55*$C56,3)</f>
        <v>139.393</v>
      </c>
      <c r="F56" s="1171">
        <f t="shared" si="15"/>
        <v>671.42600000000004</v>
      </c>
      <c r="G56" s="1171">
        <f t="shared" si="15"/>
        <v>587.524</v>
      </c>
      <c r="H56" s="1171">
        <f t="shared" si="15"/>
        <v>1712.4490000000001</v>
      </c>
      <c r="I56" s="1171">
        <f t="shared" si="15"/>
        <v>120.94799999999999</v>
      </c>
      <c r="J56" s="1171">
        <f t="shared" si="15"/>
        <v>-99.453000000000003</v>
      </c>
      <c r="K56" s="1171">
        <f t="shared" si="15"/>
        <v>51.584000000000003</v>
      </c>
      <c r="L56" s="1171">
        <f t="shared" si="15"/>
        <v>-441.07900000000001</v>
      </c>
      <c r="M56" s="1171">
        <f t="shared" si="15"/>
        <v>-875.76400000000001</v>
      </c>
      <c r="N56" s="1171">
        <f t="shared" si="15"/>
        <v>-800.17499999999995</v>
      </c>
      <c r="O56" s="1171">
        <f t="shared" si="15"/>
        <v>-281.38400000000001</v>
      </c>
      <c r="P56" s="1275">
        <f t="shared" ref="P56" si="16">SUM(D56:O56)</f>
        <v>193.41599999999949</v>
      </c>
    </row>
    <row r="57" spans="1:16" x14ac:dyDescent="0.3">
      <c r="A57" s="1166">
        <f>+A55+1</f>
        <v>45</v>
      </c>
      <c r="B57" s="1270" t="s">
        <v>272</v>
      </c>
      <c r="C57" s="505"/>
      <c r="D57" s="1271">
        <f t="shared" ref="D57:O57" si="17">D25</f>
        <v>-32614.164138287655</v>
      </c>
      <c r="E57" s="1271">
        <f t="shared" si="17"/>
        <v>-638.50594189681578</v>
      </c>
      <c r="F57" s="1271">
        <f t="shared" si="17"/>
        <v>41635.694107720046</v>
      </c>
      <c r="G57" s="1271">
        <f t="shared" si="17"/>
        <v>32460.832534515299</v>
      </c>
      <c r="H57" s="1271">
        <f t="shared" si="17"/>
        <v>99975.117226491682</v>
      </c>
      <c r="I57" s="1271">
        <f t="shared" si="17"/>
        <v>14207.701122257626</v>
      </c>
      <c r="J57" s="1271">
        <f t="shared" si="17"/>
        <v>-8778.5495724354405</v>
      </c>
      <c r="K57" s="1271">
        <f t="shared" si="17"/>
        <v>3482.0664218408056</v>
      </c>
      <c r="L57" s="1271">
        <f t="shared" si="17"/>
        <v>-26141.792676524259</v>
      </c>
      <c r="M57" s="1271">
        <f t="shared" si="17"/>
        <v>-46818.423447399633</v>
      </c>
      <c r="N57" s="1271">
        <f t="shared" si="17"/>
        <v>-45768.972128283815</v>
      </c>
      <c r="O57" s="1271">
        <f t="shared" si="17"/>
        <v>-15711.231896891026</v>
      </c>
      <c r="P57" s="1170">
        <f t="shared" si="11"/>
        <v>15289.771611106815</v>
      </c>
    </row>
    <row r="58" spans="1:16" x14ac:dyDescent="0.3">
      <c r="A58" s="1166">
        <f t="shared" si="1"/>
        <v>46</v>
      </c>
      <c r="B58" s="1272" t="s">
        <v>473</v>
      </c>
      <c r="C58" s="1273">
        <f>'E-13c - prior to updates'!D236/'E-13c - prior to updates'!$D$252</f>
        <v>0.25072016646674194</v>
      </c>
      <c r="D58" s="1171">
        <f>ROUND(D$57*$C58,3)</f>
        <v>-8177.0290000000005</v>
      </c>
      <c r="E58" s="1171">
        <f t="shared" ref="E58:O58" si="18">ROUND(E$57*$C58,3)</f>
        <v>-160.08600000000001</v>
      </c>
      <c r="F58" s="1171">
        <f t="shared" si="18"/>
        <v>10438.907999999999</v>
      </c>
      <c r="G58" s="1171">
        <f t="shared" si="18"/>
        <v>8138.585</v>
      </c>
      <c r="H58" s="1171">
        <f t="shared" si="18"/>
        <v>25065.777999999998</v>
      </c>
      <c r="I58" s="1171">
        <f t="shared" si="18"/>
        <v>3562.1570000000002</v>
      </c>
      <c r="J58" s="1171">
        <f t="shared" si="18"/>
        <v>-2200.9589999999998</v>
      </c>
      <c r="K58" s="1171">
        <f t="shared" si="18"/>
        <v>873.024</v>
      </c>
      <c r="L58" s="1171">
        <f t="shared" si="18"/>
        <v>-6554.2749999999996</v>
      </c>
      <c r="M58" s="1171">
        <f t="shared" si="18"/>
        <v>-11738.323</v>
      </c>
      <c r="N58" s="1171">
        <f t="shared" si="18"/>
        <v>-11475.204</v>
      </c>
      <c r="O58" s="1171">
        <f t="shared" si="18"/>
        <v>-3939.123</v>
      </c>
      <c r="P58" s="1275">
        <f t="shared" ref="P58:P69" si="19">SUM(D58:O58)</f>
        <v>3833.4529999999954</v>
      </c>
    </row>
    <row r="59" spans="1:16" x14ac:dyDescent="0.3">
      <c r="A59" s="1166">
        <f t="shared" si="1"/>
        <v>47</v>
      </c>
      <c r="B59" s="1272" t="s">
        <v>474</v>
      </c>
      <c r="C59" s="1273">
        <f>'E-13c - prior to updates'!D237/'E-13c - prior to updates'!$D$252</f>
        <v>6.1463953433529162E-3</v>
      </c>
      <c r="D59" s="1171">
        <f t="shared" ref="D59:O69" si="20">ROUND(D$57*$C59,3)</f>
        <v>-200.46</v>
      </c>
      <c r="E59" s="1171">
        <f t="shared" si="20"/>
        <v>-3.9249999999999998</v>
      </c>
      <c r="F59" s="1171">
        <f t="shared" si="20"/>
        <v>255.90899999999999</v>
      </c>
      <c r="G59" s="1171">
        <f t="shared" si="20"/>
        <v>199.517</v>
      </c>
      <c r="H59" s="1171">
        <f t="shared" si="20"/>
        <v>614.48699999999997</v>
      </c>
      <c r="I59" s="1171">
        <f t="shared" si="20"/>
        <v>87.325999999999993</v>
      </c>
      <c r="J59" s="1171">
        <f t="shared" si="20"/>
        <v>-53.956000000000003</v>
      </c>
      <c r="K59" s="1171">
        <f t="shared" si="20"/>
        <v>21.402000000000001</v>
      </c>
      <c r="L59" s="1171">
        <f t="shared" si="20"/>
        <v>-160.678</v>
      </c>
      <c r="M59" s="1171">
        <f t="shared" si="20"/>
        <v>-287.76499999999999</v>
      </c>
      <c r="N59" s="1171">
        <f t="shared" si="20"/>
        <v>-281.31400000000002</v>
      </c>
      <c r="O59" s="1171">
        <f t="shared" si="20"/>
        <v>-96.566999999999993</v>
      </c>
      <c r="P59" s="1275">
        <f t="shared" si="19"/>
        <v>93.975999999999956</v>
      </c>
    </row>
    <row r="60" spans="1:16" x14ac:dyDescent="0.3">
      <c r="A60" s="1166">
        <f t="shared" si="1"/>
        <v>48</v>
      </c>
      <c r="B60" s="1272" t="s">
        <v>475</v>
      </c>
      <c r="C60" s="1273">
        <f>'E-13c - prior to updates'!D238/'E-13c - prior to updates'!$D$252</f>
        <v>1.3620343351120927E-5</v>
      </c>
      <c r="D60" s="1171">
        <f t="shared" si="20"/>
        <v>-0.44400000000000001</v>
      </c>
      <c r="E60" s="1171">
        <f t="shared" si="20"/>
        <v>-8.9999999999999993E-3</v>
      </c>
      <c r="F60" s="1171">
        <f t="shared" si="20"/>
        <v>0.56699999999999995</v>
      </c>
      <c r="G60" s="1171">
        <f t="shared" si="20"/>
        <v>0.442</v>
      </c>
      <c r="H60" s="1171">
        <f t="shared" si="20"/>
        <v>1.3620000000000001</v>
      </c>
      <c r="I60" s="1171">
        <f t="shared" si="20"/>
        <v>0.19400000000000001</v>
      </c>
      <c r="J60" s="1171">
        <f t="shared" si="20"/>
        <v>-0.12</v>
      </c>
      <c r="K60" s="1171">
        <f t="shared" si="20"/>
        <v>4.7E-2</v>
      </c>
      <c r="L60" s="1171">
        <f t="shared" si="20"/>
        <v>-0.35599999999999998</v>
      </c>
      <c r="M60" s="1171">
        <f t="shared" si="20"/>
        <v>-0.63800000000000001</v>
      </c>
      <c r="N60" s="1171">
        <f t="shared" si="20"/>
        <v>-0.623</v>
      </c>
      <c r="O60" s="1171">
        <f t="shared" si="20"/>
        <v>-0.214</v>
      </c>
      <c r="P60" s="1275">
        <f t="shared" si="19"/>
        <v>0.20800000000000038</v>
      </c>
    </row>
    <row r="61" spans="1:16" x14ac:dyDescent="0.3">
      <c r="A61" s="1166">
        <f t="shared" si="1"/>
        <v>49</v>
      </c>
      <c r="B61" s="1272" t="s">
        <v>476</v>
      </c>
      <c r="C61" s="1273">
        <f>'E-13c - prior to updates'!D241/'E-13c - prior to updates'!$D$252</f>
        <v>7.3255957967775287E-2</v>
      </c>
      <c r="D61" s="1171">
        <f t="shared" si="20"/>
        <v>-2389.1819999999998</v>
      </c>
      <c r="E61" s="1171">
        <f t="shared" si="20"/>
        <v>-46.774000000000001</v>
      </c>
      <c r="F61" s="1171">
        <f t="shared" si="20"/>
        <v>3050.0630000000001</v>
      </c>
      <c r="G61" s="1171">
        <f t="shared" si="20"/>
        <v>2377.9490000000001</v>
      </c>
      <c r="H61" s="1171">
        <f t="shared" si="20"/>
        <v>7323.7730000000001</v>
      </c>
      <c r="I61" s="1171">
        <f t="shared" si="20"/>
        <v>1040.799</v>
      </c>
      <c r="J61" s="1171">
        <f t="shared" si="20"/>
        <v>-643.08100000000002</v>
      </c>
      <c r="K61" s="1171">
        <f t="shared" si="20"/>
        <v>255.08199999999999</v>
      </c>
      <c r="L61" s="1171">
        <f t="shared" si="20"/>
        <v>-1915.0419999999999</v>
      </c>
      <c r="M61" s="1171">
        <f t="shared" si="20"/>
        <v>-3429.7280000000001</v>
      </c>
      <c r="N61" s="1171">
        <f t="shared" si="20"/>
        <v>-3352.85</v>
      </c>
      <c r="O61" s="1171">
        <f t="shared" si="20"/>
        <v>-1150.941</v>
      </c>
      <c r="P61" s="1275">
        <f t="shared" si="19"/>
        <v>1120.0680000000013</v>
      </c>
    </row>
    <row r="62" spans="1:16" x14ac:dyDescent="0.3">
      <c r="A62" s="1166">
        <f t="shared" si="1"/>
        <v>50</v>
      </c>
      <c r="B62" s="1272" t="s">
        <v>477</v>
      </c>
      <c r="C62" s="1273">
        <f>'E-13c - prior to updates'!D242/'E-13c - prior to updates'!$D$252</f>
        <v>0.40157893435645781</v>
      </c>
      <c r="D62" s="1171">
        <f t="shared" si="20"/>
        <v>-13097.161</v>
      </c>
      <c r="E62" s="1171">
        <f t="shared" si="20"/>
        <v>-256.411</v>
      </c>
      <c r="F62" s="1171">
        <f t="shared" si="20"/>
        <v>16720.018</v>
      </c>
      <c r="G62" s="1171">
        <f t="shared" si="20"/>
        <v>13035.587</v>
      </c>
      <c r="H62" s="1171">
        <f t="shared" si="20"/>
        <v>40147.900999999998</v>
      </c>
      <c r="I62" s="1171">
        <f t="shared" si="20"/>
        <v>5705.5129999999999</v>
      </c>
      <c r="J62" s="1171">
        <f t="shared" si="20"/>
        <v>-3525.2809999999999</v>
      </c>
      <c r="K62" s="1171">
        <f t="shared" si="20"/>
        <v>1398.325</v>
      </c>
      <c r="L62" s="1171">
        <f t="shared" si="20"/>
        <v>-10497.993</v>
      </c>
      <c r="M62" s="1171">
        <f t="shared" si="20"/>
        <v>-18801.293000000001</v>
      </c>
      <c r="N62" s="1171">
        <f t="shared" si="20"/>
        <v>-18379.855</v>
      </c>
      <c r="O62" s="1171">
        <f t="shared" si="20"/>
        <v>-6309.3</v>
      </c>
      <c r="P62" s="1275">
        <f t="shared" si="19"/>
        <v>6140.0499999999838</v>
      </c>
    </row>
    <row r="63" spans="1:16" x14ac:dyDescent="0.3">
      <c r="A63" s="1166">
        <f t="shared" si="1"/>
        <v>51</v>
      </c>
      <c r="B63" s="1272" t="s">
        <v>478</v>
      </c>
      <c r="C63" s="1273">
        <f>'E-13c - prior to updates'!D243/'E-13c - prior to updates'!$D$252</f>
        <v>0.10417591875937493</v>
      </c>
      <c r="D63" s="1171">
        <f t="shared" si="20"/>
        <v>-3397.6109999999999</v>
      </c>
      <c r="E63" s="1171">
        <f t="shared" si="20"/>
        <v>-66.516999999999996</v>
      </c>
      <c r="F63" s="1171">
        <f t="shared" si="20"/>
        <v>4337.4369999999999</v>
      </c>
      <c r="G63" s="1171">
        <f t="shared" si="20"/>
        <v>3381.6370000000002</v>
      </c>
      <c r="H63" s="1171">
        <f t="shared" si="20"/>
        <v>10415</v>
      </c>
      <c r="I63" s="1171">
        <f t="shared" si="20"/>
        <v>1480.1</v>
      </c>
      <c r="J63" s="1171">
        <f t="shared" si="20"/>
        <v>-914.51300000000003</v>
      </c>
      <c r="K63" s="1171">
        <f t="shared" si="20"/>
        <v>362.74700000000001</v>
      </c>
      <c r="L63" s="1171">
        <f t="shared" si="20"/>
        <v>-2723.3449999999998</v>
      </c>
      <c r="M63" s="1171">
        <f t="shared" si="20"/>
        <v>-4877.3519999999999</v>
      </c>
      <c r="N63" s="1171">
        <f t="shared" si="20"/>
        <v>-4768.0249999999996</v>
      </c>
      <c r="O63" s="1171">
        <f t="shared" si="20"/>
        <v>-1636.732</v>
      </c>
      <c r="P63" s="1275">
        <f t="shared" si="19"/>
        <v>1592.826</v>
      </c>
    </row>
    <row r="64" spans="1:16" x14ac:dyDescent="0.3">
      <c r="A64" s="1166">
        <f t="shared" si="1"/>
        <v>52</v>
      </c>
      <c r="B64" s="1272" t="s">
        <v>479</v>
      </c>
      <c r="C64" s="1273">
        <f>'E-13c - prior to updates'!D245/'E-13c - prior to updates'!$D$252</f>
        <v>1.5842945643412369E-2</v>
      </c>
      <c r="D64" s="1171">
        <f t="shared" si="20"/>
        <v>-516.70399999999995</v>
      </c>
      <c r="E64" s="1171">
        <f t="shared" si="20"/>
        <v>-10.116</v>
      </c>
      <c r="F64" s="1171">
        <f t="shared" si="20"/>
        <v>659.63199999999995</v>
      </c>
      <c r="G64" s="1171">
        <f t="shared" si="20"/>
        <v>514.27499999999998</v>
      </c>
      <c r="H64" s="1171">
        <f t="shared" si="20"/>
        <v>1583.9</v>
      </c>
      <c r="I64" s="1171">
        <f t="shared" si="20"/>
        <v>225.09200000000001</v>
      </c>
      <c r="J64" s="1171">
        <f t="shared" si="20"/>
        <v>-139.078</v>
      </c>
      <c r="K64" s="1171">
        <f t="shared" si="20"/>
        <v>55.165999999999997</v>
      </c>
      <c r="L64" s="1171">
        <f t="shared" si="20"/>
        <v>-414.16300000000001</v>
      </c>
      <c r="M64" s="1171">
        <f t="shared" si="20"/>
        <v>-741.74199999999996</v>
      </c>
      <c r="N64" s="1171">
        <f t="shared" si="20"/>
        <v>-725.11500000000001</v>
      </c>
      <c r="O64" s="1171">
        <f t="shared" si="20"/>
        <v>-248.91200000000001</v>
      </c>
      <c r="P64" s="1275">
        <f t="shared" si="19"/>
        <v>242.23500000000038</v>
      </c>
    </row>
    <row r="65" spans="1:16" x14ac:dyDescent="0.3">
      <c r="A65" s="1166">
        <f t="shared" si="1"/>
        <v>53</v>
      </c>
      <c r="B65" s="1272" t="s">
        <v>480</v>
      </c>
      <c r="C65" s="1273">
        <f>'E-13c - prior to updates'!D246/'E-13c - prior to updates'!$D$252</f>
        <v>8.61470583244211E-2</v>
      </c>
      <c r="D65" s="1171">
        <f t="shared" si="20"/>
        <v>-2809.614</v>
      </c>
      <c r="E65" s="1171">
        <f t="shared" si="20"/>
        <v>-55.005000000000003</v>
      </c>
      <c r="F65" s="1171">
        <f t="shared" si="20"/>
        <v>3586.7930000000001</v>
      </c>
      <c r="G65" s="1171">
        <f t="shared" si="20"/>
        <v>2796.4050000000002</v>
      </c>
      <c r="H65" s="1171">
        <f t="shared" si="20"/>
        <v>8612.5619999999999</v>
      </c>
      <c r="I65" s="1171">
        <f t="shared" si="20"/>
        <v>1223.952</v>
      </c>
      <c r="J65" s="1171">
        <f t="shared" si="20"/>
        <v>-756.24599999999998</v>
      </c>
      <c r="K65" s="1171">
        <f t="shared" si="20"/>
        <v>299.97000000000003</v>
      </c>
      <c r="L65" s="1171">
        <f t="shared" si="20"/>
        <v>-2252.0390000000002</v>
      </c>
      <c r="M65" s="1171">
        <f t="shared" si="20"/>
        <v>-4033.2689999999998</v>
      </c>
      <c r="N65" s="1171">
        <f t="shared" si="20"/>
        <v>-3942.8620000000001</v>
      </c>
      <c r="O65" s="1171">
        <f t="shared" si="20"/>
        <v>-1353.4760000000001</v>
      </c>
      <c r="P65" s="1275">
        <f t="shared" si="19"/>
        <v>1317.170999999998</v>
      </c>
    </row>
    <row r="66" spans="1:16" x14ac:dyDescent="0.3">
      <c r="A66" s="1166">
        <f t="shared" si="1"/>
        <v>54</v>
      </c>
      <c r="B66" s="1272" t="s">
        <v>481</v>
      </c>
      <c r="C66" s="1273">
        <f>'E-13c - prior to updates'!D247/'E-13c - prior to updates'!$D$252</f>
        <v>2.5277338607003284E-2</v>
      </c>
      <c r="D66" s="1171">
        <f t="shared" si="20"/>
        <v>-824.399</v>
      </c>
      <c r="E66" s="1171">
        <f t="shared" si="20"/>
        <v>-16.14</v>
      </c>
      <c r="F66" s="1171">
        <f t="shared" si="20"/>
        <v>1052.44</v>
      </c>
      <c r="G66" s="1171">
        <f t="shared" si="20"/>
        <v>820.52300000000002</v>
      </c>
      <c r="H66" s="1171">
        <f t="shared" si="20"/>
        <v>2527.105</v>
      </c>
      <c r="I66" s="1171">
        <f t="shared" si="20"/>
        <v>359.13299999999998</v>
      </c>
      <c r="J66" s="1171">
        <f t="shared" si="20"/>
        <v>-221.898</v>
      </c>
      <c r="K66" s="1171">
        <f t="shared" si="20"/>
        <v>88.016999999999996</v>
      </c>
      <c r="L66" s="1171">
        <f t="shared" si="20"/>
        <v>-660.79499999999996</v>
      </c>
      <c r="M66" s="1171">
        <f t="shared" si="20"/>
        <v>-1183.4449999999999</v>
      </c>
      <c r="N66" s="1171">
        <f t="shared" si="20"/>
        <v>-1156.9179999999999</v>
      </c>
      <c r="O66" s="1171">
        <f t="shared" si="20"/>
        <v>-397.13799999999998</v>
      </c>
      <c r="P66" s="1275">
        <f t="shared" si="19"/>
        <v>386.48499999999962</v>
      </c>
    </row>
    <row r="67" spans="1:16" x14ac:dyDescent="0.3">
      <c r="A67" s="1166">
        <f t="shared" si="1"/>
        <v>55</v>
      </c>
      <c r="B67" s="1272" t="s">
        <v>482</v>
      </c>
      <c r="C67" s="1273">
        <f>'E-13c - prior to updates'!D249/'E-13c - prior to updates'!$D$252</f>
        <v>4.1743470941914881E-3</v>
      </c>
      <c r="D67" s="1171">
        <f t="shared" si="20"/>
        <v>-136.143</v>
      </c>
      <c r="E67" s="1171">
        <f t="shared" si="20"/>
        <v>-2.665</v>
      </c>
      <c r="F67" s="1171">
        <f t="shared" si="20"/>
        <v>173.80199999999999</v>
      </c>
      <c r="G67" s="1171">
        <f t="shared" si="20"/>
        <v>135.50299999999999</v>
      </c>
      <c r="H67" s="1171">
        <f t="shared" si="20"/>
        <v>417.33100000000002</v>
      </c>
      <c r="I67" s="1171">
        <f t="shared" si="20"/>
        <v>59.308</v>
      </c>
      <c r="J67" s="1171">
        <f t="shared" si="20"/>
        <v>-36.645000000000003</v>
      </c>
      <c r="K67" s="1171">
        <f t="shared" si="20"/>
        <v>14.535</v>
      </c>
      <c r="L67" s="1171">
        <f t="shared" si="20"/>
        <v>-109.125</v>
      </c>
      <c r="M67" s="1171">
        <f t="shared" si="20"/>
        <v>-195.43600000000001</v>
      </c>
      <c r="N67" s="1171">
        <f t="shared" si="20"/>
        <v>-191.05600000000001</v>
      </c>
      <c r="O67" s="1171">
        <f t="shared" si="20"/>
        <v>-65.584000000000003</v>
      </c>
      <c r="P67" s="1275">
        <f t="shared" si="19"/>
        <v>63.824999999999903</v>
      </c>
    </row>
    <row r="68" spans="1:16" x14ac:dyDescent="0.3">
      <c r="A68" s="1166">
        <f t="shared" si="1"/>
        <v>56</v>
      </c>
      <c r="B68" s="1272" t="s">
        <v>483</v>
      </c>
      <c r="C68" s="1273">
        <f>'E-13c - prior to updates'!D250/'E-13c - prior to updates'!$D$252</f>
        <v>2.4952272443827854E-2</v>
      </c>
      <c r="D68" s="1171">
        <f t="shared" si="20"/>
        <v>-813.798</v>
      </c>
      <c r="E68" s="1171">
        <f t="shared" si="20"/>
        <v>-15.932</v>
      </c>
      <c r="F68" s="1171">
        <f t="shared" si="20"/>
        <v>1038.905</v>
      </c>
      <c r="G68" s="1171">
        <f t="shared" si="20"/>
        <v>809.97199999999998</v>
      </c>
      <c r="H68" s="1171">
        <f t="shared" si="20"/>
        <v>2494.6060000000002</v>
      </c>
      <c r="I68" s="1171">
        <f t="shared" si="20"/>
        <v>354.51400000000001</v>
      </c>
      <c r="J68" s="1171">
        <f t="shared" si="20"/>
        <v>-219.04499999999999</v>
      </c>
      <c r="K68" s="1171">
        <f t="shared" si="20"/>
        <v>86.885000000000005</v>
      </c>
      <c r="L68" s="1171">
        <f t="shared" si="20"/>
        <v>-652.29700000000003</v>
      </c>
      <c r="M68" s="1171">
        <f t="shared" si="20"/>
        <v>-1168.2260000000001</v>
      </c>
      <c r="N68" s="1171">
        <f t="shared" si="20"/>
        <v>-1142.04</v>
      </c>
      <c r="O68" s="1171">
        <f t="shared" si="20"/>
        <v>-392.03100000000001</v>
      </c>
      <c r="P68" s="1275">
        <f t="shared" si="19"/>
        <v>381.51300000000032</v>
      </c>
    </row>
    <row r="69" spans="1:16" x14ac:dyDescent="0.3">
      <c r="A69" s="1166">
        <f t="shared" si="1"/>
        <v>57</v>
      </c>
      <c r="B69" s="1272" t="s">
        <v>484</v>
      </c>
      <c r="C69" s="1273">
        <f>'E-13c - prior to updates'!D251/'E-13c - prior to updates'!$D$252</f>
        <v>7.7150446500897918E-3</v>
      </c>
      <c r="D69" s="1171">
        <f t="shared" si="20"/>
        <v>-251.62</v>
      </c>
      <c r="E69" s="1171">
        <f t="shared" si="20"/>
        <v>-4.9260000000000002</v>
      </c>
      <c r="F69" s="1171">
        <f t="shared" si="20"/>
        <v>321.221</v>
      </c>
      <c r="G69" s="1171">
        <f t="shared" si="20"/>
        <v>250.43700000000001</v>
      </c>
      <c r="H69" s="1171">
        <f t="shared" si="20"/>
        <v>771.31200000000001</v>
      </c>
      <c r="I69" s="1171">
        <f t="shared" si="20"/>
        <v>109.613</v>
      </c>
      <c r="J69" s="1171">
        <f t="shared" si="20"/>
        <v>-67.727000000000004</v>
      </c>
      <c r="K69" s="1171">
        <f t="shared" si="20"/>
        <v>26.864000000000001</v>
      </c>
      <c r="L69" s="1171">
        <f t="shared" si="20"/>
        <v>-201.685</v>
      </c>
      <c r="M69" s="1171">
        <f t="shared" si="20"/>
        <v>-361.20600000000002</v>
      </c>
      <c r="N69" s="1171">
        <f t="shared" si="20"/>
        <v>-353.11</v>
      </c>
      <c r="O69" s="1171">
        <f t="shared" si="20"/>
        <v>-121.21299999999999</v>
      </c>
      <c r="P69" s="1275">
        <f t="shared" si="19"/>
        <v>117.96000000000001</v>
      </c>
    </row>
    <row r="70" spans="1:16" x14ac:dyDescent="0.3">
      <c r="A70" s="1166">
        <f>+A57+1</f>
        <v>46</v>
      </c>
      <c r="B70" s="1270" t="s">
        <v>275</v>
      </c>
      <c r="C70" s="505"/>
      <c r="D70" s="1271">
        <f t="shared" ref="D70:O70" si="21">D26</f>
        <v>-102.9904983175993</v>
      </c>
      <c r="E70" s="1271">
        <f t="shared" si="21"/>
        <v>66.663414294798713</v>
      </c>
      <c r="F70" s="1271">
        <f t="shared" si="21"/>
        <v>16.24003278418752</v>
      </c>
      <c r="G70" s="1271">
        <f t="shared" si="21"/>
        <v>128.34186710305539</v>
      </c>
      <c r="H70" s="1271">
        <f t="shared" si="21"/>
        <v>148.15757987622965</v>
      </c>
      <c r="I70" s="1271">
        <f t="shared" si="21"/>
        <v>56.202860590402452</v>
      </c>
      <c r="J70" s="1271">
        <f t="shared" si="21"/>
        <v>7.3467509182382855</v>
      </c>
      <c r="K70" s="1271">
        <f t="shared" si="21"/>
        <v>-24.72537789546368</v>
      </c>
      <c r="L70" s="1271">
        <f t="shared" si="21"/>
        <v>8.441952453356862</v>
      </c>
      <c r="M70" s="1271">
        <f t="shared" si="21"/>
        <v>-17.689094645214936</v>
      </c>
      <c r="N70" s="1271">
        <f t="shared" si="21"/>
        <v>-7.0530159522613758</v>
      </c>
      <c r="O70" s="1271">
        <f t="shared" si="21"/>
        <v>-9.5429802429362098</v>
      </c>
      <c r="P70" s="1170">
        <f t="shared" si="11"/>
        <v>269.39349096679337</v>
      </c>
    </row>
    <row r="71" spans="1:16" x14ac:dyDescent="0.3">
      <c r="A71" s="1166">
        <f t="shared" ref="A71:A109" si="22">+A70+1</f>
        <v>47</v>
      </c>
      <c r="B71" s="1272" t="s">
        <v>473</v>
      </c>
      <c r="C71" s="1273">
        <f>'E-13c - prior to updates'!D349/'E-13c - prior to updates'!$D$365</f>
        <v>1.2886685237402167E-6</v>
      </c>
      <c r="D71" s="1171">
        <f>ROUND(D$70*$C71,3)</f>
        <v>0</v>
      </c>
      <c r="E71" s="1171">
        <f t="shared" ref="E71:O71" si="23">ROUND(E$70*$C71,3)</f>
        <v>0</v>
      </c>
      <c r="F71" s="1171">
        <f t="shared" si="23"/>
        <v>0</v>
      </c>
      <c r="G71" s="1171">
        <f t="shared" si="23"/>
        <v>0</v>
      </c>
      <c r="H71" s="1171">
        <f t="shared" si="23"/>
        <v>0</v>
      </c>
      <c r="I71" s="1171">
        <f t="shared" si="23"/>
        <v>0</v>
      </c>
      <c r="J71" s="1171">
        <f t="shared" si="23"/>
        <v>0</v>
      </c>
      <c r="K71" s="1171">
        <f t="shared" si="23"/>
        <v>0</v>
      </c>
      <c r="L71" s="1171">
        <f t="shared" si="23"/>
        <v>0</v>
      </c>
      <c r="M71" s="1171">
        <f t="shared" si="23"/>
        <v>0</v>
      </c>
      <c r="N71" s="1171">
        <f t="shared" si="23"/>
        <v>0</v>
      </c>
      <c r="O71" s="1171">
        <f t="shared" si="23"/>
        <v>0</v>
      </c>
      <c r="P71" s="1275">
        <f t="shared" ref="P71:P82" si="24">SUM(D71:O71)</f>
        <v>0</v>
      </c>
    </row>
    <row r="72" spans="1:16" x14ac:dyDescent="0.3">
      <c r="A72" s="1166">
        <f t="shared" si="22"/>
        <v>48</v>
      </c>
      <c r="B72" s="1272" t="s">
        <v>474</v>
      </c>
      <c r="C72" s="1273">
        <f>'E-13c - prior to updates'!D350/'E-13c - prior to updates'!$D$365</f>
        <v>-4.4574746822901539E-5</v>
      </c>
      <c r="D72" s="1171">
        <f t="shared" ref="D72:O81" si="25">ROUND(D$70*$C72,3)</f>
        <v>5.0000000000000001E-3</v>
      </c>
      <c r="E72" s="1171">
        <f t="shared" si="25"/>
        <v>-3.0000000000000001E-3</v>
      </c>
      <c r="F72" s="1171">
        <f t="shared" si="25"/>
        <v>-1E-3</v>
      </c>
      <c r="G72" s="1171">
        <f t="shared" si="25"/>
        <v>-6.0000000000000001E-3</v>
      </c>
      <c r="H72" s="1171">
        <f t="shared" si="25"/>
        <v>-7.0000000000000001E-3</v>
      </c>
      <c r="I72" s="1171">
        <f t="shared" si="25"/>
        <v>-3.0000000000000001E-3</v>
      </c>
      <c r="J72" s="1171">
        <f t="shared" si="25"/>
        <v>0</v>
      </c>
      <c r="K72" s="1171">
        <f t="shared" si="25"/>
        <v>1E-3</v>
      </c>
      <c r="L72" s="1171">
        <f t="shared" si="25"/>
        <v>0</v>
      </c>
      <c r="M72" s="1171">
        <f t="shared" si="25"/>
        <v>1E-3</v>
      </c>
      <c r="N72" s="1171">
        <f t="shared" si="25"/>
        <v>0</v>
      </c>
      <c r="O72" s="1171">
        <f t="shared" si="25"/>
        <v>0</v>
      </c>
      <c r="P72" s="1275">
        <f t="shared" si="24"/>
        <v>-1.2999999999999998E-2</v>
      </c>
    </row>
    <row r="73" spans="1:16" x14ac:dyDescent="0.3">
      <c r="A73" s="1166">
        <f t="shared" si="22"/>
        <v>49</v>
      </c>
      <c r="B73" s="1272" t="s">
        <v>475</v>
      </c>
      <c r="C73" s="1273">
        <f>'E-13c - prior to updates'!D351/'E-13c - prior to updates'!$D$365</f>
        <v>0</v>
      </c>
      <c r="D73" s="1171">
        <f t="shared" si="25"/>
        <v>0</v>
      </c>
      <c r="E73" s="1171">
        <f t="shared" si="25"/>
        <v>0</v>
      </c>
      <c r="F73" s="1171">
        <f t="shared" si="25"/>
        <v>0</v>
      </c>
      <c r="G73" s="1171">
        <f t="shared" si="25"/>
        <v>0</v>
      </c>
      <c r="H73" s="1171">
        <f t="shared" si="25"/>
        <v>0</v>
      </c>
      <c r="I73" s="1171">
        <f t="shared" si="25"/>
        <v>0</v>
      </c>
      <c r="J73" s="1171">
        <f t="shared" si="25"/>
        <v>0</v>
      </c>
      <c r="K73" s="1171">
        <f t="shared" si="25"/>
        <v>0</v>
      </c>
      <c r="L73" s="1171">
        <f t="shared" si="25"/>
        <v>0</v>
      </c>
      <c r="M73" s="1171">
        <f t="shared" si="25"/>
        <v>0</v>
      </c>
      <c r="N73" s="1171">
        <f t="shared" si="25"/>
        <v>0</v>
      </c>
      <c r="O73" s="1171">
        <f t="shared" si="25"/>
        <v>0</v>
      </c>
      <c r="P73" s="1275">
        <f t="shared" si="24"/>
        <v>0</v>
      </c>
    </row>
    <row r="74" spans="1:16" x14ac:dyDescent="0.3">
      <c r="A74" s="1166">
        <f t="shared" si="22"/>
        <v>50</v>
      </c>
      <c r="B74" s="1272" t="s">
        <v>476</v>
      </c>
      <c r="C74" s="1273">
        <f>'E-13c - prior to updates'!D354/'E-13c - prior to updates'!$D$365</f>
        <v>0</v>
      </c>
      <c r="D74" s="1171">
        <f t="shared" si="25"/>
        <v>0</v>
      </c>
      <c r="E74" s="1171">
        <f t="shared" si="25"/>
        <v>0</v>
      </c>
      <c r="F74" s="1171">
        <f t="shared" si="25"/>
        <v>0</v>
      </c>
      <c r="G74" s="1171">
        <f t="shared" si="25"/>
        <v>0</v>
      </c>
      <c r="H74" s="1171">
        <f t="shared" si="25"/>
        <v>0</v>
      </c>
      <c r="I74" s="1171">
        <f t="shared" si="25"/>
        <v>0</v>
      </c>
      <c r="J74" s="1171">
        <f t="shared" si="25"/>
        <v>0</v>
      </c>
      <c r="K74" s="1171">
        <f t="shared" si="25"/>
        <v>0</v>
      </c>
      <c r="L74" s="1171">
        <f t="shared" si="25"/>
        <v>0</v>
      </c>
      <c r="M74" s="1171">
        <f t="shared" si="25"/>
        <v>0</v>
      </c>
      <c r="N74" s="1171">
        <f t="shared" si="25"/>
        <v>0</v>
      </c>
      <c r="O74" s="1171">
        <f t="shared" si="25"/>
        <v>0</v>
      </c>
      <c r="P74" s="1275">
        <f t="shared" si="24"/>
        <v>0</v>
      </c>
    </row>
    <row r="75" spans="1:16" x14ac:dyDescent="0.3">
      <c r="A75" s="1166">
        <f t="shared" si="22"/>
        <v>51</v>
      </c>
      <c r="B75" s="1272" t="s">
        <v>477</v>
      </c>
      <c r="C75" s="1273">
        <f>'E-13c - prior to updates'!D355/'E-13c - prior to updates'!$D$365</f>
        <v>0</v>
      </c>
      <c r="D75" s="1171">
        <f t="shared" si="25"/>
        <v>0</v>
      </c>
      <c r="E75" s="1171">
        <f t="shared" si="25"/>
        <v>0</v>
      </c>
      <c r="F75" s="1171">
        <f t="shared" si="25"/>
        <v>0</v>
      </c>
      <c r="G75" s="1171">
        <f t="shared" si="25"/>
        <v>0</v>
      </c>
      <c r="H75" s="1171">
        <f t="shared" si="25"/>
        <v>0</v>
      </c>
      <c r="I75" s="1171">
        <f t="shared" si="25"/>
        <v>0</v>
      </c>
      <c r="J75" s="1171">
        <f t="shared" si="25"/>
        <v>0</v>
      </c>
      <c r="K75" s="1171">
        <f t="shared" si="25"/>
        <v>0</v>
      </c>
      <c r="L75" s="1171">
        <f t="shared" si="25"/>
        <v>0</v>
      </c>
      <c r="M75" s="1171">
        <f t="shared" si="25"/>
        <v>0</v>
      </c>
      <c r="N75" s="1171">
        <f t="shared" si="25"/>
        <v>0</v>
      </c>
      <c r="O75" s="1171">
        <f t="shared" si="25"/>
        <v>0</v>
      </c>
      <c r="P75" s="1275">
        <f t="shared" si="24"/>
        <v>0</v>
      </c>
    </row>
    <row r="76" spans="1:16" x14ac:dyDescent="0.3">
      <c r="A76" s="1166">
        <f t="shared" si="22"/>
        <v>52</v>
      </c>
      <c r="B76" s="1272" t="s">
        <v>478</v>
      </c>
      <c r="C76" s="1273">
        <f>'E-13c - prior to updates'!D356/'E-13c - prior to updates'!$D$365</f>
        <v>0</v>
      </c>
      <c r="D76" s="1171">
        <f t="shared" si="25"/>
        <v>0</v>
      </c>
      <c r="E76" s="1171">
        <f t="shared" si="25"/>
        <v>0</v>
      </c>
      <c r="F76" s="1171">
        <f t="shared" si="25"/>
        <v>0</v>
      </c>
      <c r="G76" s="1171">
        <f t="shared" si="25"/>
        <v>0</v>
      </c>
      <c r="H76" s="1171">
        <f t="shared" si="25"/>
        <v>0</v>
      </c>
      <c r="I76" s="1171">
        <f t="shared" si="25"/>
        <v>0</v>
      </c>
      <c r="J76" s="1171">
        <f t="shared" si="25"/>
        <v>0</v>
      </c>
      <c r="K76" s="1171">
        <f t="shared" si="25"/>
        <v>0</v>
      </c>
      <c r="L76" s="1171">
        <f t="shared" si="25"/>
        <v>0</v>
      </c>
      <c r="M76" s="1171">
        <f t="shared" si="25"/>
        <v>0</v>
      </c>
      <c r="N76" s="1171">
        <f t="shared" si="25"/>
        <v>0</v>
      </c>
      <c r="O76" s="1171">
        <f t="shared" si="25"/>
        <v>0</v>
      </c>
      <c r="P76" s="1275">
        <f t="shared" si="24"/>
        <v>0</v>
      </c>
    </row>
    <row r="77" spans="1:16" x14ac:dyDescent="0.3">
      <c r="A77" s="1166">
        <f t="shared" si="22"/>
        <v>53</v>
      </c>
      <c r="B77" s="1272" t="s">
        <v>479</v>
      </c>
      <c r="C77" s="1273">
        <f>'E-13c - prior to updates'!D358/'E-13c - prior to updates'!$D$365</f>
        <v>0.13273995167914132</v>
      </c>
      <c r="D77" s="1171">
        <f t="shared" si="25"/>
        <v>-13.670999999999999</v>
      </c>
      <c r="E77" s="1171">
        <f t="shared" si="25"/>
        <v>8.8490000000000002</v>
      </c>
      <c r="F77" s="1171">
        <f t="shared" si="25"/>
        <v>2.1560000000000001</v>
      </c>
      <c r="G77" s="1171">
        <f t="shared" si="25"/>
        <v>17.036000000000001</v>
      </c>
      <c r="H77" s="1171">
        <f t="shared" si="25"/>
        <v>19.666</v>
      </c>
      <c r="I77" s="1171">
        <f t="shared" si="25"/>
        <v>7.46</v>
      </c>
      <c r="J77" s="1171">
        <f t="shared" si="25"/>
        <v>0.97499999999999998</v>
      </c>
      <c r="K77" s="1171">
        <f t="shared" si="25"/>
        <v>-3.282</v>
      </c>
      <c r="L77" s="1171">
        <f t="shared" si="25"/>
        <v>1.121</v>
      </c>
      <c r="M77" s="1171">
        <f t="shared" si="25"/>
        <v>-2.3479999999999999</v>
      </c>
      <c r="N77" s="1171">
        <f t="shared" si="25"/>
        <v>-0.93600000000000005</v>
      </c>
      <c r="O77" s="1171">
        <f t="shared" si="25"/>
        <v>-1.2669999999999999</v>
      </c>
      <c r="P77" s="1275">
        <f t="shared" si="24"/>
        <v>35.759000000000007</v>
      </c>
    </row>
    <row r="78" spans="1:16" x14ac:dyDescent="0.3">
      <c r="A78" s="1166">
        <f t="shared" si="22"/>
        <v>54</v>
      </c>
      <c r="B78" s="1272" t="s">
        <v>480</v>
      </c>
      <c r="C78" s="1273">
        <f>'E-13c - prior to updates'!D359/'E-13c - prior to updates'!$D$365</f>
        <v>0.6727031030628946</v>
      </c>
      <c r="D78" s="1171">
        <f t="shared" si="25"/>
        <v>-69.281999999999996</v>
      </c>
      <c r="E78" s="1171">
        <f t="shared" si="25"/>
        <v>44.844999999999999</v>
      </c>
      <c r="F78" s="1171">
        <f t="shared" si="25"/>
        <v>10.925000000000001</v>
      </c>
      <c r="G78" s="1171">
        <f t="shared" si="25"/>
        <v>86.335999999999999</v>
      </c>
      <c r="H78" s="1171">
        <f t="shared" si="25"/>
        <v>99.665999999999997</v>
      </c>
      <c r="I78" s="1171">
        <f t="shared" si="25"/>
        <v>37.808</v>
      </c>
      <c r="J78" s="1171">
        <f t="shared" si="25"/>
        <v>4.9420000000000002</v>
      </c>
      <c r="K78" s="1171">
        <f t="shared" si="25"/>
        <v>-16.632999999999999</v>
      </c>
      <c r="L78" s="1171">
        <f t="shared" si="25"/>
        <v>5.6790000000000003</v>
      </c>
      <c r="M78" s="1171">
        <f t="shared" si="25"/>
        <v>-11.9</v>
      </c>
      <c r="N78" s="1171">
        <f t="shared" si="25"/>
        <v>-4.7450000000000001</v>
      </c>
      <c r="O78" s="1171">
        <f t="shared" si="25"/>
        <v>-6.42</v>
      </c>
      <c r="P78" s="1275">
        <f t="shared" si="24"/>
        <v>181.221</v>
      </c>
    </row>
    <row r="79" spans="1:16" x14ac:dyDescent="0.3">
      <c r="A79" s="1166">
        <f t="shared" si="22"/>
        <v>55</v>
      </c>
      <c r="B79" s="1272" t="s">
        <v>481</v>
      </c>
      <c r="C79" s="1273">
        <f>'E-13c - prior to updates'!D360/'E-13c - prior to updates'!$D$365</f>
        <v>0.19460023133626311</v>
      </c>
      <c r="D79" s="1171">
        <f t="shared" si="25"/>
        <v>-20.042000000000002</v>
      </c>
      <c r="E79" s="1171">
        <f t="shared" si="25"/>
        <v>12.973000000000001</v>
      </c>
      <c r="F79" s="1171">
        <f t="shared" si="25"/>
        <v>3.16</v>
      </c>
      <c r="G79" s="1171">
        <f t="shared" si="25"/>
        <v>24.975000000000001</v>
      </c>
      <c r="H79" s="1171">
        <f t="shared" si="25"/>
        <v>28.831</v>
      </c>
      <c r="I79" s="1171">
        <f t="shared" si="25"/>
        <v>10.936999999999999</v>
      </c>
      <c r="J79" s="1171">
        <f t="shared" si="25"/>
        <v>1.43</v>
      </c>
      <c r="K79" s="1171">
        <f t="shared" si="25"/>
        <v>-4.8120000000000003</v>
      </c>
      <c r="L79" s="1171">
        <f t="shared" si="25"/>
        <v>1.643</v>
      </c>
      <c r="M79" s="1171">
        <f t="shared" si="25"/>
        <v>-3.4420000000000002</v>
      </c>
      <c r="N79" s="1171">
        <f t="shared" si="25"/>
        <v>-1.373</v>
      </c>
      <c r="O79" s="1171">
        <f t="shared" si="25"/>
        <v>-1.857</v>
      </c>
      <c r="P79" s="1275">
        <f t="shared" si="24"/>
        <v>52.423000000000009</v>
      </c>
    </row>
    <row r="80" spans="1:16" x14ac:dyDescent="0.3">
      <c r="A80" s="1166">
        <f t="shared" si="22"/>
        <v>56</v>
      </c>
      <c r="B80" s="1272" t="s">
        <v>482</v>
      </c>
      <c r="C80" s="1273">
        <f>'E-13c - prior to updates'!D362/'E-13c - prior to updates'!$D$365</f>
        <v>0</v>
      </c>
      <c r="D80" s="1171">
        <f t="shared" si="25"/>
        <v>0</v>
      </c>
      <c r="E80" s="1171">
        <f t="shared" si="25"/>
        <v>0</v>
      </c>
      <c r="F80" s="1171">
        <f t="shared" si="25"/>
        <v>0</v>
      </c>
      <c r="G80" s="1171">
        <f t="shared" si="25"/>
        <v>0</v>
      </c>
      <c r="H80" s="1171">
        <f t="shared" si="25"/>
        <v>0</v>
      </c>
      <c r="I80" s="1171">
        <f t="shared" si="25"/>
        <v>0</v>
      </c>
      <c r="J80" s="1171">
        <f t="shared" si="25"/>
        <v>0</v>
      </c>
      <c r="K80" s="1171">
        <f t="shared" si="25"/>
        <v>0</v>
      </c>
      <c r="L80" s="1171">
        <f t="shared" si="25"/>
        <v>0</v>
      </c>
      <c r="M80" s="1171">
        <f t="shared" si="25"/>
        <v>0</v>
      </c>
      <c r="N80" s="1171">
        <f t="shared" si="25"/>
        <v>0</v>
      </c>
      <c r="O80" s="1171">
        <f t="shared" si="25"/>
        <v>0</v>
      </c>
      <c r="P80" s="1275">
        <f t="shared" si="24"/>
        <v>0</v>
      </c>
    </row>
    <row r="81" spans="1:16" x14ac:dyDescent="0.3">
      <c r="A81" s="1166">
        <f t="shared" si="22"/>
        <v>57</v>
      </c>
      <c r="B81" s="1272" t="s">
        <v>483</v>
      </c>
      <c r="C81" s="1273">
        <f>'E-13c - prior to updates'!D363/'E-13c - prior to updates'!$D$365</f>
        <v>0</v>
      </c>
      <c r="D81" s="1171">
        <f t="shared" si="25"/>
        <v>0</v>
      </c>
      <c r="E81" s="1171">
        <f t="shared" si="25"/>
        <v>0</v>
      </c>
      <c r="F81" s="1171">
        <f t="shared" si="25"/>
        <v>0</v>
      </c>
      <c r="G81" s="1171">
        <f t="shared" si="25"/>
        <v>0</v>
      </c>
      <c r="H81" s="1171">
        <f t="shared" si="25"/>
        <v>0</v>
      </c>
      <c r="I81" s="1171">
        <f t="shared" si="25"/>
        <v>0</v>
      </c>
      <c r="J81" s="1171">
        <f t="shared" si="25"/>
        <v>0</v>
      </c>
      <c r="K81" s="1171">
        <f t="shared" si="25"/>
        <v>0</v>
      </c>
      <c r="L81" s="1171">
        <f t="shared" si="25"/>
        <v>0</v>
      </c>
      <c r="M81" s="1171">
        <f t="shared" si="25"/>
        <v>0</v>
      </c>
      <c r="N81" s="1171">
        <f t="shared" si="25"/>
        <v>0</v>
      </c>
      <c r="O81" s="1171">
        <f t="shared" si="25"/>
        <v>0</v>
      </c>
      <c r="P81" s="1275">
        <f t="shared" si="24"/>
        <v>0</v>
      </c>
    </row>
    <row r="82" spans="1:16" x14ac:dyDescent="0.3">
      <c r="A82" s="1166">
        <f t="shared" si="22"/>
        <v>58</v>
      </c>
      <c r="B82" s="1272" t="s">
        <v>484</v>
      </c>
      <c r="C82" s="1273">
        <f>'E-13c - prior to updates'!D364/'E-13c - prior to updates'!$D$365</f>
        <v>0</v>
      </c>
      <c r="D82" s="1171">
        <f t="shared" ref="D82:O82" si="26">ROUND(D$57*$C82,3)</f>
        <v>0</v>
      </c>
      <c r="E82" s="1171">
        <f t="shared" si="26"/>
        <v>0</v>
      </c>
      <c r="F82" s="1171">
        <f t="shared" si="26"/>
        <v>0</v>
      </c>
      <c r="G82" s="1171">
        <f t="shared" si="26"/>
        <v>0</v>
      </c>
      <c r="H82" s="1171">
        <f t="shared" si="26"/>
        <v>0</v>
      </c>
      <c r="I82" s="1171">
        <f t="shared" si="26"/>
        <v>0</v>
      </c>
      <c r="J82" s="1171">
        <f t="shared" si="26"/>
        <v>0</v>
      </c>
      <c r="K82" s="1171">
        <f t="shared" si="26"/>
        <v>0</v>
      </c>
      <c r="L82" s="1171">
        <f t="shared" si="26"/>
        <v>0</v>
      </c>
      <c r="M82" s="1171">
        <f t="shared" si="26"/>
        <v>0</v>
      </c>
      <c r="N82" s="1171">
        <f t="shared" si="26"/>
        <v>0</v>
      </c>
      <c r="O82" s="1171">
        <f t="shared" si="26"/>
        <v>0</v>
      </c>
      <c r="P82" s="1275">
        <f t="shared" si="24"/>
        <v>0</v>
      </c>
    </row>
    <row r="83" spans="1:16" x14ac:dyDescent="0.3">
      <c r="A83" s="1166">
        <f>+A70+1</f>
        <v>47</v>
      </c>
      <c r="B83" s="1270" t="s">
        <v>273</v>
      </c>
      <c r="C83" s="505"/>
      <c r="D83" s="1271">
        <f t="shared" ref="D83:O83" si="27">D27</f>
        <v>-2497.7975460985908</v>
      </c>
      <c r="E83" s="1271">
        <f t="shared" si="27"/>
        <v>1159.9308420431335</v>
      </c>
      <c r="F83" s="1271">
        <f t="shared" si="27"/>
        <v>2824.7269788324775</v>
      </c>
      <c r="G83" s="1271">
        <f t="shared" si="27"/>
        <v>1228.8084872992185</v>
      </c>
      <c r="H83" s="1271">
        <f t="shared" si="27"/>
        <v>3218.0813626969757</v>
      </c>
      <c r="I83" s="1271">
        <f t="shared" si="27"/>
        <v>771.53534539285465</v>
      </c>
      <c r="J83" s="1271">
        <f t="shared" si="27"/>
        <v>1149.3440401598054</v>
      </c>
      <c r="K83" s="1271">
        <f t="shared" si="27"/>
        <v>-1468.675980324886</v>
      </c>
      <c r="L83" s="1271">
        <f t="shared" si="27"/>
        <v>571.8504392329196</v>
      </c>
      <c r="M83" s="1271">
        <f t="shared" si="27"/>
        <v>-2220.7419233848341</v>
      </c>
      <c r="N83" s="1271">
        <f t="shared" si="27"/>
        <v>-71.574739518982824</v>
      </c>
      <c r="O83" s="1271">
        <f t="shared" si="27"/>
        <v>290.23301792677375</v>
      </c>
      <c r="P83" s="1170">
        <f t="shared" si="11"/>
        <v>4955.7203242568648</v>
      </c>
    </row>
    <row r="84" spans="1:16" x14ac:dyDescent="0.3">
      <c r="A84" s="1166">
        <f t="shared" si="22"/>
        <v>48</v>
      </c>
      <c r="B84" s="1272" t="s">
        <v>473</v>
      </c>
      <c r="C84" s="1273">
        <f>'E-13c - prior to updates'!D466/'E-13c - prior to updates'!$D$482</f>
        <v>7.5848159813825559E-3</v>
      </c>
      <c r="D84" s="1171">
        <f>ROUND(D$83*$C84,3)</f>
        <v>-18.945</v>
      </c>
      <c r="E84" s="1171">
        <f t="shared" ref="E84:O84" si="28">ROUND(E$83*$C84,3)</f>
        <v>8.798</v>
      </c>
      <c r="F84" s="1171">
        <f t="shared" si="28"/>
        <v>21.425000000000001</v>
      </c>
      <c r="G84" s="1171">
        <f t="shared" si="28"/>
        <v>9.32</v>
      </c>
      <c r="H84" s="1171">
        <f t="shared" si="28"/>
        <v>24.408999999999999</v>
      </c>
      <c r="I84" s="1171">
        <f t="shared" si="28"/>
        <v>5.8520000000000003</v>
      </c>
      <c r="J84" s="1171">
        <f t="shared" si="28"/>
        <v>8.718</v>
      </c>
      <c r="K84" s="1171">
        <f t="shared" si="28"/>
        <v>-11.14</v>
      </c>
      <c r="L84" s="1171">
        <f t="shared" si="28"/>
        <v>4.3369999999999997</v>
      </c>
      <c r="M84" s="1171">
        <f t="shared" si="28"/>
        <v>-16.844000000000001</v>
      </c>
      <c r="N84" s="1171">
        <f t="shared" si="28"/>
        <v>-0.54300000000000004</v>
      </c>
      <c r="O84" s="1171">
        <f t="shared" si="28"/>
        <v>2.2010000000000001</v>
      </c>
      <c r="P84" s="1275">
        <f t="shared" ref="P84:P95" si="29">SUM(D84:O84)</f>
        <v>37.588000000000001</v>
      </c>
    </row>
    <row r="85" spans="1:16" x14ac:dyDescent="0.3">
      <c r="A85" s="1166">
        <f t="shared" si="22"/>
        <v>49</v>
      </c>
      <c r="B85" s="1272" t="s">
        <v>474</v>
      </c>
      <c r="C85" s="1273">
        <f>'E-13c - prior to updates'!D467/'E-13c - prior to updates'!$D$482</f>
        <v>5.3896568099432503E-2</v>
      </c>
      <c r="D85" s="1171">
        <f t="shared" ref="D85:O95" si="30">ROUND(D$83*$C85,3)</f>
        <v>-134.62299999999999</v>
      </c>
      <c r="E85" s="1171">
        <f t="shared" si="30"/>
        <v>62.515999999999998</v>
      </c>
      <c r="F85" s="1171">
        <f t="shared" si="30"/>
        <v>152.24299999999999</v>
      </c>
      <c r="G85" s="1171">
        <f t="shared" si="30"/>
        <v>66.228999999999999</v>
      </c>
      <c r="H85" s="1171">
        <f t="shared" si="30"/>
        <v>173.44399999999999</v>
      </c>
      <c r="I85" s="1171">
        <f t="shared" si="30"/>
        <v>41.582999999999998</v>
      </c>
      <c r="J85" s="1171">
        <f t="shared" si="30"/>
        <v>61.945999999999998</v>
      </c>
      <c r="K85" s="1171">
        <f t="shared" si="30"/>
        <v>-79.156999999999996</v>
      </c>
      <c r="L85" s="1171">
        <f t="shared" si="30"/>
        <v>30.821000000000002</v>
      </c>
      <c r="M85" s="1171">
        <f t="shared" si="30"/>
        <v>-119.69</v>
      </c>
      <c r="N85" s="1171">
        <f t="shared" si="30"/>
        <v>-3.8580000000000001</v>
      </c>
      <c r="O85" s="1171">
        <f t="shared" si="30"/>
        <v>15.643000000000001</v>
      </c>
      <c r="P85" s="1275">
        <f t="shared" si="29"/>
        <v>267.09699999999998</v>
      </c>
    </row>
    <row r="86" spans="1:16" x14ac:dyDescent="0.3">
      <c r="A86" s="1166">
        <f t="shared" si="22"/>
        <v>50</v>
      </c>
      <c r="B86" s="1272" t="s">
        <v>475</v>
      </c>
      <c r="C86" s="1273">
        <f>'E-13c - prior to updates'!D468/'E-13c - prior to updates'!$D$482</f>
        <v>0</v>
      </c>
      <c r="D86" s="1171">
        <f t="shared" si="30"/>
        <v>0</v>
      </c>
      <c r="E86" s="1171">
        <f t="shared" si="30"/>
        <v>0</v>
      </c>
      <c r="F86" s="1171">
        <f t="shared" si="30"/>
        <v>0</v>
      </c>
      <c r="G86" s="1171">
        <f t="shared" si="30"/>
        <v>0</v>
      </c>
      <c r="H86" s="1171">
        <f t="shared" si="30"/>
        <v>0</v>
      </c>
      <c r="I86" s="1171">
        <f t="shared" si="30"/>
        <v>0</v>
      </c>
      <c r="J86" s="1171">
        <f t="shared" si="30"/>
        <v>0</v>
      </c>
      <c r="K86" s="1171">
        <f t="shared" si="30"/>
        <v>0</v>
      </c>
      <c r="L86" s="1171">
        <f t="shared" si="30"/>
        <v>0</v>
      </c>
      <c r="M86" s="1171">
        <f t="shared" si="30"/>
        <v>0</v>
      </c>
      <c r="N86" s="1171">
        <f t="shared" si="30"/>
        <v>0</v>
      </c>
      <c r="O86" s="1171">
        <f t="shared" si="30"/>
        <v>0</v>
      </c>
      <c r="P86" s="1275">
        <f t="shared" si="29"/>
        <v>0</v>
      </c>
    </row>
    <row r="87" spans="1:16" x14ac:dyDescent="0.3">
      <c r="A87" s="1166">
        <f t="shared" si="22"/>
        <v>51</v>
      </c>
      <c r="B87" s="1272" t="s">
        <v>476</v>
      </c>
      <c r="C87" s="1273">
        <f>'E-13c - prior to updates'!D471/'E-13c - prior to updates'!$D$482</f>
        <v>1.7573651276153356E-2</v>
      </c>
      <c r="D87" s="1171">
        <f t="shared" si="30"/>
        <v>-43.895000000000003</v>
      </c>
      <c r="E87" s="1171">
        <f t="shared" si="30"/>
        <v>20.384</v>
      </c>
      <c r="F87" s="1171">
        <f t="shared" si="30"/>
        <v>49.640999999999998</v>
      </c>
      <c r="G87" s="1171">
        <f t="shared" si="30"/>
        <v>21.594999999999999</v>
      </c>
      <c r="H87" s="1171">
        <f t="shared" si="30"/>
        <v>56.552999999999997</v>
      </c>
      <c r="I87" s="1171">
        <f t="shared" si="30"/>
        <v>13.558999999999999</v>
      </c>
      <c r="J87" s="1171">
        <f t="shared" si="30"/>
        <v>20.198</v>
      </c>
      <c r="K87" s="1171">
        <f t="shared" si="30"/>
        <v>-25.81</v>
      </c>
      <c r="L87" s="1171">
        <f t="shared" si="30"/>
        <v>10.050000000000001</v>
      </c>
      <c r="M87" s="1171">
        <f t="shared" si="30"/>
        <v>-39.027000000000001</v>
      </c>
      <c r="N87" s="1171">
        <f t="shared" si="30"/>
        <v>-1.258</v>
      </c>
      <c r="O87" s="1171">
        <f t="shared" si="30"/>
        <v>5.0999999999999996</v>
      </c>
      <c r="P87" s="1275">
        <f t="shared" si="29"/>
        <v>87.089999999999989</v>
      </c>
    </row>
    <row r="88" spans="1:16" x14ac:dyDescent="0.3">
      <c r="A88" s="1166">
        <f t="shared" si="22"/>
        <v>52</v>
      </c>
      <c r="B88" s="1272" t="s">
        <v>477</v>
      </c>
      <c r="C88" s="1273">
        <f>'E-13c - prior to updates'!D472/'E-13c - prior to updates'!$D$482</f>
        <v>9.4445150368285255E-2</v>
      </c>
      <c r="D88" s="1171">
        <f t="shared" si="30"/>
        <v>-235.905</v>
      </c>
      <c r="E88" s="1171">
        <f t="shared" si="30"/>
        <v>109.55</v>
      </c>
      <c r="F88" s="1171">
        <f t="shared" si="30"/>
        <v>266.78199999999998</v>
      </c>
      <c r="G88" s="1171">
        <f t="shared" si="30"/>
        <v>116.05500000000001</v>
      </c>
      <c r="H88" s="1171">
        <f t="shared" si="30"/>
        <v>303.93200000000002</v>
      </c>
      <c r="I88" s="1171">
        <f t="shared" si="30"/>
        <v>72.867999999999995</v>
      </c>
      <c r="J88" s="1171">
        <f t="shared" si="30"/>
        <v>108.55</v>
      </c>
      <c r="K88" s="1171">
        <f t="shared" si="30"/>
        <v>-138.709</v>
      </c>
      <c r="L88" s="1171">
        <f t="shared" si="30"/>
        <v>54.009</v>
      </c>
      <c r="M88" s="1171">
        <f t="shared" si="30"/>
        <v>-209.738</v>
      </c>
      <c r="N88" s="1171">
        <f t="shared" si="30"/>
        <v>-6.76</v>
      </c>
      <c r="O88" s="1171">
        <f t="shared" si="30"/>
        <v>27.411000000000001</v>
      </c>
      <c r="P88" s="1275">
        <f t="shared" si="29"/>
        <v>468.04499999999985</v>
      </c>
    </row>
    <row r="89" spans="1:16" x14ac:dyDescent="0.3">
      <c r="A89" s="1166">
        <f t="shared" si="22"/>
        <v>53</v>
      </c>
      <c r="B89" s="1272" t="s">
        <v>478</v>
      </c>
      <c r="C89" s="1273">
        <f>'E-13c - prior to updates'!D473/'E-13c - prior to updates'!$D$482</f>
        <v>2.5941633229159346E-2</v>
      </c>
      <c r="D89" s="1171">
        <f t="shared" si="30"/>
        <v>-64.796999999999997</v>
      </c>
      <c r="E89" s="1171">
        <f t="shared" si="30"/>
        <v>30.091000000000001</v>
      </c>
      <c r="F89" s="1171">
        <f t="shared" si="30"/>
        <v>73.278000000000006</v>
      </c>
      <c r="G89" s="1171">
        <f t="shared" si="30"/>
        <v>31.876999999999999</v>
      </c>
      <c r="H89" s="1171">
        <f t="shared" si="30"/>
        <v>83.481999999999999</v>
      </c>
      <c r="I89" s="1171">
        <f t="shared" si="30"/>
        <v>20.015000000000001</v>
      </c>
      <c r="J89" s="1171">
        <f t="shared" si="30"/>
        <v>29.815999999999999</v>
      </c>
      <c r="K89" s="1171">
        <f t="shared" si="30"/>
        <v>-38.1</v>
      </c>
      <c r="L89" s="1171">
        <f t="shared" si="30"/>
        <v>14.835000000000001</v>
      </c>
      <c r="M89" s="1171">
        <f t="shared" si="30"/>
        <v>-57.61</v>
      </c>
      <c r="N89" s="1171">
        <f t="shared" si="30"/>
        <v>-1.857</v>
      </c>
      <c r="O89" s="1171">
        <f t="shared" si="30"/>
        <v>7.5289999999999999</v>
      </c>
      <c r="P89" s="1275">
        <f t="shared" si="29"/>
        <v>128.55900000000005</v>
      </c>
    </row>
    <row r="90" spans="1:16" x14ac:dyDescent="0.3">
      <c r="A90" s="1166">
        <f t="shared" si="22"/>
        <v>54</v>
      </c>
      <c r="B90" s="1272" t="s">
        <v>479</v>
      </c>
      <c r="C90" s="1273">
        <f>'E-13c - prior to updates'!D475/'E-13c - prior to updates'!$D$482</f>
        <v>5.3572245584703811E-2</v>
      </c>
      <c r="D90" s="1171">
        <f t="shared" si="30"/>
        <v>-133.81299999999999</v>
      </c>
      <c r="E90" s="1171">
        <f t="shared" si="30"/>
        <v>62.14</v>
      </c>
      <c r="F90" s="1171">
        <f t="shared" si="30"/>
        <v>151.327</v>
      </c>
      <c r="G90" s="1171">
        <f t="shared" si="30"/>
        <v>65.83</v>
      </c>
      <c r="H90" s="1171">
        <f t="shared" si="30"/>
        <v>172.4</v>
      </c>
      <c r="I90" s="1171">
        <f t="shared" si="30"/>
        <v>41.332999999999998</v>
      </c>
      <c r="J90" s="1171">
        <f t="shared" si="30"/>
        <v>61.573</v>
      </c>
      <c r="K90" s="1171">
        <f t="shared" si="30"/>
        <v>-78.680000000000007</v>
      </c>
      <c r="L90" s="1171">
        <f t="shared" si="30"/>
        <v>30.635000000000002</v>
      </c>
      <c r="M90" s="1171">
        <f t="shared" si="30"/>
        <v>-118.97</v>
      </c>
      <c r="N90" s="1171">
        <f t="shared" si="30"/>
        <v>-3.8340000000000001</v>
      </c>
      <c r="O90" s="1171">
        <f t="shared" si="30"/>
        <v>15.548</v>
      </c>
      <c r="P90" s="1275">
        <f t="shared" si="29"/>
        <v>265.48899999999992</v>
      </c>
    </row>
    <row r="91" spans="1:16" x14ac:dyDescent="0.3">
      <c r="A91" s="1166">
        <f t="shared" si="22"/>
        <v>55</v>
      </c>
      <c r="B91" s="1272" t="s">
        <v>480</v>
      </c>
      <c r="C91" s="1273">
        <f>'E-13c - prior to updates'!D476/'E-13c - prior to updates'!$D$482</f>
        <v>0.27981575766320899</v>
      </c>
      <c r="D91" s="1171">
        <f t="shared" si="30"/>
        <v>-698.923</v>
      </c>
      <c r="E91" s="1171">
        <f t="shared" si="30"/>
        <v>324.56700000000001</v>
      </c>
      <c r="F91" s="1171">
        <f t="shared" si="30"/>
        <v>790.40300000000002</v>
      </c>
      <c r="G91" s="1171">
        <f t="shared" si="30"/>
        <v>343.84</v>
      </c>
      <c r="H91" s="1171">
        <f t="shared" si="30"/>
        <v>900.47</v>
      </c>
      <c r="I91" s="1171">
        <f t="shared" si="30"/>
        <v>215.88800000000001</v>
      </c>
      <c r="J91" s="1171">
        <f t="shared" si="30"/>
        <v>321.60500000000002</v>
      </c>
      <c r="K91" s="1171">
        <f t="shared" si="30"/>
        <v>-410.959</v>
      </c>
      <c r="L91" s="1171">
        <f t="shared" si="30"/>
        <v>160.01300000000001</v>
      </c>
      <c r="M91" s="1171">
        <f t="shared" si="30"/>
        <v>-621.399</v>
      </c>
      <c r="N91" s="1171">
        <f t="shared" si="30"/>
        <v>-20.027999999999999</v>
      </c>
      <c r="O91" s="1171">
        <f t="shared" si="30"/>
        <v>81.212000000000003</v>
      </c>
      <c r="P91" s="1275">
        <f t="shared" si="29"/>
        <v>1386.6889999999996</v>
      </c>
    </row>
    <row r="92" spans="1:16" x14ac:dyDescent="0.3">
      <c r="A92" s="1166">
        <f t="shared" si="22"/>
        <v>56</v>
      </c>
      <c r="B92" s="1272" t="s">
        <v>481</v>
      </c>
      <c r="C92" s="1273">
        <f>'E-13c - prior to updates'!D477/'E-13c - prior to updates'!$D$482</f>
        <v>8.5564510769203128E-2</v>
      </c>
      <c r="D92" s="1171">
        <f t="shared" si="30"/>
        <v>-213.72300000000001</v>
      </c>
      <c r="E92" s="1171">
        <f t="shared" si="30"/>
        <v>99.248999999999995</v>
      </c>
      <c r="F92" s="1171">
        <f t="shared" si="30"/>
        <v>241.696</v>
      </c>
      <c r="G92" s="1171">
        <f t="shared" si="30"/>
        <v>105.142</v>
      </c>
      <c r="H92" s="1171">
        <f t="shared" si="30"/>
        <v>275.35399999999998</v>
      </c>
      <c r="I92" s="1171">
        <f t="shared" si="30"/>
        <v>66.016000000000005</v>
      </c>
      <c r="J92" s="1171">
        <f t="shared" si="30"/>
        <v>98.343000000000004</v>
      </c>
      <c r="K92" s="1171">
        <f t="shared" si="30"/>
        <v>-125.667</v>
      </c>
      <c r="L92" s="1171">
        <f t="shared" si="30"/>
        <v>48.93</v>
      </c>
      <c r="M92" s="1171">
        <f t="shared" si="30"/>
        <v>-190.017</v>
      </c>
      <c r="N92" s="1171">
        <f t="shared" si="30"/>
        <v>-6.1239999999999997</v>
      </c>
      <c r="O92" s="1171">
        <f t="shared" si="30"/>
        <v>24.834</v>
      </c>
      <c r="P92" s="1275">
        <f t="shared" si="29"/>
        <v>424.03299999999979</v>
      </c>
    </row>
    <row r="93" spans="1:16" x14ac:dyDescent="0.3">
      <c r="A93" s="1166">
        <f t="shared" si="22"/>
        <v>57</v>
      </c>
      <c r="B93" s="1272" t="s">
        <v>482</v>
      </c>
      <c r="C93" s="1273">
        <f>'E-13c - prior to updates'!D479/'E-13c - prior to updates'!$D$482</f>
        <v>4.7338803751732252E-2</v>
      </c>
      <c r="D93" s="1171">
        <f t="shared" si="30"/>
        <v>-118.24299999999999</v>
      </c>
      <c r="E93" s="1171">
        <f t="shared" si="30"/>
        <v>54.91</v>
      </c>
      <c r="F93" s="1171">
        <f t="shared" si="30"/>
        <v>133.71899999999999</v>
      </c>
      <c r="G93" s="1171">
        <f t="shared" si="30"/>
        <v>58.17</v>
      </c>
      <c r="H93" s="1171">
        <f t="shared" si="30"/>
        <v>152.34</v>
      </c>
      <c r="I93" s="1171">
        <f t="shared" si="30"/>
        <v>36.524000000000001</v>
      </c>
      <c r="J93" s="1171">
        <f t="shared" si="30"/>
        <v>54.408999999999999</v>
      </c>
      <c r="K93" s="1171">
        <f t="shared" si="30"/>
        <v>-69.525000000000006</v>
      </c>
      <c r="L93" s="1171">
        <f t="shared" si="30"/>
        <v>27.071000000000002</v>
      </c>
      <c r="M93" s="1171">
        <f t="shared" si="30"/>
        <v>-105.127</v>
      </c>
      <c r="N93" s="1171">
        <f t="shared" si="30"/>
        <v>-3.3879999999999999</v>
      </c>
      <c r="O93" s="1171">
        <f t="shared" si="30"/>
        <v>13.739000000000001</v>
      </c>
      <c r="P93" s="1275">
        <f t="shared" si="29"/>
        <v>234.59899999999999</v>
      </c>
    </row>
    <row r="94" spans="1:16" x14ac:dyDescent="0.3">
      <c r="A94" s="1166">
        <f t="shared" si="22"/>
        <v>58</v>
      </c>
      <c r="B94" s="1272" t="s">
        <v>483</v>
      </c>
      <c r="C94" s="1273">
        <f>'E-13c - prior to updates'!D480/'E-13c - prior to updates'!$D$482</f>
        <v>0.2500758437782456</v>
      </c>
      <c r="D94" s="1171">
        <f t="shared" si="30"/>
        <v>-624.63900000000001</v>
      </c>
      <c r="E94" s="1171">
        <f t="shared" si="30"/>
        <v>290.07100000000003</v>
      </c>
      <c r="F94" s="1171">
        <f t="shared" si="30"/>
        <v>706.39599999999996</v>
      </c>
      <c r="G94" s="1171">
        <f t="shared" si="30"/>
        <v>307.29500000000002</v>
      </c>
      <c r="H94" s="1171">
        <f t="shared" si="30"/>
        <v>804.76400000000001</v>
      </c>
      <c r="I94" s="1171">
        <f t="shared" si="30"/>
        <v>192.94200000000001</v>
      </c>
      <c r="J94" s="1171">
        <f t="shared" si="30"/>
        <v>287.423</v>
      </c>
      <c r="K94" s="1171">
        <f t="shared" si="30"/>
        <v>-367.28</v>
      </c>
      <c r="L94" s="1171">
        <f t="shared" si="30"/>
        <v>143.006</v>
      </c>
      <c r="M94" s="1171">
        <f t="shared" si="30"/>
        <v>-555.35400000000004</v>
      </c>
      <c r="N94" s="1171">
        <f t="shared" si="30"/>
        <v>-17.899000000000001</v>
      </c>
      <c r="O94" s="1171">
        <f t="shared" si="30"/>
        <v>72.58</v>
      </c>
      <c r="P94" s="1275">
        <f t="shared" si="29"/>
        <v>1239.3050000000003</v>
      </c>
    </row>
    <row r="95" spans="1:16" x14ac:dyDescent="0.3">
      <c r="A95" s="1166">
        <f t="shared" si="22"/>
        <v>59</v>
      </c>
      <c r="B95" s="1272" t="s">
        <v>484</v>
      </c>
      <c r="C95" s="1273">
        <f>'E-13c - prior to updates'!D481/'E-13c - prior to updates'!$D$482</f>
        <v>8.4191019498493128E-2</v>
      </c>
      <c r="D95" s="1171">
        <f t="shared" si="30"/>
        <v>-210.292</v>
      </c>
      <c r="E95" s="1171">
        <f t="shared" si="30"/>
        <v>97.656000000000006</v>
      </c>
      <c r="F95" s="1171">
        <f t="shared" si="30"/>
        <v>237.81700000000001</v>
      </c>
      <c r="G95" s="1171">
        <f t="shared" si="30"/>
        <v>103.455</v>
      </c>
      <c r="H95" s="1171">
        <f t="shared" si="30"/>
        <v>270.93400000000003</v>
      </c>
      <c r="I95" s="1171">
        <f t="shared" si="30"/>
        <v>64.956000000000003</v>
      </c>
      <c r="J95" s="1171">
        <f t="shared" si="30"/>
        <v>96.763999999999996</v>
      </c>
      <c r="K95" s="1171">
        <f t="shared" si="30"/>
        <v>-123.649</v>
      </c>
      <c r="L95" s="1171">
        <f t="shared" si="30"/>
        <v>48.145000000000003</v>
      </c>
      <c r="M95" s="1171">
        <f t="shared" si="30"/>
        <v>-186.96700000000001</v>
      </c>
      <c r="N95" s="1171">
        <f t="shared" si="30"/>
        <v>-6.0259999999999998</v>
      </c>
      <c r="O95" s="1171">
        <f t="shared" si="30"/>
        <v>24.434999999999999</v>
      </c>
      <c r="P95" s="1275">
        <f t="shared" si="29"/>
        <v>417.22800000000007</v>
      </c>
    </row>
    <row r="96" spans="1:16" x14ac:dyDescent="0.3">
      <c r="A96" s="1166">
        <f>+A83+1</f>
        <v>48</v>
      </c>
      <c r="B96" s="1270" t="s">
        <v>274</v>
      </c>
      <c r="C96" s="505"/>
      <c r="D96" s="1271">
        <f t="shared" ref="D96:O96" si="31">D28</f>
        <v>-1569.8095340481013</v>
      </c>
      <c r="E96" s="1271">
        <f t="shared" si="31"/>
        <v>-596.72024628922372</v>
      </c>
      <c r="F96" s="1271">
        <f t="shared" si="31"/>
        <v>906.41013710203697</v>
      </c>
      <c r="G96" s="1271">
        <f t="shared" si="31"/>
        <v>1004.6654048627533</v>
      </c>
      <c r="H96" s="1271">
        <f t="shared" si="31"/>
        <v>2932.8683963362273</v>
      </c>
      <c r="I96" s="1271">
        <f t="shared" si="31"/>
        <v>568.23986000968216</v>
      </c>
      <c r="J96" s="1271">
        <f t="shared" si="31"/>
        <v>-248.87390585164394</v>
      </c>
      <c r="K96" s="1271">
        <f t="shared" si="31"/>
        <v>160.35993366204275</v>
      </c>
      <c r="L96" s="1271">
        <f t="shared" si="31"/>
        <v>-486.92903655884584</v>
      </c>
      <c r="M96" s="1271">
        <f t="shared" si="31"/>
        <v>-972.76626527027838</v>
      </c>
      <c r="N96" s="1271">
        <f t="shared" si="31"/>
        <v>-1209.9263745577809</v>
      </c>
      <c r="O96" s="1271">
        <f t="shared" si="31"/>
        <v>-255.47668611253175</v>
      </c>
      <c r="P96" s="1170">
        <f t="shared" si="11"/>
        <v>232.04168328433661</v>
      </c>
    </row>
    <row r="97" spans="1:16" x14ac:dyDescent="0.3">
      <c r="A97" s="1166">
        <f t="shared" si="22"/>
        <v>49</v>
      </c>
      <c r="B97" s="1272" t="s">
        <v>473</v>
      </c>
      <c r="C97" s="1273">
        <f>'E-13c - prior to updates'!D532/'E-13c - prior to updates'!$D$532</f>
        <v>1</v>
      </c>
      <c r="D97" s="1171">
        <f>ROUND(D$96*$C97,3)</f>
        <v>-1569.81</v>
      </c>
      <c r="E97" s="1171">
        <f t="shared" ref="E97:O97" si="32">ROUND(E$96*$C97,3)</f>
        <v>-596.72</v>
      </c>
      <c r="F97" s="1171">
        <f t="shared" si="32"/>
        <v>906.41</v>
      </c>
      <c r="G97" s="1171">
        <f t="shared" si="32"/>
        <v>1004.665</v>
      </c>
      <c r="H97" s="1171">
        <f t="shared" si="32"/>
        <v>2932.8679999999999</v>
      </c>
      <c r="I97" s="1171">
        <f t="shared" si="32"/>
        <v>568.24</v>
      </c>
      <c r="J97" s="1171">
        <f t="shared" si="32"/>
        <v>-248.874</v>
      </c>
      <c r="K97" s="1171">
        <f t="shared" si="32"/>
        <v>160.36000000000001</v>
      </c>
      <c r="L97" s="1171">
        <f t="shared" si="32"/>
        <v>-486.92899999999997</v>
      </c>
      <c r="M97" s="1171">
        <f t="shared" si="32"/>
        <v>-972.76599999999996</v>
      </c>
      <c r="N97" s="1171">
        <f t="shared" si="32"/>
        <v>-1209.9259999999999</v>
      </c>
      <c r="O97" s="1171">
        <f t="shared" si="32"/>
        <v>-255.477</v>
      </c>
      <c r="P97" s="1275">
        <f t="shared" ref="P97" si="33">SUM(D97:O97)</f>
        <v>232.04100000000048</v>
      </c>
    </row>
    <row r="98" spans="1:16" x14ac:dyDescent="0.3">
      <c r="A98" s="1166">
        <f>+A96+1</f>
        <v>49</v>
      </c>
      <c r="B98" s="1270" t="s">
        <v>138</v>
      </c>
      <c r="C98" s="505"/>
      <c r="D98" s="1271">
        <f t="shared" ref="D98:O98" si="34">D29</f>
        <v>-454.05276520936604</v>
      </c>
      <c r="E98" s="1271">
        <f t="shared" si="34"/>
        <v>-341.93406142122694</v>
      </c>
      <c r="F98" s="1271">
        <f t="shared" si="34"/>
        <v>16.377517034117432</v>
      </c>
      <c r="G98" s="1271">
        <f t="shared" si="34"/>
        <v>164.49136416513556</v>
      </c>
      <c r="H98" s="1271">
        <f t="shared" si="34"/>
        <v>191.03028500630626</v>
      </c>
      <c r="I98" s="1271">
        <f t="shared" si="34"/>
        <v>37.704219241838246</v>
      </c>
      <c r="J98" s="1271">
        <f t="shared" si="34"/>
        <v>-33.069963637288311</v>
      </c>
      <c r="K98" s="1271">
        <f t="shared" si="34"/>
        <v>-4.6133432357778474</v>
      </c>
      <c r="L98" s="1271">
        <f t="shared" si="34"/>
        <v>-10.885697873027311</v>
      </c>
      <c r="M98" s="1271">
        <f t="shared" si="34"/>
        <v>-77.43002583919224</v>
      </c>
      <c r="N98" s="1271">
        <f t="shared" si="34"/>
        <v>-93.569267507902623</v>
      </c>
      <c r="O98" s="1271">
        <f t="shared" si="34"/>
        <v>-47.309119160649971</v>
      </c>
      <c r="P98" s="1170">
        <f t="shared" si="11"/>
        <v>-653.26085843703379</v>
      </c>
    </row>
    <row r="99" spans="1:16" x14ac:dyDescent="0.3">
      <c r="A99" s="1166">
        <f t="shared" si="22"/>
        <v>50</v>
      </c>
      <c r="B99" s="1272" t="s">
        <v>474</v>
      </c>
      <c r="C99" s="1273">
        <f>'E-13c - prior to updates'!D608/'E-13c - prior to updates'!$D$610</f>
        <v>0.91205847458353773</v>
      </c>
      <c r="D99" s="1171">
        <f>ROUND(D$98*$C99,3)</f>
        <v>-414.12299999999999</v>
      </c>
      <c r="E99" s="1171">
        <f t="shared" ref="E99:O100" si="35">ROUND(E$98*$C99,3)</f>
        <v>-311.86399999999998</v>
      </c>
      <c r="F99" s="1171">
        <f t="shared" si="35"/>
        <v>14.936999999999999</v>
      </c>
      <c r="G99" s="1171">
        <f t="shared" si="35"/>
        <v>150.02600000000001</v>
      </c>
      <c r="H99" s="1171">
        <f t="shared" si="35"/>
        <v>174.23099999999999</v>
      </c>
      <c r="I99" s="1171">
        <f t="shared" si="35"/>
        <v>34.387999999999998</v>
      </c>
      <c r="J99" s="1171">
        <f t="shared" si="35"/>
        <v>-30.161999999999999</v>
      </c>
      <c r="K99" s="1171">
        <f t="shared" si="35"/>
        <v>-4.2080000000000002</v>
      </c>
      <c r="L99" s="1171">
        <f t="shared" si="35"/>
        <v>-9.9280000000000008</v>
      </c>
      <c r="M99" s="1171">
        <f t="shared" si="35"/>
        <v>-70.620999999999995</v>
      </c>
      <c r="N99" s="1171">
        <f t="shared" si="35"/>
        <v>-85.340999999999994</v>
      </c>
      <c r="O99" s="1171">
        <f t="shared" si="35"/>
        <v>-43.149000000000001</v>
      </c>
      <c r="P99" s="1275">
        <f t="shared" ref="P99:P100" si="36">SUM(D99:O99)</f>
        <v>-595.81399999999985</v>
      </c>
    </row>
    <row r="100" spans="1:16" x14ac:dyDescent="0.3">
      <c r="A100" s="1166">
        <f t="shared" si="22"/>
        <v>51</v>
      </c>
      <c r="B100" s="1272" t="s">
        <v>475</v>
      </c>
      <c r="C100" s="1273">
        <f>'E-13c - prior to updates'!D609/'E-13c - prior to updates'!$D$610</f>
        <v>8.7941525416462288E-2</v>
      </c>
      <c r="D100" s="1171">
        <f>ROUND(D$98*$C100,3)</f>
        <v>-39.93</v>
      </c>
      <c r="E100" s="1171">
        <f t="shared" si="35"/>
        <v>-30.07</v>
      </c>
      <c r="F100" s="1171">
        <f t="shared" si="35"/>
        <v>1.44</v>
      </c>
      <c r="G100" s="1171">
        <f t="shared" si="35"/>
        <v>14.465999999999999</v>
      </c>
      <c r="H100" s="1171">
        <f t="shared" si="35"/>
        <v>16.798999999999999</v>
      </c>
      <c r="I100" s="1171">
        <f t="shared" si="35"/>
        <v>3.3159999999999998</v>
      </c>
      <c r="J100" s="1171">
        <f t="shared" si="35"/>
        <v>-2.9079999999999999</v>
      </c>
      <c r="K100" s="1171">
        <f t="shared" si="35"/>
        <v>-0.40600000000000003</v>
      </c>
      <c r="L100" s="1171">
        <f t="shared" si="35"/>
        <v>-0.95699999999999996</v>
      </c>
      <c r="M100" s="1171">
        <f t="shared" si="35"/>
        <v>-6.8090000000000002</v>
      </c>
      <c r="N100" s="1171">
        <f t="shared" si="35"/>
        <v>-8.2289999999999992</v>
      </c>
      <c r="O100" s="1171">
        <f t="shared" si="35"/>
        <v>-4.16</v>
      </c>
      <c r="P100" s="1275">
        <f t="shared" si="36"/>
        <v>-57.447999999999993</v>
      </c>
    </row>
    <row r="101" spans="1:16" x14ac:dyDescent="0.3">
      <c r="A101" s="1166">
        <f>+A98+1</f>
        <v>50</v>
      </c>
      <c r="B101" s="1270" t="s">
        <v>140</v>
      </c>
      <c r="C101" s="505"/>
      <c r="D101" s="1271">
        <f t="shared" ref="D101:O101" si="37">D30</f>
        <v>-74.440991305456919</v>
      </c>
      <c r="E101" s="1271">
        <f t="shared" si="37"/>
        <v>29.878181463633609</v>
      </c>
      <c r="F101" s="1271">
        <f t="shared" si="37"/>
        <v>18.292350602939223</v>
      </c>
      <c r="G101" s="1271">
        <f t="shared" si="37"/>
        <v>-1.5788241848185862</v>
      </c>
      <c r="H101" s="1271">
        <f t="shared" si="37"/>
        <v>-21.148337812891441</v>
      </c>
      <c r="I101" s="1271">
        <f t="shared" si="37"/>
        <v>6.0406078712867384</v>
      </c>
      <c r="J101" s="1271">
        <f t="shared" si="37"/>
        <v>37.975667908479409</v>
      </c>
      <c r="K101" s="1271">
        <f t="shared" si="37"/>
        <v>-26.898457760444671</v>
      </c>
      <c r="L101" s="1271">
        <f t="shared" si="37"/>
        <v>51.498035805720974</v>
      </c>
      <c r="M101" s="1271">
        <f t="shared" si="37"/>
        <v>-27.493608892054908</v>
      </c>
      <c r="N101" s="1271">
        <f t="shared" si="37"/>
        <v>9.3141693358606972</v>
      </c>
      <c r="O101" s="1271">
        <f t="shared" si="37"/>
        <v>-1.4387905072799185</v>
      </c>
      <c r="P101" s="1170">
        <f t="shared" si="11"/>
        <v>2.5249742066080216E-6</v>
      </c>
    </row>
    <row r="102" spans="1:16" x14ac:dyDescent="0.3">
      <c r="A102" s="1166">
        <f t="shared" si="22"/>
        <v>51</v>
      </c>
      <c r="B102" s="1272" t="s">
        <v>474</v>
      </c>
      <c r="C102" s="1273">
        <f>'E-13c - prior to updates'!D669/'E-13c - prior to updates'!$D$671</f>
        <v>0.95868661186059412</v>
      </c>
      <c r="D102" s="1171">
        <f>ROUND(D$101*$C102,3)</f>
        <v>-71.366</v>
      </c>
      <c r="E102" s="1171">
        <f t="shared" ref="E102:O103" si="38">ROUND(E$101*$C102,3)</f>
        <v>28.643999999999998</v>
      </c>
      <c r="F102" s="1171">
        <f t="shared" si="38"/>
        <v>17.536999999999999</v>
      </c>
      <c r="G102" s="1171">
        <f t="shared" si="38"/>
        <v>-1.514</v>
      </c>
      <c r="H102" s="1171">
        <f t="shared" si="38"/>
        <v>-20.274999999999999</v>
      </c>
      <c r="I102" s="1171">
        <f t="shared" si="38"/>
        <v>5.7910000000000004</v>
      </c>
      <c r="J102" s="1171">
        <f t="shared" si="38"/>
        <v>36.406999999999996</v>
      </c>
      <c r="K102" s="1171">
        <f t="shared" si="38"/>
        <v>-25.786999999999999</v>
      </c>
      <c r="L102" s="1171">
        <f t="shared" si="38"/>
        <v>49.37</v>
      </c>
      <c r="M102" s="1171">
        <f t="shared" si="38"/>
        <v>-26.358000000000001</v>
      </c>
      <c r="N102" s="1171">
        <f t="shared" si="38"/>
        <v>8.9290000000000003</v>
      </c>
      <c r="O102" s="1171">
        <f t="shared" si="38"/>
        <v>-1.379</v>
      </c>
      <c r="P102" s="1275">
        <f t="shared" ref="P102:P103" si="39">SUM(D102:O102)</f>
        <v>-1.0000000000123244E-3</v>
      </c>
    </row>
    <row r="103" spans="1:16" x14ac:dyDescent="0.3">
      <c r="A103" s="1166">
        <f t="shared" si="22"/>
        <v>52</v>
      </c>
      <c r="B103" s="1272" t="s">
        <v>475</v>
      </c>
      <c r="C103" s="1273">
        <f>'E-13c - prior to updates'!D670/'E-13c - prior to updates'!$D$671</f>
        <v>4.1313388139405917E-2</v>
      </c>
      <c r="D103" s="1171">
        <f>ROUND(D$101*$C103,3)</f>
        <v>-3.0750000000000002</v>
      </c>
      <c r="E103" s="1171">
        <f t="shared" si="38"/>
        <v>1.234</v>
      </c>
      <c r="F103" s="1171">
        <f t="shared" si="38"/>
        <v>0.75600000000000001</v>
      </c>
      <c r="G103" s="1171">
        <f t="shared" si="38"/>
        <v>-6.5000000000000002E-2</v>
      </c>
      <c r="H103" s="1171">
        <f t="shared" si="38"/>
        <v>-0.874</v>
      </c>
      <c r="I103" s="1171">
        <f t="shared" si="38"/>
        <v>0.25</v>
      </c>
      <c r="J103" s="1171">
        <f t="shared" si="38"/>
        <v>1.569</v>
      </c>
      <c r="K103" s="1171">
        <f t="shared" si="38"/>
        <v>-1.111</v>
      </c>
      <c r="L103" s="1171">
        <f t="shared" si="38"/>
        <v>2.1280000000000001</v>
      </c>
      <c r="M103" s="1171">
        <f t="shared" si="38"/>
        <v>-1.1359999999999999</v>
      </c>
      <c r="N103" s="1171">
        <f t="shared" si="38"/>
        <v>0.38500000000000001</v>
      </c>
      <c r="O103" s="1171">
        <f t="shared" si="38"/>
        <v>-5.8999999999999997E-2</v>
      </c>
      <c r="P103" s="1275">
        <f t="shared" si="39"/>
        <v>2.0000000000001683E-3</v>
      </c>
    </row>
    <row r="104" spans="1:16" x14ac:dyDescent="0.3">
      <c r="A104" s="1166">
        <f>+A101+1</f>
        <v>51</v>
      </c>
      <c r="B104" s="1270" t="s">
        <v>139</v>
      </c>
      <c r="C104" s="505"/>
      <c r="D104" s="1271">
        <f t="shared" ref="D104:O104" si="40">D31</f>
        <v>-344.30725524177979</v>
      </c>
      <c r="E104" s="1271">
        <f t="shared" si="40"/>
        <v>0</v>
      </c>
      <c r="F104" s="1271">
        <f t="shared" si="40"/>
        <v>92.993222323304508</v>
      </c>
      <c r="G104" s="1271">
        <f t="shared" si="40"/>
        <v>-4.0019150065327267</v>
      </c>
      <c r="H104" s="1271">
        <f t="shared" si="40"/>
        <v>-37.024379190973377</v>
      </c>
      <c r="I104" s="1271">
        <f t="shared" si="40"/>
        <v>14.553810076791706</v>
      </c>
      <c r="J104" s="1271">
        <f t="shared" si="40"/>
        <v>86.106169192715242</v>
      </c>
      <c r="K104" s="1271">
        <f t="shared" si="40"/>
        <v>-79.966036758918563</v>
      </c>
      <c r="L104" s="1271">
        <f t="shared" si="40"/>
        <v>100.58931826045591</v>
      </c>
      <c r="M104" s="1271">
        <f t="shared" si="40"/>
        <v>-10.17431687878161</v>
      </c>
      <c r="N104" s="1271">
        <f t="shared" si="40"/>
        <v>46.075332580650866</v>
      </c>
      <c r="O104" s="1271">
        <f t="shared" si="40"/>
        <v>46.737420950776141</v>
      </c>
      <c r="P104" s="1170">
        <f t="shared" si="11"/>
        <v>-88.418629692291688</v>
      </c>
    </row>
    <row r="105" spans="1:16" x14ac:dyDescent="0.3">
      <c r="A105" s="1166">
        <f t="shared" si="22"/>
        <v>52</v>
      </c>
      <c r="B105" s="1272" t="s">
        <v>474</v>
      </c>
      <c r="C105" s="1273">
        <f>'E-13c - prior to updates'!D727/'E-13c - prior to updates'!$D$729</f>
        <v>1</v>
      </c>
      <c r="D105" s="1171">
        <f>ROUND(D$104*$C105,3)</f>
        <v>-344.30700000000002</v>
      </c>
      <c r="E105" s="1171">
        <f t="shared" ref="E105:O105" si="41">ROUND(E$104*$C105,3)</f>
        <v>0</v>
      </c>
      <c r="F105" s="1171">
        <f t="shared" si="41"/>
        <v>92.992999999999995</v>
      </c>
      <c r="G105" s="1171">
        <f t="shared" si="41"/>
        <v>-4.0019999999999998</v>
      </c>
      <c r="H105" s="1171">
        <f t="shared" si="41"/>
        <v>-37.024000000000001</v>
      </c>
      <c r="I105" s="1171">
        <f t="shared" si="41"/>
        <v>14.554</v>
      </c>
      <c r="J105" s="1171">
        <f t="shared" si="41"/>
        <v>86.105999999999995</v>
      </c>
      <c r="K105" s="1171">
        <f t="shared" si="41"/>
        <v>-79.965999999999994</v>
      </c>
      <c r="L105" s="1171">
        <f t="shared" si="41"/>
        <v>100.589</v>
      </c>
      <c r="M105" s="1171">
        <f t="shared" si="41"/>
        <v>-10.173999999999999</v>
      </c>
      <c r="N105" s="1171">
        <f t="shared" si="41"/>
        <v>46.075000000000003</v>
      </c>
      <c r="O105" s="1171">
        <f t="shared" si="41"/>
        <v>46.737000000000002</v>
      </c>
      <c r="P105" s="1275">
        <f t="shared" ref="P105:P106" si="42">SUM(D105:O105)</f>
        <v>-88.419000000000068</v>
      </c>
    </row>
    <row r="106" spans="1:16" x14ac:dyDescent="0.3">
      <c r="A106" s="1166">
        <f t="shared" si="22"/>
        <v>53</v>
      </c>
      <c r="B106" s="1272" t="s">
        <v>475</v>
      </c>
      <c r="C106" s="1273">
        <f>'E-13c - prior to updates'!D728/'E-13c - prior to updates'!$D$729</f>
        <v>0</v>
      </c>
      <c r="D106" s="1171">
        <f>ROUND(D$101*$C106,3)</f>
        <v>0</v>
      </c>
      <c r="E106" s="1171">
        <f t="shared" ref="E106:O106" si="43">ROUND(E$101*$C106,3)</f>
        <v>0</v>
      </c>
      <c r="F106" s="1171">
        <f t="shared" si="43"/>
        <v>0</v>
      </c>
      <c r="G106" s="1171">
        <f t="shared" si="43"/>
        <v>0</v>
      </c>
      <c r="H106" s="1171">
        <f t="shared" si="43"/>
        <v>0</v>
      </c>
      <c r="I106" s="1171">
        <f t="shared" si="43"/>
        <v>0</v>
      </c>
      <c r="J106" s="1171">
        <f t="shared" si="43"/>
        <v>0</v>
      </c>
      <c r="K106" s="1171">
        <f t="shared" si="43"/>
        <v>0</v>
      </c>
      <c r="L106" s="1171">
        <f t="shared" si="43"/>
        <v>0</v>
      </c>
      <c r="M106" s="1171">
        <f t="shared" si="43"/>
        <v>0</v>
      </c>
      <c r="N106" s="1171">
        <f t="shared" si="43"/>
        <v>0</v>
      </c>
      <c r="O106" s="1171">
        <f t="shared" si="43"/>
        <v>0</v>
      </c>
      <c r="P106" s="1275">
        <f t="shared" si="42"/>
        <v>0</v>
      </c>
    </row>
    <row r="107" spans="1:16" ht="14.4" thickBot="1" x14ac:dyDescent="0.35">
      <c r="A107" s="1166">
        <f>+A104+1</f>
        <v>52</v>
      </c>
      <c r="B107" s="382"/>
      <c r="C107" s="382"/>
      <c r="D107" s="1175">
        <f>SUM(D37:D41,D43:D54,D56,D58:D69,D71:D82,D84:D95,D97,D99:D100,D102:D103,D105:D106)</f>
        <v>-155375.25200000001</v>
      </c>
      <c r="E107" s="1175">
        <f t="shared" ref="E107:P107" si="44">SUM(E37:E41,E43:E54,E56,E58:E69,E71:E82,E84:E95,E97,E99:E100,E102:E103,E105:E106)</f>
        <v>-107646.04400000002</v>
      </c>
      <c r="F107" s="1175">
        <f t="shared" si="44"/>
        <v>109636.23300000004</v>
      </c>
      <c r="G107" s="1175">
        <f t="shared" si="44"/>
        <v>138730.31099999999</v>
      </c>
      <c r="H107" s="1175">
        <f t="shared" si="44"/>
        <v>501900.79900000012</v>
      </c>
      <c r="I107" s="1175">
        <f t="shared" si="44"/>
        <v>77956.829000000071</v>
      </c>
      <c r="J107" s="1175">
        <f t="shared" si="44"/>
        <v>-9077.6729999999989</v>
      </c>
      <c r="K107" s="1175">
        <f t="shared" si="44"/>
        <v>62487.296999999991</v>
      </c>
      <c r="L107" s="1175">
        <f t="shared" si="44"/>
        <v>-123218.78900000002</v>
      </c>
      <c r="M107" s="1175">
        <f t="shared" si="44"/>
        <v>-208691.44100000011</v>
      </c>
      <c r="N107" s="1175">
        <f t="shared" si="44"/>
        <v>-123114.30600000001</v>
      </c>
      <c r="O107" s="1175">
        <f t="shared" si="44"/>
        <v>74094.378999999928</v>
      </c>
      <c r="P107" s="1175">
        <f t="shared" si="44"/>
        <v>237682.34299999991</v>
      </c>
    </row>
    <row r="108" spans="1:16" ht="14.4" thickTop="1" x14ac:dyDescent="0.3">
      <c r="A108" s="1166">
        <f t="shared" si="22"/>
        <v>53</v>
      </c>
    </row>
    <row r="109" spans="1:16" x14ac:dyDescent="0.3">
      <c r="A109" s="1166">
        <f t="shared" si="22"/>
        <v>54</v>
      </c>
    </row>
    <row r="110" spans="1:16" x14ac:dyDescent="0.3">
      <c r="A110" s="1166"/>
    </row>
    <row r="111" spans="1:16" x14ac:dyDescent="0.3">
      <c r="A111" s="1166"/>
    </row>
    <row r="112" spans="1:16" x14ac:dyDescent="0.3">
      <c r="A112" s="1166"/>
    </row>
    <row r="113" spans="1:1" x14ac:dyDescent="0.3">
      <c r="A113" s="1166"/>
    </row>
    <row r="114" spans="1:1" x14ac:dyDescent="0.3">
      <c r="A114" s="1166"/>
    </row>
    <row r="115" spans="1:1" x14ac:dyDescent="0.3">
      <c r="A115" s="1166"/>
    </row>
    <row r="116" spans="1:1" x14ac:dyDescent="0.3">
      <c r="A116" s="1166"/>
    </row>
    <row r="117" spans="1:1" x14ac:dyDescent="0.3">
      <c r="A117" s="1166"/>
    </row>
    <row r="118" spans="1:1" x14ac:dyDescent="0.3">
      <c r="A118" s="1166"/>
    </row>
    <row r="119" spans="1:1" x14ac:dyDescent="0.3">
      <c r="A119" s="1166"/>
    </row>
    <row r="120" spans="1:1" x14ac:dyDescent="0.3">
      <c r="A120" s="1166"/>
    </row>
    <row r="121" spans="1:1" x14ac:dyDescent="0.3">
      <c r="A121" s="1166"/>
    </row>
    <row r="122" spans="1:1" x14ac:dyDescent="0.3">
      <c r="A122" s="1166"/>
    </row>
    <row r="123" spans="1:1" x14ac:dyDescent="0.3">
      <c r="A123" s="1166"/>
    </row>
    <row r="124" spans="1:1" x14ac:dyDescent="0.3">
      <c r="A124" s="1166"/>
    </row>
    <row r="125" spans="1:1" x14ac:dyDescent="0.3">
      <c r="A125" s="1166"/>
    </row>
    <row r="126" spans="1:1" x14ac:dyDescent="0.3">
      <c r="A126" s="1166"/>
    </row>
    <row r="127" spans="1:1" x14ac:dyDescent="0.3">
      <c r="A127" s="1166"/>
    </row>
    <row r="128" spans="1:1" x14ac:dyDescent="0.3">
      <c r="A128" s="1166"/>
    </row>
    <row r="129" spans="1:17" x14ac:dyDescent="0.3">
      <c r="A129" s="1166"/>
    </row>
    <row r="130" spans="1:17" x14ac:dyDescent="0.3">
      <c r="A130" s="1166"/>
      <c r="Q130" s="1178"/>
    </row>
    <row r="131" spans="1:17" x14ac:dyDescent="0.3">
      <c r="A131" s="1166"/>
      <c r="Q131" s="1179"/>
    </row>
    <row r="132" spans="1:17" x14ac:dyDescent="0.3">
      <c r="A132" s="1166"/>
      <c r="Q132" s="1179"/>
    </row>
    <row r="133" spans="1:17" x14ac:dyDescent="0.3">
      <c r="A133" s="1166"/>
      <c r="Q133" s="1179"/>
    </row>
    <row r="134" spans="1:17" x14ac:dyDescent="0.3">
      <c r="A134" s="1166"/>
      <c r="Q134" s="1179"/>
    </row>
    <row r="135" spans="1:17" x14ac:dyDescent="0.3">
      <c r="A135" s="1166"/>
      <c r="Q135" s="1179"/>
    </row>
    <row r="136" spans="1:17" x14ac:dyDescent="0.3">
      <c r="A136" s="1166"/>
      <c r="Q136" s="1179"/>
    </row>
    <row r="137" spans="1:17" x14ac:dyDescent="0.3">
      <c r="A137" s="1166"/>
      <c r="Q137" s="1179"/>
    </row>
    <row r="138" spans="1:17" x14ac:dyDescent="0.3">
      <c r="A138" s="1166"/>
      <c r="Q138" s="1179"/>
    </row>
    <row r="139" spans="1:17" x14ac:dyDescent="0.3">
      <c r="A139" s="1166"/>
      <c r="Q139" s="1179"/>
    </row>
    <row r="140" spans="1:17" x14ac:dyDescent="0.3">
      <c r="A140" s="1166"/>
      <c r="Q140" s="1179"/>
    </row>
    <row r="141" spans="1:17" x14ac:dyDescent="0.3">
      <c r="A141" s="1166"/>
    </row>
  </sheetData>
  <pageMargins left="0.5" right="0.5" top="0.75" bottom="0.5" header="0.3" footer="0.3"/>
  <pageSetup scale="63" fitToHeight="0" orientation="landscape" r:id="rId1"/>
  <headerFooter>
    <oddHeader>&amp;RPage &amp;P of &amp;N</oddHeader>
  </headerFooter>
  <rowBreaks count="2" manualBreakCount="2">
    <brk id="32" max="15" man="1"/>
    <brk id="69" max="1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D7D9F-C456-4D3C-A0B1-0BB04EA41A1C}">
  <sheetPr codeName="Sheet5">
    <tabColor rgb="FF92D050"/>
    <pageSetUpPr fitToPage="1"/>
  </sheetPr>
  <dimension ref="A1:AF40"/>
  <sheetViews>
    <sheetView tabSelected="1" workbookViewId="0">
      <selection activeCell="S8" sqref="S8"/>
    </sheetView>
  </sheetViews>
  <sheetFormatPr defaultRowHeight="14.4" x14ac:dyDescent="0.3"/>
  <cols>
    <col min="1" max="1" width="1.33203125" style="388" customWidth="1"/>
    <col min="2" max="2" width="11.109375" style="388" customWidth="1"/>
    <col min="3" max="3" width="4.109375" style="388" customWidth="1"/>
    <col min="4" max="4" width="20.44140625" style="388" bestFit="1" customWidth="1"/>
    <col min="5" max="5" width="3" style="388" customWidth="1"/>
    <col min="6" max="6" width="13.5546875" style="388" bestFit="1" customWidth="1"/>
    <col min="7" max="7" width="12.44140625" style="388" customWidth="1"/>
    <col min="8" max="8" width="12.109375" style="388"/>
    <col min="9" max="9" width="4.109375" style="388" customWidth="1"/>
    <col min="10" max="10" width="12.109375" style="388"/>
    <col min="11" max="11" width="11" style="388" customWidth="1"/>
    <col min="12" max="12" width="12.109375" style="388"/>
    <col min="13" max="13" width="4.109375" style="388" customWidth="1"/>
    <col min="14" max="14" width="11.33203125" style="388" customWidth="1"/>
    <col min="15" max="15" width="14.44140625" style="388" customWidth="1"/>
    <col min="16" max="16" width="1.6640625" style="388" customWidth="1"/>
    <col min="17" max="17" width="11" style="388" customWidth="1"/>
    <col min="18" max="18" width="7.5546875" style="388" customWidth="1"/>
    <col min="19" max="27" width="1.33203125" style="388" customWidth="1"/>
  </cols>
  <sheetData>
    <row r="1" spans="1:30" ht="15.6" x14ac:dyDescent="0.3">
      <c r="A1" s="383"/>
      <c r="B1" s="443">
        <v>2026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384"/>
      <c r="Y1" s="384"/>
      <c r="Z1" s="384"/>
      <c r="AA1" s="383"/>
    </row>
    <row r="2" spans="1:30" x14ac:dyDescent="0.3">
      <c r="A2" s="385"/>
      <c r="B2" s="386" t="s">
        <v>485</v>
      </c>
      <c r="C2" s="386"/>
      <c r="D2" s="387"/>
      <c r="E2" s="387"/>
      <c r="H2" s="387" t="s">
        <v>486</v>
      </c>
      <c r="I2" s="387"/>
      <c r="O2" s="389"/>
      <c r="Q2" s="386"/>
      <c r="R2" s="390" t="s">
        <v>103</v>
      </c>
      <c r="AA2" s="385"/>
    </row>
    <row r="3" spans="1:30" x14ac:dyDescent="0.3">
      <c r="A3" s="385"/>
      <c r="B3" s="391"/>
      <c r="C3" s="392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AA3" s="385"/>
      <c r="AC3" s="515"/>
      <c r="AD3" s="515"/>
    </row>
    <row r="4" spans="1:30" x14ac:dyDescent="0.3">
      <c r="A4" s="385"/>
      <c r="B4" s="386" t="s">
        <v>3</v>
      </c>
      <c r="C4" s="386"/>
      <c r="G4" s="388" t="s">
        <v>4</v>
      </c>
      <c r="H4" s="387" t="s">
        <v>487</v>
      </c>
      <c r="I4" s="387"/>
      <c r="O4" s="20" t="s">
        <v>6</v>
      </c>
      <c r="AA4" s="385"/>
    </row>
    <row r="5" spans="1:30" x14ac:dyDescent="0.3">
      <c r="A5" s="385"/>
      <c r="H5" s="387" t="s">
        <v>488</v>
      </c>
      <c r="I5" s="387"/>
      <c r="N5" s="389"/>
      <c r="O5" s="20"/>
      <c r="AA5" s="385"/>
    </row>
    <row r="6" spans="1:30" x14ac:dyDescent="0.3">
      <c r="A6" s="385"/>
      <c r="B6" s="20" t="s">
        <v>9</v>
      </c>
      <c r="C6" s="21"/>
      <c r="D6" s="21"/>
      <c r="H6" s="387" t="s">
        <v>489</v>
      </c>
      <c r="I6" s="386"/>
      <c r="N6" s="389"/>
      <c r="O6" s="20" t="s">
        <v>204</v>
      </c>
      <c r="AA6" s="385"/>
    </row>
    <row r="7" spans="1:30" x14ac:dyDescent="0.3">
      <c r="A7" s="385"/>
      <c r="B7" s="21"/>
      <c r="C7" s="21"/>
      <c r="D7" s="21"/>
      <c r="H7" s="388" t="s">
        <v>490</v>
      </c>
      <c r="I7" s="387"/>
      <c r="J7" s="387"/>
      <c r="K7" s="387"/>
      <c r="N7" s="389"/>
      <c r="O7" s="20"/>
      <c r="AA7" s="385"/>
    </row>
    <row r="8" spans="1:30" x14ac:dyDescent="0.3">
      <c r="A8" s="385"/>
      <c r="B8" s="20" t="s">
        <v>491</v>
      </c>
      <c r="C8" s="21"/>
      <c r="D8" s="22" t="s">
        <v>14</v>
      </c>
      <c r="H8" s="388" t="s">
        <v>492</v>
      </c>
      <c r="I8" s="387"/>
      <c r="N8" s="389"/>
      <c r="O8" s="20" t="s">
        <v>493</v>
      </c>
      <c r="AA8" s="385"/>
    </row>
    <row r="9" spans="1:30" x14ac:dyDescent="0.3">
      <c r="A9" s="385"/>
      <c r="B9" s="392"/>
      <c r="C9" s="392"/>
      <c r="D9" s="393"/>
      <c r="E9" s="393"/>
      <c r="F9" s="393"/>
      <c r="G9" s="393"/>
      <c r="H9" s="393"/>
      <c r="I9" s="394"/>
      <c r="J9" s="393"/>
      <c r="K9" s="393"/>
      <c r="L9" s="394"/>
      <c r="M9" s="394"/>
      <c r="N9" s="393"/>
      <c r="O9" s="394"/>
      <c r="P9" s="394"/>
      <c r="Q9" s="394"/>
      <c r="R9" s="394"/>
      <c r="AA9" s="385"/>
    </row>
    <row r="10" spans="1:30" x14ac:dyDescent="0.3">
      <c r="A10" s="385"/>
      <c r="B10" s="386"/>
      <c r="C10" s="386"/>
      <c r="I10" s="389"/>
      <c r="L10" s="389"/>
      <c r="M10" s="389"/>
      <c r="O10" s="389"/>
      <c r="P10" s="389"/>
      <c r="Q10" s="389"/>
      <c r="R10" s="389"/>
      <c r="AA10" s="385"/>
    </row>
    <row r="11" spans="1:30" x14ac:dyDescent="0.3">
      <c r="A11" s="385"/>
      <c r="D11" s="395">
        <v>-1</v>
      </c>
      <c r="E11" s="389"/>
      <c r="F11" s="395">
        <v>-2</v>
      </c>
      <c r="G11" s="395">
        <v>-3</v>
      </c>
      <c r="H11" s="395">
        <v>-4</v>
      </c>
      <c r="I11" s="395"/>
      <c r="J11" s="395">
        <v>-5</v>
      </c>
      <c r="K11" s="395">
        <v>-6</v>
      </c>
      <c r="L11" s="395">
        <v>-7</v>
      </c>
      <c r="M11" s="395"/>
      <c r="N11" s="395">
        <v>-8</v>
      </c>
      <c r="O11" s="395">
        <v>-9</v>
      </c>
      <c r="P11" s="389"/>
      <c r="Q11" s="396"/>
      <c r="R11" s="396"/>
      <c r="S11" s="396"/>
      <c r="T11" s="396"/>
      <c r="U11" s="396"/>
      <c r="V11" s="396"/>
      <c r="W11" s="396"/>
      <c r="X11" s="396"/>
      <c r="AA11" s="385"/>
    </row>
    <row r="12" spans="1:30" x14ac:dyDescent="0.3">
      <c r="A12" s="385"/>
      <c r="E12" s="396"/>
      <c r="F12" s="397" t="s">
        <v>494</v>
      </c>
      <c r="G12" s="397"/>
      <c r="H12" s="397"/>
      <c r="I12" s="389"/>
      <c r="J12" s="397" t="s">
        <v>494</v>
      </c>
      <c r="K12" s="397"/>
      <c r="L12" s="397"/>
      <c r="M12" s="389"/>
      <c r="P12" s="389"/>
      <c r="Q12" s="396"/>
      <c r="R12" s="396"/>
      <c r="S12" s="396"/>
      <c r="T12" s="396"/>
      <c r="U12" s="396"/>
      <c r="W12" s="396"/>
      <c r="X12" s="396"/>
      <c r="Y12" s="390"/>
      <c r="AA12" s="385"/>
    </row>
    <row r="13" spans="1:30" x14ac:dyDescent="0.3">
      <c r="A13" s="385"/>
      <c r="E13" s="396"/>
      <c r="F13" s="398" t="s">
        <v>495</v>
      </c>
      <c r="G13" s="399"/>
      <c r="H13" s="399"/>
      <c r="I13" s="389"/>
      <c r="J13" s="398" t="s">
        <v>496</v>
      </c>
      <c r="K13" s="399"/>
      <c r="L13" s="399"/>
      <c r="M13" s="389"/>
      <c r="N13" s="400" t="s">
        <v>497</v>
      </c>
      <c r="O13" s="400"/>
      <c r="P13" s="389"/>
      <c r="Q13" s="396"/>
      <c r="R13" s="396"/>
      <c r="S13" s="396"/>
      <c r="T13" s="396"/>
      <c r="U13" s="396"/>
      <c r="W13" s="396"/>
      <c r="X13" s="396"/>
      <c r="Y13" s="390"/>
      <c r="AA13" s="385"/>
    </row>
    <row r="14" spans="1:30" x14ac:dyDescent="0.3">
      <c r="A14" s="385"/>
      <c r="D14" s="396"/>
      <c r="E14" s="396"/>
      <c r="F14" s="396" t="s">
        <v>434</v>
      </c>
      <c r="G14" s="396" t="s">
        <v>436</v>
      </c>
      <c r="I14" s="389"/>
      <c r="J14" s="396" t="s">
        <v>434</v>
      </c>
      <c r="K14" s="396" t="s">
        <v>436</v>
      </c>
      <c r="M14" s="389"/>
      <c r="N14" s="401"/>
      <c r="O14" s="396"/>
      <c r="P14" s="389"/>
      <c r="Q14" s="396"/>
      <c r="R14" s="396"/>
      <c r="S14" s="396"/>
      <c r="T14" s="396"/>
      <c r="U14" s="396"/>
      <c r="W14" s="396"/>
      <c r="X14" s="396"/>
      <c r="Y14" s="390"/>
      <c r="AA14" s="385"/>
    </row>
    <row r="15" spans="1:30" x14ac:dyDescent="0.3">
      <c r="A15" s="385"/>
      <c r="B15" s="402" t="s">
        <v>30</v>
      </c>
      <c r="D15" s="396" t="s">
        <v>128</v>
      </c>
      <c r="E15" s="396"/>
      <c r="F15" s="396" t="s">
        <v>340</v>
      </c>
      <c r="G15" s="396" t="s">
        <v>340</v>
      </c>
      <c r="H15" s="397" t="s">
        <v>121</v>
      </c>
      <c r="I15" s="389"/>
      <c r="J15" s="396" t="s">
        <v>340</v>
      </c>
      <c r="K15" s="396" t="s">
        <v>340</v>
      </c>
      <c r="L15" s="397" t="s">
        <v>121</v>
      </c>
      <c r="M15" s="389"/>
      <c r="N15" s="401" t="s">
        <v>498</v>
      </c>
      <c r="O15" s="396" t="s">
        <v>419</v>
      </c>
      <c r="P15" s="389"/>
      <c r="Q15" s="396"/>
      <c r="R15" s="396"/>
      <c r="S15" s="396"/>
      <c r="T15" s="396"/>
      <c r="U15" s="396"/>
      <c r="W15" s="396"/>
      <c r="X15" s="396"/>
      <c r="Y15" s="390"/>
      <c r="AA15" s="385"/>
    </row>
    <row r="16" spans="1:30" x14ac:dyDescent="0.3">
      <c r="A16" s="385"/>
      <c r="B16" s="403" t="s">
        <v>39</v>
      </c>
      <c r="C16" s="393"/>
      <c r="D16" s="403" t="s">
        <v>438</v>
      </c>
      <c r="E16" s="404"/>
      <c r="F16" s="405" t="s">
        <v>499</v>
      </c>
      <c r="G16" s="405" t="s">
        <v>500</v>
      </c>
      <c r="H16" s="405" t="s">
        <v>340</v>
      </c>
      <c r="I16" s="389"/>
      <c r="J16" s="405" t="s">
        <v>499</v>
      </c>
      <c r="K16" s="405" t="s">
        <v>500</v>
      </c>
      <c r="L16" s="405" t="s">
        <v>340</v>
      </c>
      <c r="M16" s="389"/>
      <c r="N16" s="406" t="s">
        <v>501</v>
      </c>
      <c r="O16" s="406" t="s">
        <v>502</v>
      </c>
      <c r="P16" s="389"/>
      <c r="Q16" s="396"/>
      <c r="R16" s="396"/>
      <c r="S16" s="396"/>
      <c r="T16" s="396"/>
      <c r="U16" s="402"/>
      <c r="V16" s="402"/>
      <c r="W16" s="402"/>
      <c r="X16" s="402"/>
      <c r="AA16" s="385"/>
    </row>
    <row r="17" spans="1:32" x14ac:dyDescent="0.3">
      <c r="A17" s="385"/>
      <c r="B17" s="402">
        <v>1</v>
      </c>
      <c r="D17" s="402"/>
      <c r="E17" s="407"/>
      <c r="F17" s="396"/>
      <c r="G17" s="396"/>
      <c r="H17" s="396"/>
      <c r="I17" s="408"/>
      <c r="J17" s="396"/>
      <c r="K17" s="396"/>
      <c r="L17" s="396"/>
      <c r="M17" s="408"/>
      <c r="N17" s="401"/>
      <c r="O17" s="401"/>
      <c r="P17" s="389"/>
      <c r="Q17" s="396"/>
      <c r="R17" s="396"/>
      <c r="S17" s="396"/>
      <c r="T17" s="396"/>
      <c r="U17" s="402"/>
      <c r="V17" s="402"/>
      <c r="W17" s="402"/>
      <c r="X17" s="402"/>
      <c r="AA17" s="385"/>
    </row>
    <row r="18" spans="1:32" x14ac:dyDescent="0.3">
      <c r="A18" s="409"/>
      <c r="B18" s="402">
        <f t="shared" ref="B18:B38" si="0">B17+1</f>
        <v>2</v>
      </c>
      <c r="D18" s="386" t="s">
        <v>135</v>
      </c>
      <c r="E18" s="402"/>
      <c r="F18" s="410">
        <f>'MFR E-13c'!H50/1000</f>
        <v>2224104.1649887133</v>
      </c>
      <c r="G18" s="410">
        <f>'MFR E-12'!J21</f>
        <v>18100.991867290824</v>
      </c>
      <c r="H18" s="411">
        <f t="shared" ref="H18:H31" si="1">F18+G18</f>
        <v>2242205.1568560041</v>
      </c>
      <c r="I18" s="410"/>
      <c r="J18" s="410">
        <f>'MFR E-13c'!N50/1000</f>
        <v>2281113.5868887138</v>
      </c>
      <c r="K18" s="410">
        <f>'MFR E-12'!I21</f>
        <v>18689.843261366852</v>
      </c>
      <c r="L18" s="411">
        <f t="shared" ref="L18:L31" si="2">J18+K18</f>
        <v>2299803.4301500805</v>
      </c>
      <c r="M18" s="411"/>
      <c r="N18" s="410">
        <f t="shared" ref="N18:N27" si="3">L18-H18</f>
        <v>57598.273294076324</v>
      </c>
      <c r="O18" s="412">
        <f t="shared" ref="O18:O32" si="4">N18/H18</f>
        <v>2.5688226216926555E-2</v>
      </c>
      <c r="P18" s="389"/>
      <c r="S18" s="396"/>
      <c r="T18" s="396"/>
      <c r="U18" s="413"/>
      <c r="X18" s="414"/>
      <c r="Y18" s="415"/>
      <c r="Z18" s="416"/>
      <c r="AA18" s="409"/>
      <c r="AC18" s="1322"/>
      <c r="AD18" s="1269"/>
      <c r="AE18" s="1269"/>
      <c r="AF18" s="1269"/>
    </row>
    <row r="19" spans="1:32" x14ac:dyDescent="0.3">
      <c r="A19" s="409"/>
      <c r="B19" s="402">
        <f t="shared" si="0"/>
        <v>3</v>
      </c>
      <c r="D19" s="387" t="s">
        <v>136</v>
      </c>
      <c r="E19" s="396"/>
      <c r="F19" s="84">
        <f>'MFR E-13c'!H109/1000</f>
        <v>199908.08710515001</v>
      </c>
      <c r="G19" s="84">
        <f>'MFR E-12'!J22</f>
        <v>84.206792253085581</v>
      </c>
      <c r="H19" s="417">
        <f t="shared" si="1"/>
        <v>199992.29389740311</v>
      </c>
      <c r="I19" s="84"/>
      <c r="J19" s="84">
        <f>'MFR E-13c'!N109/1000</f>
        <v>205818.95349515</v>
      </c>
      <c r="K19" s="410">
        <f>'MFR E-12'!I22</f>
        <v>86.844909002288503</v>
      </c>
      <c r="L19" s="417">
        <f t="shared" si="2"/>
        <v>205905.79840415227</v>
      </c>
      <c r="M19" s="417"/>
      <c r="N19" s="417">
        <f t="shared" si="3"/>
        <v>5913.5045067491592</v>
      </c>
      <c r="O19" s="412">
        <f t="shared" ref="O19:O27" si="5">N19/H19</f>
        <v>2.9568661829454349E-2</v>
      </c>
      <c r="P19" s="389"/>
      <c r="S19" s="396"/>
      <c r="T19" s="396"/>
      <c r="U19" s="413"/>
      <c r="X19" s="414"/>
      <c r="Y19" s="415"/>
      <c r="Z19" s="416"/>
      <c r="AA19" s="409"/>
      <c r="AC19" s="1322"/>
      <c r="AD19" s="1269"/>
      <c r="AE19" s="1269"/>
      <c r="AF19" s="1269"/>
    </row>
    <row r="20" spans="1:32" x14ac:dyDescent="0.3">
      <c r="A20" s="409"/>
      <c r="B20" s="402">
        <f t="shared" si="0"/>
        <v>4</v>
      </c>
      <c r="D20" s="387" t="s">
        <v>137</v>
      </c>
      <c r="E20" s="396"/>
      <c r="F20" s="84">
        <f>'MFR E-13c'!H144/1000</f>
        <v>11984.55449595</v>
      </c>
      <c r="G20" s="84">
        <f>'MFR E-12'!J23</f>
        <v>7.2280144767502117</v>
      </c>
      <c r="H20" s="417">
        <f t="shared" si="1"/>
        <v>11991.78251042675</v>
      </c>
      <c r="I20" s="84"/>
      <c r="J20" s="84">
        <f>'MFR E-13c'!N144/1000</f>
        <v>12470.06270595</v>
      </c>
      <c r="K20" s="410">
        <f>'MFR E-12'!I23</f>
        <v>7.5258775333689067</v>
      </c>
      <c r="L20" s="417">
        <f t="shared" si="2"/>
        <v>12477.58858348337</v>
      </c>
      <c r="M20" s="417"/>
      <c r="N20" s="417">
        <f t="shared" si="3"/>
        <v>485.80607305661943</v>
      </c>
      <c r="O20" s="412">
        <f t="shared" si="5"/>
        <v>4.0511581379516791E-2</v>
      </c>
      <c r="P20" s="389"/>
      <c r="S20" s="396"/>
      <c r="T20" s="396"/>
      <c r="U20" s="413"/>
      <c r="X20" s="414"/>
      <c r="Y20" s="415"/>
      <c r="Z20" s="416"/>
      <c r="AA20" s="409"/>
      <c r="AC20" s="1322"/>
      <c r="AD20" s="1269"/>
      <c r="AE20" s="1269"/>
      <c r="AF20" s="1269"/>
    </row>
    <row r="21" spans="1:32" x14ac:dyDescent="0.3">
      <c r="A21" s="409"/>
      <c r="B21" s="402">
        <f t="shared" si="0"/>
        <v>5</v>
      </c>
      <c r="D21" s="387" t="s">
        <v>122</v>
      </c>
      <c r="E21" s="396"/>
      <c r="F21" s="84">
        <f>'MFR E-13c'!H247/1000</f>
        <v>848686.34574290551</v>
      </c>
      <c r="G21" s="84">
        <f>'MFR E-12'!J24</f>
        <v>929.54769686717418</v>
      </c>
      <c r="H21" s="417">
        <f t="shared" si="1"/>
        <v>849615.89343977266</v>
      </c>
      <c r="I21" s="84"/>
      <c r="J21" s="84">
        <f>'MFR E-13c'!N247/1000</f>
        <v>872213.15681290557</v>
      </c>
      <c r="K21" s="410">
        <f>'MFR E-12'!I24</f>
        <v>956.41504836583135</v>
      </c>
      <c r="L21" s="417">
        <f t="shared" si="2"/>
        <v>873169.5718612714</v>
      </c>
      <c r="M21" s="417"/>
      <c r="N21" s="417">
        <f t="shared" si="3"/>
        <v>23553.678421498742</v>
      </c>
      <c r="O21" s="412">
        <f t="shared" si="5"/>
        <v>2.7722737537475704E-2</v>
      </c>
      <c r="P21" s="389"/>
      <c r="S21" s="396"/>
      <c r="T21" s="396"/>
      <c r="U21" s="418"/>
      <c r="W21" s="419"/>
      <c r="X21" s="414"/>
      <c r="Y21" s="415"/>
      <c r="Z21" s="416"/>
      <c r="AA21" s="409"/>
      <c r="AC21" s="1322"/>
      <c r="AD21" s="1269"/>
      <c r="AE21" s="1269"/>
      <c r="AF21" s="1269"/>
    </row>
    <row r="22" spans="1:32" x14ac:dyDescent="0.3">
      <c r="A22" s="409"/>
      <c r="B22" s="402">
        <f t="shared" si="0"/>
        <v>6</v>
      </c>
      <c r="D22" s="387" t="s">
        <v>445</v>
      </c>
      <c r="E22" s="396"/>
      <c r="F22" s="84">
        <f>'MFR E-13c'!H347/1000</f>
        <v>3031.0179181999997</v>
      </c>
      <c r="G22" s="84">
        <f>'MFR E-12'!J25</f>
        <v>10.77142598080618</v>
      </c>
      <c r="H22" s="417">
        <f t="shared" si="1"/>
        <v>3041.789344180806</v>
      </c>
      <c r="I22" s="84"/>
      <c r="J22" s="84">
        <f>'MFR E-13c'!N347/1000</f>
        <v>3146.8839381999996</v>
      </c>
      <c r="K22" s="410">
        <f>'MFR E-12'!I25</f>
        <v>11.242811458999203</v>
      </c>
      <c r="L22" s="417">
        <f t="shared" si="2"/>
        <v>3158.126749658999</v>
      </c>
      <c r="M22" s="417"/>
      <c r="N22" s="417">
        <f t="shared" si="3"/>
        <v>116.33740547819298</v>
      </c>
      <c r="O22" s="412">
        <f t="shared" si="5"/>
        <v>3.8246371564406995E-2</v>
      </c>
      <c r="P22" s="389"/>
      <c r="S22" s="396"/>
      <c r="T22" s="396"/>
      <c r="U22" s="418"/>
      <c r="W22" s="419"/>
      <c r="X22" s="414"/>
      <c r="Y22" s="415"/>
      <c r="Z22" s="416"/>
      <c r="AA22" s="409"/>
      <c r="AC22" s="1322"/>
      <c r="AD22" s="1269"/>
      <c r="AE22" s="1269"/>
      <c r="AF22" s="1269"/>
    </row>
    <row r="23" spans="1:32" x14ac:dyDescent="0.3">
      <c r="A23" s="409"/>
      <c r="B23" s="402">
        <f t="shared" si="0"/>
        <v>7</v>
      </c>
      <c r="D23" s="387" t="s">
        <v>446</v>
      </c>
      <c r="E23" s="396"/>
      <c r="F23" s="84">
        <f>'MFR E-13c'!H446/1000</f>
        <v>96639.584599549999</v>
      </c>
      <c r="G23" s="84">
        <f>'MFR E-12'!J26</f>
        <v>177.05281252348851</v>
      </c>
      <c r="H23" s="417">
        <f t="shared" si="1"/>
        <v>96816.637412073484</v>
      </c>
      <c r="I23" s="84"/>
      <c r="J23" s="84">
        <f>'MFR E-13c'!N446/1000</f>
        <v>100558.59872954999</v>
      </c>
      <c r="K23" s="410">
        <f>'MFR E-12'!I26</f>
        <v>184.62992084495451</v>
      </c>
      <c r="L23" s="417">
        <f t="shared" si="2"/>
        <v>100743.22865039494</v>
      </c>
      <c r="M23" s="417"/>
      <c r="N23" s="417">
        <f t="shared" si="3"/>
        <v>3926.59123832146</v>
      </c>
      <c r="O23" s="412">
        <f t="shared" si="5"/>
        <v>4.0556988378030526E-2</v>
      </c>
      <c r="P23" s="389"/>
      <c r="S23" s="396"/>
      <c r="T23" s="396"/>
      <c r="U23" s="418"/>
      <c r="X23" s="414"/>
      <c r="Y23" s="415"/>
      <c r="Z23" s="416"/>
      <c r="AA23" s="409"/>
      <c r="AC23" s="1322"/>
      <c r="AD23" s="1269"/>
      <c r="AE23" s="1269"/>
      <c r="AF23" s="1269"/>
    </row>
    <row r="24" spans="1:32" x14ac:dyDescent="0.3">
      <c r="A24" s="409"/>
      <c r="B24" s="402">
        <f t="shared" si="0"/>
        <v>8</v>
      </c>
      <c r="D24" s="387" t="s">
        <v>138</v>
      </c>
      <c r="E24" s="396"/>
      <c r="F24" s="84">
        <f>'MFR E-13c'!H533/1000</f>
        <v>4774.2825893279996</v>
      </c>
      <c r="G24" s="84">
        <f>'MFR E-12'!J27</f>
        <v>-44.972767895684136</v>
      </c>
      <c r="H24" s="417">
        <f t="shared" si="1"/>
        <v>4729.3098214323154</v>
      </c>
      <c r="I24" s="84"/>
      <c r="J24" s="84">
        <f>'MFR E-13c'!N533/1000</f>
        <v>4906.4818830000004</v>
      </c>
      <c r="K24" s="410">
        <f>'MFR E-12'!I27</f>
        <v>-46.077835170897863</v>
      </c>
      <c r="L24" s="417">
        <f t="shared" si="2"/>
        <v>4860.4040478291026</v>
      </c>
      <c r="M24" s="417"/>
      <c r="N24" s="417">
        <f t="shared" si="3"/>
        <v>131.09422639678723</v>
      </c>
      <c r="O24" s="412">
        <f t="shared" si="5"/>
        <v>2.7719525966070909E-2</v>
      </c>
      <c r="P24" s="389"/>
      <c r="S24" s="396"/>
      <c r="T24" s="396"/>
      <c r="X24" s="414"/>
      <c r="Y24" s="415"/>
      <c r="Z24" s="416"/>
      <c r="AA24" s="409"/>
      <c r="AC24" s="1322"/>
      <c r="AD24" s="1269"/>
      <c r="AE24" s="1269"/>
      <c r="AF24" s="1269"/>
    </row>
    <row r="25" spans="1:32" x14ac:dyDescent="0.3">
      <c r="A25" s="409"/>
      <c r="B25" s="402">
        <f t="shared" si="0"/>
        <v>9</v>
      </c>
      <c r="D25" s="387" t="s">
        <v>140</v>
      </c>
      <c r="E25" s="396"/>
      <c r="F25" s="84">
        <f>'MFR E-13c'!H584/1000</f>
        <v>4031.3936426999999</v>
      </c>
      <c r="G25" s="84">
        <f>'MFR E-12'!J28</f>
        <v>2.038597756524041E-7</v>
      </c>
      <c r="H25" s="417">
        <f t="shared" si="1"/>
        <v>4031.3936429038595</v>
      </c>
      <c r="I25" s="84"/>
      <c r="J25" s="84">
        <f>'MFR E-13c'!N584/1000</f>
        <v>4194.7591600000005</v>
      </c>
      <c r="K25" s="410">
        <f>'MFR E-12'!I28</f>
        <v>2.1194115905132093E-7</v>
      </c>
      <c r="L25" s="417">
        <f t="shared" si="2"/>
        <v>4194.7591602119419</v>
      </c>
      <c r="M25" s="417"/>
      <c r="N25" s="417">
        <f t="shared" si="3"/>
        <v>163.36551730808242</v>
      </c>
      <c r="O25" s="412">
        <f t="shared" si="5"/>
        <v>4.0523335545672078E-2</v>
      </c>
      <c r="P25" s="389"/>
      <c r="S25" s="396"/>
      <c r="T25" s="396"/>
      <c r="X25" s="414"/>
      <c r="Y25" s="415"/>
      <c r="Z25" s="416"/>
      <c r="AA25" s="409"/>
      <c r="AC25" s="1322"/>
      <c r="AD25" s="1269"/>
      <c r="AE25" s="1269"/>
      <c r="AF25" s="1269"/>
    </row>
    <row r="26" spans="1:32" x14ac:dyDescent="0.3">
      <c r="A26" s="409"/>
      <c r="B26" s="402">
        <f t="shared" si="0"/>
        <v>10</v>
      </c>
      <c r="D26" s="387" t="s">
        <v>139</v>
      </c>
      <c r="E26" s="396"/>
      <c r="F26" s="84">
        <f>'MFR E-13c'!H635/1000</f>
        <v>7744.9003948520003</v>
      </c>
      <c r="G26" s="84">
        <f>'MFR E-12'!J29</f>
        <v>-5.0817005125759254</v>
      </c>
      <c r="H26" s="417">
        <f t="shared" si="1"/>
        <v>7739.8186943394248</v>
      </c>
      <c r="I26" s="84"/>
      <c r="J26" s="84">
        <f>'MFR E-13c'!N635/1000</f>
        <v>8058.623419999999</v>
      </c>
      <c r="K26" s="410">
        <f>'MFR E-12'!I29</f>
        <v>-5.2852543323038077</v>
      </c>
      <c r="L26" s="417">
        <f t="shared" si="2"/>
        <v>8053.3381656676947</v>
      </c>
      <c r="M26" s="417"/>
      <c r="N26" s="417">
        <f t="shared" si="3"/>
        <v>313.5194713282699</v>
      </c>
      <c r="O26" s="412">
        <f t="shared" si="5"/>
        <v>4.0507340508837079E-2</v>
      </c>
      <c r="P26" s="389"/>
      <c r="S26" s="396"/>
      <c r="T26" s="396"/>
      <c r="X26" s="414"/>
      <c r="Y26" s="415"/>
      <c r="Z26" s="416"/>
      <c r="AA26" s="409"/>
      <c r="AC26" s="1322"/>
      <c r="AD26" s="1269"/>
      <c r="AE26" s="1269"/>
      <c r="AF26" s="1269"/>
    </row>
    <row r="27" spans="1:32" x14ac:dyDescent="0.3">
      <c r="A27" s="409"/>
      <c r="B27" s="402">
        <f t="shared" si="0"/>
        <v>11</v>
      </c>
      <c r="D27" s="387" t="s">
        <v>125</v>
      </c>
      <c r="E27" s="396"/>
      <c r="F27" s="423">
        <f>'MFR E-13c'!H480/1000</f>
        <v>14921.831197050002</v>
      </c>
      <c r="G27" s="423">
        <f>'MFR E-12'!J30</f>
        <v>8.9637702228851648</v>
      </c>
      <c r="H27" s="1103">
        <f t="shared" si="1"/>
        <v>14930.794967272886</v>
      </c>
      <c r="I27" s="417"/>
      <c r="J27" s="423">
        <f>'MFR E-13c'!N480/1000</f>
        <v>15526.32126705</v>
      </c>
      <c r="K27" s="1104">
        <f>'MFR E-12'!I30</f>
        <v>9.332716503464507</v>
      </c>
      <c r="L27" s="1103">
        <f t="shared" si="2"/>
        <v>15535.653983553464</v>
      </c>
      <c r="M27" s="417"/>
      <c r="N27" s="1103">
        <f t="shared" si="3"/>
        <v>604.85901628057763</v>
      </c>
      <c r="O27" s="1105">
        <f t="shared" si="5"/>
        <v>4.0510838010057768E-2</v>
      </c>
      <c r="P27" s="389"/>
      <c r="S27" s="396"/>
      <c r="T27" s="396"/>
      <c r="U27" s="413"/>
      <c r="X27" s="414"/>
      <c r="Y27" s="415"/>
      <c r="Z27" s="416"/>
      <c r="AA27" s="409"/>
      <c r="AC27" s="1322"/>
      <c r="AD27" s="1269"/>
      <c r="AE27" s="1269"/>
      <c r="AF27" s="1269"/>
    </row>
    <row r="28" spans="1:32" x14ac:dyDescent="0.3">
      <c r="A28" s="1106"/>
      <c r="B28" s="402">
        <f t="shared" si="0"/>
        <v>12</v>
      </c>
      <c r="D28" s="387"/>
      <c r="E28" s="396"/>
      <c r="F28" s="417"/>
      <c r="G28" s="417"/>
      <c r="H28" s="417"/>
      <c r="I28" s="417"/>
      <c r="J28" s="417"/>
      <c r="K28" s="411"/>
      <c r="L28" s="417"/>
      <c r="M28" s="417"/>
      <c r="N28" s="417"/>
      <c r="O28" s="412"/>
      <c r="P28" s="389"/>
      <c r="S28" s="396"/>
      <c r="T28" s="396"/>
      <c r="U28" s="413"/>
      <c r="X28" s="414"/>
      <c r="Y28" s="417"/>
      <c r="Z28" s="416"/>
      <c r="AA28" s="1106"/>
    </row>
    <row r="29" spans="1:32" ht="15" thickBot="1" x14ac:dyDescent="0.35">
      <c r="A29" s="409"/>
      <c r="B29" s="402">
        <f t="shared" si="0"/>
        <v>13</v>
      </c>
      <c r="D29" s="389" t="s">
        <v>503</v>
      </c>
      <c r="E29" s="389"/>
      <c r="F29" s="426">
        <f>SUM(F18:F27)</f>
        <v>3415826.1626743986</v>
      </c>
      <c r="G29" s="426">
        <f>SUM(G18:G27)</f>
        <v>19268.707911410616</v>
      </c>
      <c r="H29" s="426">
        <f>SUM(H18:H27)</f>
        <v>3435094.8705858095</v>
      </c>
      <c r="I29" s="416"/>
      <c r="J29" s="426">
        <f>SUM(J18:J27)</f>
        <v>3508007.4283005195</v>
      </c>
      <c r="K29" s="426">
        <f>SUM(K18:K27)</f>
        <v>19894.471455784496</v>
      </c>
      <c r="L29" s="426">
        <f>SUM(L18:L27)</f>
        <v>3527901.8997563035</v>
      </c>
      <c r="M29" s="420"/>
      <c r="N29" s="426">
        <f>SUM(N18:N27)</f>
        <v>92807.029170494206</v>
      </c>
      <c r="O29" s="427">
        <f>N29/H29</f>
        <v>2.7017311796884144E-2</v>
      </c>
      <c r="P29" s="389"/>
      <c r="S29" s="396"/>
      <c r="T29" s="396"/>
      <c r="U29" s="413"/>
      <c r="X29" s="414"/>
      <c r="Y29" s="415"/>
      <c r="Z29" s="416"/>
      <c r="AA29" s="409"/>
    </row>
    <row r="30" spans="1:32" ht="15" thickTop="1" x14ac:dyDescent="0.3">
      <c r="A30" s="409"/>
      <c r="B30" s="402">
        <f t="shared" si="0"/>
        <v>14</v>
      </c>
      <c r="D30" s="387"/>
      <c r="E30" s="396"/>
      <c r="F30" s="415"/>
      <c r="G30" s="84"/>
      <c r="H30" s="420"/>
      <c r="I30" s="415"/>
      <c r="J30" s="415"/>
      <c r="K30" s="410"/>
      <c r="L30" s="420"/>
      <c r="M30" s="420"/>
      <c r="N30" s="415"/>
      <c r="O30" s="421"/>
      <c r="P30" s="389"/>
      <c r="S30" s="396"/>
      <c r="T30" s="396"/>
      <c r="U30" s="413"/>
      <c r="X30" s="414"/>
      <c r="Y30" s="415"/>
      <c r="Z30" s="416"/>
      <c r="AA30" s="409"/>
    </row>
    <row r="31" spans="1:32" x14ac:dyDescent="0.3">
      <c r="A31" s="409"/>
      <c r="B31" s="402">
        <f t="shared" si="0"/>
        <v>15</v>
      </c>
      <c r="D31" s="387" t="s">
        <v>222</v>
      </c>
      <c r="E31" s="396"/>
      <c r="F31" s="4">
        <f>'MFR E-5 Yr4'!Q33</f>
        <v>108687</v>
      </c>
      <c r="G31" s="415">
        <v>0</v>
      </c>
      <c r="H31" s="420">
        <f t="shared" si="1"/>
        <v>108687</v>
      </c>
      <c r="I31" s="415"/>
      <c r="J31" s="4">
        <f>'MFR E-6b'!N26</f>
        <v>113089.39845368821</v>
      </c>
      <c r="K31" s="410">
        <v>0</v>
      </c>
      <c r="L31" s="420">
        <f t="shared" si="2"/>
        <v>113089.39845368821</v>
      </c>
      <c r="M31" s="420"/>
      <c r="N31" s="415">
        <f t="shared" ref="N31" si="6">L31-H31</f>
        <v>4402.3984536882053</v>
      </c>
      <c r="O31" s="421">
        <f t="shared" si="4"/>
        <v>4.0505289995015091E-2</v>
      </c>
      <c r="P31" s="389"/>
      <c r="S31" s="396"/>
      <c r="T31" s="396"/>
      <c r="U31" s="413"/>
      <c r="X31" s="415"/>
      <c r="Y31" s="415"/>
      <c r="Z31" s="416"/>
      <c r="AA31" s="409"/>
    </row>
    <row r="32" spans="1:32" x14ac:dyDescent="0.3">
      <c r="A32" s="409"/>
      <c r="B32" s="402">
        <f t="shared" si="0"/>
        <v>16</v>
      </c>
      <c r="D32" s="386" t="s">
        <v>143</v>
      </c>
      <c r="F32" s="452">
        <f>'MFR E-5 Yr4'!R32</f>
        <v>4574</v>
      </c>
      <c r="G32" s="422">
        <v>0</v>
      </c>
      <c r="H32" s="423">
        <f t="shared" ref="H32" si="7">F32+G32</f>
        <v>4574</v>
      </c>
      <c r="J32" s="452">
        <f>'MFR E-6b'!O21</f>
        <v>5042.7948235122058</v>
      </c>
      <c r="K32" s="424">
        <v>0</v>
      </c>
      <c r="L32" s="423">
        <f t="shared" ref="L32" si="8">J32+K32</f>
        <v>5042.7948235122058</v>
      </c>
      <c r="N32" s="423">
        <f t="shared" ref="N32" si="9">L32-H32</f>
        <v>468.79482351220577</v>
      </c>
      <c r="O32" s="425">
        <f t="shared" si="4"/>
        <v>0.10249121633410707</v>
      </c>
      <c r="P32" s="389"/>
      <c r="S32" s="396"/>
      <c r="T32" s="396"/>
      <c r="U32" s="413"/>
      <c r="X32" s="415"/>
      <c r="Y32" s="415"/>
      <c r="Z32" s="416"/>
      <c r="AA32" s="409"/>
    </row>
    <row r="33" spans="1:27" x14ac:dyDescent="0.3">
      <c r="A33" s="385"/>
      <c r="B33" s="402">
        <f t="shared" si="0"/>
        <v>17</v>
      </c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416"/>
      <c r="O33" s="389"/>
      <c r="P33" s="389"/>
      <c r="Q33" s="389"/>
      <c r="R33" s="389"/>
      <c r="S33" s="396"/>
      <c r="T33" s="396"/>
      <c r="AA33" s="385"/>
    </row>
    <row r="34" spans="1:27" ht="15" thickBot="1" x14ac:dyDescent="0.35">
      <c r="A34" s="385"/>
      <c r="B34" s="402">
        <f t="shared" si="0"/>
        <v>18</v>
      </c>
      <c r="D34" s="389" t="s">
        <v>374</v>
      </c>
      <c r="E34" s="389"/>
      <c r="F34" s="426">
        <f>SUM(F29:F32)</f>
        <v>3529087.1626743986</v>
      </c>
      <c r="G34" s="426">
        <f>SUM(G29:G32)</f>
        <v>19268.707911410616</v>
      </c>
      <c r="H34" s="426">
        <f>SUM(H29:H32)</f>
        <v>3548355.8705858095</v>
      </c>
      <c r="I34" s="416"/>
      <c r="J34" s="426">
        <f>SUM(J29:J32)</f>
        <v>3626139.6215777202</v>
      </c>
      <c r="K34" s="426">
        <f>SUM(K29:K32)</f>
        <v>19894.471455784496</v>
      </c>
      <c r="L34" s="426">
        <f>SUM(L29:L32)</f>
        <v>3646034.0930335042</v>
      </c>
      <c r="M34" s="420"/>
      <c r="N34" s="426">
        <f>SUM(N29:N32)</f>
        <v>97678.222447694614</v>
      </c>
      <c r="O34" s="427">
        <f>N34/H34</f>
        <v>2.7527741300527618E-2</v>
      </c>
      <c r="P34" s="389"/>
      <c r="Q34" s="389"/>
      <c r="R34" s="389"/>
      <c r="S34" s="396"/>
      <c r="T34" s="396"/>
      <c r="AA34" s="385"/>
    </row>
    <row r="35" spans="1:27" ht="15" thickTop="1" x14ac:dyDescent="0.3">
      <c r="A35" s="385"/>
      <c r="B35" s="402">
        <f t="shared" si="0"/>
        <v>19</v>
      </c>
      <c r="D35" s="389"/>
      <c r="E35" s="389"/>
      <c r="F35" s="389"/>
      <c r="G35" s="389"/>
      <c r="H35" s="416" t="s">
        <v>416</v>
      </c>
      <c r="I35" s="389"/>
      <c r="J35" s="428"/>
      <c r="K35" s="389"/>
      <c r="L35" s="389"/>
      <c r="M35" s="389"/>
      <c r="N35" s="389"/>
      <c r="O35" s="389"/>
      <c r="P35" s="389"/>
      <c r="Q35" s="389"/>
      <c r="R35" s="389"/>
      <c r="S35" s="396"/>
      <c r="T35" s="396"/>
      <c r="AA35" s="385"/>
    </row>
    <row r="36" spans="1:27" x14ac:dyDescent="0.3">
      <c r="A36" s="385"/>
      <c r="B36" s="402">
        <f t="shared" si="0"/>
        <v>20</v>
      </c>
      <c r="D36" s="389"/>
      <c r="E36" s="389"/>
      <c r="F36" s="389"/>
      <c r="G36" s="389"/>
      <c r="H36" s="389"/>
      <c r="I36" s="389"/>
      <c r="J36" s="416"/>
      <c r="K36" s="416"/>
      <c r="L36" s="389"/>
      <c r="M36" s="389"/>
      <c r="N36" s="389"/>
      <c r="O36" s="389"/>
      <c r="P36" s="389"/>
      <c r="Q36" s="389"/>
      <c r="R36" s="389"/>
      <c r="S36" s="396"/>
      <c r="T36" s="396"/>
      <c r="AA36" s="385"/>
    </row>
    <row r="37" spans="1:27" x14ac:dyDescent="0.3">
      <c r="A37" s="385"/>
      <c r="B37" s="402">
        <f t="shared" si="0"/>
        <v>21</v>
      </c>
      <c r="N37" s="429"/>
      <c r="O37" s="430"/>
      <c r="P37" s="389"/>
      <c r="Q37" s="389"/>
      <c r="R37" s="389"/>
      <c r="S37" s="389"/>
      <c r="T37" s="389"/>
      <c r="U37" s="389"/>
      <c r="V37" s="389"/>
      <c r="W37" s="389"/>
      <c r="X37" s="389"/>
      <c r="AA37" s="385"/>
    </row>
    <row r="38" spans="1:27" x14ac:dyDescent="0.3">
      <c r="A38" s="385"/>
      <c r="B38" s="402">
        <f t="shared" si="0"/>
        <v>22</v>
      </c>
      <c r="C38" s="389"/>
      <c r="D38" s="429"/>
      <c r="E38" s="429"/>
      <c r="F38" s="431"/>
      <c r="G38" s="431"/>
      <c r="H38" s="429"/>
      <c r="I38" s="429"/>
      <c r="J38" s="431"/>
      <c r="K38" s="431"/>
      <c r="L38" s="432"/>
      <c r="M38" s="432"/>
      <c r="N38" s="429"/>
      <c r="O38" s="430"/>
      <c r="P38" s="389"/>
      <c r="Q38" s="389"/>
      <c r="R38" s="389"/>
      <c r="S38" s="389"/>
      <c r="T38" s="389"/>
      <c r="U38" s="389"/>
      <c r="V38" s="389"/>
      <c r="W38" s="389"/>
      <c r="X38" s="389"/>
      <c r="AA38" s="385"/>
    </row>
    <row r="39" spans="1:27" x14ac:dyDescent="0.3">
      <c r="A39" s="385"/>
      <c r="B39" s="433" t="s">
        <v>504</v>
      </c>
      <c r="C39" s="433"/>
      <c r="D39" s="434"/>
      <c r="E39" s="434"/>
      <c r="F39" s="435"/>
      <c r="G39" s="435"/>
      <c r="H39" s="435"/>
      <c r="I39" s="434"/>
      <c r="J39" s="436"/>
      <c r="K39" s="436"/>
      <c r="L39" s="437"/>
      <c r="M39" s="437"/>
      <c r="N39" s="433" t="s">
        <v>99</v>
      </c>
      <c r="O39" s="438"/>
      <c r="P39" s="435"/>
      <c r="Q39" s="433"/>
      <c r="R39" s="435"/>
      <c r="AA39" s="385"/>
    </row>
    <row r="40" spans="1:27" x14ac:dyDescent="0.3">
      <c r="D40" s="439"/>
      <c r="E40" s="439"/>
      <c r="F40" s="72"/>
      <c r="G40" s="72"/>
      <c r="H40" s="439"/>
      <c r="I40" s="440"/>
      <c r="J40" s="72"/>
      <c r="K40" s="72"/>
      <c r="L40" s="441"/>
      <c r="M40" s="441"/>
      <c r="N40" s="440"/>
      <c r="O40" s="442"/>
    </row>
  </sheetData>
  <printOptions horizontalCentered="1"/>
  <pageMargins left="0.5" right="0.5" top="0.75" bottom="0.5" header="0.5" footer="0.5"/>
  <pageSetup scale="77" fitToHeight="0" orientation="landscape" r:id="rId1"/>
  <headerFooter alignWithMargins="0">
    <oddHeader xml:space="preserve">&amp;RDEF’s Response to OPC POD 1 (1-26)
Q7
Page &amp;P of &amp;N
</oddHeader>
    <oddFooter>&amp;R20240025-OPCPOD1-00004300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69832-D296-4C90-8189-06C6DCC68482}">
  <sheetPr>
    <tabColor rgb="FFFFFF00"/>
  </sheetPr>
  <dimension ref="A1:CP755"/>
  <sheetViews>
    <sheetView workbookViewId="0">
      <selection activeCell="Q19" sqref="Q19"/>
    </sheetView>
  </sheetViews>
  <sheetFormatPr defaultRowHeight="10.199999999999999" x14ac:dyDescent="0.2"/>
  <cols>
    <col min="1" max="1" width="4.6640625" style="101" customWidth="1"/>
    <col min="2" max="2" width="7.33203125" style="101" customWidth="1"/>
    <col min="3" max="3" width="21.6640625" style="101" customWidth="1"/>
    <col min="4" max="4" width="12.5546875" style="101" bestFit="1" customWidth="1"/>
    <col min="5" max="5" width="7.109375" style="101" customWidth="1"/>
    <col min="6" max="6" width="9.6640625" style="101" customWidth="1"/>
    <col min="7" max="7" width="1.5546875" style="101" customWidth="1"/>
    <col min="8" max="8" width="13" style="101" customWidth="1"/>
    <col min="9" max="9" width="2.109375" style="101" customWidth="1"/>
    <col min="10" max="10" width="11.5546875" style="101" customWidth="1"/>
    <col min="11" max="11" width="6.44140625" style="101" bestFit="1" customWidth="1"/>
    <col min="12" max="12" width="9.6640625" style="101" customWidth="1"/>
    <col min="13" max="13" width="2.88671875" style="101" customWidth="1"/>
    <col min="14" max="14" width="13" style="101" customWidth="1"/>
    <col min="15" max="15" width="1.5546875" style="101" customWidth="1"/>
    <col min="16" max="16" width="13.109375" style="101" customWidth="1"/>
    <col min="17" max="17" width="14.33203125" style="101" customWidth="1"/>
    <col min="18" max="18" width="2.6640625" style="101" customWidth="1"/>
    <col min="19" max="20" width="13" style="101" hidden="1" customWidth="1"/>
    <col min="21" max="21" width="5.6640625" style="101" hidden="1" customWidth="1"/>
    <col min="22" max="23" width="7.5546875" style="101" hidden="1" customWidth="1"/>
    <col min="24" max="24" width="2.6640625" style="101" hidden="1" customWidth="1"/>
    <col min="25" max="25" width="7.88671875" style="107" hidden="1" customWidth="1"/>
    <col min="26" max="26" width="9" style="107" hidden="1" customWidth="1"/>
    <col min="27" max="27" width="2.6640625" style="101" hidden="1" customWidth="1"/>
    <col min="28" max="32" width="10.109375" style="101" hidden="1" customWidth="1"/>
    <col min="33" max="33" width="2.6640625" style="101" hidden="1" customWidth="1"/>
    <col min="34" max="34" width="10.44140625" style="101" hidden="1" customWidth="1"/>
    <col min="35" max="45" width="10.109375" style="101" hidden="1" customWidth="1"/>
    <col min="46" max="46" width="10.44140625" style="101" hidden="1" customWidth="1"/>
    <col min="47" max="57" width="10.109375" style="101" hidden="1" customWidth="1"/>
    <col min="58" max="93" width="0" style="101" hidden="1" customWidth="1"/>
    <col min="94" max="276" width="9.109375" style="101"/>
    <col min="277" max="277" width="9.6640625" style="101" customWidth="1"/>
    <col min="278" max="278" width="12.44140625" style="101" customWidth="1"/>
    <col min="279" max="279" width="10.5546875" style="101" customWidth="1"/>
    <col min="280" max="280" width="6.44140625" style="101" bestFit="1" customWidth="1"/>
    <col min="281" max="281" width="8.88671875" style="101" customWidth="1"/>
    <col min="282" max="282" width="1.5546875" style="101" customWidth="1"/>
    <col min="283" max="283" width="10.5546875" style="101" customWidth="1"/>
    <col min="284" max="284" width="2.6640625" style="101" customWidth="1"/>
    <col min="285" max="285" width="9.6640625" style="101" customWidth="1"/>
    <col min="286" max="286" width="14.6640625" style="101" customWidth="1"/>
    <col min="287" max="287" width="10.5546875" style="101" customWidth="1"/>
    <col min="288" max="288" width="6.44140625" style="101" customWidth="1"/>
    <col min="289" max="289" width="8.88671875" style="101" customWidth="1"/>
    <col min="290" max="290" width="1.5546875" style="101" customWidth="1"/>
    <col min="291" max="291" width="13.44140625" style="101" customWidth="1"/>
    <col min="292" max="292" width="4" style="101" customWidth="1"/>
    <col min="293" max="293" width="8" style="101" customWidth="1"/>
    <col min="294" max="294" width="2.6640625" style="101" customWidth="1"/>
    <col min="295" max="295" width="10.44140625" style="101" customWidth="1"/>
    <col min="296" max="296" width="11" style="101" bestFit="1" customWidth="1"/>
    <col min="297" max="297" width="13.5546875" style="101" customWidth="1"/>
    <col min="298" max="298" width="11" style="101" bestFit="1" customWidth="1"/>
    <col min="299" max="299" width="9.33203125" style="101" bestFit="1" customWidth="1"/>
    <col min="300" max="300" width="11" style="101" bestFit="1" customWidth="1"/>
    <col min="301" max="532" width="9.109375" style="101"/>
    <col min="533" max="533" width="9.6640625" style="101" customWidth="1"/>
    <col min="534" max="534" width="12.44140625" style="101" customWidth="1"/>
    <col min="535" max="535" width="10.5546875" style="101" customWidth="1"/>
    <col min="536" max="536" width="6.44140625" style="101" bestFit="1" customWidth="1"/>
    <col min="537" max="537" width="8.88671875" style="101" customWidth="1"/>
    <col min="538" max="538" width="1.5546875" style="101" customWidth="1"/>
    <col min="539" max="539" width="10.5546875" style="101" customWidth="1"/>
    <col min="540" max="540" width="2.6640625" style="101" customWidth="1"/>
    <col min="541" max="541" width="9.6640625" style="101" customWidth="1"/>
    <col min="542" max="542" width="14.6640625" style="101" customWidth="1"/>
    <col min="543" max="543" width="10.5546875" style="101" customWidth="1"/>
    <col min="544" max="544" width="6.44140625" style="101" customWidth="1"/>
    <col min="545" max="545" width="8.88671875" style="101" customWidth="1"/>
    <col min="546" max="546" width="1.5546875" style="101" customWidth="1"/>
    <col min="547" max="547" width="13.44140625" style="101" customWidth="1"/>
    <col min="548" max="548" width="4" style="101" customWidth="1"/>
    <col min="549" max="549" width="8" style="101" customWidth="1"/>
    <col min="550" max="550" width="2.6640625" style="101" customWidth="1"/>
    <col min="551" max="551" width="10.44140625" style="101" customWidth="1"/>
    <col min="552" max="552" width="11" style="101" bestFit="1" customWidth="1"/>
    <col min="553" max="553" width="13.5546875" style="101" customWidth="1"/>
    <col min="554" max="554" width="11" style="101" bestFit="1" customWidth="1"/>
    <col min="555" max="555" width="9.33203125" style="101" bestFit="1" customWidth="1"/>
    <col min="556" max="556" width="11" style="101" bestFit="1" customWidth="1"/>
    <col min="557" max="788" width="9.109375" style="101"/>
    <col min="789" max="789" width="9.6640625" style="101" customWidth="1"/>
    <col min="790" max="790" width="12.44140625" style="101" customWidth="1"/>
    <col min="791" max="791" width="10.5546875" style="101" customWidth="1"/>
    <col min="792" max="792" width="6.44140625" style="101" bestFit="1" customWidth="1"/>
    <col min="793" max="793" width="8.88671875" style="101" customWidth="1"/>
    <col min="794" max="794" width="1.5546875" style="101" customWidth="1"/>
    <col min="795" max="795" width="10.5546875" style="101" customWidth="1"/>
    <col min="796" max="796" width="2.6640625" style="101" customWidth="1"/>
    <col min="797" max="797" width="9.6640625" style="101" customWidth="1"/>
    <col min="798" max="798" width="14.6640625" style="101" customWidth="1"/>
    <col min="799" max="799" width="10.5546875" style="101" customWidth="1"/>
    <col min="800" max="800" width="6.44140625" style="101" customWidth="1"/>
    <col min="801" max="801" width="8.88671875" style="101" customWidth="1"/>
    <col min="802" max="802" width="1.5546875" style="101" customWidth="1"/>
    <col min="803" max="803" width="13.44140625" style="101" customWidth="1"/>
    <col min="804" max="804" width="4" style="101" customWidth="1"/>
    <col min="805" max="805" width="8" style="101" customWidth="1"/>
    <col min="806" max="806" width="2.6640625" style="101" customWidth="1"/>
    <col min="807" max="807" width="10.44140625" style="101" customWidth="1"/>
    <col min="808" max="808" width="11" style="101" bestFit="1" customWidth="1"/>
    <col min="809" max="809" width="13.5546875" style="101" customWidth="1"/>
    <col min="810" max="810" width="11" style="101" bestFit="1" customWidth="1"/>
    <col min="811" max="811" width="9.33203125" style="101" bestFit="1" customWidth="1"/>
    <col min="812" max="812" width="11" style="101" bestFit="1" customWidth="1"/>
    <col min="813" max="1044" width="9.109375" style="101"/>
    <col min="1045" max="1045" width="9.6640625" style="101" customWidth="1"/>
    <col min="1046" max="1046" width="12.44140625" style="101" customWidth="1"/>
    <col min="1047" max="1047" width="10.5546875" style="101" customWidth="1"/>
    <col min="1048" max="1048" width="6.44140625" style="101" bestFit="1" customWidth="1"/>
    <col min="1049" max="1049" width="8.88671875" style="101" customWidth="1"/>
    <col min="1050" max="1050" width="1.5546875" style="101" customWidth="1"/>
    <col min="1051" max="1051" width="10.5546875" style="101" customWidth="1"/>
    <col min="1052" max="1052" width="2.6640625" style="101" customWidth="1"/>
    <col min="1053" max="1053" width="9.6640625" style="101" customWidth="1"/>
    <col min="1054" max="1054" width="14.6640625" style="101" customWidth="1"/>
    <col min="1055" max="1055" width="10.5546875" style="101" customWidth="1"/>
    <col min="1056" max="1056" width="6.44140625" style="101" customWidth="1"/>
    <col min="1057" max="1057" width="8.88671875" style="101" customWidth="1"/>
    <col min="1058" max="1058" width="1.5546875" style="101" customWidth="1"/>
    <col min="1059" max="1059" width="13.44140625" style="101" customWidth="1"/>
    <col min="1060" max="1060" width="4" style="101" customWidth="1"/>
    <col min="1061" max="1061" width="8" style="101" customWidth="1"/>
    <col min="1062" max="1062" width="2.6640625" style="101" customWidth="1"/>
    <col min="1063" max="1063" width="10.44140625" style="101" customWidth="1"/>
    <col min="1064" max="1064" width="11" style="101" bestFit="1" customWidth="1"/>
    <col min="1065" max="1065" width="13.5546875" style="101" customWidth="1"/>
    <col min="1066" max="1066" width="11" style="101" bestFit="1" customWidth="1"/>
    <col min="1067" max="1067" width="9.33203125" style="101" bestFit="1" customWidth="1"/>
    <col min="1068" max="1068" width="11" style="101" bestFit="1" customWidth="1"/>
    <col min="1069" max="1300" width="9.109375" style="101"/>
    <col min="1301" max="1301" width="9.6640625" style="101" customWidth="1"/>
    <col min="1302" max="1302" width="12.44140625" style="101" customWidth="1"/>
    <col min="1303" max="1303" width="10.5546875" style="101" customWidth="1"/>
    <col min="1304" max="1304" width="6.44140625" style="101" bestFit="1" customWidth="1"/>
    <col min="1305" max="1305" width="8.88671875" style="101" customWidth="1"/>
    <col min="1306" max="1306" width="1.5546875" style="101" customWidth="1"/>
    <col min="1307" max="1307" width="10.5546875" style="101" customWidth="1"/>
    <col min="1308" max="1308" width="2.6640625" style="101" customWidth="1"/>
    <col min="1309" max="1309" width="9.6640625" style="101" customWidth="1"/>
    <col min="1310" max="1310" width="14.6640625" style="101" customWidth="1"/>
    <col min="1311" max="1311" width="10.5546875" style="101" customWidth="1"/>
    <col min="1312" max="1312" width="6.44140625" style="101" customWidth="1"/>
    <col min="1313" max="1313" width="8.88671875" style="101" customWidth="1"/>
    <col min="1314" max="1314" width="1.5546875" style="101" customWidth="1"/>
    <col min="1315" max="1315" width="13.44140625" style="101" customWidth="1"/>
    <col min="1316" max="1316" width="4" style="101" customWidth="1"/>
    <col min="1317" max="1317" width="8" style="101" customWidth="1"/>
    <col min="1318" max="1318" width="2.6640625" style="101" customWidth="1"/>
    <col min="1319" max="1319" width="10.44140625" style="101" customWidth="1"/>
    <col min="1320" max="1320" width="11" style="101" bestFit="1" customWidth="1"/>
    <col min="1321" max="1321" width="13.5546875" style="101" customWidth="1"/>
    <col min="1322" max="1322" width="11" style="101" bestFit="1" customWidth="1"/>
    <col min="1323" max="1323" width="9.33203125" style="101" bestFit="1" customWidth="1"/>
    <col min="1324" max="1324" width="11" style="101" bestFit="1" customWidth="1"/>
    <col min="1325" max="1556" width="9.109375" style="101"/>
    <col min="1557" max="1557" width="9.6640625" style="101" customWidth="1"/>
    <col min="1558" max="1558" width="12.44140625" style="101" customWidth="1"/>
    <col min="1559" max="1559" width="10.5546875" style="101" customWidth="1"/>
    <col min="1560" max="1560" width="6.44140625" style="101" bestFit="1" customWidth="1"/>
    <col min="1561" max="1561" width="8.88671875" style="101" customWidth="1"/>
    <col min="1562" max="1562" width="1.5546875" style="101" customWidth="1"/>
    <col min="1563" max="1563" width="10.5546875" style="101" customWidth="1"/>
    <col min="1564" max="1564" width="2.6640625" style="101" customWidth="1"/>
    <col min="1565" max="1565" width="9.6640625" style="101" customWidth="1"/>
    <col min="1566" max="1566" width="14.6640625" style="101" customWidth="1"/>
    <col min="1567" max="1567" width="10.5546875" style="101" customWidth="1"/>
    <col min="1568" max="1568" width="6.44140625" style="101" customWidth="1"/>
    <col min="1569" max="1569" width="8.88671875" style="101" customWidth="1"/>
    <col min="1570" max="1570" width="1.5546875" style="101" customWidth="1"/>
    <col min="1571" max="1571" width="13.44140625" style="101" customWidth="1"/>
    <col min="1572" max="1572" width="4" style="101" customWidth="1"/>
    <col min="1573" max="1573" width="8" style="101" customWidth="1"/>
    <col min="1574" max="1574" width="2.6640625" style="101" customWidth="1"/>
    <col min="1575" max="1575" width="10.44140625" style="101" customWidth="1"/>
    <col min="1576" max="1576" width="11" style="101" bestFit="1" customWidth="1"/>
    <col min="1577" max="1577" width="13.5546875" style="101" customWidth="1"/>
    <col min="1578" max="1578" width="11" style="101" bestFit="1" customWidth="1"/>
    <col min="1579" max="1579" width="9.33203125" style="101" bestFit="1" customWidth="1"/>
    <col min="1580" max="1580" width="11" style="101" bestFit="1" customWidth="1"/>
    <col min="1581" max="1812" width="9.109375" style="101"/>
    <col min="1813" max="1813" width="9.6640625" style="101" customWidth="1"/>
    <col min="1814" max="1814" width="12.44140625" style="101" customWidth="1"/>
    <col min="1815" max="1815" width="10.5546875" style="101" customWidth="1"/>
    <col min="1816" max="1816" width="6.44140625" style="101" bestFit="1" customWidth="1"/>
    <col min="1817" max="1817" width="8.88671875" style="101" customWidth="1"/>
    <col min="1818" max="1818" width="1.5546875" style="101" customWidth="1"/>
    <col min="1819" max="1819" width="10.5546875" style="101" customWidth="1"/>
    <col min="1820" max="1820" width="2.6640625" style="101" customWidth="1"/>
    <col min="1821" max="1821" width="9.6640625" style="101" customWidth="1"/>
    <col min="1822" max="1822" width="14.6640625" style="101" customWidth="1"/>
    <col min="1823" max="1823" width="10.5546875" style="101" customWidth="1"/>
    <col min="1824" max="1824" width="6.44140625" style="101" customWidth="1"/>
    <col min="1825" max="1825" width="8.88671875" style="101" customWidth="1"/>
    <col min="1826" max="1826" width="1.5546875" style="101" customWidth="1"/>
    <col min="1827" max="1827" width="13.44140625" style="101" customWidth="1"/>
    <col min="1828" max="1828" width="4" style="101" customWidth="1"/>
    <col min="1829" max="1829" width="8" style="101" customWidth="1"/>
    <col min="1830" max="1830" width="2.6640625" style="101" customWidth="1"/>
    <col min="1831" max="1831" width="10.44140625" style="101" customWidth="1"/>
    <col min="1832" max="1832" width="11" style="101" bestFit="1" customWidth="1"/>
    <col min="1833" max="1833" width="13.5546875" style="101" customWidth="1"/>
    <col min="1834" max="1834" width="11" style="101" bestFit="1" customWidth="1"/>
    <col min="1835" max="1835" width="9.33203125" style="101" bestFit="1" customWidth="1"/>
    <col min="1836" max="1836" width="11" style="101" bestFit="1" customWidth="1"/>
    <col min="1837" max="2068" width="9.109375" style="101"/>
    <col min="2069" max="2069" width="9.6640625" style="101" customWidth="1"/>
    <col min="2070" max="2070" width="12.44140625" style="101" customWidth="1"/>
    <col min="2071" max="2071" width="10.5546875" style="101" customWidth="1"/>
    <col min="2072" max="2072" width="6.44140625" style="101" bestFit="1" customWidth="1"/>
    <col min="2073" max="2073" width="8.88671875" style="101" customWidth="1"/>
    <col min="2074" max="2074" width="1.5546875" style="101" customWidth="1"/>
    <col min="2075" max="2075" width="10.5546875" style="101" customWidth="1"/>
    <col min="2076" max="2076" width="2.6640625" style="101" customWidth="1"/>
    <col min="2077" max="2077" width="9.6640625" style="101" customWidth="1"/>
    <col min="2078" max="2078" width="14.6640625" style="101" customWidth="1"/>
    <col min="2079" max="2079" width="10.5546875" style="101" customWidth="1"/>
    <col min="2080" max="2080" width="6.44140625" style="101" customWidth="1"/>
    <col min="2081" max="2081" width="8.88671875" style="101" customWidth="1"/>
    <col min="2082" max="2082" width="1.5546875" style="101" customWidth="1"/>
    <col min="2083" max="2083" width="13.44140625" style="101" customWidth="1"/>
    <col min="2084" max="2084" width="4" style="101" customWidth="1"/>
    <col min="2085" max="2085" width="8" style="101" customWidth="1"/>
    <col min="2086" max="2086" width="2.6640625" style="101" customWidth="1"/>
    <col min="2087" max="2087" width="10.44140625" style="101" customWidth="1"/>
    <col min="2088" max="2088" width="11" style="101" bestFit="1" customWidth="1"/>
    <col min="2089" max="2089" width="13.5546875" style="101" customWidth="1"/>
    <col min="2090" max="2090" width="11" style="101" bestFit="1" customWidth="1"/>
    <col min="2091" max="2091" width="9.33203125" style="101" bestFit="1" customWidth="1"/>
    <col min="2092" max="2092" width="11" style="101" bestFit="1" customWidth="1"/>
    <col min="2093" max="2324" width="9.109375" style="101"/>
    <col min="2325" max="2325" width="9.6640625" style="101" customWidth="1"/>
    <col min="2326" max="2326" width="12.44140625" style="101" customWidth="1"/>
    <col min="2327" max="2327" width="10.5546875" style="101" customWidth="1"/>
    <col min="2328" max="2328" width="6.44140625" style="101" bestFit="1" customWidth="1"/>
    <col min="2329" max="2329" width="8.88671875" style="101" customWidth="1"/>
    <col min="2330" max="2330" width="1.5546875" style="101" customWidth="1"/>
    <col min="2331" max="2331" width="10.5546875" style="101" customWidth="1"/>
    <col min="2332" max="2332" width="2.6640625" style="101" customWidth="1"/>
    <col min="2333" max="2333" width="9.6640625" style="101" customWidth="1"/>
    <col min="2334" max="2334" width="14.6640625" style="101" customWidth="1"/>
    <col min="2335" max="2335" width="10.5546875" style="101" customWidth="1"/>
    <col min="2336" max="2336" width="6.44140625" style="101" customWidth="1"/>
    <col min="2337" max="2337" width="8.88671875" style="101" customWidth="1"/>
    <col min="2338" max="2338" width="1.5546875" style="101" customWidth="1"/>
    <col min="2339" max="2339" width="13.44140625" style="101" customWidth="1"/>
    <col min="2340" max="2340" width="4" style="101" customWidth="1"/>
    <col min="2341" max="2341" width="8" style="101" customWidth="1"/>
    <col min="2342" max="2342" width="2.6640625" style="101" customWidth="1"/>
    <col min="2343" max="2343" width="10.44140625" style="101" customWidth="1"/>
    <col min="2344" max="2344" width="11" style="101" bestFit="1" customWidth="1"/>
    <col min="2345" max="2345" width="13.5546875" style="101" customWidth="1"/>
    <col min="2346" max="2346" width="11" style="101" bestFit="1" customWidth="1"/>
    <col min="2347" max="2347" width="9.33203125" style="101" bestFit="1" customWidth="1"/>
    <col min="2348" max="2348" width="11" style="101" bestFit="1" customWidth="1"/>
    <col min="2349" max="2580" width="9.109375" style="101"/>
    <col min="2581" max="2581" width="9.6640625" style="101" customWidth="1"/>
    <col min="2582" max="2582" width="12.44140625" style="101" customWidth="1"/>
    <col min="2583" max="2583" width="10.5546875" style="101" customWidth="1"/>
    <col min="2584" max="2584" width="6.44140625" style="101" bestFit="1" customWidth="1"/>
    <col min="2585" max="2585" width="8.88671875" style="101" customWidth="1"/>
    <col min="2586" max="2586" width="1.5546875" style="101" customWidth="1"/>
    <col min="2587" max="2587" width="10.5546875" style="101" customWidth="1"/>
    <col min="2588" max="2588" width="2.6640625" style="101" customWidth="1"/>
    <col min="2589" max="2589" width="9.6640625" style="101" customWidth="1"/>
    <col min="2590" max="2590" width="14.6640625" style="101" customWidth="1"/>
    <col min="2591" max="2591" width="10.5546875" style="101" customWidth="1"/>
    <col min="2592" max="2592" width="6.44140625" style="101" customWidth="1"/>
    <col min="2593" max="2593" width="8.88671875" style="101" customWidth="1"/>
    <col min="2594" max="2594" width="1.5546875" style="101" customWidth="1"/>
    <col min="2595" max="2595" width="13.44140625" style="101" customWidth="1"/>
    <col min="2596" max="2596" width="4" style="101" customWidth="1"/>
    <col min="2597" max="2597" width="8" style="101" customWidth="1"/>
    <col min="2598" max="2598" width="2.6640625" style="101" customWidth="1"/>
    <col min="2599" max="2599" width="10.44140625" style="101" customWidth="1"/>
    <col min="2600" max="2600" width="11" style="101" bestFit="1" customWidth="1"/>
    <col min="2601" max="2601" width="13.5546875" style="101" customWidth="1"/>
    <col min="2602" max="2602" width="11" style="101" bestFit="1" customWidth="1"/>
    <col min="2603" max="2603" width="9.33203125" style="101" bestFit="1" customWidth="1"/>
    <col min="2604" max="2604" width="11" style="101" bestFit="1" customWidth="1"/>
    <col min="2605" max="2836" width="9.109375" style="101"/>
    <col min="2837" max="2837" width="9.6640625" style="101" customWidth="1"/>
    <col min="2838" max="2838" width="12.44140625" style="101" customWidth="1"/>
    <col min="2839" max="2839" width="10.5546875" style="101" customWidth="1"/>
    <col min="2840" max="2840" width="6.44140625" style="101" bestFit="1" customWidth="1"/>
    <col min="2841" max="2841" width="8.88671875" style="101" customWidth="1"/>
    <col min="2842" max="2842" width="1.5546875" style="101" customWidth="1"/>
    <col min="2843" max="2843" width="10.5546875" style="101" customWidth="1"/>
    <col min="2844" max="2844" width="2.6640625" style="101" customWidth="1"/>
    <col min="2845" max="2845" width="9.6640625" style="101" customWidth="1"/>
    <col min="2846" max="2846" width="14.6640625" style="101" customWidth="1"/>
    <col min="2847" max="2847" width="10.5546875" style="101" customWidth="1"/>
    <col min="2848" max="2848" width="6.44140625" style="101" customWidth="1"/>
    <col min="2849" max="2849" width="8.88671875" style="101" customWidth="1"/>
    <col min="2850" max="2850" width="1.5546875" style="101" customWidth="1"/>
    <col min="2851" max="2851" width="13.44140625" style="101" customWidth="1"/>
    <col min="2852" max="2852" width="4" style="101" customWidth="1"/>
    <col min="2853" max="2853" width="8" style="101" customWidth="1"/>
    <col min="2854" max="2854" width="2.6640625" style="101" customWidth="1"/>
    <col min="2855" max="2855" width="10.44140625" style="101" customWidth="1"/>
    <col min="2856" max="2856" width="11" style="101" bestFit="1" customWidth="1"/>
    <col min="2857" max="2857" width="13.5546875" style="101" customWidth="1"/>
    <col min="2858" max="2858" width="11" style="101" bestFit="1" customWidth="1"/>
    <col min="2859" max="2859" width="9.33203125" style="101" bestFit="1" customWidth="1"/>
    <col min="2860" max="2860" width="11" style="101" bestFit="1" customWidth="1"/>
    <col min="2861" max="3092" width="9.109375" style="101"/>
    <col min="3093" max="3093" width="9.6640625" style="101" customWidth="1"/>
    <col min="3094" max="3094" width="12.44140625" style="101" customWidth="1"/>
    <col min="3095" max="3095" width="10.5546875" style="101" customWidth="1"/>
    <col min="3096" max="3096" width="6.44140625" style="101" bestFit="1" customWidth="1"/>
    <col min="3097" max="3097" width="8.88671875" style="101" customWidth="1"/>
    <col min="3098" max="3098" width="1.5546875" style="101" customWidth="1"/>
    <col min="3099" max="3099" width="10.5546875" style="101" customWidth="1"/>
    <col min="3100" max="3100" width="2.6640625" style="101" customWidth="1"/>
    <col min="3101" max="3101" width="9.6640625" style="101" customWidth="1"/>
    <col min="3102" max="3102" width="14.6640625" style="101" customWidth="1"/>
    <col min="3103" max="3103" width="10.5546875" style="101" customWidth="1"/>
    <col min="3104" max="3104" width="6.44140625" style="101" customWidth="1"/>
    <col min="3105" max="3105" width="8.88671875" style="101" customWidth="1"/>
    <col min="3106" max="3106" width="1.5546875" style="101" customWidth="1"/>
    <col min="3107" max="3107" width="13.44140625" style="101" customWidth="1"/>
    <col min="3108" max="3108" width="4" style="101" customWidth="1"/>
    <col min="3109" max="3109" width="8" style="101" customWidth="1"/>
    <col min="3110" max="3110" width="2.6640625" style="101" customWidth="1"/>
    <col min="3111" max="3111" width="10.44140625" style="101" customWidth="1"/>
    <col min="3112" max="3112" width="11" style="101" bestFit="1" customWidth="1"/>
    <col min="3113" max="3113" width="13.5546875" style="101" customWidth="1"/>
    <col min="3114" max="3114" width="11" style="101" bestFit="1" customWidth="1"/>
    <col min="3115" max="3115" width="9.33203125" style="101" bestFit="1" customWidth="1"/>
    <col min="3116" max="3116" width="11" style="101" bestFit="1" customWidth="1"/>
    <col min="3117" max="3348" width="9.109375" style="101"/>
    <col min="3349" max="3349" width="9.6640625" style="101" customWidth="1"/>
    <col min="3350" max="3350" width="12.44140625" style="101" customWidth="1"/>
    <col min="3351" max="3351" width="10.5546875" style="101" customWidth="1"/>
    <col min="3352" max="3352" width="6.44140625" style="101" bestFit="1" customWidth="1"/>
    <col min="3353" max="3353" width="8.88671875" style="101" customWidth="1"/>
    <col min="3354" max="3354" width="1.5546875" style="101" customWidth="1"/>
    <col min="3355" max="3355" width="10.5546875" style="101" customWidth="1"/>
    <col min="3356" max="3356" width="2.6640625" style="101" customWidth="1"/>
    <col min="3357" max="3357" width="9.6640625" style="101" customWidth="1"/>
    <col min="3358" max="3358" width="14.6640625" style="101" customWidth="1"/>
    <col min="3359" max="3359" width="10.5546875" style="101" customWidth="1"/>
    <col min="3360" max="3360" width="6.44140625" style="101" customWidth="1"/>
    <col min="3361" max="3361" width="8.88671875" style="101" customWidth="1"/>
    <col min="3362" max="3362" width="1.5546875" style="101" customWidth="1"/>
    <col min="3363" max="3363" width="13.44140625" style="101" customWidth="1"/>
    <col min="3364" max="3364" width="4" style="101" customWidth="1"/>
    <col min="3365" max="3365" width="8" style="101" customWidth="1"/>
    <col min="3366" max="3366" width="2.6640625" style="101" customWidth="1"/>
    <col min="3367" max="3367" width="10.44140625" style="101" customWidth="1"/>
    <col min="3368" max="3368" width="11" style="101" bestFit="1" customWidth="1"/>
    <col min="3369" max="3369" width="13.5546875" style="101" customWidth="1"/>
    <col min="3370" max="3370" width="11" style="101" bestFit="1" customWidth="1"/>
    <col min="3371" max="3371" width="9.33203125" style="101" bestFit="1" customWidth="1"/>
    <col min="3372" max="3372" width="11" style="101" bestFit="1" customWidth="1"/>
    <col min="3373" max="3604" width="9.109375" style="101"/>
    <col min="3605" max="3605" width="9.6640625" style="101" customWidth="1"/>
    <col min="3606" max="3606" width="12.44140625" style="101" customWidth="1"/>
    <col min="3607" max="3607" width="10.5546875" style="101" customWidth="1"/>
    <col min="3608" max="3608" width="6.44140625" style="101" bestFit="1" customWidth="1"/>
    <col min="3609" max="3609" width="8.88671875" style="101" customWidth="1"/>
    <col min="3610" max="3610" width="1.5546875" style="101" customWidth="1"/>
    <col min="3611" max="3611" width="10.5546875" style="101" customWidth="1"/>
    <col min="3612" max="3612" width="2.6640625" style="101" customWidth="1"/>
    <col min="3613" max="3613" width="9.6640625" style="101" customWidth="1"/>
    <col min="3614" max="3614" width="14.6640625" style="101" customWidth="1"/>
    <col min="3615" max="3615" width="10.5546875" style="101" customWidth="1"/>
    <col min="3616" max="3616" width="6.44140625" style="101" customWidth="1"/>
    <col min="3617" max="3617" width="8.88671875" style="101" customWidth="1"/>
    <col min="3618" max="3618" width="1.5546875" style="101" customWidth="1"/>
    <col min="3619" max="3619" width="13.44140625" style="101" customWidth="1"/>
    <col min="3620" max="3620" width="4" style="101" customWidth="1"/>
    <col min="3621" max="3621" width="8" style="101" customWidth="1"/>
    <col min="3622" max="3622" width="2.6640625" style="101" customWidth="1"/>
    <col min="3623" max="3623" width="10.44140625" style="101" customWidth="1"/>
    <col min="3624" max="3624" width="11" style="101" bestFit="1" customWidth="1"/>
    <col min="3625" max="3625" width="13.5546875" style="101" customWidth="1"/>
    <col min="3626" max="3626" width="11" style="101" bestFit="1" customWidth="1"/>
    <col min="3627" max="3627" width="9.33203125" style="101" bestFit="1" customWidth="1"/>
    <col min="3628" max="3628" width="11" style="101" bestFit="1" customWidth="1"/>
    <col min="3629" max="3860" width="9.109375" style="101"/>
    <col min="3861" max="3861" width="9.6640625" style="101" customWidth="1"/>
    <col min="3862" max="3862" width="12.44140625" style="101" customWidth="1"/>
    <col min="3863" max="3863" width="10.5546875" style="101" customWidth="1"/>
    <col min="3864" max="3864" width="6.44140625" style="101" bestFit="1" customWidth="1"/>
    <col min="3865" max="3865" width="8.88671875" style="101" customWidth="1"/>
    <col min="3866" max="3866" width="1.5546875" style="101" customWidth="1"/>
    <col min="3867" max="3867" width="10.5546875" style="101" customWidth="1"/>
    <col min="3868" max="3868" width="2.6640625" style="101" customWidth="1"/>
    <col min="3869" max="3869" width="9.6640625" style="101" customWidth="1"/>
    <col min="3870" max="3870" width="14.6640625" style="101" customWidth="1"/>
    <col min="3871" max="3871" width="10.5546875" style="101" customWidth="1"/>
    <col min="3872" max="3872" width="6.44140625" style="101" customWidth="1"/>
    <col min="3873" max="3873" width="8.88671875" style="101" customWidth="1"/>
    <col min="3874" max="3874" width="1.5546875" style="101" customWidth="1"/>
    <col min="3875" max="3875" width="13.44140625" style="101" customWidth="1"/>
    <col min="3876" max="3876" width="4" style="101" customWidth="1"/>
    <col min="3877" max="3877" width="8" style="101" customWidth="1"/>
    <col min="3878" max="3878" width="2.6640625" style="101" customWidth="1"/>
    <col min="3879" max="3879" width="10.44140625" style="101" customWidth="1"/>
    <col min="3880" max="3880" width="11" style="101" bestFit="1" customWidth="1"/>
    <col min="3881" max="3881" width="13.5546875" style="101" customWidth="1"/>
    <col min="3882" max="3882" width="11" style="101" bestFit="1" customWidth="1"/>
    <col min="3883" max="3883" width="9.33203125" style="101" bestFit="1" customWidth="1"/>
    <col min="3884" max="3884" width="11" style="101" bestFit="1" customWidth="1"/>
    <col min="3885" max="4116" width="9.109375" style="101"/>
    <col min="4117" max="4117" width="9.6640625" style="101" customWidth="1"/>
    <col min="4118" max="4118" width="12.44140625" style="101" customWidth="1"/>
    <col min="4119" max="4119" width="10.5546875" style="101" customWidth="1"/>
    <col min="4120" max="4120" width="6.44140625" style="101" bestFit="1" customWidth="1"/>
    <col min="4121" max="4121" width="8.88671875" style="101" customWidth="1"/>
    <col min="4122" max="4122" width="1.5546875" style="101" customWidth="1"/>
    <col min="4123" max="4123" width="10.5546875" style="101" customWidth="1"/>
    <col min="4124" max="4124" width="2.6640625" style="101" customWidth="1"/>
    <col min="4125" max="4125" width="9.6640625" style="101" customWidth="1"/>
    <col min="4126" max="4126" width="14.6640625" style="101" customWidth="1"/>
    <col min="4127" max="4127" width="10.5546875" style="101" customWidth="1"/>
    <col min="4128" max="4128" width="6.44140625" style="101" customWidth="1"/>
    <col min="4129" max="4129" width="8.88671875" style="101" customWidth="1"/>
    <col min="4130" max="4130" width="1.5546875" style="101" customWidth="1"/>
    <col min="4131" max="4131" width="13.44140625" style="101" customWidth="1"/>
    <col min="4132" max="4132" width="4" style="101" customWidth="1"/>
    <col min="4133" max="4133" width="8" style="101" customWidth="1"/>
    <col min="4134" max="4134" width="2.6640625" style="101" customWidth="1"/>
    <col min="4135" max="4135" width="10.44140625" style="101" customWidth="1"/>
    <col min="4136" max="4136" width="11" style="101" bestFit="1" customWidth="1"/>
    <col min="4137" max="4137" width="13.5546875" style="101" customWidth="1"/>
    <col min="4138" max="4138" width="11" style="101" bestFit="1" customWidth="1"/>
    <col min="4139" max="4139" width="9.33203125" style="101" bestFit="1" customWidth="1"/>
    <col min="4140" max="4140" width="11" style="101" bestFit="1" customWidth="1"/>
    <col min="4141" max="4372" width="9.109375" style="101"/>
    <col min="4373" max="4373" width="9.6640625" style="101" customWidth="1"/>
    <col min="4374" max="4374" width="12.44140625" style="101" customWidth="1"/>
    <col min="4375" max="4375" width="10.5546875" style="101" customWidth="1"/>
    <col min="4376" max="4376" width="6.44140625" style="101" bestFit="1" customWidth="1"/>
    <col min="4377" max="4377" width="8.88671875" style="101" customWidth="1"/>
    <col min="4378" max="4378" width="1.5546875" style="101" customWidth="1"/>
    <col min="4379" max="4379" width="10.5546875" style="101" customWidth="1"/>
    <col min="4380" max="4380" width="2.6640625" style="101" customWidth="1"/>
    <col min="4381" max="4381" width="9.6640625" style="101" customWidth="1"/>
    <col min="4382" max="4382" width="14.6640625" style="101" customWidth="1"/>
    <col min="4383" max="4383" width="10.5546875" style="101" customWidth="1"/>
    <col min="4384" max="4384" width="6.44140625" style="101" customWidth="1"/>
    <col min="4385" max="4385" width="8.88671875" style="101" customWidth="1"/>
    <col min="4386" max="4386" width="1.5546875" style="101" customWidth="1"/>
    <col min="4387" max="4387" width="13.44140625" style="101" customWidth="1"/>
    <col min="4388" max="4388" width="4" style="101" customWidth="1"/>
    <col min="4389" max="4389" width="8" style="101" customWidth="1"/>
    <col min="4390" max="4390" width="2.6640625" style="101" customWidth="1"/>
    <col min="4391" max="4391" width="10.44140625" style="101" customWidth="1"/>
    <col min="4392" max="4392" width="11" style="101" bestFit="1" customWidth="1"/>
    <col min="4393" max="4393" width="13.5546875" style="101" customWidth="1"/>
    <col min="4394" max="4394" width="11" style="101" bestFit="1" customWidth="1"/>
    <col min="4395" max="4395" width="9.33203125" style="101" bestFit="1" customWidth="1"/>
    <col min="4396" max="4396" width="11" style="101" bestFit="1" customWidth="1"/>
    <col min="4397" max="4628" width="9.109375" style="101"/>
    <col min="4629" max="4629" width="9.6640625" style="101" customWidth="1"/>
    <col min="4630" max="4630" width="12.44140625" style="101" customWidth="1"/>
    <col min="4631" max="4631" width="10.5546875" style="101" customWidth="1"/>
    <col min="4632" max="4632" width="6.44140625" style="101" bestFit="1" customWidth="1"/>
    <col min="4633" max="4633" width="8.88671875" style="101" customWidth="1"/>
    <col min="4634" max="4634" width="1.5546875" style="101" customWidth="1"/>
    <col min="4635" max="4635" width="10.5546875" style="101" customWidth="1"/>
    <col min="4636" max="4636" width="2.6640625" style="101" customWidth="1"/>
    <col min="4637" max="4637" width="9.6640625" style="101" customWidth="1"/>
    <col min="4638" max="4638" width="14.6640625" style="101" customWidth="1"/>
    <col min="4639" max="4639" width="10.5546875" style="101" customWidth="1"/>
    <col min="4640" max="4640" width="6.44140625" style="101" customWidth="1"/>
    <col min="4641" max="4641" width="8.88671875" style="101" customWidth="1"/>
    <col min="4642" max="4642" width="1.5546875" style="101" customWidth="1"/>
    <col min="4643" max="4643" width="13.44140625" style="101" customWidth="1"/>
    <col min="4644" max="4644" width="4" style="101" customWidth="1"/>
    <col min="4645" max="4645" width="8" style="101" customWidth="1"/>
    <col min="4646" max="4646" width="2.6640625" style="101" customWidth="1"/>
    <col min="4647" max="4647" width="10.44140625" style="101" customWidth="1"/>
    <col min="4648" max="4648" width="11" style="101" bestFit="1" customWidth="1"/>
    <col min="4649" max="4649" width="13.5546875" style="101" customWidth="1"/>
    <col min="4650" max="4650" width="11" style="101" bestFit="1" customWidth="1"/>
    <col min="4651" max="4651" width="9.33203125" style="101" bestFit="1" customWidth="1"/>
    <col min="4652" max="4652" width="11" style="101" bestFit="1" customWidth="1"/>
    <col min="4653" max="4884" width="9.109375" style="101"/>
    <col min="4885" max="4885" width="9.6640625" style="101" customWidth="1"/>
    <col min="4886" max="4886" width="12.44140625" style="101" customWidth="1"/>
    <col min="4887" max="4887" width="10.5546875" style="101" customWidth="1"/>
    <col min="4888" max="4888" width="6.44140625" style="101" bestFit="1" customWidth="1"/>
    <col min="4889" max="4889" width="8.88671875" style="101" customWidth="1"/>
    <col min="4890" max="4890" width="1.5546875" style="101" customWidth="1"/>
    <col min="4891" max="4891" width="10.5546875" style="101" customWidth="1"/>
    <col min="4892" max="4892" width="2.6640625" style="101" customWidth="1"/>
    <col min="4893" max="4893" width="9.6640625" style="101" customWidth="1"/>
    <col min="4894" max="4894" width="14.6640625" style="101" customWidth="1"/>
    <col min="4895" max="4895" width="10.5546875" style="101" customWidth="1"/>
    <col min="4896" max="4896" width="6.44140625" style="101" customWidth="1"/>
    <col min="4897" max="4897" width="8.88671875" style="101" customWidth="1"/>
    <col min="4898" max="4898" width="1.5546875" style="101" customWidth="1"/>
    <col min="4899" max="4899" width="13.44140625" style="101" customWidth="1"/>
    <col min="4900" max="4900" width="4" style="101" customWidth="1"/>
    <col min="4901" max="4901" width="8" style="101" customWidth="1"/>
    <col min="4902" max="4902" width="2.6640625" style="101" customWidth="1"/>
    <col min="4903" max="4903" width="10.44140625" style="101" customWidth="1"/>
    <col min="4904" max="4904" width="11" style="101" bestFit="1" customWidth="1"/>
    <col min="4905" max="4905" width="13.5546875" style="101" customWidth="1"/>
    <col min="4906" max="4906" width="11" style="101" bestFit="1" customWidth="1"/>
    <col min="4907" max="4907" width="9.33203125" style="101" bestFit="1" customWidth="1"/>
    <col min="4908" max="4908" width="11" style="101" bestFit="1" customWidth="1"/>
    <col min="4909" max="5140" width="9.109375" style="101"/>
    <col min="5141" max="5141" width="9.6640625" style="101" customWidth="1"/>
    <col min="5142" max="5142" width="12.44140625" style="101" customWidth="1"/>
    <col min="5143" max="5143" width="10.5546875" style="101" customWidth="1"/>
    <col min="5144" max="5144" width="6.44140625" style="101" bestFit="1" customWidth="1"/>
    <col min="5145" max="5145" width="8.88671875" style="101" customWidth="1"/>
    <col min="5146" max="5146" width="1.5546875" style="101" customWidth="1"/>
    <col min="5147" max="5147" width="10.5546875" style="101" customWidth="1"/>
    <col min="5148" max="5148" width="2.6640625" style="101" customWidth="1"/>
    <col min="5149" max="5149" width="9.6640625" style="101" customWidth="1"/>
    <col min="5150" max="5150" width="14.6640625" style="101" customWidth="1"/>
    <col min="5151" max="5151" width="10.5546875" style="101" customWidth="1"/>
    <col min="5152" max="5152" width="6.44140625" style="101" customWidth="1"/>
    <col min="5153" max="5153" width="8.88671875" style="101" customWidth="1"/>
    <col min="5154" max="5154" width="1.5546875" style="101" customWidth="1"/>
    <col min="5155" max="5155" width="13.44140625" style="101" customWidth="1"/>
    <col min="5156" max="5156" width="4" style="101" customWidth="1"/>
    <col min="5157" max="5157" width="8" style="101" customWidth="1"/>
    <col min="5158" max="5158" width="2.6640625" style="101" customWidth="1"/>
    <col min="5159" max="5159" width="10.44140625" style="101" customWidth="1"/>
    <col min="5160" max="5160" width="11" style="101" bestFit="1" customWidth="1"/>
    <col min="5161" max="5161" width="13.5546875" style="101" customWidth="1"/>
    <col min="5162" max="5162" width="11" style="101" bestFit="1" customWidth="1"/>
    <col min="5163" max="5163" width="9.33203125" style="101" bestFit="1" customWidth="1"/>
    <col min="5164" max="5164" width="11" style="101" bestFit="1" customWidth="1"/>
    <col min="5165" max="5396" width="9.109375" style="101"/>
    <col min="5397" max="5397" width="9.6640625" style="101" customWidth="1"/>
    <col min="5398" max="5398" width="12.44140625" style="101" customWidth="1"/>
    <col min="5399" max="5399" width="10.5546875" style="101" customWidth="1"/>
    <col min="5400" max="5400" width="6.44140625" style="101" bestFit="1" customWidth="1"/>
    <col min="5401" max="5401" width="8.88671875" style="101" customWidth="1"/>
    <col min="5402" max="5402" width="1.5546875" style="101" customWidth="1"/>
    <col min="5403" max="5403" width="10.5546875" style="101" customWidth="1"/>
    <col min="5404" max="5404" width="2.6640625" style="101" customWidth="1"/>
    <col min="5405" max="5405" width="9.6640625" style="101" customWidth="1"/>
    <col min="5406" max="5406" width="14.6640625" style="101" customWidth="1"/>
    <col min="5407" max="5407" width="10.5546875" style="101" customWidth="1"/>
    <col min="5408" max="5408" width="6.44140625" style="101" customWidth="1"/>
    <col min="5409" max="5409" width="8.88671875" style="101" customWidth="1"/>
    <col min="5410" max="5410" width="1.5546875" style="101" customWidth="1"/>
    <col min="5411" max="5411" width="13.44140625" style="101" customWidth="1"/>
    <col min="5412" max="5412" width="4" style="101" customWidth="1"/>
    <col min="5413" max="5413" width="8" style="101" customWidth="1"/>
    <col min="5414" max="5414" width="2.6640625" style="101" customWidth="1"/>
    <col min="5415" max="5415" width="10.44140625" style="101" customWidth="1"/>
    <col min="5416" max="5416" width="11" style="101" bestFit="1" customWidth="1"/>
    <col min="5417" max="5417" width="13.5546875" style="101" customWidth="1"/>
    <col min="5418" max="5418" width="11" style="101" bestFit="1" customWidth="1"/>
    <col min="5419" max="5419" width="9.33203125" style="101" bestFit="1" customWidth="1"/>
    <col min="5420" max="5420" width="11" style="101" bestFit="1" customWidth="1"/>
    <col min="5421" max="5652" width="9.109375" style="101"/>
    <col min="5653" max="5653" width="9.6640625" style="101" customWidth="1"/>
    <col min="5654" max="5654" width="12.44140625" style="101" customWidth="1"/>
    <col min="5655" max="5655" width="10.5546875" style="101" customWidth="1"/>
    <col min="5656" max="5656" width="6.44140625" style="101" bestFit="1" customWidth="1"/>
    <col min="5657" max="5657" width="8.88671875" style="101" customWidth="1"/>
    <col min="5658" max="5658" width="1.5546875" style="101" customWidth="1"/>
    <col min="5659" max="5659" width="10.5546875" style="101" customWidth="1"/>
    <col min="5660" max="5660" width="2.6640625" style="101" customWidth="1"/>
    <col min="5661" max="5661" width="9.6640625" style="101" customWidth="1"/>
    <col min="5662" max="5662" width="14.6640625" style="101" customWidth="1"/>
    <col min="5663" max="5663" width="10.5546875" style="101" customWidth="1"/>
    <col min="5664" max="5664" width="6.44140625" style="101" customWidth="1"/>
    <col min="5665" max="5665" width="8.88671875" style="101" customWidth="1"/>
    <col min="5666" max="5666" width="1.5546875" style="101" customWidth="1"/>
    <col min="5667" max="5667" width="13.44140625" style="101" customWidth="1"/>
    <col min="5668" max="5668" width="4" style="101" customWidth="1"/>
    <col min="5669" max="5669" width="8" style="101" customWidth="1"/>
    <col min="5670" max="5670" width="2.6640625" style="101" customWidth="1"/>
    <col min="5671" max="5671" width="10.44140625" style="101" customWidth="1"/>
    <col min="5672" max="5672" width="11" style="101" bestFit="1" customWidth="1"/>
    <col min="5673" max="5673" width="13.5546875" style="101" customWidth="1"/>
    <col min="5674" max="5674" width="11" style="101" bestFit="1" customWidth="1"/>
    <col min="5675" max="5675" width="9.33203125" style="101" bestFit="1" customWidth="1"/>
    <col min="5676" max="5676" width="11" style="101" bestFit="1" customWidth="1"/>
    <col min="5677" max="5908" width="9.109375" style="101"/>
    <col min="5909" max="5909" width="9.6640625" style="101" customWidth="1"/>
    <col min="5910" max="5910" width="12.44140625" style="101" customWidth="1"/>
    <col min="5911" max="5911" width="10.5546875" style="101" customWidth="1"/>
    <col min="5912" max="5912" width="6.44140625" style="101" bestFit="1" customWidth="1"/>
    <col min="5913" max="5913" width="8.88671875" style="101" customWidth="1"/>
    <col min="5914" max="5914" width="1.5546875" style="101" customWidth="1"/>
    <col min="5915" max="5915" width="10.5546875" style="101" customWidth="1"/>
    <col min="5916" max="5916" width="2.6640625" style="101" customWidth="1"/>
    <col min="5917" max="5917" width="9.6640625" style="101" customWidth="1"/>
    <col min="5918" max="5918" width="14.6640625" style="101" customWidth="1"/>
    <col min="5919" max="5919" width="10.5546875" style="101" customWidth="1"/>
    <col min="5920" max="5920" width="6.44140625" style="101" customWidth="1"/>
    <col min="5921" max="5921" width="8.88671875" style="101" customWidth="1"/>
    <col min="5922" max="5922" width="1.5546875" style="101" customWidth="1"/>
    <col min="5923" max="5923" width="13.44140625" style="101" customWidth="1"/>
    <col min="5924" max="5924" width="4" style="101" customWidth="1"/>
    <col min="5925" max="5925" width="8" style="101" customWidth="1"/>
    <col min="5926" max="5926" width="2.6640625" style="101" customWidth="1"/>
    <col min="5927" max="5927" width="10.44140625" style="101" customWidth="1"/>
    <col min="5928" max="5928" width="11" style="101" bestFit="1" customWidth="1"/>
    <col min="5929" max="5929" width="13.5546875" style="101" customWidth="1"/>
    <col min="5930" max="5930" width="11" style="101" bestFit="1" customWidth="1"/>
    <col min="5931" max="5931" width="9.33203125" style="101" bestFit="1" customWidth="1"/>
    <col min="5932" max="5932" width="11" style="101" bestFit="1" customWidth="1"/>
    <col min="5933" max="6164" width="9.109375" style="101"/>
    <col min="6165" max="6165" width="9.6640625" style="101" customWidth="1"/>
    <col min="6166" max="6166" width="12.44140625" style="101" customWidth="1"/>
    <col min="6167" max="6167" width="10.5546875" style="101" customWidth="1"/>
    <col min="6168" max="6168" width="6.44140625" style="101" bestFit="1" customWidth="1"/>
    <col min="6169" max="6169" width="8.88671875" style="101" customWidth="1"/>
    <col min="6170" max="6170" width="1.5546875" style="101" customWidth="1"/>
    <col min="6171" max="6171" width="10.5546875" style="101" customWidth="1"/>
    <col min="6172" max="6172" width="2.6640625" style="101" customWidth="1"/>
    <col min="6173" max="6173" width="9.6640625" style="101" customWidth="1"/>
    <col min="6174" max="6174" width="14.6640625" style="101" customWidth="1"/>
    <col min="6175" max="6175" width="10.5546875" style="101" customWidth="1"/>
    <col min="6176" max="6176" width="6.44140625" style="101" customWidth="1"/>
    <col min="6177" max="6177" width="8.88671875" style="101" customWidth="1"/>
    <col min="6178" max="6178" width="1.5546875" style="101" customWidth="1"/>
    <col min="6179" max="6179" width="13.44140625" style="101" customWidth="1"/>
    <col min="6180" max="6180" width="4" style="101" customWidth="1"/>
    <col min="6181" max="6181" width="8" style="101" customWidth="1"/>
    <col min="6182" max="6182" width="2.6640625" style="101" customWidth="1"/>
    <col min="6183" max="6183" width="10.44140625" style="101" customWidth="1"/>
    <col min="6184" max="6184" width="11" style="101" bestFit="1" customWidth="1"/>
    <col min="6185" max="6185" width="13.5546875" style="101" customWidth="1"/>
    <col min="6186" max="6186" width="11" style="101" bestFit="1" customWidth="1"/>
    <col min="6187" max="6187" width="9.33203125" style="101" bestFit="1" customWidth="1"/>
    <col min="6188" max="6188" width="11" style="101" bestFit="1" customWidth="1"/>
    <col min="6189" max="6420" width="9.109375" style="101"/>
    <col min="6421" max="6421" width="9.6640625" style="101" customWidth="1"/>
    <col min="6422" max="6422" width="12.44140625" style="101" customWidth="1"/>
    <col min="6423" max="6423" width="10.5546875" style="101" customWidth="1"/>
    <col min="6424" max="6424" width="6.44140625" style="101" bestFit="1" customWidth="1"/>
    <col min="6425" max="6425" width="8.88671875" style="101" customWidth="1"/>
    <col min="6426" max="6426" width="1.5546875" style="101" customWidth="1"/>
    <col min="6427" max="6427" width="10.5546875" style="101" customWidth="1"/>
    <col min="6428" max="6428" width="2.6640625" style="101" customWidth="1"/>
    <col min="6429" max="6429" width="9.6640625" style="101" customWidth="1"/>
    <col min="6430" max="6430" width="14.6640625" style="101" customWidth="1"/>
    <col min="6431" max="6431" width="10.5546875" style="101" customWidth="1"/>
    <col min="6432" max="6432" width="6.44140625" style="101" customWidth="1"/>
    <col min="6433" max="6433" width="8.88671875" style="101" customWidth="1"/>
    <col min="6434" max="6434" width="1.5546875" style="101" customWidth="1"/>
    <col min="6435" max="6435" width="13.44140625" style="101" customWidth="1"/>
    <col min="6436" max="6436" width="4" style="101" customWidth="1"/>
    <col min="6437" max="6437" width="8" style="101" customWidth="1"/>
    <col min="6438" max="6438" width="2.6640625" style="101" customWidth="1"/>
    <col min="6439" max="6439" width="10.44140625" style="101" customWidth="1"/>
    <col min="6440" max="6440" width="11" style="101" bestFit="1" customWidth="1"/>
    <col min="6441" max="6441" width="13.5546875" style="101" customWidth="1"/>
    <col min="6442" max="6442" width="11" style="101" bestFit="1" customWidth="1"/>
    <col min="6443" max="6443" width="9.33203125" style="101" bestFit="1" customWidth="1"/>
    <col min="6444" max="6444" width="11" style="101" bestFit="1" customWidth="1"/>
    <col min="6445" max="6676" width="9.109375" style="101"/>
    <col min="6677" max="6677" width="9.6640625" style="101" customWidth="1"/>
    <col min="6678" max="6678" width="12.44140625" style="101" customWidth="1"/>
    <col min="6679" max="6679" width="10.5546875" style="101" customWidth="1"/>
    <col min="6680" max="6680" width="6.44140625" style="101" bestFit="1" customWidth="1"/>
    <col min="6681" max="6681" width="8.88671875" style="101" customWidth="1"/>
    <col min="6682" max="6682" width="1.5546875" style="101" customWidth="1"/>
    <col min="6683" max="6683" width="10.5546875" style="101" customWidth="1"/>
    <col min="6684" max="6684" width="2.6640625" style="101" customWidth="1"/>
    <col min="6685" max="6685" width="9.6640625" style="101" customWidth="1"/>
    <col min="6686" max="6686" width="14.6640625" style="101" customWidth="1"/>
    <col min="6687" max="6687" width="10.5546875" style="101" customWidth="1"/>
    <col min="6688" max="6688" width="6.44140625" style="101" customWidth="1"/>
    <col min="6689" max="6689" width="8.88671875" style="101" customWidth="1"/>
    <col min="6690" max="6690" width="1.5546875" style="101" customWidth="1"/>
    <col min="6691" max="6691" width="13.44140625" style="101" customWidth="1"/>
    <col min="6692" max="6692" width="4" style="101" customWidth="1"/>
    <col min="6693" max="6693" width="8" style="101" customWidth="1"/>
    <col min="6694" max="6694" width="2.6640625" style="101" customWidth="1"/>
    <col min="6695" max="6695" width="10.44140625" style="101" customWidth="1"/>
    <col min="6696" max="6696" width="11" style="101" bestFit="1" customWidth="1"/>
    <col min="6697" max="6697" width="13.5546875" style="101" customWidth="1"/>
    <col min="6698" max="6698" width="11" style="101" bestFit="1" customWidth="1"/>
    <col min="6699" max="6699" width="9.33203125" style="101" bestFit="1" customWidth="1"/>
    <col min="6700" max="6700" width="11" style="101" bestFit="1" customWidth="1"/>
    <col min="6701" max="6932" width="9.109375" style="101"/>
    <col min="6933" max="6933" width="9.6640625" style="101" customWidth="1"/>
    <col min="6934" max="6934" width="12.44140625" style="101" customWidth="1"/>
    <col min="6935" max="6935" width="10.5546875" style="101" customWidth="1"/>
    <col min="6936" max="6936" width="6.44140625" style="101" bestFit="1" customWidth="1"/>
    <col min="6937" max="6937" width="8.88671875" style="101" customWidth="1"/>
    <col min="6938" max="6938" width="1.5546875" style="101" customWidth="1"/>
    <col min="6939" max="6939" width="10.5546875" style="101" customWidth="1"/>
    <col min="6940" max="6940" width="2.6640625" style="101" customWidth="1"/>
    <col min="6941" max="6941" width="9.6640625" style="101" customWidth="1"/>
    <col min="6942" max="6942" width="14.6640625" style="101" customWidth="1"/>
    <col min="6943" max="6943" width="10.5546875" style="101" customWidth="1"/>
    <col min="6944" max="6944" width="6.44140625" style="101" customWidth="1"/>
    <col min="6945" max="6945" width="8.88671875" style="101" customWidth="1"/>
    <col min="6946" max="6946" width="1.5546875" style="101" customWidth="1"/>
    <col min="6947" max="6947" width="13.44140625" style="101" customWidth="1"/>
    <col min="6948" max="6948" width="4" style="101" customWidth="1"/>
    <col min="6949" max="6949" width="8" style="101" customWidth="1"/>
    <col min="6950" max="6950" width="2.6640625" style="101" customWidth="1"/>
    <col min="6951" max="6951" width="10.44140625" style="101" customWidth="1"/>
    <col min="6952" max="6952" width="11" style="101" bestFit="1" customWidth="1"/>
    <col min="6953" max="6953" width="13.5546875" style="101" customWidth="1"/>
    <col min="6954" max="6954" width="11" style="101" bestFit="1" customWidth="1"/>
    <col min="6955" max="6955" width="9.33203125" style="101" bestFit="1" customWidth="1"/>
    <col min="6956" max="6956" width="11" style="101" bestFit="1" customWidth="1"/>
    <col min="6957" max="7188" width="9.109375" style="101"/>
    <col min="7189" max="7189" width="9.6640625" style="101" customWidth="1"/>
    <col min="7190" max="7190" width="12.44140625" style="101" customWidth="1"/>
    <col min="7191" max="7191" width="10.5546875" style="101" customWidth="1"/>
    <col min="7192" max="7192" width="6.44140625" style="101" bestFit="1" customWidth="1"/>
    <col min="7193" max="7193" width="8.88671875" style="101" customWidth="1"/>
    <col min="7194" max="7194" width="1.5546875" style="101" customWidth="1"/>
    <col min="7195" max="7195" width="10.5546875" style="101" customWidth="1"/>
    <col min="7196" max="7196" width="2.6640625" style="101" customWidth="1"/>
    <col min="7197" max="7197" width="9.6640625" style="101" customWidth="1"/>
    <col min="7198" max="7198" width="14.6640625" style="101" customWidth="1"/>
    <col min="7199" max="7199" width="10.5546875" style="101" customWidth="1"/>
    <col min="7200" max="7200" width="6.44140625" style="101" customWidth="1"/>
    <col min="7201" max="7201" width="8.88671875" style="101" customWidth="1"/>
    <col min="7202" max="7202" width="1.5546875" style="101" customWidth="1"/>
    <col min="7203" max="7203" width="13.44140625" style="101" customWidth="1"/>
    <col min="7204" max="7204" width="4" style="101" customWidth="1"/>
    <col min="7205" max="7205" width="8" style="101" customWidth="1"/>
    <col min="7206" max="7206" width="2.6640625" style="101" customWidth="1"/>
    <col min="7207" max="7207" width="10.44140625" style="101" customWidth="1"/>
    <col min="7208" max="7208" width="11" style="101" bestFit="1" customWidth="1"/>
    <col min="7209" max="7209" width="13.5546875" style="101" customWidth="1"/>
    <col min="7210" max="7210" width="11" style="101" bestFit="1" customWidth="1"/>
    <col min="7211" max="7211" width="9.33203125" style="101" bestFit="1" customWidth="1"/>
    <col min="7212" max="7212" width="11" style="101" bestFit="1" customWidth="1"/>
    <col min="7213" max="7444" width="9.109375" style="101"/>
    <col min="7445" max="7445" width="9.6640625" style="101" customWidth="1"/>
    <col min="7446" max="7446" width="12.44140625" style="101" customWidth="1"/>
    <col min="7447" max="7447" width="10.5546875" style="101" customWidth="1"/>
    <col min="7448" max="7448" width="6.44140625" style="101" bestFit="1" customWidth="1"/>
    <col min="7449" max="7449" width="8.88671875" style="101" customWidth="1"/>
    <col min="7450" max="7450" width="1.5546875" style="101" customWidth="1"/>
    <col min="7451" max="7451" width="10.5546875" style="101" customWidth="1"/>
    <col min="7452" max="7452" width="2.6640625" style="101" customWidth="1"/>
    <col min="7453" max="7453" width="9.6640625" style="101" customWidth="1"/>
    <col min="7454" max="7454" width="14.6640625" style="101" customWidth="1"/>
    <col min="7455" max="7455" width="10.5546875" style="101" customWidth="1"/>
    <col min="7456" max="7456" width="6.44140625" style="101" customWidth="1"/>
    <col min="7457" max="7457" width="8.88671875" style="101" customWidth="1"/>
    <col min="7458" max="7458" width="1.5546875" style="101" customWidth="1"/>
    <col min="7459" max="7459" width="13.44140625" style="101" customWidth="1"/>
    <col min="7460" max="7460" width="4" style="101" customWidth="1"/>
    <col min="7461" max="7461" width="8" style="101" customWidth="1"/>
    <col min="7462" max="7462" width="2.6640625" style="101" customWidth="1"/>
    <col min="7463" max="7463" width="10.44140625" style="101" customWidth="1"/>
    <col min="7464" max="7464" width="11" style="101" bestFit="1" customWidth="1"/>
    <col min="7465" max="7465" width="13.5546875" style="101" customWidth="1"/>
    <col min="7466" max="7466" width="11" style="101" bestFit="1" customWidth="1"/>
    <col min="7467" max="7467" width="9.33203125" style="101" bestFit="1" customWidth="1"/>
    <col min="7468" max="7468" width="11" style="101" bestFit="1" customWidth="1"/>
    <col min="7469" max="7700" width="9.109375" style="101"/>
    <col min="7701" max="7701" width="9.6640625" style="101" customWidth="1"/>
    <col min="7702" max="7702" width="12.44140625" style="101" customWidth="1"/>
    <col min="7703" max="7703" width="10.5546875" style="101" customWidth="1"/>
    <col min="7704" max="7704" width="6.44140625" style="101" bestFit="1" customWidth="1"/>
    <col min="7705" max="7705" width="8.88671875" style="101" customWidth="1"/>
    <col min="7706" max="7706" width="1.5546875" style="101" customWidth="1"/>
    <col min="7707" max="7707" width="10.5546875" style="101" customWidth="1"/>
    <col min="7708" max="7708" width="2.6640625" style="101" customWidth="1"/>
    <col min="7709" max="7709" width="9.6640625" style="101" customWidth="1"/>
    <col min="7710" max="7710" width="14.6640625" style="101" customWidth="1"/>
    <col min="7711" max="7711" width="10.5546875" style="101" customWidth="1"/>
    <col min="7712" max="7712" width="6.44140625" style="101" customWidth="1"/>
    <col min="7713" max="7713" width="8.88671875" style="101" customWidth="1"/>
    <col min="7714" max="7714" width="1.5546875" style="101" customWidth="1"/>
    <col min="7715" max="7715" width="13.44140625" style="101" customWidth="1"/>
    <col min="7716" max="7716" width="4" style="101" customWidth="1"/>
    <col min="7717" max="7717" width="8" style="101" customWidth="1"/>
    <col min="7718" max="7718" width="2.6640625" style="101" customWidth="1"/>
    <col min="7719" max="7719" width="10.44140625" style="101" customWidth="1"/>
    <col min="7720" max="7720" width="11" style="101" bestFit="1" customWidth="1"/>
    <col min="7721" max="7721" width="13.5546875" style="101" customWidth="1"/>
    <col min="7722" max="7722" width="11" style="101" bestFit="1" customWidth="1"/>
    <col min="7723" max="7723" width="9.33203125" style="101" bestFit="1" customWidth="1"/>
    <col min="7724" max="7724" width="11" style="101" bestFit="1" customWidth="1"/>
    <col min="7725" max="7956" width="9.109375" style="101"/>
    <col min="7957" max="7957" width="9.6640625" style="101" customWidth="1"/>
    <col min="7958" max="7958" width="12.44140625" style="101" customWidth="1"/>
    <col min="7959" max="7959" width="10.5546875" style="101" customWidth="1"/>
    <col min="7960" max="7960" width="6.44140625" style="101" bestFit="1" customWidth="1"/>
    <col min="7961" max="7961" width="8.88671875" style="101" customWidth="1"/>
    <col min="7962" max="7962" width="1.5546875" style="101" customWidth="1"/>
    <col min="7963" max="7963" width="10.5546875" style="101" customWidth="1"/>
    <col min="7964" max="7964" width="2.6640625" style="101" customWidth="1"/>
    <col min="7965" max="7965" width="9.6640625" style="101" customWidth="1"/>
    <col min="7966" max="7966" width="14.6640625" style="101" customWidth="1"/>
    <col min="7967" max="7967" width="10.5546875" style="101" customWidth="1"/>
    <col min="7968" max="7968" width="6.44140625" style="101" customWidth="1"/>
    <col min="7969" max="7969" width="8.88671875" style="101" customWidth="1"/>
    <col min="7970" max="7970" width="1.5546875" style="101" customWidth="1"/>
    <col min="7971" max="7971" width="13.44140625" style="101" customWidth="1"/>
    <col min="7972" max="7972" width="4" style="101" customWidth="1"/>
    <col min="7973" max="7973" width="8" style="101" customWidth="1"/>
    <col min="7974" max="7974" width="2.6640625" style="101" customWidth="1"/>
    <col min="7975" max="7975" width="10.44140625" style="101" customWidth="1"/>
    <col min="7976" max="7976" width="11" style="101" bestFit="1" customWidth="1"/>
    <col min="7977" max="7977" width="13.5546875" style="101" customWidth="1"/>
    <col min="7978" max="7978" width="11" style="101" bestFit="1" customWidth="1"/>
    <col min="7979" max="7979" width="9.33203125" style="101" bestFit="1" customWidth="1"/>
    <col min="7980" max="7980" width="11" style="101" bestFit="1" customWidth="1"/>
    <col min="7981" max="8212" width="9.109375" style="101"/>
    <col min="8213" max="8213" width="9.6640625" style="101" customWidth="1"/>
    <col min="8214" max="8214" width="12.44140625" style="101" customWidth="1"/>
    <col min="8215" max="8215" width="10.5546875" style="101" customWidth="1"/>
    <col min="8216" max="8216" width="6.44140625" style="101" bestFit="1" customWidth="1"/>
    <col min="8217" max="8217" width="8.88671875" style="101" customWidth="1"/>
    <col min="8218" max="8218" width="1.5546875" style="101" customWidth="1"/>
    <col min="8219" max="8219" width="10.5546875" style="101" customWidth="1"/>
    <col min="8220" max="8220" width="2.6640625" style="101" customWidth="1"/>
    <col min="8221" max="8221" width="9.6640625" style="101" customWidth="1"/>
    <col min="8222" max="8222" width="14.6640625" style="101" customWidth="1"/>
    <col min="8223" max="8223" width="10.5546875" style="101" customWidth="1"/>
    <col min="8224" max="8224" width="6.44140625" style="101" customWidth="1"/>
    <col min="8225" max="8225" width="8.88671875" style="101" customWidth="1"/>
    <col min="8226" max="8226" width="1.5546875" style="101" customWidth="1"/>
    <col min="8227" max="8227" width="13.44140625" style="101" customWidth="1"/>
    <col min="8228" max="8228" width="4" style="101" customWidth="1"/>
    <col min="8229" max="8229" width="8" style="101" customWidth="1"/>
    <col min="8230" max="8230" width="2.6640625" style="101" customWidth="1"/>
    <col min="8231" max="8231" width="10.44140625" style="101" customWidth="1"/>
    <col min="8232" max="8232" width="11" style="101" bestFit="1" customWidth="1"/>
    <col min="8233" max="8233" width="13.5546875" style="101" customWidth="1"/>
    <col min="8234" max="8234" width="11" style="101" bestFit="1" customWidth="1"/>
    <col min="8235" max="8235" width="9.33203125" style="101" bestFit="1" customWidth="1"/>
    <col min="8236" max="8236" width="11" style="101" bestFit="1" customWidth="1"/>
    <col min="8237" max="8468" width="9.109375" style="101"/>
    <col min="8469" max="8469" width="9.6640625" style="101" customWidth="1"/>
    <col min="8470" max="8470" width="12.44140625" style="101" customWidth="1"/>
    <col min="8471" max="8471" width="10.5546875" style="101" customWidth="1"/>
    <col min="8472" max="8472" width="6.44140625" style="101" bestFit="1" customWidth="1"/>
    <col min="8473" max="8473" width="8.88671875" style="101" customWidth="1"/>
    <col min="8474" max="8474" width="1.5546875" style="101" customWidth="1"/>
    <col min="8475" max="8475" width="10.5546875" style="101" customWidth="1"/>
    <col min="8476" max="8476" width="2.6640625" style="101" customWidth="1"/>
    <col min="8477" max="8477" width="9.6640625" style="101" customWidth="1"/>
    <col min="8478" max="8478" width="14.6640625" style="101" customWidth="1"/>
    <col min="8479" max="8479" width="10.5546875" style="101" customWidth="1"/>
    <col min="8480" max="8480" width="6.44140625" style="101" customWidth="1"/>
    <col min="8481" max="8481" width="8.88671875" style="101" customWidth="1"/>
    <col min="8482" max="8482" width="1.5546875" style="101" customWidth="1"/>
    <col min="8483" max="8483" width="13.44140625" style="101" customWidth="1"/>
    <col min="8484" max="8484" width="4" style="101" customWidth="1"/>
    <col min="8485" max="8485" width="8" style="101" customWidth="1"/>
    <col min="8486" max="8486" width="2.6640625" style="101" customWidth="1"/>
    <col min="8487" max="8487" width="10.44140625" style="101" customWidth="1"/>
    <col min="8488" max="8488" width="11" style="101" bestFit="1" customWidth="1"/>
    <col min="8489" max="8489" width="13.5546875" style="101" customWidth="1"/>
    <col min="8490" max="8490" width="11" style="101" bestFit="1" customWidth="1"/>
    <col min="8491" max="8491" width="9.33203125" style="101" bestFit="1" customWidth="1"/>
    <col min="8492" max="8492" width="11" style="101" bestFit="1" customWidth="1"/>
    <col min="8493" max="8724" width="9.109375" style="101"/>
    <col min="8725" max="8725" width="9.6640625" style="101" customWidth="1"/>
    <col min="8726" max="8726" width="12.44140625" style="101" customWidth="1"/>
    <col min="8727" max="8727" width="10.5546875" style="101" customWidth="1"/>
    <col min="8728" max="8728" width="6.44140625" style="101" bestFit="1" customWidth="1"/>
    <col min="8729" max="8729" width="8.88671875" style="101" customWidth="1"/>
    <col min="8730" max="8730" width="1.5546875" style="101" customWidth="1"/>
    <col min="8731" max="8731" width="10.5546875" style="101" customWidth="1"/>
    <col min="8732" max="8732" width="2.6640625" style="101" customWidth="1"/>
    <col min="8733" max="8733" width="9.6640625" style="101" customWidth="1"/>
    <col min="8734" max="8734" width="14.6640625" style="101" customWidth="1"/>
    <col min="8735" max="8735" width="10.5546875" style="101" customWidth="1"/>
    <col min="8736" max="8736" width="6.44140625" style="101" customWidth="1"/>
    <col min="8737" max="8737" width="8.88671875" style="101" customWidth="1"/>
    <col min="8738" max="8738" width="1.5546875" style="101" customWidth="1"/>
    <col min="8739" max="8739" width="13.44140625" style="101" customWidth="1"/>
    <col min="8740" max="8740" width="4" style="101" customWidth="1"/>
    <col min="8741" max="8741" width="8" style="101" customWidth="1"/>
    <col min="8742" max="8742" width="2.6640625" style="101" customWidth="1"/>
    <col min="8743" max="8743" width="10.44140625" style="101" customWidth="1"/>
    <col min="8744" max="8744" width="11" style="101" bestFit="1" customWidth="1"/>
    <col min="8745" max="8745" width="13.5546875" style="101" customWidth="1"/>
    <col min="8746" max="8746" width="11" style="101" bestFit="1" customWidth="1"/>
    <col min="8747" max="8747" width="9.33203125" style="101" bestFit="1" customWidth="1"/>
    <col min="8748" max="8748" width="11" style="101" bestFit="1" customWidth="1"/>
    <col min="8749" max="8980" width="9.109375" style="101"/>
    <col min="8981" max="8981" width="9.6640625" style="101" customWidth="1"/>
    <col min="8982" max="8982" width="12.44140625" style="101" customWidth="1"/>
    <col min="8983" max="8983" width="10.5546875" style="101" customWidth="1"/>
    <col min="8984" max="8984" width="6.44140625" style="101" bestFit="1" customWidth="1"/>
    <col min="8985" max="8985" width="8.88671875" style="101" customWidth="1"/>
    <col min="8986" max="8986" width="1.5546875" style="101" customWidth="1"/>
    <col min="8987" max="8987" width="10.5546875" style="101" customWidth="1"/>
    <col min="8988" max="8988" width="2.6640625" style="101" customWidth="1"/>
    <col min="8989" max="8989" width="9.6640625" style="101" customWidth="1"/>
    <col min="8990" max="8990" width="14.6640625" style="101" customWidth="1"/>
    <col min="8991" max="8991" width="10.5546875" style="101" customWidth="1"/>
    <col min="8992" max="8992" width="6.44140625" style="101" customWidth="1"/>
    <col min="8993" max="8993" width="8.88671875" style="101" customWidth="1"/>
    <col min="8994" max="8994" width="1.5546875" style="101" customWidth="1"/>
    <col min="8995" max="8995" width="13.44140625" style="101" customWidth="1"/>
    <col min="8996" max="8996" width="4" style="101" customWidth="1"/>
    <col min="8997" max="8997" width="8" style="101" customWidth="1"/>
    <col min="8998" max="8998" width="2.6640625" style="101" customWidth="1"/>
    <col min="8999" max="8999" width="10.44140625" style="101" customWidth="1"/>
    <col min="9000" max="9000" width="11" style="101" bestFit="1" customWidth="1"/>
    <col min="9001" max="9001" width="13.5546875" style="101" customWidth="1"/>
    <col min="9002" max="9002" width="11" style="101" bestFit="1" customWidth="1"/>
    <col min="9003" max="9003" width="9.33203125" style="101" bestFit="1" customWidth="1"/>
    <col min="9004" max="9004" width="11" style="101" bestFit="1" customWidth="1"/>
    <col min="9005" max="9236" width="9.109375" style="101"/>
    <col min="9237" max="9237" width="9.6640625" style="101" customWidth="1"/>
    <col min="9238" max="9238" width="12.44140625" style="101" customWidth="1"/>
    <col min="9239" max="9239" width="10.5546875" style="101" customWidth="1"/>
    <col min="9240" max="9240" width="6.44140625" style="101" bestFit="1" customWidth="1"/>
    <col min="9241" max="9241" width="8.88671875" style="101" customWidth="1"/>
    <col min="9242" max="9242" width="1.5546875" style="101" customWidth="1"/>
    <col min="9243" max="9243" width="10.5546875" style="101" customWidth="1"/>
    <col min="9244" max="9244" width="2.6640625" style="101" customWidth="1"/>
    <col min="9245" max="9245" width="9.6640625" style="101" customWidth="1"/>
    <col min="9246" max="9246" width="14.6640625" style="101" customWidth="1"/>
    <col min="9247" max="9247" width="10.5546875" style="101" customWidth="1"/>
    <col min="9248" max="9248" width="6.44140625" style="101" customWidth="1"/>
    <col min="9249" max="9249" width="8.88671875" style="101" customWidth="1"/>
    <col min="9250" max="9250" width="1.5546875" style="101" customWidth="1"/>
    <col min="9251" max="9251" width="13.44140625" style="101" customWidth="1"/>
    <col min="9252" max="9252" width="4" style="101" customWidth="1"/>
    <col min="9253" max="9253" width="8" style="101" customWidth="1"/>
    <col min="9254" max="9254" width="2.6640625" style="101" customWidth="1"/>
    <col min="9255" max="9255" width="10.44140625" style="101" customWidth="1"/>
    <col min="9256" max="9256" width="11" style="101" bestFit="1" customWidth="1"/>
    <col min="9257" max="9257" width="13.5546875" style="101" customWidth="1"/>
    <col min="9258" max="9258" width="11" style="101" bestFit="1" customWidth="1"/>
    <col min="9259" max="9259" width="9.33203125" style="101" bestFit="1" customWidth="1"/>
    <col min="9260" max="9260" width="11" style="101" bestFit="1" customWidth="1"/>
    <col min="9261" max="9492" width="9.109375" style="101"/>
    <col min="9493" max="9493" width="9.6640625" style="101" customWidth="1"/>
    <col min="9494" max="9494" width="12.44140625" style="101" customWidth="1"/>
    <col min="9495" max="9495" width="10.5546875" style="101" customWidth="1"/>
    <col min="9496" max="9496" width="6.44140625" style="101" bestFit="1" customWidth="1"/>
    <col min="9497" max="9497" width="8.88671875" style="101" customWidth="1"/>
    <col min="9498" max="9498" width="1.5546875" style="101" customWidth="1"/>
    <col min="9499" max="9499" width="10.5546875" style="101" customWidth="1"/>
    <col min="9500" max="9500" width="2.6640625" style="101" customWidth="1"/>
    <col min="9501" max="9501" width="9.6640625" style="101" customWidth="1"/>
    <col min="9502" max="9502" width="14.6640625" style="101" customWidth="1"/>
    <col min="9503" max="9503" width="10.5546875" style="101" customWidth="1"/>
    <col min="9504" max="9504" width="6.44140625" style="101" customWidth="1"/>
    <col min="9505" max="9505" width="8.88671875" style="101" customWidth="1"/>
    <col min="9506" max="9506" width="1.5546875" style="101" customWidth="1"/>
    <col min="9507" max="9507" width="13.44140625" style="101" customWidth="1"/>
    <col min="9508" max="9508" width="4" style="101" customWidth="1"/>
    <col min="9509" max="9509" width="8" style="101" customWidth="1"/>
    <col min="9510" max="9510" width="2.6640625" style="101" customWidth="1"/>
    <col min="9511" max="9511" width="10.44140625" style="101" customWidth="1"/>
    <col min="9512" max="9512" width="11" style="101" bestFit="1" customWidth="1"/>
    <col min="9513" max="9513" width="13.5546875" style="101" customWidth="1"/>
    <col min="9514" max="9514" width="11" style="101" bestFit="1" customWidth="1"/>
    <col min="9515" max="9515" width="9.33203125" style="101" bestFit="1" customWidth="1"/>
    <col min="9516" max="9516" width="11" style="101" bestFit="1" customWidth="1"/>
    <col min="9517" max="9748" width="9.109375" style="101"/>
    <col min="9749" max="9749" width="9.6640625" style="101" customWidth="1"/>
    <col min="9750" max="9750" width="12.44140625" style="101" customWidth="1"/>
    <col min="9751" max="9751" width="10.5546875" style="101" customWidth="1"/>
    <col min="9752" max="9752" width="6.44140625" style="101" bestFit="1" customWidth="1"/>
    <col min="9753" max="9753" width="8.88671875" style="101" customWidth="1"/>
    <col min="9754" max="9754" width="1.5546875" style="101" customWidth="1"/>
    <col min="9755" max="9755" width="10.5546875" style="101" customWidth="1"/>
    <col min="9756" max="9756" width="2.6640625" style="101" customWidth="1"/>
    <col min="9757" max="9757" width="9.6640625" style="101" customWidth="1"/>
    <col min="9758" max="9758" width="14.6640625" style="101" customWidth="1"/>
    <col min="9759" max="9759" width="10.5546875" style="101" customWidth="1"/>
    <col min="9760" max="9760" width="6.44140625" style="101" customWidth="1"/>
    <col min="9761" max="9761" width="8.88671875" style="101" customWidth="1"/>
    <col min="9762" max="9762" width="1.5546875" style="101" customWidth="1"/>
    <col min="9763" max="9763" width="13.44140625" style="101" customWidth="1"/>
    <col min="9764" max="9764" width="4" style="101" customWidth="1"/>
    <col min="9765" max="9765" width="8" style="101" customWidth="1"/>
    <col min="9766" max="9766" width="2.6640625" style="101" customWidth="1"/>
    <col min="9767" max="9767" width="10.44140625" style="101" customWidth="1"/>
    <col min="9768" max="9768" width="11" style="101" bestFit="1" customWidth="1"/>
    <col min="9769" max="9769" width="13.5546875" style="101" customWidth="1"/>
    <col min="9770" max="9770" width="11" style="101" bestFit="1" customWidth="1"/>
    <col min="9771" max="9771" width="9.33203125" style="101" bestFit="1" customWidth="1"/>
    <col min="9772" max="9772" width="11" style="101" bestFit="1" customWidth="1"/>
    <col min="9773" max="10004" width="9.109375" style="101"/>
    <col min="10005" max="10005" width="9.6640625" style="101" customWidth="1"/>
    <col min="10006" max="10006" width="12.44140625" style="101" customWidth="1"/>
    <col min="10007" max="10007" width="10.5546875" style="101" customWidth="1"/>
    <col min="10008" max="10008" width="6.44140625" style="101" bestFit="1" customWidth="1"/>
    <col min="10009" max="10009" width="8.88671875" style="101" customWidth="1"/>
    <col min="10010" max="10010" width="1.5546875" style="101" customWidth="1"/>
    <col min="10011" max="10011" width="10.5546875" style="101" customWidth="1"/>
    <col min="10012" max="10012" width="2.6640625" style="101" customWidth="1"/>
    <col min="10013" max="10013" width="9.6640625" style="101" customWidth="1"/>
    <col min="10014" max="10014" width="14.6640625" style="101" customWidth="1"/>
    <col min="10015" max="10015" width="10.5546875" style="101" customWidth="1"/>
    <col min="10016" max="10016" width="6.44140625" style="101" customWidth="1"/>
    <col min="10017" max="10017" width="8.88671875" style="101" customWidth="1"/>
    <col min="10018" max="10018" width="1.5546875" style="101" customWidth="1"/>
    <col min="10019" max="10019" width="13.44140625" style="101" customWidth="1"/>
    <col min="10020" max="10020" width="4" style="101" customWidth="1"/>
    <col min="10021" max="10021" width="8" style="101" customWidth="1"/>
    <col min="10022" max="10022" width="2.6640625" style="101" customWidth="1"/>
    <col min="10023" max="10023" width="10.44140625" style="101" customWidth="1"/>
    <col min="10024" max="10024" width="11" style="101" bestFit="1" customWidth="1"/>
    <col min="10025" max="10025" width="13.5546875" style="101" customWidth="1"/>
    <col min="10026" max="10026" width="11" style="101" bestFit="1" customWidth="1"/>
    <col min="10027" max="10027" width="9.33203125" style="101" bestFit="1" customWidth="1"/>
    <col min="10028" max="10028" width="11" style="101" bestFit="1" customWidth="1"/>
    <col min="10029" max="10260" width="9.109375" style="101"/>
    <col min="10261" max="10261" width="9.6640625" style="101" customWidth="1"/>
    <col min="10262" max="10262" width="12.44140625" style="101" customWidth="1"/>
    <col min="10263" max="10263" width="10.5546875" style="101" customWidth="1"/>
    <col min="10264" max="10264" width="6.44140625" style="101" bestFit="1" customWidth="1"/>
    <col min="10265" max="10265" width="8.88671875" style="101" customWidth="1"/>
    <col min="10266" max="10266" width="1.5546875" style="101" customWidth="1"/>
    <col min="10267" max="10267" width="10.5546875" style="101" customWidth="1"/>
    <col min="10268" max="10268" width="2.6640625" style="101" customWidth="1"/>
    <col min="10269" max="10269" width="9.6640625" style="101" customWidth="1"/>
    <col min="10270" max="10270" width="14.6640625" style="101" customWidth="1"/>
    <col min="10271" max="10271" width="10.5546875" style="101" customWidth="1"/>
    <col min="10272" max="10272" width="6.44140625" style="101" customWidth="1"/>
    <col min="10273" max="10273" width="8.88671875" style="101" customWidth="1"/>
    <col min="10274" max="10274" width="1.5546875" style="101" customWidth="1"/>
    <col min="10275" max="10275" width="13.44140625" style="101" customWidth="1"/>
    <col min="10276" max="10276" width="4" style="101" customWidth="1"/>
    <col min="10277" max="10277" width="8" style="101" customWidth="1"/>
    <col min="10278" max="10278" width="2.6640625" style="101" customWidth="1"/>
    <col min="10279" max="10279" width="10.44140625" style="101" customWidth="1"/>
    <col min="10280" max="10280" width="11" style="101" bestFit="1" customWidth="1"/>
    <col min="10281" max="10281" width="13.5546875" style="101" customWidth="1"/>
    <col min="10282" max="10282" width="11" style="101" bestFit="1" customWidth="1"/>
    <col min="10283" max="10283" width="9.33203125" style="101" bestFit="1" customWidth="1"/>
    <col min="10284" max="10284" width="11" style="101" bestFit="1" customWidth="1"/>
    <col min="10285" max="10516" width="9.109375" style="101"/>
    <col min="10517" max="10517" width="9.6640625" style="101" customWidth="1"/>
    <col min="10518" max="10518" width="12.44140625" style="101" customWidth="1"/>
    <col min="10519" max="10519" width="10.5546875" style="101" customWidth="1"/>
    <col min="10520" max="10520" width="6.44140625" style="101" bestFit="1" customWidth="1"/>
    <col min="10521" max="10521" width="8.88671875" style="101" customWidth="1"/>
    <col min="10522" max="10522" width="1.5546875" style="101" customWidth="1"/>
    <col min="10523" max="10523" width="10.5546875" style="101" customWidth="1"/>
    <col min="10524" max="10524" width="2.6640625" style="101" customWidth="1"/>
    <col min="10525" max="10525" width="9.6640625" style="101" customWidth="1"/>
    <col min="10526" max="10526" width="14.6640625" style="101" customWidth="1"/>
    <col min="10527" max="10527" width="10.5546875" style="101" customWidth="1"/>
    <col min="10528" max="10528" width="6.44140625" style="101" customWidth="1"/>
    <col min="10529" max="10529" width="8.88671875" style="101" customWidth="1"/>
    <col min="10530" max="10530" width="1.5546875" style="101" customWidth="1"/>
    <col min="10531" max="10531" width="13.44140625" style="101" customWidth="1"/>
    <col min="10532" max="10532" width="4" style="101" customWidth="1"/>
    <col min="10533" max="10533" width="8" style="101" customWidth="1"/>
    <col min="10534" max="10534" width="2.6640625" style="101" customWidth="1"/>
    <col min="10535" max="10535" width="10.44140625" style="101" customWidth="1"/>
    <col min="10536" max="10536" width="11" style="101" bestFit="1" customWidth="1"/>
    <col min="10537" max="10537" width="13.5546875" style="101" customWidth="1"/>
    <col min="10538" max="10538" width="11" style="101" bestFit="1" customWidth="1"/>
    <col min="10539" max="10539" width="9.33203125" style="101" bestFit="1" customWidth="1"/>
    <col min="10540" max="10540" width="11" style="101" bestFit="1" customWidth="1"/>
    <col min="10541" max="10772" width="9.109375" style="101"/>
    <col min="10773" max="10773" width="9.6640625" style="101" customWidth="1"/>
    <col min="10774" max="10774" width="12.44140625" style="101" customWidth="1"/>
    <col min="10775" max="10775" width="10.5546875" style="101" customWidth="1"/>
    <col min="10776" max="10776" width="6.44140625" style="101" bestFit="1" customWidth="1"/>
    <col min="10777" max="10777" width="8.88671875" style="101" customWidth="1"/>
    <col min="10778" max="10778" width="1.5546875" style="101" customWidth="1"/>
    <col min="10779" max="10779" width="10.5546875" style="101" customWidth="1"/>
    <col min="10780" max="10780" width="2.6640625" style="101" customWidth="1"/>
    <col min="10781" max="10781" width="9.6640625" style="101" customWidth="1"/>
    <col min="10782" max="10782" width="14.6640625" style="101" customWidth="1"/>
    <col min="10783" max="10783" width="10.5546875" style="101" customWidth="1"/>
    <col min="10784" max="10784" width="6.44140625" style="101" customWidth="1"/>
    <col min="10785" max="10785" width="8.88671875" style="101" customWidth="1"/>
    <col min="10786" max="10786" width="1.5546875" style="101" customWidth="1"/>
    <col min="10787" max="10787" width="13.44140625" style="101" customWidth="1"/>
    <col min="10788" max="10788" width="4" style="101" customWidth="1"/>
    <col min="10789" max="10789" width="8" style="101" customWidth="1"/>
    <col min="10790" max="10790" width="2.6640625" style="101" customWidth="1"/>
    <col min="10791" max="10791" width="10.44140625" style="101" customWidth="1"/>
    <col min="10792" max="10792" width="11" style="101" bestFit="1" customWidth="1"/>
    <col min="10793" max="10793" width="13.5546875" style="101" customWidth="1"/>
    <col min="10794" max="10794" width="11" style="101" bestFit="1" customWidth="1"/>
    <col min="10795" max="10795" width="9.33203125" style="101" bestFit="1" customWidth="1"/>
    <col min="10796" max="10796" width="11" style="101" bestFit="1" customWidth="1"/>
    <col min="10797" max="11028" width="9.109375" style="101"/>
    <col min="11029" max="11029" width="9.6640625" style="101" customWidth="1"/>
    <col min="11030" max="11030" width="12.44140625" style="101" customWidth="1"/>
    <col min="11031" max="11031" width="10.5546875" style="101" customWidth="1"/>
    <col min="11032" max="11032" width="6.44140625" style="101" bestFit="1" customWidth="1"/>
    <col min="11033" max="11033" width="8.88671875" style="101" customWidth="1"/>
    <col min="11034" max="11034" width="1.5546875" style="101" customWidth="1"/>
    <col min="11035" max="11035" width="10.5546875" style="101" customWidth="1"/>
    <col min="11036" max="11036" width="2.6640625" style="101" customWidth="1"/>
    <col min="11037" max="11037" width="9.6640625" style="101" customWidth="1"/>
    <col min="11038" max="11038" width="14.6640625" style="101" customWidth="1"/>
    <col min="11039" max="11039" width="10.5546875" style="101" customWidth="1"/>
    <col min="11040" max="11040" width="6.44140625" style="101" customWidth="1"/>
    <col min="11041" max="11041" width="8.88671875" style="101" customWidth="1"/>
    <col min="11042" max="11042" width="1.5546875" style="101" customWidth="1"/>
    <col min="11043" max="11043" width="13.44140625" style="101" customWidth="1"/>
    <col min="11044" max="11044" width="4" style="101" customWidth="1"/>
    <col min="11045" max="11045" width="8" style="101" customWidth="1"/>
    <col min="11046" max="11046" width="2.6640625" style="101" customWidth="1"/>
    <col min="11047" max="11047" width="10.44140625" style="101" customWidth="1"/>
    <col min="11048" max="11048" width="11" style="101" bestFit="1" customWidth="1"/>
    <col min="11049" max="11049" width="13.5546875" style="101" customWidth="1"/>
    <col min="11050" max="11050" width="11" style="101" bestFit="1" customWidth="1"/>
    <col min="11051" max="11051" width="9.33203125" style="101" bestFit="1" customWidth="1"/>
    <col min="11052" max="11052" width="11" style="101" bestFit="1" customWidth="1"/>
    <col min="11053" max="11284" width="9.109375" style="101"/>
    <col min="11285" max="11285" width="9.6640625" style="101" customWidth="1"/>
    <col min="11286" max="11286" width="12.44140625" style="101" customWidth="1"/>
    <col min="11287" max="11287" width="10.5546875" style="101" customWidth="1"/>
    <col min="11288" max="11288" width="6.44140625" style="101" bestFit="1" customWidth="1"/>
    <col min="11289" max="11289" width="8.88671875" style="101" customWidth="1"/>
    <col min="11290" max="11290" width="1.5546875" style="101" customWidth="1"/>
    <col min="11291" max="11291" width="10.5546875" style="101" customWidth="1"/>
    <col min="11292" max="11292" width="2.6640625" style="101" customWidth="1"/>
    <col min="11293" max="11293" width="9.6640625" style="101" customWidth="1"/>
    <col min="11294" max="11294" width="14.6640625" style="101" customWidth="1"/>
    <col min="11295" max="11295" width="10.5546875" style="101" customWidth="1"/>
    <col min="11296" max="11296" width="6.44140625" style="101" customWidth="1"/>
    <col min="11297" max="11297" width="8.88671875" style="101" customWidth="1"/>
    <col min="11298" max="11298" width="1.5546875" style="101" customWidth="1"/>
    <col min="11299" max="11299" width="13.44140625" style="101" customWidth="1"/>
    <col min="11300" max="11300" width="4" style="101" customWidth="1"/>
    <col min="11301" max="11301" width="8" style="101" customWidth="1"/>
    <col min="11302" max="11302" width="2.6640625" style="101" customWidth="1"/>
    <col min="11303" max="11303" width="10.44140625" style="101" customWidth="1"/>
    <col min="11304" max="11304" width="11" style="101" bestFit="1" customWidth="1"/>
    <col min="11305" max="11305" width="13.5546875" style="101" customWidth="1"/>
    <col min="11306" max="11306" width="11" style="101" bestFit="1" customWidth="1"/>
    <col min="11307" max="11307" width="9.33203125" style="101" bestFit="1" customWidth="1"/>
    <col min="11308" max="11308" width="11" style="101" bestFit="1" customWidth="1"/>
    <col min="11309" max="11540" width="9.109375" style="101"/>
    <col min="11541" max="11541" width="9.6640625" style="101" customWidth="1"/>
    <col min="11542" max="11542" width="12.44140625" style="101" customWidth="1"/>
    <col min="11543" max="11543" width="10.5546875" style="101" customWidth="1"/>
    <col min="11544" max="11544" width="6.44140625" style="101" bestFit="1" customWidth="1"/>
    <col min="11545" max="11545" width="8.88671875" style="101" customWidth="1"/>
    <col min="11546" max="11546" width="1.5546875" style="101" customWidth="1"/>
    <col min="11547" max="11547" width="10.5546875" style="101" customWidth="1"/>
    <col min="11548" max="11548" width="2.6640625" style="101" customWidth="1"/>
    <col min="11549" max="11549" width="9.6640625" style="101" customWidth="1"/>
    <col min="11550" max="11550" width="14.6640625" style="101" customWidth="1"/>
    <col min="11551" max="11551" width="10.5546875" style="101" customWidth="1"/>
    <col min="11552" max="11552" width="6.44140625" style="101" customWidth="1"/>
    <col min="11553" max="11553" width="8.88671875" style="101" customWidth="1"/>
    <col min="11554" max="11554" width="1.5546875" style="101" customWidth="1"/>
    <col min="11555" max="11555" width="13.44140625" style="101" customWidth="1"/>
    <col min="11556" max="11556" width="4" style="101" customWidth="1"/>
    <col min="11557" max="11557" width="8" style="101" customWidth="1"/>
    <col min="11558" max="11558" width="2.6640625" style="101" customWidth="1"/>
    <col min="11559" max="11559" width="10.44140625" style="101" customWidth="1"/>
    <col min="11560" max="11560" width="11" style="101" bestFit="1" customWidth="1"/>
    <col min="11561" max="11561" width="13.5546875" style="101" customWidth="1"/>
    <col min="11562" max="11562" width="11" style="101" bestFit="1" customWidth="1"/>
    <col min="11563" max="11563" width="9.33203125" style="101" bestFit="1" customWidth="1"/>
    <col min="11564" max="11564" width="11" style="101" bestFit="1" customWidth="1"/>
    <col min="11565" max="11796" width="9.109375" style="101"/>
    <col min="11797" max="11797" width="9.6640625" style="101" customWidth="1"/>
    <col min="11798" max="11798" width="12.44140625" style="101" customWidth="1"/>
    <col min="11799" max="11799" width="10.5546875" style="101" customWidth="1"/>
    <col min="11800" max="11800" width="6.44140625" style="101" bestFit="1" customWidth="1"/>
    <col min="11801" max="11801" width="8.88671875" style="101" customWidth="1"/>
    <col min="11802" max="11802" width="1.5546875" style="101" customWidth="1"/>
    <col min="11803" max="11803" width="10.5546875" style="101" customWidth="1"/>
    <col min="11804" max="11804" width="2.6640625" style="101" customWidth="1"/>
    <col min="11805" max="11805" width="9.6640625" style="101" customWidth="1"/>
    <col min="11806" max="11806" width="14.6640625" style="101" customWidth="1"/>
    <col min="11807" max="11807" width="10.5546875" style="101" customWidth="1"/>
    <col min="11808" max="11808" width="6.44140625" style="101" customWidth="1"/>
    <col min="11809" max="11809" width="8.88671875" style="101" customWidth="1"/>
    <col min="11810" max="11810" width="1.5546875" style="101" customWidth="1"/>
    <col min="11811" max="11811" width="13.44140625" style="101" customWidth="1"/>
    <col min="11812" max="11812" width="4" style="101" customWidth="1"/>
    <col min="11813" max="11813" width="8" style="101" customWidth="1"/>
    <col min="11814" max="11814" width="2.6640625" style="101" customWidth="1"/>
    <col min="11815" max="11815" width="10.44140625" style="101" customWidth="1"/>
    <col min="11816" max="11816" width="11" style="101" bestFit="1" customWidth="1"/>
    <col min="11817" max="11817" width="13.5546875" style="101" customWidth="1"/>
    <col min="11818" max="11818" width="11" style="101" bestFit="1" customWidth="1"/>
    <col min="11819" max="11819" width="9.33203125" style="101" bestFit="1" customWidth="1"/>
    <col min="11820" max="11820" width="11" style="101" bestFit="1" customWidth="1"/>
    <col min="11821" max="12052" width="9.109375" style="101"/>
    <col min="12053" max="12053" width="9.6640625" style="101" customWidth="1"/>
    <col min="12054" max="12054" width="12.44140625" style="101" customWidth="1"/>
    <col min="12055" max="12055" width="10.5546875" style="101" customWidth="1"/>
    <col min="12056" max="12056" width="6.44140625" style="101" bestFit="1" customWidth="1"/>
    <col min="12057" max="12057" width="8.88671875" style="101" customWidth="1"/>
    <col min="12058" max="12058" width="1.5546875" style="101" customWidth="1"/>
    <col min="12059" max="12059" width="10.5546875" style="101" customWidth="1"/>
    <col min="12060" max="12060" width="2.6640625" style="101" customWidth="1"/>
    <col min="12061" max="12061" width="9.6640625" style="101" customWidth="1"/>
    <col min="12062" max="12062" width="14.6640625" style="101" customWidth="1"/>
    <col min="12063" max="12063" width="10.5546875" style="101" customWidth="1"/>
    <col min="12064" max="12064" width="6.44140625" style="101" customWidth="1"/>
    <col min="12065" max="12065" width="8.88671875" style="101" customWidth="1"/>
    <col min="12066" max="12066" width="1.5546875" style="101" customWidth="1"/>
    <col min="12067" max="12067" width="13.44140625" style="101" customWidth="1"/>
    <col min="12068" max="12068" width="4" style="101" customWidth="1"/>
    <col min="12069" max="12069" width="8" style="101" customWidth="1"/>
    <col min="12070" max="12070" width="2.6640625" style="101" customWidth="1"/>
    <col min="12071" max="12071" width="10.44140625" style="101" customWidth="1"/>
    <col min="12072" max="12072" width="11" style="101" bestFit="1" customWidth="1"/>
    <col min="12073" max="12073" width="13.5546875" style="101" customWidth="1"/>
    <col min="12074" max="12074" width="11" style="101" bestFit="1" customWidth="1"/>
    <col min="12075" max="12075" width="9.33203125" style="101" bestFit="1" customWidth="1"/>
    <col min="12076" max="12076" width="11" style="101" bestFit="1" customWidth="1"/>
    <col min="12077" max="12308" width="9.109375" style="101"/>
    <col min="12309" max="12309" width="9.6640625" style="101" customWidth="1"/>
    <col min="12310" max="12310" width="12.44140625" style="101" customWidth="1"/>
    <col min="12311" max="12311" width="10.5546875" style="101" customWidth="1"/>
    <col min="12312" max="12312" width="6.44140625" style="101" bestFit="1" customWidth="1"/>
    <col min="12313" max="12313" width="8.88671875" style="101" customWidth="1"/>
    <col min="12314" max="12314" width="1.5546875" style="101" customWidth="1"/>
    <col min="12315" max="12315" width="10.5546875" style="101" customWidth="1"/>
    <col min="12316" max="12316" width="2.6640625" style="101" customWidth="1"/>
    <col min="12317" max="12317" width="9.6640625" style="101" customWidth="1"/>
    <col min="12318" max="12318" width="14.6640625" style="101" customWidth="1"/>
    <col min="12319" max="12319" width="10.5546875" style="101" customWidth="1"/>
    <col min="12320" max="12320" width="6.44140625" style="101" customWidth="1"/>
    <col min="12321" max="12321" width="8.88671875" style="101" customWidth="1"/>
    <col min="12322" max="12322" width="1.5546875" style="101" customWidth="1"/>
    <col min="12323" max="12323" width="13.44140625" style="101" customWidth="1"/>
    <col min="12324" max="12324" width="4" style="101" customWidth="1"/>
    <col min="12325" max="12325" width="8" style="101" customWidth="1"/>
    <col min="12326" max="12326" width="2.6640625" style="101" customWidth="1"/>
    <col min="12327" max="12327" width="10.44140625" style="101" customWidth="1"/>
    <col min="12328" max="12328" width="11" style="101" bestFit="1" customWidth="1"/>
    <col min="12329" max="12329" width="13.5546875" style="101" customWidth="1"/>
    <col min="12330" max="12330" width="11" style="101" bestFit="1" customWidth="1"/>
    <col min="12331" max="12331" width="9.33203125" style="101" bestFit="1" customWidth="1"/>
    <col min="12332" max="12332" width="11" style="101" bestFit="1" customWidth="1"/>
    <col min="12333" max="12564" width="9.109375" style="101"/>
    <col min="12565" max="12565" width="9.6640625" style="101" customWidth="1"/>
    <col min="12566" max="12566" width="12.44140625" style="101" customWidth="1"/>
    <col min="12567" max="12567" width="10.5546875" style="101" customWidth="1"/>
    <col min="12568" max="12568" width="6.44140625" style="101" bestFit="1" customWidth="1"/>
    <col min="12569" max="12569" width="8.88671875" style="101" customWidth="1"/>
    <col min="12570" max="12570" width="1.5546875" style="101" customWidth="1"/>
    <col min="12571" max="12571" width="10.5546875" style="101" customWidth="1"/>
    <col min="12572" max="12572" width="2.6640625" style="101" customWidth="1"/>
    <col min="12573" max="12573" width="9.6640625" style="101" customWidth="1"/>
    <col min="12574" max="12574" width="14.6640625" style="101" customWidth="1"/>
    <col min="12575" max="12575" width="10.5546875" style="101" customWidth="1"/>
    <col min="12576" max="12576" width="6.44140625" style="101" customWidth="1"/>
    <col min="12577" max="12577" width="8.88671875" style="101" customWidth="1"/>
    <col min="12578" max="12578" width="1.5546875" style="101" customWidth="1"/>
    <col min="12579" max="12579" width="13.44140625" style="101" customWidth="1"/>
    <col min="12580" max="12580" width="4" style="101" customWidth="1"/>
    <col min="12581" max="12581" width="8" style="101" customWidth="1"/>
    <col min="12582" max="12582" width="2.6640625" style="101" customWidth="1"/>
    <col min="12583" max="12583" width="10.44140625" style="101" customWidth="1"/>
    <col min="12584" max="12584" width="11" style="101" bestFit="1" customWidth="1"/>
    <col min="12585" max="12585" width="13.5546875" style="101" customWidth="1"/>
    <col min="12586" max="12586" width="11" style="101" bestFit="1" customWidth="1"/>
    <col min="12587" max="12587" width="9.33203125" style="101" bestFit="1" customWidth="1"/>
    <col min="12588" max="12588" width="11" style="101" bestFit="1" customWidth="1"/>
    <col min="12589" max="12820" width="9.109375" style="101"/>
    <col min="12821" max="12821" width="9.6640625" style="101" customWidth="1"/>
    <col min="12822" max="12822" width="12.44140625" style="101" customWidth="1"/>
    <col min="12823" max="12823" width="10.5546875" style="101" customWidth="1"/>
    <col min="12824" max="12824" width="6.44140625" style="101" bestFit="1" customWidth="1"/>
    <col min="12825" max="12825" width="8.88671875" style="101" customWidth="1"/>
    <col min="12826" max="12826" width="1.5546875" style="101" customWidth="1"/>
    <col min="12827" max="12827" width="10.5546875" style="101" customWidth="1"/>
    <col min="12828" max="12828" width="2.6640625" style="101" customWidth="1"/>
    <col min="12829" max="12829" width="9.6640625" style="101" customWidth="1"/>
    <col min="12830" max="12830" width="14.6640625" style="101" customWidth="1"/>
    <col min="12831" max="12831" width="10.5546875" style="101" customWidth="1"/>
    <col min="12832" max="12832" width="6.44140625" style="101" customWidth="1"/>
    <col min="12833" max="12833" width="8.88671875" style="101" customWidth="1"/>
    <col min="12834" max="12834" width="1.5546875" style="101" customWidth="1"/>
    <col min="12835" max="12835" width="13.44140625" style="101" customWidth="1"/>
    <col min="12836" max="12836" width="4" style="101" customWidth="1"/>
    <col min="12837" max="12837" width="8" style="101" customWidth="1"/>
    <col min="12838" max="12838" width="2.6640625" style="101" customWidth="1"/>
    <col min="12839" max="12839" width="10.44140625" style="101" customWidth="1"/>
    <col min="12840" max="12840" width="11" style="101" bestFit="1" customWidth="1"/>
    <col min="12841" max="12841" width="13.5546875" style="101" customWidth="1"/>
    <col min="12842" max="12842" width="11" style="101" bestFit="1" customWidth="1"/>
    <col min="12843" max="12843" width="9.33203125" style="101" bestFit="1" customWidth="1"/>
    <col min="12844" max="12844" width="11" style="101" bestFit="1" customWidth="1"/>
    <col min="12845" max="13076" width="9.109375" style="101"/>
    <col min="13077" max="13077" width="9.6640625" style="101" customWidth="1"/>
    <col min="13078" max="13078" width="12.44140625" style="101" customWidth="1"/>
    <col min="13079" max="13079" width="10.5546875" style="101" customWidth="1"/>
    <col min="13080" max="13080" width="6.44140625" style="101" bestFit="1" customWidth="1"/>
    <col min="13081" max="13081" width="8.88671875" style="101" customWidth="1"/>
    <col min="13082" max="13082" width="1.5546875" style="101" customWidth="1"/>
    <col min="13083" max="13083" width="10.5546875" style="101" customWidth="1"/>
    <col min="13084" max="13084" width="2.6640625" style="101" customWidth="1"/>
    <col min="13085" max="13085" width="9.6640625" style="101" customWidth="1"/>
    <col min="13086" max="13086" width="14.6640625" style="101" customWidth="1"/>
    <col min="13087" max="13087" width="10.5546875" style="101" customWidth="1"/>
    <col min="13088" max="13088" width="6.44140625" style="101" customWidth="1"/>
    <col min="13089" max="13089" width="8.88671875" style="101" customWidth="1"/>
    <col min="13090" max="13090" width="1.5546875" style="101" customWidth="1"/>
    <col min="13091" max="13091" width="13.44140625" style="101" customWidth="1"/>
    <col min="13092" max="13092" width="4" style="101" customWidth="1"/>
    <col min="13093" max="13093" width="8" style="101" customWidth="1"/>
    <col min="13094" max="13094" width="2.6640625" style="101" customWidth="1"/>
    <col min="13095" max="13095" width="10.44140625" style="101" customWidth="1"/>
    <col min="13096" max="13096" width="11" style="101" bestFit="1" customWidth="1"/>
    <col min="13097" max="13097" width="13.5546875" style="101" customWidth="1"/>
    <col min="13098" max="13098" width="11" style="101" bestFit="1" customWidth="1"/>
    <col min="13099" max="13099" width="9.33203125" style="101" bestFit="1" customWidth="1"/>
    <col min="13100" max="13100" width="11" style="101" bestFit="1" customWidth="1"/>
    <col min="13101" max="13332" width="9.109375" style="101"/>
    <col min="13333" max="13333" width="9.6640625" style="101" customWidth="1"/>
    <col min="13334" max="13334" width="12.44140625" style="101" customWidth="1"/>
    <col min="13335" max="13335" width="10.5546875" style="101" customWidth="1"/>
    <col min="13336" max="13336" width="6.44140625" style="101" bestFit="1" customWidth="1"/>
    <col min="13337" max="13337" width="8.88671875" style="101" customWidth="1"/>
    <col min="13338" max="13338" width="1.5546875" style="101" customWidth="1"/>
    <col min="13339" max="13339" width="10.5546875" style="101" customWidth="1"/>
    <col min="13340" max="13340" width="2.6640625" style="101" customWidth="1"/>
    <col min="13341" max="13341" width="9.6640625" style="101" customWidth="1"/>
    <col min="13342" max="13342" width="14.6640625" style="101" customWidth="1"/>
    <col min="13343" max="13343" width="10.5546875" style="101" customWidth="1"/>
    <col min="13344" max="13344" width="6.44140625" style="101" customWidth="1"/>
    <col min="13345" max="13345" width="8.88671875" style="101" customWidth="1"/>
    <col min="13346" max="13346" width="1.5546875" style="101" customWidth="1"/>
    <col min="13347" max="13347" width="13.44140625" style="101" customWidth="1"/>
    <col min="13348" max="13348" width="4" style="101" customWidth="1"/>
    <col min="13349" max="13349" width="8" style="101" customWidth="1"/>
    <col min="13350" max="13350" width="2.6640625" style="101" customWidth="1"/>
    <col min="13351" max="13351" width="10.44140625" style="101" customWidth="1"/>
    <col min="13352" max="13352" width="11" style="101" bestFit="1" customWidth="1"/>
    <col min="13353" max="13353" width="13.5546875" style="101" customWidth="1"/>
    <col min="13354" max="13354" width="11" style="101" bestFit="1" customWidth="1"/>
    <col min="13355" max="13355" width="9.33203125" style="101" bestFit="1" customWidth="1"/>
    <col min="13356" max="13356" width="11" style="101" bestFit="1" customWidth="1"/>
    <col min="13357" max="13588" width="9.109375" style="101"/>
    <col min="13589" max="13589" width="9.6640625" style="101" customWidth="1"/>
    <col min="13590" max="13590" width="12.44140625" style="101" customWidth="1"/>
    <col min="13591" max="13591" width="10.5546875" style="101" customWidth="1"/>
    <col min="13592" max="13592" width="6.44140625" style="101" bestFit="1" customWidth="1"/>
    <col min="13593" max="13593" width="8.88671875" style="101" customWidth="1"/>
    <col min="13594" max="13594" width="1.5546875" style="101" customWidth="1"/>
    <col min="13595" max="13595" width="10.5546875" style="101" customWidth="1"/>
    <col min="13596" max="13596" width="2.6640625" style="101" customWidth="1"/>
    <col min="13597" max="13597" width="9.6640625" style="101" customWidth="1"/>
    <col min="13598" max="13598" width="14.6640625" style="101" customWidth="1"/>
    <col min="13599" max="13599" width="10.5546875" style="101" customWidth="1"/>
    <col min="13600" max="13600" width="6.44140625" style="101" customWidth="1"/>
    <col min="13601" max="13601" width="8.88671875" style="101" customWidth="1"/>
    <col min="13602" max="13602" width="1.5546875" style="101" customWidth="1"/>
    <col min="13603" max="13603" width="13.44140625" style="101" customWidth="1"/>
    <col min="13604" max="13604" width="4" style="101" customWidth="1"/>
    <col min="13605" max="13605" width="8" style="101" customWidth="1"/>
    <col min="13606" max="13606" width="2.6640625" style="101" customWidth="1"/>
    <col min="13607" max="13607" width="10.44140625" style="101" customWidth="1"/>
    <col min="13608" max="13608" width="11" style="101" bestFit="1" customWidth="1"/>
    <col min="13609" max="13609" width="13.5546875" style="101" customWidth="1"/>
    <col min="13610" max="13610" width="11" style="101" bestFit="1" customWidth="1"/>
    <col min="13611" max="13611" width="9.33203125" style="101" bestFit="1" customWidth="1"/>
    <col min="13612" max="13612" width="11" style="101" bestFit="1" customWidth="1"/>
    <col min="13613" max="13844" width="9.109375" style="101"/>
    <col min="13845" max="13845" width="9.6640625" style="101" customWidth="1"/>
    <col min="13846" max="13846" width="12.44140625" style="101" customWidth="1"/>
    <col min="13847" max="13847" width="10.5546875" style="101" customWidth="1"/>
    <col min="13848" max="13848" width="6.44140625" style="101" bestFit="1" customWidth="1"/>
    <col min="13849" max="13849" width="8.88671875" style="101" customWidth="1"/>
    <col min="13850" max="13850" width="1.5546875" style="101" customWidth="1"/>
    <col min="13851" max="13851" width="10.5546875" style="101" customWidth="1"/>
    <col min="13852" max="13852" width="2.6640625" style="101" customWidth="1"/>
    <col min="13853" max="13853" width="9.6640625" style="101" customWidth="1"/>
    <col min="13854" max="13854" width="14.6640625" style="101" customWidth="1"/>
    <col min="13855" max="13855" width="10.5546875" style="101" customWidth="1"/>
    <col min="13856" max="13856" width="6.44140625" style="101" customWidth="1"/>
    <col min="13857" max="13857" width="8.88671875" style="101" customWidth="1"/>
    <col min="13858" max="13858" width="1.5546875" style="101" customWidth="1"/>
    <col min="13859" max="13859" width="13.44140625" style="101" customWidth="1"/>
    <col min="13860" max="13860" width="4" style="101" customWidth="1"/>
    <col min="13861" max="13861" width="8" style="101" customWidth="1"/>
    <col min="13862" max="13862" width="2.6640625" style="101" customWidth="1"/>
    <col min="13863" max="13863" width="10.44140625" style="101" customWidth="1"/>
    <col min="13864" max="13864" width="11" style="101" bestFit="1" customWidth="1"/>
    <col min="13865" max="13865" width="13.5546875" style="101" customWidth="1"/>
    <col min="13866" max="13866" width="11" style="101" bestFit="1" customWidth="1"/>
    <col min="13867" max="13867" width="9.33203125" style="101" bestFit="1" customWidth="1"/>
    <col min="13868" max="13868" width="11" style="101" bestFit="1" customWidth="1"/>
    <col min="13869" max="14100" width="9.109375" style="101"/>
    <col min="14101" max="14101" width="9.6640625" style="101" customWidth="1"/>
    <col min="14102" max="14102" width="12.44140625" style="101" customWidth="1"/>
    <col min="14103" max="14103" width="10.5546875" style="101" customWidth="1"/>
    <col min="14104" max="14104" width="6.44140625" style="101" bestFit="1" customWidth="1"/>
    <col min="14105" max="14105" width="8.88671875" style="101" customWidth="1"/>
    <col min="14106" max="14106" width="1.5546875" style="101" customWidth="1"/>
    <col min="14107" max="14107" width="10.5546875" style="101" customWidth="1"/>
    <col min="14108" max="14108" width="2.6640625" style="101" customWidth="1"/>
    <col min="14109" max="14109" width="9.6640625" style="101" customWidth="1"/>
    <col min="14110" max="14110" width="14.6640625" style="101" customWidth="1"/>
    <col min="14111" max="14111" width="10.5546875" style="101" customWidth="1"/>
    <col min="14112" max="14112" width="6.44140625" style="101" customWidth="1"/>
    <col min="14113" max="14113" width="8.88671875" style="101" customWidth="1"/>
    <col min="14114" max="14114" width="1.5546875" style="101" customWidth="1"/>
    <col min="14115" max="14115" width="13.44140625" style="101" customWidth="1"/>
    <col min="14116" max="14116" width="4" style="101" customWidth="1"/>
    <col min="14117" max="14117" width="8" style="101" customWidth="1"/>
    <col min="14118" max="14118" width="2.6640625" style="101" customWidth="1"/>
    <col min="14119" max="14119" width="10.44140625" style="101" customWidth="1"/>
    <col min="14120" max="14120" width="11" style="101" bestFit="1" customWidth="1"/>
    <col min="14121" max="14121" width="13.5546875" style="101" customWidth="1"/>
    <col min="14122" max="14122" width="11" style="101" bestFit="1" customWidth="1"/>
    <col min="14123" max="14123" width="9.33203125" style="101" bestFit="1" customWidth="1"/>
    <col min="14124" max="14124" width="11" style="101" bestFit="1" customWidth="1"/>
    <col min="14125" max="14356" width="9.109375" style="101"/>
    <col min="14357" max="14357" width="9.6640625" style="101" customWidth="1"/>
    <col min="14358" max="14358" width="12.44140625" style="101" customWidth="1"/>
    <col min="14359" max="14359" width="10.5546875" style="101" customWidth="1"/>
    <col min="14360" max="14360" width="6.44140625" style="101" bestFit="1" customWidth="1"/>
    <col min="14361" max="14361" width="8.88671875" style="101" customWidth="1"/>
    <col min="14362" max="14362" width="1.5546875" style="101" customWidth="1"/>
    <col min="14363" max="14363" width="10.5546875" style="101" customWidth="1"/>
    <col min="14364" max="14364" width="2.6640625" style="101" customWidth="1"/>
    <col min="14365" max="14365" width="9.6640625" style="101" customWidth="1"/>
    <col min="14366" max="14366" width="14.6640625" style="101" customWidth="1"/>
    <col min="14367" max="14367" width="10.5546875" style="101" customWidth="1"/>
    <col min="14368" max="14368" width="6.44140625" style="101" customWidth="1"/>
    <col min="14369" max="14369" width="8.88671875" style="101" customWidth="1"/>
    <col min="14370" max="14370" width="1.5546875" style="101" customWidth="1"/>
    <col min="14371" max="14371" width="13.44140625" style="101" customWidth="1"/>
    <col min="14372" max="14372" width="4" style="101" customWidth="1"/>
    <col min="14373" max="14373" width="8" style="101" customWidth="1"/>
    <col min="14374" max="14374" width="2.6640625" style="101" customWidth="1"/>
    <col min="14375" max="14375" width="10.44140625" style="101" customWidth="1"/>
    <col min="14376" max="14376" width="11" style="101" bestFit="1" customWidth="1"/>
    <col min="14377" max="14377" width="13.5546875" style="101" customWidth="1"/>
    <col min="14378" max="14378" width="11" style="101" bestFit="1" customWidth="1"/>
    <col min="14379" max="14379" width="9.33203125" style="101" bestFit="1" customWidth="1"/>
    <col min="14380" max="14380" width="11" style="101" bestFit="1" customWidth="1"/>
    <col min="14381" max="14612" width="9.109375" style="101"/>
    <col min="14613" max="14613" width="9.6640625" style="101" customWidth="1"/>
    <col min="14614" max="14614" width="12.44140625" style="101" customWidth="1"/>
    <col min="14615" max="14615" width="10.5546875" style="101" customWidth="1"/>
    <col min="14616" max="14616" width="6.44140625" style="101" bestFit="1" customWidth="1"/>
    <col min="14617" max="14617" width="8.88671875" style="101" customWidth="1"/>
    <col min="14618" max="14618" width="1.5546875" style="101" customWidth="1"/>
    <col min="14619" max="14619" width="10.5546875" style="101" customWidth="1"/>
    <col min="14620" max="14620" width="2.6640625" style="101" customWidth="1"/>
    <col min="14621" max="14621" width="9.6640625" style="101" customWidth="1"/>
    <col min="14622" max="14622" width="14.6640625" style="101" customWidth="1"/>
    <col min="14623" max="14623" width="10.5546875" style="101" customWidth="1"/>
    <col min="14624" max="14624" width="6.44140625" style="101" customWidth="1"/>
    <col min="14625" max="14625" width="8.88671875" style="101" customWidth="1"/>
    <col min="14626" max="14626" width="1.5546875" style="101" customWidth="1"/>
    <col min="14627" max="14627" width="13.44140625" style="101" customWidth="1"/>
    <col min="14628" max="14628" width="4" style="101" customWidth="1"/>
    <col min="14629" max="14629" width="8" style="101" customWidth="1"/>
    <col min="14630" max="14630" width="2.6640625" style="101" customWidth="1"/>
    <col min="14631" max="14631" width="10.44140625" style="101" customWidth="1"/>
    <col min="14632" max="14632" width="11" style="101" bestFit="1" customWidth="1"/>
    <col min="14633" max="14633" width="13.5546875" style="101" customWidth="1"/>
    <col min="14634" max="14634" width="11" style="101" bestFit="1" customWidth="1"/>
    <col min="14635" max="14635" width="9.33203125" style="101" bestFit="1" customWidth="1"/>
    <col min="14636" max="14636" width="11" style="101" bestFit="1" customWidth="1"/>
    <col min="14637" max="14868" width="9.109375" style="101"/>
    <col min="14869" max="14869" width="9.6640625" style="101" customWidth="1"/>
    <col min="14870" max="14870" width="12.44140625" style="101" customWidth="1"/>
    <col min="14871" max="14871" width="10.5546875" style="101" customWidth="1"/>
    <col min="14872" max="14872" width="6.44140625" style="101" bestFit="1" customWidth="1"/>
    <col min="14873" max="14873" width="8.88671875" style="101" customWidth="1"/>
    <col min="14874" max="14874" width="1.5546875" style="101" customWidth="1"/>
    <col min="14875" max="14875" width="10.5546875" style="101" customWidth="1"/>
    <col min="14876" max="14876" width="2.6640625" style="101" customWidth="1"/>
    <col min="14877" max="14877" width="9.6640625" style="101" customWidth="1"/>
    <col min="14878" max="14878" width="14.6640625" style="101" customWidth="1"/>
    <col min="14879" max="14879" width="10.5546875" style="101" customWidth="1"/>
    <col min="14880" max="14880" width="6.44140625" style="101" customWidth="1"/>
    <col min="14881" max="14881" width="8.88671875" style="101" customWidth="1"/>
    <col min="14882" max="14882" width="1.5546875" style="101" customWidth="1"/>
    <col min="14883" max="14883" width="13.44140625" style="101" customWidth="1"/>
    <col min="14884" max="14884" width="4" style="101" customWidth="1"/>
    <col min="14885" max="14885" width="8" style="101" customWidth="1"/>
    <col min="14886" max="14886" width="2.6640625" style="101" customWidth="1"/>
    <col min="14887" max="14887" width="10.44140625" style="101" customWidth="1"/>
    <col min="14888" max="14888" width="11" style="101" bestFit="1" customWidth="1"/>
    <col min="14889" max="14889" width="13.5546875" style="101" customWidth="1"/>
    <col min="14890" max="14890" width="11" style="101" bestFit="1" customWidth="1"/>
    <col min="14891" max="14891" width="9.33203125" style="101" bestFit="1" customWidth="1"/>
    <col min="14892" max="14892" width="11" style="101" bestFit="1" customWidth="1"/>
    <col min="14893" max="15124" width="9.109375" style="101"/>
    <col min="15125" max="15125" width="9.6640625" style="101" customWidth="1"/>
    <col min="15126" max="15126" width="12.44140625" style="101" customWidth="1"/>
    <col min="15127" max="15127" width="10.5546875" style="101" customWidth="1"/>
    <col min="15128" max="15128" width="6.44140625" style="101" bestFit="1" customWidth="1"/>
    <col min="15129" max="15129" width="8.88671875" style="101" customWidth="1"/>
    <col min="15130" max="15130" width="1.5546875" style="101" customWidth="1"/>
    <col min="15131" max="15131" width="10.5546875" style="101" customWidth="1"/>
    <col min="15132" max="15132" width="2.6640625" style="101" customWidth="1"/>
    <col min="15133" max="15133" width="9.6640625" style="101" customWidth="1"/>
    <col min="15134" max="15134" width="14.6640625" style="101" customWidth="1"/>
    <col min="15135" max="15135" width="10.5546875" style="101" customWidth="1"/>
    <col min="15136" max="15136" width="6.44140625" style="101" customWidth="1"/>
    <col min="15137" max="15137" width="8.88671875" style="101" customWidth="1"/>
    <col min="15138" max="15138" width="1.5546875" style="101" customWidth="1"/>
    <col min="15139" max="15139" width="13.44140625" style="101" customWidth="1"/>
    <col min="15140" max="15140" width="4" style="101" customWidth="1"/>
    <col min="15141" max="15141" width="8" style="101" customWidth="1"/>
    <col min="15142" max="15142" width="2.6640625" style="101" customWidth="1"/>
    <col min="15143" max="15143" width="10.44140625" style="101" customWidth="1"/>
    <col min="15144" max="15144" width="11" style="101" bestFit="1" customWidth="1"/>
    <col min="15145" max="15145" width="13.5546875" style="101" customWidth="1"/>
    <col min="15146" max="15146" width="11" style="101" bestFit="1" customWidth="1"/>
    <col min="15147" max="15147" width="9.33203125" style="101" bestFit="1" customWidth="1"/>
    <col min="15148" max="15148" width="11" style="101" bestFit="1" customWidth="1"/>
    <col min="15149" max="15380" width="9.109375" style="101"/>
    <col min="15381" max="15381" width="9.6640625" style="101" customWidth="1"/>
    <col min="15382" max="15382" width="12.44140625" style="101" customWidth="1"/>
    <col min="15383" max="15383" width="10.5546875" style="101" customWidth="1"/>
    <col min="15384" max="15384" width="6.44140625" style="101" bestFit="1" customWidth="1"/>
    <col min="15385" max="15385" width="8.88671875" style="101" customWidth="1"/>
    <col min="15386" max="15386" width="1.5546875" style="101" customWidth="1"/>
    <col min="15387" max="15387" width="10.5546875" style="101" customWidth="1"/>
    <col min="15388" max="15388" width="2.6640625" style="101" customWidth="1"/>
    <col min="15389" max="15389" width="9.6640625" style="101" customWidth="1"/>
    <col min="15390" max="15390" width="14.6640625" style="101" customWidth="1"/>
    <col min="15391" max="15391" width="10.5546875" style="101" customWidth="1"/>
    <col min="15392" max="15392" width="6.44140625" style="101" customWidth="1"/>
    <col min="15393" max="15393" width="8.88671875" style="101" customWidth="1"/>
    <col min="15394" max="15394" width="1.5546875" style="101" customWidth="1"/>
    <col min="15395" max="15395" width="13.44140625" style="101" customWidth="1"/>
    <col min="15396" max="15396" width="4" style="101" customWidth="1"/>
    <col min="15397" max="15397" width="8" style="101" customWidth="1"/>
    <col min="15398" max="15398" width="2.6640625" style="101" customWidth="1"/>
    <col min="15399" max="15399" width="10.44140625" style="101" customWidth="1"/>
    <col min="15400" max="15400" width="11" style="101" bestFit="1" customWidth="1"/>
    <col min="15401" max="15401" width="13.5546875" style="101" customWidth="1"/>
    <col min="15402" max="15402" width="11" style="101" bestFit="1" customWidth="1"/>
    <col min="15403" max="15403" width="9.33203125" style="101" bestFit="1" customWidth="1"/>
    <col min="15404" max="15404" width="11" style="101" bestFit="1" customWidth="1"/>
    <col min="15405" max="15636" width="9.109375" style="101"/>
    <col min="15637" max="15637" width="9.6640625" style="101" customWidth="1"/>
    <col min="15638" max="15638" width="12.44140625" style="101" customWidth="1"/>
    <col min="15639" max="15639" width="10.5546875" style="101" customWidth="1"/>
    <col min="15640" max="15640" width="6.44140625" style="101" bestFit="1" customWidth="1"/>
    <col min="15641" max="15641" width="8.88671875" style="101" customWidth="1"/>
    <col min="15642" max="15642" width="1.5546875" style="101" customWidth="1"/>
    <col min="15643" max="15643" width="10.5546875" style="101" customWidth="1"/>
    <col min="15644" max="15644" width="2.6640625" style="101" customWidth="1"/>
    <col min="15645" max="15645" width="9.6640625" style="101" customWidth="1"/>
    <col min="15646" max="15646" width="14.6640625" style="101" customWidth="1"/>
    <col min="15647" max="15647" width="10.5546875" style="101" customWidth="1"/>
    <col min="15648" max="15648" width="6.44140625" style="101" customWidth="1"/>
    <col min="15649" max="15649" width="8.88671875" style="101" customWidth="1"/>
    <col min="15650" max="15650" width="1.5546875" style="101" customWidth="1"/>
    <col min="15651" max="15651" width="13.44140625" style="101" customWidth="1"/>
    <col min="15652" max="15652" width="4" style="101" customWidth="1"/>
    <col min="15653" max="15653" width="8" style="101" customWidth="1"/>
    <col min="15654" max="15654" width="2.6640625" style="101" customWidth="1"/>
    <col min="15655" max="15655" width="10.44140625" style="101" customWidth="1"/>
    <col min="15656" max="15656" width="11" style="101" bestFit="1" customWidth="1"/>
    <col min="15657" max="15657" width="13.5546875" style="101" customWidth="1"/>
    <col min="15658" max="15658" width="11" style="101" bestFit="1" customWidth="1"/>
    <col min="15659" max="15659" width="9.33203125" style="101" bestFit="1" customWidth="1"/>
    <col min="15660" max="15660" width="11" style="101" bestFit="1" customWidth="1"/>
    <col min="15661" max="15892" width="9.109375" style="101"/>
    <col min="15893" max="15893" width="9.6640625" style="101" customWidth="1"/>
    <col min="15894" max="15894" width="12.44140625" style="101" customWidth="1"/>
    <col min="15895" max="15895" width="10.5546875" style="101" customWidth="1"/>
    <col min="15896" max="15896" width="6.44140625" style="101" bestFit="1" customWidth="1"/>
    <col min="15897" max="15897" width="8.88671875" style="101" customWidth="1"/>
    <col min="15898" max="15898" width="1.5546875" style="101" customWidth="1"/>
    <col min="15899" max="15899" width="10.5546875" style="101" customWidth="1"/>
    <col min="15900" max="15900" width="2.6640625" style="101" customWidth="1"/>
    <col min="15901" max="15901" width="9.6640625" style="101" customWidth="1"/>
    <col min="15902" max="15902" width="14.6640625" style="101" customWidth="1"/>
    <col min="15903" max="15903" width="10.5546875" style="101" customWidth="1"/>
    <col min="15904" max="15904" width="6.44140625" style="101" customWidth="1"/>
    <col min="15905" max="15905" width="8.88671875" style="101" customWidth="1"/>
    <col min="15906" max="15906" width="1.5546875" style="101" customWidth="1"/>
    <col min="15907" max="15907" width="13.44140625" style="101" customWidth="1"/>
    <col min="15908" max="15908" width="4" style="101" customWidth="1"/>
    <col min="15909" max="15909" width="8" style="101" customWidth="1"/>
    <col min="15910" max="15910" width="2.6640625" style="101" customWidth="1"/>
    <col min="15911" max="15911" width="10.44140625" style="101" customWidth="1"/>
    <col min="15912" max="15912" width="11" style="101" bestFit="1" customWidth="1"/>
    <col min="15913" max="15913" width="13.5546875" style="101" customWidth="1"/>
    <col min="15914" max="15914" width="11" style="101" bestFit="1" customWidth="1"/>
    <col min="15915" max="15915" width="9.33203125" style="101" bestFit="1" customWidth="1"/>
    <col min="15916" max="15916" width="11" style="101" bestFit="1" customWidth="1"/>
    <col min="15917" max="16148" width="9.109375" style="101"/>
    <col min="16149" max="16149" width="9.6640625" style="101" customWidth="1"/>
    <col min="16150" max="16150" width="12.44140625" style="101" customWidth="1"/>
    <col min="16151" max="16151" width="10.5546875" style="101" customWidth="1"/>
    <col min="16152" max="16152" width="6.44140625" style="101" bestFit="1" customWidth="1"/>
    <col min="16153" max="16153" width="8.88671875" style="101" customWidth="1"/>
    <col min="16154" max="16154" width="1.5546875" style="101" customWidth="1"/>
    <col min="16155" max="16155" width="10.5546875" style="101" customWidth="1"/>
    <col min="16156" max="16156" width="2.6640625" style="101" customWidth="1"/>
    <col min="16157" max="16157" width="9.6640625" style="101" customWidth="1"/>
    <col min="16158" max="16158" width="14.6640625" style="101" customWidth="1"/>
    <col min="16159" max="16159" width="10.5546875" style="101" customWidth="1"/>
    <col min="16160" max="16160" width="6.44140625" style="101" customWidth="1"/>
    <col min="16161" max="16161" width="8.88671875" style="101" customWidth="1"/>
    <col min="16162" max="16162" width="1.5546875" style="101" customWidth="1"/>
    <col min="16163" max="16163" width="13.44140625" style="101" customWidth="1"/>
    <col min="16164" max="16164" width="4" style="101" customWidth="1"/>
    <col min="16165" max="16165" width="8" style="101" customWidth="1"/>
    <col min="16166" max="16166" width="2.6640625" style="101" customWidth="1"/>
    <col min="16167" max="16167" width="10.44140625" style="101" customWidth="1"/>
    <col min="16168" max="16168" width="11" style="101" bestFit="1" customWidth="1"/>
    <col min="16169" max="16169" width="13.5546875" style="101" customWidth="1"/>
    <col min="16170" max="16170" width="11" style="101" bestFit="1" customWidth="1"/>
    <col min="16171" max="16171" width="9.33203125" style="101" bestFit="1" customWidth="1"/>
    <col min="16172" max="16172" width="11" style="101" bestFit="1" customWidth="1"/>
    <col min="16173" max="16384" width="9.109375" style="101"/>
  </cols>
  <sheetData>
    <row r="1" spans="1:93" x14ac:dyDescent="0.2">
      <c r="A1" s="100" t="s">
        <v>505</v>
      </c>
      <c r="C1" s="102"/>
      <c r="D1" s="103"/>
      <c r="F1" s="104"/>
      <c r="G1" s="104"/>
      <c r="H1" s="102" t="s">
        <v>506</v>
      </c>
      <c r="I1" s="104"/>
      <c r="J1" s="104"/>
      <c r="K1" s="104"/>
      <c r="L1" s="104"/>
      <c r="N1" s="105"/>
      <c r="Q1" s="106" t="s">
        <v>507</v>
      </c>
      <c r="R1" s="105"/>
      <c r="S1" s="105"/>
      <c r="U1" s="107"/>
    </row>
    <row r="2" spans="1:93" ht="10.8" thickBot="1" x14ac:dyDescent="0.25">
      <c r="A2" s="108"/>
      <c r="B2" s="109"/>
      <c r="C2" s="109"/>
      <c r="D2" s="109"/>
      <c r="E2" s="110" t="s">
        <v>416</v>
      </c>
      <c r="F2" s="109"/>
      <c r="G2" s="109" t="s">
        <v>416</v>
      </c>
      <c r="H2" s="109" t="s">
        <v>416</v>
      </c>
      <c r="I2" s="109" t="s">
        <v>416</v>
      </c>
      <c r="J2" s="109"/>
      <c r="K2" s="109"/>
      <c r="L2" s="109"/>
      <c r="M2" s="111"/>
      <c r="N2" s="111"/>
      <c r="O2" s="109"/>
      <c r="P2" s="112"/>
      <c r="Q2" s="109"/>
    </row>
    <row r="3" spans="1:93" x14ac:dyDescent="0.2">
      <c r="A3" s="113"/>
      <c r="M3" s="105"/>
      <c r="N3" s="105"/>
      <c r="P3" s="114"/>
    </row>
    <row r="4" spans="1:93" x14ac:dyDescent="0.2">
      <c r="A4" s="100" t="s">
        <v>3</v>
      </c>
      <c r="D4" s="106" t="s">
        <v>4</v>
      </c>
      <c r="E4" s="101" t="s">
        <v>508</v>
      </c>
      <c r="O4" s="100" t="s">
        <v>6</v>
      </c>
    </row>
    <row r="5" spans="1:93" x14ac:dyDescent="0.2">
      <c r="E5" s="101" t="s">
        <v>509</v>
      </c>
      <c r="AB5" s="115"/>
      <c r="AC5" s="115"/>
      <c r="AD5" s="115"/>
      <c r="AE5" s="115"/>
      <c r="AF5" s="115"/>
      <c r="AG5" s="116"/>
    </row>
    <row r="6" spans="1:93" x14ac:dyDescent="0.2">
      <c r="A6" s="100" t="s">
        <v>9</v>
      </c>
      <c r="E6" s="101" t="s">
        <v>510</v>
      </c>
      <c r="O6" s="107" t="str">
        <f>'MFR E-13c'!O6</f>
        <v>__X__  Projected Test Year Ended 12/31/26</v>
      </c>
      <c r="W6" s="107" t="s">
        <v>511</v>
      </c>
      <c r="AH6" s="117">
        <v>0</v>
      </c>
      <c r="AI6" s="117">
        <v>0</v>
      </c>
      <c r="AJ6" s="117">
        <v>0</v>
      </c>
      <c r="AK6" s="117">
        <v>0</v>
      </c>
      <c r="AL6" s="117">
        <v>0</v>
      </c>
      <c r="AM6" s="117">
        <v>0</v>
      </c>
      <c r="AN6" s="117">
        <v>0</v>
      </c>
      <c r="AO6" s="117">
        <v>0</v>
      </c>
      <c r="AP6" s="117">
        <v>0</v>
      </c>
      <c r="AQ6" s="117">
        <v>0</v>
      </c>
      <c r="AR6" s="117">
        <v>0</v>
      </c>
      <c r="AS6" s="117">
        <v>0</v>
      </c>
      <c r="AT6" s="117">
        <v>0</v>
      </c>
      <c r="AU6" s="117">
        <v>0</v>
      </c>
      <c r="AV6" s="117">
        <v>0</v>
      </c>
      <c r="AW6" s="117">
        <v>0</v>
      </c>
      <c r="AX6" s="117">
        <v>0</v>
      </c>
      <c r="AY6" s="117">
        <v>0</v>
      </c>
      <c r="AZ6" s="117">
        <v>0</v>
      </c>
      <c r="BA6" s="117">
        <v>0</v>
      </c>
      <c r="BB6" s="117">
        <v>0</v>
      </c>
      <c r="BC6" s="117">
        <v>0</v>
      </c>
      <c r="BD6" s="117">
        <v>0</v>
      </c>
      <c r="BE6" s="117">
        <v>0</v>
      </c>
      <c r="BF6" s="117">
        <v>0</v>
      </c>
      <c r="BG6" s="117">
        <v>0</v>
      </c>
      <c r="BH6" s="117">
        <v>0</v>
      </c>
      <c r="BI6" s="117">
        <v>0</v>
      </c>
      <c r="BJ6" s="117">
        <v>0</v>
      </c>
      <c r="BK6" s="117">
        <v>0</v>
      </c>
      <c r="BL6" s="117">
        <v>0</v>
      </c>
      <c r="BM6" s="117">
        <v>0</v>
      </c>
      <c r="BN6" s="117">
        <v>0</v>
      </c>
      <c r="BO6" s="117">
        <v>0</v>
      </c>
      <c r="BP6" s="117">
        <v>0</v>
      </c>
      <c r="BQ6" s="117">
        <v>0</v>
      </c>
      <c r="BR6" s="117">
        <v>1</v>
      </c>
      <c r="BS6" s="117">
        <v>1</v>
      </c>
      <c r="BT6" s="117">
        <v>1</v>
      </c>
      <c r="BU6" s="117">
        <v>1</v>
      </c>
      <c r="BV6" s="117">
        <v>1</v>
      </c>
      <c r="BW6" s="117">
        <v>1</v>
      </c>
      <c r="BX6" s="117">
        <v>1</v>
      </c>
      <c r="BY6" s="117">
        <v>1</v>
      </c>
      <c r="BZ6" s="117">
        <v>1</v>
      </c>
      <c r="CA6" s="117">
        <v>1</v>
      </c>
      <c r="CB6" s="117">
        <v>1</v>
      </c>
      <c r="CC6" s="117">
        <v>1</v>
      </c>
      <c r="CD6" s="117">
        <v>0</v>
      </c>
      <c r="CE6" s="117">
        <v>0</v>
      </c>
      <c r="CF6" s="117">
        <v>0</v>
      </c>
      <c r="CG6" s="117">
        <v>0</v>
      </c>
      <c r="CH6" s="117">
        <v>0</v>
      </c>
      <c r="CI6" s="117">
        <v>0</v>
      </c>
      <c r="CJ6" s="117">
        <v>0</v>
      </c>
      <c r="CK6" s="117">
        <v>0</v>
      </c>
      <c r="CL6" s="117">
        <v>0</v>
      </c>
      <c r="CM6" s="117">
        <v>0</v>
      </c>
      <c r="CN6" s="117">
        <v>0</v>
      </c>
      <c r="CO6" s="117">
        <v>0</v>
      </c>
    </row>
    <row r="7" spans="1:93" x14ac:dyDescent="0.2">
      <c r="E7" s="101" t="s">
        <v>512</v>
      </c>
      <c r="AB7" s="118" t="s">
        <v>513</v>
      </c>
      <c r="AC7" s="118" t="s">
        <v>514</v>
      </c>
      <c r="AD7" s="118" t="s">
        <v>515</v>
      </c>
      <c r="AE7" s="118" t="s">
        <v>321</v>
      </c>
      <c r="AF7" s="118" t="s">
        <v>516</v>
      </c>
      <c r="AH7" s="117" t="s">
        <v>513</v>
      </c>
      <c r="AI7" s="117" t="s">
        <v>513</v>
      </c>
      <c r="AJ7" s="117" t="s">
        <v>513</v>
      </c>
      <c r="AK7" s="117" t="s">
        <v>513</v>
      </c>
      <c r="AL7" s="117" t="s">
        <v>513</v>
      </c>
      <c r="AM7" s="117" t="s">
        <v>513</v>
      </c>
      <c r="AN7" s="117" t="s">
        <v>513</v>
      </c>
      <c r="AO7" s="117" t="s">
        <v>513</v>
      </c>
      <c r="AP7" s="117" t="s">
        <v>513</v>
      </c>
      <c r="AQ7" s="117" t="s">
        <v>513</v>
      </c>
      <c r="AR7" s="117" t="s">
        <v>513</v>
      </c>
      <c r="AS7" s="117" t="s">
        <v>513</v>
      </c>
      <c r="AT7" s="117" t="s">
        <v>514</v>
      </c>
      <c r="AU7" s="117" t="s">
        <v>514</v>
      </c>
      <c r="AV7" s="117" t="s">
        <v>514</v>
      </c>
      <c r="AW7" s="117" t="s">
        <v>514</v>
      </c>
      <c r="AX7" s="117" t="s">
        <v>514</v>
      </c>
      <c r="AY7" s="117" t="s">
        <v>514</v>
      </c>
      <c r="AZ7" s="117" t="s">
        <v>514</v>
      </c>
      <c r="BA7" s="117" t="s">
        <v>514</v>
      </c>
      <c r="BB7" s="117" t="s">
        <v>514</v>
      </c>
      <c r="BC7" s="117" t="s">
        <v>514</v>
      </c>
      <c r="BD7" s="117" t="s">
        <v>514</v>
      </c>
      <c r="BE7" s="117" t="s">
        <v>514</v>
      </c>
      <c r="BF7" s="117" t="s">
        <v>515</v>
      </c>
      <c r="BG7" s="117" t="s">
        <v>515</v>
      </c>
      <c r="BH7" s="117" t="s">
        <v>515</v>
      </c>
      <c r="BI7" s="117" t="s">
        <v>515</v>
      </c>
      <c r="BJ7" s="117" t="s">
        <v>515</v>
      </c>
      <c r="BK7" s="117" t="s">
        <v>515</v>
      </c>
      <c r="BL7" s="117" t="s">
        <v>515</v>
      </c>
      <c r="BM7" s="117" t="s">
        <v>515</v>
      </c>
      <c r="BN7" s="117" t="s">
        <v>515</v>
      </c>
      <c r="BO7" s="117" t="s">
        <v>515</v>
      </c>
      <c r="BP7" s="117" t="s">
        <v>515</v>
      </c>
      <c r="BQ7" s="117" t="s">
        <v>515</v>
      </c>
      <c r="BR7" s="117" t="s">
        <v>321</v>
      </c>
      <c r="BS7" s="117" t="s">
        <v>321</v>
      </c>
      <c r="BT7" s="117" t="s">
        <v>321</v>
      </c>
      <c r="BU7" s="117" t="s">
        <v>321</v>
      </c>
      <c r="BV7" s="117" t="s">
        <v>321</v>
      </c>
      <c r="BW7" s="117" t="s">
        <v>321</v>
      </c>
      <c r="BX7" s="117" t="s">
        <v>321</v>
      </c>
      <c r="BY7" s="117" t="s">
        <v>321</v>
      </c>
      <c r="BZ7" s="117" t="s">
        <v>321</v>
      </c>
      <c r="CA7" s="117" t="s">
        <v>321</v>
      </c>
      <c r="CB7" s="117" t="s">
        <v>321</v>
      </c>
      <c r="CC7" s="117" t="s">
        <v>321</v>
      </c>
      <c r="CD7" s="117" t="s">
        <v>516</v>
      </c>
      <c r="CE7" s="117" t="s">
        <v>516</v>
      </c>
      <c r="CF7" s="117" t="s">
        <v>516</v>
      </c>
      <c r="CG7" s="117" t="s">
        <v>516</v>
      </c>
      <c r="CH7" s="117" t="s">
        <v>516</v>
      </c>
      <c r="CI7" s="117" t="s">
        <v>516</v>
      </c>
      <c r="CJ7" s="117" t="s">
        <v>516</v>
      </c>
      <c r="CK7" s="117" t="s">
        <v>516</v>
      </c>
      <c r="CL7" s="117" t="s">
        <v>516</v>
      </c>
      <c r="CM7" s="117" t="s">
        <v>516</v>
      </c>
      <c r="CN7" s="117" t="s">
        <v>516</v>
      </c>
      <c r="CO7" s="117" t="s">
        <v>516</v>
      </c>
    </row>
    <row r="8" spans="1:93" x14ac:dyDescent="0.2">
      <c r="A8" s="100" t="s">
        <v>491</v>
      </c>
      <c r="C8" s="119" t="s">
        <v>14</v>
      </c>
      <c r="O8" s="100" t="s">
        <v>493</v>
      </c>
      <c r="V8" s="120">
        <v>45717</v>
      </c>
      <c r="W8" s="120">
        <v>46082</v>
      </c>
      <c r="AB8" s="121" t="s">
        <v>121</v>
      </c>
      <c r="AC8" s="121" t="s">
        <v>121</v>
      </c>
      <c r="AD8" s="121" t="s">
        <v>121</v>
      </c>
      <c r="AE8" s="121" t="s">
        <v>121</v>
      </c>
      <c r="AF8" s="121" t="s">
        <v>121</v>
      </c>
      <c r="AH8" s="122" t="s">
        <v>517</v>
      </c>
      <c r="AI8" s="122" t="s">
        <v>518</v>
      </c>
      <c r="AJ8" s="122" t="s">
        <v>519</v>
      </c>
      <c r="AK8" s="122" t="s">
        <v>520</v>
      </c>
      <c r="AL8" s="122" t="s">
        <v>521</v>
      </c>
      <c r="AM8" s="122" t="s">
        <v>522</v>
      </c>
      <c r="AN8" s="122" t="s">
        <v>523</v>
      </c>
      <c r="AO8" s="122" t="s">
        <v>524</v>
      </c>
      <c r="AP8" s="122" t="s">
        <v>525</v>
      </c>
      <c r="AQ8" s="122" t="s">
        <v>526</v>
      </c>
      <c r="AR8" s="122" t="s">
        <v>527</v>
      </c>
      <c r="AS8" s="122" t="s">
        <v>528</v>
      </c>
      <c r="AT8" s="122" t="s">
        <v>517</v>
      </c>
      <c r="AU8" s="122" t="s">
        <v>518</v>
      </c>
      <c r="AV8" s="122" t="s">
        <v>519</v>
      </c>
      <c r="AW8" s="122" t="s">
        <v>520</v>
      </c>
      <c r="AX8" s="122" t="s">
        <v>521</v>
      </c>
      <c r="AY8" s="122" t="s">
        <v>522</v>
      </c>
      <c r="AZ8" s="122" t="s">
        <v>523</v>
      </c>
      <c r="BA8" s="122" t="s">
        <v>524</v>
      </c>
      <c r="BB8" s="122" t="s">
        <v>525</v>
      </c>
      <c r="BC8" s="122" t="s">
        <v>526</v>
      </c>
      <c r="BD8" s="122" t="s">
        <v>527</v>
      </c>
      <c r="BE8" s="122" t="s">
        <v>528</v>
      </c>
      <c r="BF8" s="122" t="s">
        <v>517</v>
      </c>
      <c r="BG8" s="122" t="s">
        <v>518</v>
      </c>
      <c r="BH8" s="122" t="s">
        <v>519</v>
      </c>
      <c r="BI8" s="122" t="s">
        <v>520</v>
      </c>
      <c r="BJ8" s="122" t="s">
        <v>521</v>
      </c>
      <c r="BK8" s="122" t="s">
        <v>522</v>
      </c>
      <c r="BL8" s="122" t="s">
        <v>523</v>
      </c>
      <c r="BM8" s="122" t="s">
        <v>524</v>
      </c>
      <c r="BN8" s="122" t="s">
        <v>525</v>
      </c>
      <c r="BO8" s="122" t="s">
        <v>526</v>
      </c>
      <c r="BP8" s="122" t="s">
        <v>527</v>
      </c>
      <c r="BQ8" s="122" t="s">
        <v>528</v>
      </c>
      <c r="BR8" s="122" t="s">
        <v>517</v>
      </c>
      <c r="BS8" s="122" t="s">
        <v>518</v>
      </c>
      <c r="BT8" s="122" t="s">
        <v>519</v>
      </c>
      <c r="BU8" s="122" t="s">
        <v>520</v>
      </c>
      <c r="BV8" s="122" t="s">
        <v>521</v>
      </c>
      <c r="BW8" s="122" t="s">
        <v>522</v>
      </c>
      <c r="BX8" s="122" t="s">
        <v>523</v>
      </c>
      <c r="BY8" s="122" t="s">
        <v>524</v>
      </c>
      <c r="BZ8" s="122" t="s">
        <v>525</v>
      </c>
      <c r="CA8" s="122" t="s">
        <v>526</v>
      </c>
      <c r="CB8" s="122" t="s">
        <v>527</v>
      </c>
      <c r="CC8" s="122" t="s">
        <v>528</v>
      </c>
      <c r="CD8" s="122" t="s">
        <v>517</v>
      </c>
      <c r="CE8" s="122" t="s">
        <v>518</v>
      </c>
      <c r="CF8" s="122" t="s">
        <v>519</v>
      </c>
      <c r="CG8" s="122" t="s">
        <v>520</v>
      </c>
      <c r="CH8" s="122" t="s">
        <v>521</v>
      </c>
      <c r="CI8" s="122" t="s">
        <v>522</v>
      </c>
      <c r="CJ8" s="122" t="s">
        <v>523</v>
      </c>
      <c r="CK8" s="122" t="s">
        <v>524</v>
      </c>
      <c r="CL8" s="122" t="s">
        <v>525</v>
      </c>
      <c r="CM8" s="122" t="s">
        <v>526</v>
      </c>
      <c r="CN8" s="122" t="s">
        <v>527</v>
      </c>
      <c r="CO8" s="122" t="s">
        <v>528</v>
      </c>
    </row>
    <row r="9" spans="1:93" ht="10.8" thickBot="1" x14ac:dyDescent="0.25">
      <c r="A9" s="123"/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23"/>
      <c r="O9" s="109"/>
      <c r="P9" s="109"/>
      <c r="Q9" s="109"/>
    </row>
    <row r="10" spans="1:93" ht="15.6" x14ac:dyDescent="0.2">
      <c r="B10" s="124"/>
      <c r="C10" s="125"/>
      <c r="D10" s="125"/>
      <c r="E10" s="125"/>
      <c r="F10" s="125"/>
      <c r="G10" s="125"/>
      <c r="H10" s="125"/>
      <c r="I10" s="126" t="s">
        <v>529</v>
      </c>
      <c r="J10" s="125"/>
      <c r="K10" s="125"/>
      <c r="L10" s="125"/>
      <c r="M10" s="125"/>
      <c r="N10" s="125"/>
      <c r="U10" s="127" t="s">
        <v>530</v>
      </c>
      <c r="V10" s="128"/>
      <c r="W10" s="129"/>
      <c r="Y10" s="130" t="s">
        <v>531</v>
      </c>
      <c r="Z10" s="131"/>
    </row>
    <row r="11" spans="1:93" x14ac:dyDescent="0.2">
      <c r="A11" s="101" t="s">
        <v>30</v>
      </c>
      <c r="B11" s="101" t="s">
        <v>532</v>
      </c>
      <c r="C11" s="132"/>
      <c r="D11" s="133" t="s">
        <v>533</v>
      </c>
      <c r="E11" s="134"/>
      <c r="F11" s="133"/>
      <c r="G11" s="133"/>
      <c r="H11" s="133"/>
      <c r="I11" s="135"/>
      <c r="J11" s="136" t="s">
        <v>534</v>
      </c>
      <c r="K11" s="133"/>
      <c r="L11" s="133"/>
      <c r="M11" s="134"/>
      <c r="N11" s="134"/>
      <c r="O11" s="137"/>
      <c r="Q11" s="118" t="s">
        <v>332</v>
      </c>
      <c r="R11" s="118"/>
      <c r="U11" s="138"/>
      <c r="V11" s="139"/>
      <c r="W11" s="140"/>
      <c r="Y11" s="138"/>
      <c r="Z11" s="141"/>
    </row>
    <row r="12" spans="1:93" x14ac:dyDescent="0.2">
      <c r="A12" s="101" t="s">
        <v>39</v>
      </c>
      <c r="B12" s="102" t="s">
        <v>535</v>
      </c>
      <c r="C12" s="104"/>
      <c r="D12" s="142" t="s">
        <v>536</v>
      </c>
      <c r="E12" s="143"/>
      <c r="F12" s="142" t="s">
        <v>537</v>
      </c>
      <c r="G12" s="142"/>
      <c r="H12" s="142" t="s">
        <v>538</v>
      </c>
      <c r="I12" s="144"/>
      <c r="J12" s="142" t="s">
        <v>536</v>
      </c>
      <c r="K12" s="143"/>
      <c r="L12" s="142" t="s">
        <v>537</v>
      </c>
      <c r="M12" s="142"/>
      <c r="N12" s="142" t="s">
        <v>538</v>
      </c>
      <c r="O12" s="132"/>
      <c r="Q12" s="145" t="s">
        <v>539</v>
      </c>
      <c r="R12" s="145"/>
      <c r="S12" s="132"/>
      <c r="U12" s="138" t="s">
        <v>128</v>
      </c>
      <c r="V12" s="146" t="s">
        <v>343</v>
      </c>
      <c r="W12" s="147" t="s">
        <v>344</v>
      </c>
      <c r="Y12" s="148" t="s">
        <v>128</v>
      </c>
      <c r="Z12" s="149"/>
    </row>
    <row r="13" spans="1:93" ht="10.8" thickBot="1" x14ac:dyDescent="0.25">
      <c r="A13" s="109"/>
      <c r="B13" s="110" t="s">
        <v>346</v>
      </c>
      <c r="C13" s="150"/>
      <c r="D13" s="220" t="str">
        <f>'MFR E-13c'!D13</f>
        <v>Jan '26-Dec '26</v>
      </c>
      <c r="E13" s="221"/>
      <c r="F13" s="717">
        <f>'MFR E-13c'!F13</f>
        <v>46023</v>
      </c>
      <c r="G13" s="717"/>
      <c r="H13" s="154"/>
      <c r="I13" s="154"/>
      <c r="J13" s="154"/>
      <c r="K13" s="221"/>
      <c r="L13" s="717">
        <f>'MFR E-13c'!L13</f>
        <v>46023</v>
      </c>
      <c r="M13" s="154"/>
      <c r="N13" s="154"/>
      <c r="O13" s="155"/>
      <c r="P13" s="109"/>
      <c r="Q13" s="156"/>
      <c r="R13" s="132"/>
      <c r="S13" s="132"/>
      <c r="U13" s="157" t="s">
        <v>144</v>
      </c>
      <c r="V13" s="158" t="s">
        <v>540</v>
      </c>
      <c r="W13" s="159" t="s">
        <v>540</v>
      </c>
      <c r="Y13" s="160" t="s">
        <v>144</v>
      </c>
      <c r="Z13" s="159" t="s">
        <v>541</v>
      </c>
    </row>
    <row r="14" spans="1:93" x14ac:dyDescent="0.2">
      <c r="A14" s="118">
        <v>1</v>
      </c>
      <c r="B14" s="161"/>
      <c r="C14" s="104"/>
      <c r="E14" s="143"/>
      <c r="F14" s="142"/>
      <c r="G14" s="142"/>
      <c r="H14" s="142"/>
      <c r="I14" s="162"/>
      <c r="J14" s="142"/>
      <c r="K14" s="143"/>
      <c r="L14" s="142"/>
      <c r="M14" s="142"/>
      <c r="N14" s="142"/>
      <c r="O14" s="132"/>
      <c r="Q14" s="145"/>
      <c r="R14" s="132"/>
      <c r="S14" s="132"/>
      <c r="U14" s="163"/>
      <c r="V14" s="139"/>
      <c r="W14" s="140"/>
      <c r="Y14" s="138"/>
      <c r="Z14" s="141"/>
    </row>
    <row r="15" spans="1:93" x14ac:dyDescent="0.2">
      <c r="A15" s="118">
        <f t="shared" ref="A15:A56" si="0">+A14+1</f>
        <v>2</v>
      </c>
      <c r="B15" s="164" t="s">
        <v>542</v>
      </c>
      <c r="C15" s="143"/>
      <c r="D15" s="165"/>
      <c r="E15" s="166"/>
      <c r="F15" s="166"/>
      <c r="H15" s="167"/>
      <c r="I15" s="162"/>
      <c r="J15" s="102"/>
      <c r="K15" s="166"/>
      <c r="L15" s="166"/>
      <c r="M15" s="102"/>
      <c r="N15" s="100"/>
      <c r="O15" s="100"/>
      <c r="P15" s="118"/>
      <c r="U15" s="163"/>
      <c r="V15" s="139"/>
      <c r="W15" s="140"/>
      <c r="Y15" s="138"/>
      <c r="Z15" s="141"/>
    </row>
    <row r="16" spans="1:93" x14ac:dyDescent="0.2">
      <c r="A16" s="118">
        <f t="shared" si="0"/>
        <v>3</v>
      </c>
      <c r="B16" s="100" t="s">
        <v>543</v>
      </c>
      <c r="C16" s="143"/>
      <c r="D16" s="168"/>
      <c r="E16" s="166"/>
      <c r="F16" s="166"/>
      <c r="G16" s="143"/>
      <c r="H16" s="168"/>
      <c r="I16" s="162"/>
      <c r="J16" s="168"/>
      <c r="K16" s="166"/>
      <c r="L16" s="857">
        <v>0</v>
      </c>
      <c r="M16" s="169"/>
      <c r="N16" s="170"/>
      <c r="Q16" s="118"/>
      <c r="U16" s="163"/>
      <c r="V16" s="139"/>
      <c r="W16" s="140"/>
      <c r="Y16" s="163"/>
      <c r="Z16" s="141"/>
    </row>
    <row r="17" spans="1:94" x14ac:dyDescent="0.2">
      <c r="A17" s="118">
        <f t="shared" si="0"/>
        <v>4</v>
      </c>
      <c r="B17" s="171" t="s">
        <v>544</v>
      </c>
      <c r="C17" s="143"/>
      <c r="D17" s="172">
        <f>SUMIF($AH$6:$CP$6,1,$AH17:$CP17)</f>
        <v>21694045.352867588</v>
      </c>
      <c r="E17" s="166" t="s">
        <v>545</v>
      </c>
      <c r="F17" s="173">
        <f>'Exhibit MJC-3 - E-13c cal yr'!F19</f>
        <v>14.86</v>
      </c>
      <c r="G17" s="142" t="s">
        <v>375</v>
      </c>
      <c r="H17" s="174">
        <f>ROUND(D17*F17,2)</f>
        <v>322373513.94</v>
      </c>
      <c r="I17" s="162"/>
      <c r="J17" s="175">
        <f>SUMIF($AH$6:$CP$6,1,$AH17:$CP17)</f>
        <v>21694045.352867588</v>
      </c>
      <c r="K17" s="166" t="s">
        <v>545</v>
      </c>
      <c r="L17" s="173">
        <f>ROUND(F17*(1+'Exhibit MJC-2 - Old E-8a'!$V$16)+L16,2)</f>
        <v>15.24</v>
      </c>
      <c r="M17" s="142" t="s">
        <v>375</v>
      </c>
      <c r="N17" s="174">
        <f>ROUND(J17*L17,2)</f>
        <v>330617251.18000001</v>
      </c>
      <c r="Q17" s="939"/>
      <c r="S17" s="933"/>
      <c r="T17" s="934"/>
      <c r="U17" s="178" t="s">
        <v>135</v>
      </c>
      <c r="V17" s="179">
        <v>238</v>
      </c>
      <c r="W17" s="180">
        <v>212</v>
      </c>
      <c r="Y17" s="178"/>
      <c r="Z17" s="181"/>
      <c r="AB17" s="182">
        <f>SUM(AH17:AS17)</f>
        <v>20569549.648774758</v>
      </c>
      <c r="AC17" s="182">
        <f>SUM(AT17:BE17)</f>
        <v>20944240.176859379</v>
      </c>
      <c r="AD17" s="182">
        <f>SUM(BF17:BQ17)</f>
        <v>21319311.352096535</v>
      </c>
      <c r="AE17" s="182">
        <f>SUM(BR17:CC17)</f>
        <v>21694045.352867588</v>
      </c>
      <c r="AF17" s="182">
        <f>SUM(CD17:CO17)</f>
        <v>22062145.335498188</v>
      </c>
      <c r="AH17" s="168">
        <v>1699981.6276198393</v>
      </c>
      <c r="AI17" s="168">
        <v>1702004.3853422354</v>
      </c>
      <c r="AJ17" s="168">
        <v>1704442.1037751939</v>
      </c>
      <c r="AK17" s="168">
        <v>1707548.2641942834</v>
      </c>
      <c r="AL17" s="168">
        <v>1709620.5732782208</v>
      </c>
      <c r="AM17" s="168">
        <v>1712312.1823846046</v>
      </c>
      <c r="AN17" s="168">
        <v>1715599.7079942469</v>
      </c>
      <c r="AO17" s="168">
        <v>1717833.3511546836</v>
      </c>
      <c r="AP17" s="168">
        <v>1720943.9407831896</v>
      </c>
      <c r="AQ17" s="168">
        <v>1723364.9361986045</v>
      </c>
      <c r="AR17" s="168">
        <v>1726792.3734078582</v>
      </c>
      <c r="AS17" s="168">
        <v>1729106.2026417949</v>
      </c>
      <c r="AT17" s="168">
        <v>1730385.8320566979</v>
      </c>
      <c r="AU17" s="168">
        <v>1732592.9115993064</v>
      </c>
      <c r="AV17" s="168">
        <v>1735222.3412282395</v>
      </c>
      <c r="AW17" s="168">
        <v>1738532.2990745723</v>
      </c>
      <c r="AX17" s="168">
        <v>1740789.5025047397</v>
      </c>
      <c r="AY17" s="168">
        <v>1743677.0641125743</v>
      </c>
      <c r="AZ17" s="168">
        <v>1747171.7121884269</v>
      </c>
      <c r="BA17" s="168">
        <v>1749474.1277926883</v>
      </c>
      <c r="BB17" s="168">
        <v>1752551.336028188</v>
      </c>
      <c r="BC17" s="168">
        <v>1754926.1138558306</v>
      </c>
      <c r="BD17" s="168">
        <v>1758325.7495296437</v>
      </c>
      <c r="BE17" s="168">
        <v>1760591.1868884696</v>
      </c>
      <c r="BF17" s="168">
        <v>1761807.3545681564</v>
      </c>
      <c r="BG17" s="168">
        <v>1763964.2313335198</v>
      </c>
      <c r="BH17" s="168">
        <v>1766551.1083406236</v>
      </c>
      <c r="BI17" s="168">
        <v>1769830.7346118111</v>
      </c>
      <c r="BJ17" s="168">
        <v>1772038.4832159528</v>
      </c>
      <c r="BK17" s="168">
        <v>1774887.7103984961</v>
      </c>
      <c r="BL17" s="168">
        <v>1778354.9993240563</v>
      </c>
      <c r="BM17" s="168">
        <v>1780637.4923999698</v>
      </c>
      <c r="BN17" s="168">
        <v>1783738.0006877498</v>
      </c>
      <c r="BO17" s="168">
        <v>1786123.4265349577</v>
      </c>
      <c r="BP17" s="168">
        <v>1789551.9344415395</v>
      </c>
      <c r="BQ17" s="168">
        <v>1791825.8762396998</v>
      </c>
      <c r="BR17" s="168">
        <v>1793035.445044945</v>
      </c>
      <c r="BS17" s="168">
        <v>1795198.955476884</v>
      </c>
      <c r="BT17" s="168">
        <v>1797800.0712042428</v>
      </c>
      <c r="BU17" s="168">
        <v>1801106.1507228687</v>
      </c>
      <c r="BV17" s="168">
        <v>1803321.2569401159</v>
      </c>
      <c r="BW17" s="168">
        <v>1806188.9754695867</v>
      </c>
      <c r="BX17" s="168">
        <v>1809685.7974278536</v>
      </c>
      <c r="BY17" s="168">
        <v>1811934.5369921201</v>
      </c>
      <c r="BZ17" s="168">
        <v>1814973.9022563794</v>
      </c>
      <c r="CA17" s="168">
        <v>1817285.5080638314</v>
      </c>
      <c r="CB17" s="168">
        <v>1820658.3764794045</v>
      </c>
      <c r="CC17" s="168">
        <v>1822856.3767893587</v>
      </c>
      <c r="CD17" s="168">
        <v>1823974.959027125</v>
      </c>
      <c r="CE17" s="168">
        <v>1826060.7862786059</v>
      </c>
      <c r="CF17" s="168">
        <v>1828591.7591991245</v>
      </c>
      <c r="CG17" s="168">
        <v>1831839.7042911598</v>
      </c>
      <c r="CH17" s="168">
        <v>1833977.9043680383</v>
      </c>
      <c r="CI17" s="168">
        <v>1836779.6451381608</v>
      </c>
      <c r="CJ17" s="168">
        <v>1840221.2263412573</v>
      </c>
      <c r="CK17" s="168">
        <v>1842448.0289401815</v>
      </c>
      <c r="CL17" s="168">
        <v>1845533.7745767375</v>
      </c>
      <c r="CM17" s="168">
        <v>1847879.3778032516</v>
      </c>
      <c r="CN17" s="168">
        <v>1851304.1273617831</v>
      </c>
      <c r="CO17" s="168">
        <v>1853534.0421727633</v>
      </c>
      <c r="CP17" s="172"/>
    </row>
    <row r="18" spans="1:94" x14ac:dyDescent="0.2">
      <c r="A18" s="118">
        <f t="shared" si="0"/>
        <v>5</v>
      </c>
      <c r="B18" s="102" t="s">
        <v>546</v>
      </c>
      <c r="C18" s="143"/>
      <c r="D18" s="166"/>
      <c r="E18" s="166"/>
      <c r="F18" s="183"/>
      <c r="G18" s="142"/>
      <c r="H18" s="174"/>
      <c r="I18" s="162"/>
      <c r="J18" s="168"/>
      <c r="K18" s="166"/>
      <c r="L18" s="183"/>
      <c r="M18" s="142"/>
      <c r="N18" s="174"/>
      <c r="S18" s="933"/>
      <c r="T18" s="177"/>
      <c r="U18" s="184"/>
      <c r="V18" s="139"/>
      <c r="W18" s="180"/>
      <c r="Y18" s="184"/>
      <c r="Z18" s="181"/>
    </row>
    <row r="19" spans="1:94" x14ac:dyDescent="0.2">
      <c r="A19" s="118">
        <f t="shared" si="0"/>
        <v>6</v>
      </c>
      <c r="B19" s="171" t="s">
        <v>547</v>
      </c>
      <c r="C19" s="143"/>
      <c r="D19" s="172">
        <f>SUMIF($AH$6:$CP$6,1,$AH19:$CP19)</f>
        <v>2332.4394039326739</v>
      </c>
      <c r="E19" s="166" t="s">
        <v>545</v>
      </c>
      <c r="F19" s="173">
        <f>'Exhibit MJC-3 - E-13c cal yr'!F21</f>
        <v>14.86</v>
      </c>
      <c r="G19" s="142" t="s">
        <v>375</v>
      </c>
      <c r="H19" s="174">
        <f>ROUND(D19*F19,2)</f>
        <v>34660.050000000003</v>
      </c>
      <c r="I19" s="162"/>
      <c r="J19" s="185">
        <f>SUMIF($AH$6:$CP$6,1,$AH19:$CP19)</f>
        <v>2332.4394039326739</v>
      </c>
      <c r="K19" s="166" t="s">
        <v>545</v>
      </c>
      <c r="L19" s="173">
        <f>L17</f>
        <v>15.24</v>
      </c>
      <c r="M19" s="142" t="s">
        <v>375</v>
      </c>
      <c r="N19" s="174">
        <f>ROUND(J19*L19,2)</f>
        <v>35546.379999999997</v>
      </c>
      <c r="R19" s="186"/>
      <c r="S19" s="933"/>
      <c r="T19" s="177"/>
      <c r="U19" s="178" t="s">
        <v>548</v>
      </c>
      <c r="V19" s="179">
        <v>240</v>
      </c>
      <c r="W19" s="180">
        <v>214</v>
      </c>
      <c r="Y19" s="178"/>
      <c r="Z19" s="181"/>
      <c r="AB19" s="182">
        <f>SUM(AH19:AS19)</f>
        <v>2211.5390348628521</v>
      </c>
      <c r="AC19" s="182">
        <f>SUM(AT19:BE19)</f>
        <v>2251.8239581111288</v>
      </c>
      <c r="AD19" s="182">
        <f>SUM(BF19:BQ19)</f>
        <v>2292.1498067102625</v>
      </c>
      <c r="AE19" s="182">
        <f>SUM(BR19:CC19)</f>
        <v>2332.4394039326739</v>
      </c>
      <c r="AF19" s="182">
        <f>SUM(CD19:CO19)</f>
        <v>2372.0157434354887</v>
      </c>
      <c r="AH19" s="168">
        <v>182.7738473727305</v>
      </c>
      <c r="AI19" s="168">
        <v>182.99132455320037</v>
      </c>
      <c r="AJ19" s="168">
        <v>183.25341631323136</v>
      </c>
      <c r="AK19" s="168">
        <v>183.58737574028041</v>
      </c>
      <c r="AL19" s="168">
        <v>183.81018044479183</v>
      </c>
      <c r="AM19" s="168">
        <v>184.099569308768</v>
      </c>
      <c r="AN19" s="168">
        <v>184.45302824870487</v>
      </c>
      <c r="AO19" s="168">
        <v>184.69317881707451</v>
      </c>
      <c r="AP19" s="168">
        <v>185.02761445141471</v>
      </c>
      <c r="AQ19" s="168">
        <v>185.2879082330403</v>
      </c>
      <c r="AR19" s="168">
        <v>185.65640979516647</v>
      </c>
      <c r="AS19" s="168">
        <v>185.9051815844488</v>
      </c>
      <c r="AT19" s="168">
        <v>186.04276118388282</v>
      </c>
      <c r="AU19" s="168">
        <v>186.28005575983954</v>
      </c>
      <c r="AV19" s="168">
        <v>186.56275938549504</v>
      </c>
      <c r="AW19" s="168">
        <v>186.9186301316177</v>
      </c>
      <c r="AX19" s="168">
        <v>187.16131378685944</v>
      </c>
      <c r="AY19" s="168">
        <v>187.47177052122345</v>
      </c>
      <c r="AZ19" s="168">
        <v>187.84749827242956</v>
      </c>
      <c r="BA19" s="168">
        <v>188.09504292315094</v>
      </c>
      <c r="BB19" s="168">
        <v>188.42588955068581</v>
      </c>
      <c r="BC19" s="168">
        <v>188.68121423958934</v>
      </c>
      <c r="BD19" s="168">
        <v>189.04672671435554</v>
      </c>
      <c r="BE19" s="168">
        <v>189.29029564199996</v>
      </c>
      <c r="BF19" s="168">
        <v>189.42105214092629</v>
      </c>
      <c r="BG19" s="168">
        <v>189.65294915575834</v>
      </c>
      <c r="BH19" s="168">
        <v>189.93107772820082</v>
      </c>
      <c r="BI19" s="168">
        <v>190.28368736926433</v>
      </c>
      <c r="BJ19" s="168">
        <v>190.52105387949879</v>
      </c>
      <c r="BK19" s="168">
        <v>190.82738908085125</v>
      </c>
      <c r="BL19" s="168">
        <v>191.20017530782053</v>
      </c>
      <c r="BM19" s="168">
        <v>191.44557798412495</v>
      </c>
      <c r="BN19" s="168">
        <v>191.7789297212035</v>
      </c>
      <c r="BO19" s="168">
        <v>192.03539923395167</v>
      </c>
      <c r="BP19" s="168">
        <v>192.40401591230432</v>
      </c>
      <c r="BQ19" s="168">
        <v>192.64849919635802</v>
      </c>
      <c r="BR19" s="168">
        <v>192.77854621604621</v>
      </c>
      <c r="BS19" s="168">
        <v>193.01115645079932</v>
      </c>
      <c r="BT19" s="168">
        <v>193.29081590195275</v>
      </c>
      <c r="BU19" s="168">
        <v>193.64626966893582</v>
      </c>
      <c r="BV19" s="168">
        <v>193.88442723433982</v>
      </c>
      <c r="BW19" s="168">
        <v>194.19275053636707</v>
      </c>
      <c r="BX19" s="168">
        <v>194.5687120129536</v>
      </c>
      <c r="BY19" s="168">
        <v>194.81048567404645</v>
      </c>
      <c r="BZ19" s="168">
        <v>195.13726360734535</v>
      </c>
      <c r="CA19" s="168">
        <v>195.38579634450718</v>
      </c>
      <c r="CB19" s="168">
        <v>195.74843093242293</v>
      </c>
      <c r="CC19" s="168">
        <v>195.98474935295741</v>
      </c>
      <c r="CD19" s="168">
        <v>196.1050139345727</v>
      </c>
      <c r="CE19" s="168">
        <v>196.32927204743351</v>
      </c>
      <c r="CF19" s="168">
        <v>196.60139008139546</v>
      </c>
      <c r="CG19" s="168">
        <v>196.95059351446889</v>
      </c>
      <c r="CH19" s="168">
        <v>197.18048250159342</v>
      </c>
      <c r="CI19" s="168">
        <v>197.48171219230088</v>
      </c>
      <c r="CJ19" s="168">
        <v>197.85173444860982</v>
      </c>
      <c r="CK19" s="168">
        <v>198.09114955270999</v>
      </c>
      <c r="CL19" s="168">
        <v>198.42291408054001</v>
      </c>
      <c r="CM19" s="168">
        <v>198.67510205666545</v>
      </c>
      <c r="CN19" s="168">
        <v>199.04331465551408</v>
      </c>
      <c r="CO19" s="168">
        <v>199.28306436968418</v>
      </c>
    </row>
    <row r="20" spans="1:94" x14ac:dyDescent="0.2">
      <c r="A20" s="118">
        <f t="shared" si="0"/>
        <v>7</v>
      </c>
      <c r="B20" s="100" t="s">
        <v>549</v>
      </c>
      <c r="C20" s="143"/>
      <c r="D20" s="172">
        <f>SUMIF($AH$6:$CP$6,1,$AH20:$CP20)</f>
        <v>0</v>
      </c>
      <c r="E20" s="166" t="s">
        <v>545</v>
      </c>
      <c r="F20" s="173">
        <f>'Exhibit MJC-3 - E-13c cal yr'!F22</f>
        <v>14.86</v>
      </c>
      <c r="G20" s="142" t="s">
        <v>375</v>
      </c>
      <c r="H20" s="187">
        <f>ROUND(D20*F20,2)</f>
        <v>0</v>
      </c>
      <c r="I20" s="162"/>
      <c r="J20" s="172">
        <f>SUMIF($AH$6:$CP$6,1,$AH20:$CP20)*0</f>
        <v>0</v>
      </c>
      <c r="K20" s="166" t="s">
        <v>545</v>
      </c>
      <c r="L20" s="173">
        <f>L19</f>
        <v>15.24</v>
      </c>
      <c r="M20" s="142" t="s">
        <v>375</v>
      </c>
      <c r="N20" s="174">
        <f>ROUND(J20*L20,2)</f>
        <v>0</v>
      </c>
      <c r="R20" s="186"/>
      <c r="S20" s="933"/>
      <c r="T20" s="177"/>
      <c r="U20" s="178" t="s">
        <v>135</v>
      </c>
      <c r="V20" s="179">
        <v>238</v>
      </c>
      <c r="W20" s="180">
        <v>212</v>
      </c>
      <c r="Y20" s="178"/>
      <c r="Z20" s="181"/>
      <c r="AB20" s="182">
        <f>SUM(AH20:AS20)</f>
        <v>0</v>
      </c>
      <c r="AC20" s="182">
        <f>SUM(AT20:BE20)</f>
        <v>0</v>
      </c>
      <c r="AD20" s="182">
        <f>SUM(BF20:BQ20)</f>
        <v>0</v>
      </c>
      <c r="AE20" s="182">
        <f>SUM(BR20:CC20)</f>
        <v>0</v>
      </c>
      <c r="AF20" s="182">
        <f>SUM(CD20:CO20)</f>
        <v>0</v>
      </c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</row>
    <row r="21" spans="1:94" x14ac:dyDescent="0.2">
      <c r="A21" s="118">
        <f t="shared" si="0"/>
        <v>8</v>
      </c>
      <c r="B21" s="102"/>
      <c r="C21" s="143" t="s">
        <v>374</v>
      </c>
      <c r="D21" s="188">
        <f>SUM(D17:D20)</f>
        <v>21696377.792271521</v>
      </c>
      <c r="E21" s="189" t="s">
        <v>550</v>
      </c>
      <c r="F21" s="183"/>
      <c r="G21" s="142"/>
      <c r="H21" s="188">
        <f>SUM(H17:H20)</f>
        <v>322408173.99000001</v>
      </c>
      <c r="I21" s="162"/>
      <c r="J21" s="188">
        <f>SUM(J17:J20)</f>
        <v>21696377.792271521</v>
      </c>
      <c r="K21" s="189" t="s">
        <v>550</v>
      </c>
      <c r="L21" s="183"/>
      <c r="M21" s="142"/>
      <c r="N21" s="188">
        <f>SUM(N17:N20)</f>
        <v>330652797.56</v>
      </c>
      <c r="Q21" s="1022"/>
      <c r="S21" s="933"/>
      <c r="T21" s="177"/>
      <c r="U21" s="190"/>
      <c r="V21" s="191"/>
      <c r="W21" s="140"/>
      <c r="Y21" s="192" t="s">
        <v>135</v>
      </c>
      <c r="Z21" s="141" t="s">
        <v>451</v>
      </c>
      <c r="AB21" s="188">
        <f>+AB17+AB19+AB20</f>
        <v>20571761.18780962</v>
      </c>
      <c r="AC21" s="188">
        <f>+AC17+AC19+AC20</f>
        <v>20946492.000817489</v>
      </c>
      <c r="AD21" s="188">
        <f>+AD17+AD19+AD20</f>
        <v>21321603.501903247</v>
      </c>
      <c r="AE21" s="188">
        <f>+AE17+AE19+AE20</f>
        <v>21696377.792271521</v>
      </c>
      <c r="AF21" s="188">
        <f>+AF17+AF19+AF20</f>
        <v>22064517.351241622</v>
      </c>
      <c r="AH21" s="188">
        <f t="shared" ref="AH21:CO21" si="1">+AH17+AH19+AH20</f>
        <v>1700164.401467212</v>
      </c>
      <c r="AI21" s="188">
        <f t="shared" si="1"/>
        <v>1702187.3766667887</v>
      </c>
      <c r="AJ21" s="188">
        <f t="shared" si="1"/>
        <v>1704625.3571915072</v>
      </c>
      <c r="AK21" s="188">
        <f t="shared" si="1"/>
        <v>1707731.8515700237</v>
      </c>
      <c r="AL21" s="188">
        <f t="shared" si="1"/>
        <v>1709804.3834586656</v>
      </c>
      <c r="AM21" s="188">
        <f t="shared" si="1"/>
        <v>1712496.2819539134</v>
      </c>
      <c r="AN21" s="188">
        <f t="shared" si="1"/>
        <v>1715784.1610224955</v>
      </c>
      <c r="AO21" s="188">
        <f t="shared" si="1"/>
        <v>1718018.0443335008</v>
      </c>
      <c r="AP21" s="188">
        <f t="shared" si="1"/>
        <v>1721128.9683976411</v>
      </c>
      <c r="AQ21" s="188">
        <f t="shared" si="1"/>
        <v>1723550.2241068375</v>
      </c>
      <c r="AR21" s="188">
        <f t="shared" si="1"/>
        <v>1726978.0298176534</v>
      </c>
      <c r="AS21" s="188">
        <f t="shared" si="1"/>
        <v>1729292.1078233793</v>
      </c>
      <c r="AT21" s="188">
        <f t="shared" si="1"/>
        <v>1730571.8748178817</v>
      </c>
      <c r="AU21" s="188">
        <f t="shared" si="1"/>
        <v>1732779.1916550663</v>
      </c>
      <c r="AV21" s="188">
        <f t="shared" si="1"/>
        <v>1735408.9039876249</v>
      </c>
      <c r="AW21" s="188">
        <f t="shared" si="1"/>
        <v>1738719.2177047038</v>
      </c>
      <c r="AX21" s="188">
        <f t="shared" si="1"/>
        <v>1740976.6638185265</v>
      </c>
      <c r="AY21" s="188">
        <f t="shared" si="1"/>
        <v>1743864.5358830956</v>
      </c>
      <c r="AZ21" s="188">
        <f t="shared" si="1"/>
        <v>1747359.5596866994</v>
      </c>
      <c r="BA21" s="188">
        <f t="shared" si="1"/>
        <v>1749662.2228356116</v>
      </c>
      <c r="BB21" s="188">
        <f t="shared" si="1"/>
        <v>1752739.7619177387</v>
      </c>
      <c r="BC21" s="188">
        <f t="shared" si="1"/>
        <v>1755114.7950700703</v>
      </c>
      <c r="BD21" s="188">
        <f t="shared" si="1"/>
        <v>1758514.796256358</v>
      </c>
      <c r="BE21" s="188">
        <f t="shared" si="1"/>
        <v>1760780.4771841117</v>
      </c>
      <c r="BF21" s="188">
        <f t="shared" si="1"/>
        <v>1761996.7756202973</v>
      </c>
      <c r="BG21" s="188">
        <f t="shared" si="1"/>
        <v>1764153.8842826756</v>
      </c>
      <c r="BH21" s="188">
        <f t="shared" si="1"/>
        <v>1766741.0394183518</v>
      </c>
      <c r="BI21" s="188">
        <f t="shared" si="1"/>
        <v>1770021.0182991803</v>
      </c>
      <c r="BJ21" s="188">
        <f t="shared" si="1"/>
        <v>1772229.0042698323</v>
      </c>
      <c r="BK21" s="188">
        <f t="shared" si="1"/>
        <v>1775078.5377875769</v>
      </c>
      <c r="BL21" s="188">
        <f t="shared" si="1"/>
        <v>1778546.1994993642</v>
      </c>
      <c r="BM21" s="188">
        <f t="shared" si="1"/>
        <v>1780828.937977954</v>
      </c>
      <c r="BN21" s="188">
        <f t="shared" si="1"/>
        <v>1783929.7796174709</v>
      </c>
      <c r="BO21" s="188">
        <f t="shared" si="1"/>
        <v>1786315.4619341916</v>
      </c>
      <c r="BP21" s="188">
        <f t="shared" si="1"/>
        <v>1789744.3384574517</v>
      </c>
      <c r="BQ21" s="188">
        <f t="shared" si="1"/>
        <v>1792018.5247388962</v>
      </c>
      <c r="BR21" s="188">
        <f t="shared" si="1"/>
        <v>1793228.223591161</v>
      </c>
      <c r="BS21" s="188">
        <f t="shared" si="1"/>
        <v>1795391.9666333348</v>
      </c>
      <c r="BT21" s="188">
        <f t="shared" si="1"/>
        <v>1797993.3620201447</v>
      </c>
      <c r="BU21" s="188">
        <f t="shared" si="1"/>
        <v>1801299.7969925376</v>
      </c>
      <c r="BV21" s="188">
        <f t="shared" si="1"/>
        <v>1803515.1413673502</v>
      </c>
      <c r="BW21" s="188">
        <f t="shared" si="1"/>
        <v>1806383.168220123</v>
      </c>
      <c r="BX21" s="188">
        <f t="shared" si="1"/>
        <v>1809880.3661398664</v>
      </c>
      <c r="BY21" s="188">
        <f t="shared" si="1"/>
        <v>1812129.3474777942</v>
      </c>
      <c r="BZ21" s="188">
        <f t="shared" si="1"/>
        <v>1815169.0395199866</v>
      </c>
      <c r="CA21" s="188">
        <f t="shared" si="1"/>
        <v>1817480.893860176</v>
      </c>
      <c r="CB21" s="188">
        <f t="shared" si="1"/>
        <v>1820854.1249103369</v>
      </c>
      <c r="CC21" s="188">
        <f t="shared" si="1"/>
        <v>1823052.3615387117</v>
      </c>
      <c r="CD21" s="188">
        <f t="shared" si="1"/>
        <v>1824171.0640410597</v>
      </c>
      <c r="CE21" s="188">
        <f t="shared" si="1"/>
        <v>1826257.1155506533</v>
      </c>
      <c r="CF21" s="188">
        <f t="shared" si="1"/>
        <v>1828788.360589206</v>
      </c>
      <c r="CG21" s="188">
        <f t="shared" si="1"/>
        <v>1832036.6548846741</v>
      </c>
      <c r="CH21" s="188">
        <f t="shared" si="1"/>
        <v>1834175.0848505399</v>
      </c>
      <c r="CI21" s="188">
        <f t="shared" si="1"/>
        <v>1836977.1268503531</v>
      </c>
      <c r="CJ21" s="188">
        <f t="shared" si="1"/>
        <v>1840419.078075706</v>
      </c>
      <c r="CK21" s="188">
        <f t="shared" si="1"/>
        <v>1842646.1200897342</v>
      </c>
      <c r="CL21" s="188">
        <f t="shared" si="1"/>
        <v>1845732.1974908181</v>
      </c>
      <c r="CM21" s="188">
        <f t="shared" si="1"/>
        <v>1848078.0529053083</v>
      </c>
      <c r="CN21" s="188">
        <f t="shared" si="1"/>
        <v>1851503.1706764386</v>
      </c>
      <c r="CO21" s="188">
        <f t="shared" si="1"/>
        <v>1853733.3252371328</v>
      </c>
    </row>
    <row r="22" spans="1:94" x14ac:dyDescent="0.2">
      <c r="A22" s="118">
        <f t="shared" si="0"/>
        <v>9</v>
      </c>
      <c r="B22" s="102"/>
      <c r="C22" s="143"/>
      <c r="D22" s="168"/>
      <c r="E22" s="189"/>
      <c r="F22" s="183"/>
      <c r="G22" s="142"/>
      <c r="H22" s="174"/>
      <c r="I22" s="162"/>
      <c r="J22" s="168"/>
      <c r="K22" s="189"/>
      <c r="L22" s="183"/>
      <c r="M22" s="142"/>
      <c r="N22" s="174"/>
      <c r="T22" s="935"/>
      <c r="U22" s="190"/>
      <c r="V22" s="191"/>
      <c r="W22" s="140"/>
      <c r="Y22" s="190"/>
      <c r="Z22" s="141"/>
      <c r="AB22" s="193">
        <f>SUM(AH22:AS22)</f>
        <v>0</v>
      </c>
      <c r="AC22" s="193">
        <f>SUM(AT22:BE22)</f>
        <v>0</v>
      </c>
      <c r="AD22" s="193">
        <f>SUM(BF22:BQ22)</f>
        <v>0</v>
      </c>
      <c r="AE22" s="193">
        <f>SUM(BR22:CC22)</f>
        <v>0</v>
      </c>
      <c r="AF22" s="193">
        <f>SUM(CD22:CO22)</f>
        <v>0</v>
      </c>
      <c r="AH22" s="194">
        <v>0</v>
      </c>
      <c r="AI22" s="194">
        <v>0</v>
      </c>
      <c r="AJ22" s="194">
        <v>0</v>
      </c>
      <c r="AK22" s="194">
        <v>0</v>
      </c>
      <c r="AL22" s="194">
        <v>0</v>
      </c>
      <c r="AM22" s="194">
        <v>0</v>
      </c>
      <c r="AN22" s="194">
        <v>0</v>
      </c>
      <c r="AO22" s="194">
        <v>0</v>
      </c>
      <c r="AP22" s="194">
        <v>0</v>
      </c>
      <c r="AQ22" s="194">
        <v>0</v>
      </c>
      <c r="AR22" s="194">
        <v>0</v>
      </c>
      <c r="AS22" s="194">
        <v>0</v>
      </c>
      <c r="AT22" s="194">
        <v>0</v>
      </c>
      <c r="AU22" s="194">
        <v>0</v>
      </c>
      <c r="AV22" s="194">
        <v>0</v>
      </c>
      <c r="AW22" s="194">
        <v>0</v>
      </c>
      <c r="AX22" s="194">
        <v>0</v>
      </c>
      <c r="AY22" s="194">
        <v>0</v>
      </c>
      <c r="AZ22" s="194">
        <v>0</v>
      </c>
      <c r="BA22" s="194">
        <v>0</v>
      </c>
      <c r="BB22" s="194">
        <v>0</v>
      </c>
      <c r="BC22" s="194">
        <v>0</v>
      </c>
      <c r="BD22" s="194">
        <v>0</v>
      </c>
      <c r="BE22" s="194">
        <v>0</v>
      </c>
      <c r="BF22" s="194">
        <v>0</v>
      </c>
      <c r="BG22" s="194">
        <v>0</v>
      </c>
      <c r="BH22" s="194">
        <v>0</v>
      </c>
      <c r="BI22" s="194">
        <v>0</v>
      </c>
      <c r="BJ22" s="194">
        <v>0</v>
      </c>
      <c r="BK22" s="194">
        <v>0</v>
      </c>
      <c r="BL22" s="194">
        <v>0</v>
      </c>
      <c r="BM22" s="194">
        <v>0</v>
      </c>
      <c r="BN22" s="194">
        <v>0</v>
      </c>
      <c r="BO22" s="194">
        <v>0</v>
      </c>
      <c r="BP22" s="194">
        <v>0</v>
      </c>
      <c r="BQ22" s="194">
        <v>0</v>
      </c>
      <c r="BR22" s="194">
        <v>0</v>
      </c>
      <c r="BS22" s="194">
        <v>0</v>
      </c>
      <c r="BT22" s="194">
        <v>0</v>
      </c>
      <c r="BU22" s="194">
        <v>0</v>
      </c>
      <c r="BV22" s="194">
        <v>0</v>
      </c>
      <c r="BW22" s="194">
        <v>0</v>
      </c>
      <c r="BX22" s="194">
        <v>0</v>
      </c>
      <c r="BY22" s="194">
        <v>0</v>
      </c>
      <c r="BZ22" s="194">
        <v>0</v>
      </c>
      <c r="CA22" s="194">
        <v>0</v>
      </c>
      <c r="CB22" s="194">
        <v>0</v>
      </c>
      <c r="CC22" s="194">
        <v>0</v>
      </c>
      <c r="CD22" s="194">
        <v>0</v>
      </c>
      <c r="CE22" s="194">
        <v>0</v>
      </c>
      <c r="CF22" s="194">
        <v>0</v>
      </c>
      <c r="CG22" s="194">
        <v>0</v>
      </c>
      <c r="CH22" s="194">
        <v>0</v>
      </c>
      <c r="CI22" s="194">
        <v>0</v>
      </c>
      <c r="CJ22" s="194">
        <v>0</v>
      </c>
      <c r="CK22" s="194">
        <v>0</v>
      </c>
      <c r="CL22" s="194">
        <v>0</v>
      </c>
      <c r="CM22" s="194">
        <v>0</v>
      </c>
      <c r="CN22" s="194">
        <v>0</v>
      </c>
      <c r="CO22" s="194">
        <v>0</v>
      </c>
    </row>
    <row r="23" spans="1:94" x14ac:dyDescent="0.2">
      <c r="A23" s="118">
        <f t="shared" si="0"/>
        <v>10</v>
      </c>
      <c r="B23" s="195" t="s">
        <v>551</v>
      </c>
      <c r="C23" s="143"/>
      <c r="D23" s="143"/>
      <c r="E23" s="166"/>
      <c r="F23" s="183"/>
      <c r="G23" s="142"/>
      <c r="H23" s="174"/>
      <c r="I23" s="162"/>
      <c r="J23" s="143"/>
      <c r="K23" s="166"/>
      <c r="L23" s="310"/>
      <c r="M23" s="142"/>
      <c r="N23" s="174"/>
      <c r="R23" s="196"/>
      <c r="U23" s="184"/>
      <c r="V23" s="139"/>
      <c r="W23" s="140"/>
      <c r="Y23" s="184"/>
      <c r="Z23" s="141"/>
      <c r="AB23" s="107" t="s">
        <v>552</v>
      </c>
      <c r="AH23" s="118">
        <f t="shared" ref="AH23:CO23" si="2">IF(AH8="Mo 1",1,IF(AH8="Mo 2",1,IF(AH8="Mo 12",1,2)))</f>
        <v>1</v>
      </c>
      <c r="AI23" s="118">
        <f t="shared" si="2"/>
        <v>1</v>
      </c>
      <c r="AJ23" s="118">
        <f t="shared" si="2"/>
        <v>2</v>
      </c>
      <c r="AK23" s="118">
        <f t="shared" si="2"/>
        <v>2</v>
      </c>
      <c r="AL23" s="118">
        <f t="shared" si="2"/>
        <v>2</v>
      </c>
      <c r="AM23" s="118">
        <f t="shared" si="2"/>
        <v>2</v>
      </c>
      <c r="AN23" s="118">
        <f t="shared" si="2"/>
        <v>2</v>
      </c>
      <c r="AO23" s="118">
        <f t="shared" si="2"/>
        <v>2</v>
      </c>
      <c r="AP23" s="118">
        <f t="shared" si="2"/>
        <v>2</v>
      </c>
      <c r="AQ23" s="118">
        <f t="shared" si="2"/>
        <v>2</v>
      </c>
      <c r="AR23" s="118">
        <f t="shared" si="2"/>
        <v>2</v>
      </c>
      <c r="AS23" s="118">
        <f t="shared" si="2"/>
        <v>1</v>
      </c>
      <c r="AT23" s="118">
        <f t="shared" si="2"/>
        <v>1</v>
      </c>
      <c r="AU23" s="118">
        <f t="shared" si="2"/>
        <v>1</v>
      </c>
      <c r="AV23" s="118">
        <f t="shared" si="2"/>
        <v>2</v>
      </c>
      <c r="AW23" s="118">
        <f t="shared" si="2"/>
        <v>2</v>
      </c>
      <c r="AX23" s="118">
        <f t="shared" si="2"/>
        <v>2</v>
      </c>
      <c r="AY23" s="118">
        <f t="shared" si="2"/>
        <v>2</v>
      </c>
      <c r="AZ23" s="118">
        <f t="shared" si="2"/>
        <v>2</v>
      </c>
      <c r="BA23" s="118">
        <f t="shared" si="2"/>
        <v>2</v>
      </c>
      <c r="BB23" s="118">
        <f t="shared" si="2"/>
        <v>2</v>
      </c>
      <c r="BC23" s="118">
        <f t="shared" si="2"/>
        <v>2</v>
      </c>
      <c r="BD23" s="118">
        <f t="shared" si="2"/>
        <v>2</v>
      </c>
      <c r="BE23" s="118">
        <f t="shared" si="2"/>
        <v>1</v>
      </c>
      <c r="BF23" s="118">
        <f t="shared" si="2"/>
        <v>1</v>
      </c>
      <c r="BG23" s="118">
        <f t="shared" si="2"/>
        <v>1</v>
      </c>
      <c r="BH23" s="118">
        <f t="shared" si="2"/>
        <v>2</v>
      </c>
      <c r="BI23" s="118">
        <f t="shared" si="2"/>
        <v>2</v>
      </c>
      <c r="BJ23" s="118">
        <f t="shared" si="2"/>
        <v>2</v>
      </c>
      <c r="BK23" s="118">
        <f t="shared" si="2"/>
        <v>2</v>
      </c>
      <c r="BL23" s="118">
        <f t="shared" si="2"/>
        <v>2</v>
      </c>
      <c r="BM23" s="118">
        <f t="shared" si="2"/>
        <v>2</v>
      </c>
      <c r="BN23" s="118">
        <f t="shared" si="2"/>
        <v>2</v>
      </c>
      <c r="BO23" s="118">
        <f t="shared" si="2"/>
        <v>2</v>
      </c>
      <c r="BP23" s="118">
        <f t="shared" si="2"/>
        <v>2</v>
      </c>
      <c r="BQ23" s="118">
        <f t="shared" si="2"/>
        <v>1</v>
      </c>
      <c r="BR23" s="118">
        <f t="shared" si="2"/>
        <v>1</v>
      </c>
      <c r="BS23" s="118">
        <f t="shared" si="2"/>
        <v>1</v>
      </c>
      <c r="BT23" s="118">
        <f t="shared" si="2"/>
        <v>2</v>
      </c>
      <c r="BU23" s="118">
        <f t="shared" si="2"/>
        <v>2</v>
      </c>
      <c r="BV23" s="118">
        <f t="shared" si="2"/>
        <v>2</v>
      </c>
      <c r="BW23" s="118">
        <f t="shared" si="2"/>
        <v>2</v>
      </c>
      <c r="BX23" s="118">
        <f t="shared" si="2"/>
        <v>2</v>
      </c>
      <c r="BY23" s="118">
        <f t="shared" si="2"/>
        <v>2</v>
      </c>
      <c r="BZ23" s="118">
        <f t="shared" si="2"/>
        <v>2</v>
      </c>
      <c r="CA23" s="118">
        <f t="shared" si="2"/>
        <v>2</v>
      </c>
      <c r="CB23" s="118">
        <f t="shared" si="2"/>
        <v>2</v>
      </c>
      <c r="CC23" s="118">
        <f t="shared" si="2"/>
        <v>1</v>
      </c>
      <c r="CD23" s="118">
        <f t="shared" si="2"/>
        <v>1</v>
      </c>
      <c r="CE23" s="118">
        <f t="shared" si="2"/>
        <v>1</v>
      </c>
      <c r="CF23" s="118">
        <f t="shared" si="2"/>
        <v>2</v>
      </c>
      <c r="CG23" s="118">
        <f t="shared" si="2"/>
        <v>2</v>
      </c>
      <c r="CH23" s="118">
        <f t="shared" si="2"/>
        <v>2</v>
      </c>
      <c r="CI23" s="118">
        <f t="shared" si="2"/>
        <v>2</v>
      </c>
      <c r="CJ23" s="118">
        <f t="shared" si="2"/>
        <v>2</v>
      </c>
      <c r="CK23" s="118">
        <f t="shared" si="2"/>
        <v>2</v>
      </c>
      <c r="CL23" s="118">
        <f t="shared" si="2"/>
        <v>2</v>
      </c>
      <c r="CM23" s="118">
        <f t="shared" si="2"/>
        <v>2</v>
      </c>
      <c r="CN23" s="118">
        <f t="shared" si="2"/>
        <v>2</v>
      </c>
      <c r="CO23" s="118">
        <f t="shared" si="2"/>
        <v>1</v>
      </c>
    </row>
    <row r="24" spans="1:94" x14ac:dyDescent="0.2">
      <c r="A24" s="118">
        <f t="shared" si="0"/>
        <v>11</v>
      </c>
      <c r="B24" s="100" t="s">
        <v>553</v>
      </c>
      <c r="C24" s="143"/>
      <c r="D24" s="143"/>
      <c r="E24" s="166"/>
      <c r="F24" s="183"/>
      <c r="G24" s="142"/>
      <c r="H24" s="174"/>
      <c r="I24" s="162"/>
      <c r="J24" s="168"/>
      <c r="K24" s="166"/>
      <c r="L24" s="183"/>
      <c r="M24" s="142"/>
      <c r="N24" s="174"/>
      <c r="U24" s="184"/>
      <c r="V24" s="139"/>
      <c r="W24" s="140"/>
      <c r="Y24" s="184"/>
      <c r="Z24" s="141"/>
    </row>
    <row r="25" spans="1:94" x14ac:dyDescent="0.2">
      <c r="A25" s="118"/>
      <c r="B25" s="171"/>
      <c r="F25" s="197"/>
      <c r="I25" s="162"/>
      <c r="L25" s="857">
        <v>0</v>
      </c>
      <c r="S25" s="732"/>
      <c r="T25" s="858" t="s">
        <v>554</v>
      </c>
      <c r="U25" s="184"/>
      <c r="V25" s="139"/>
      <c r="W25" s="140"/>
      <c r="Y25" s="184"/>
      <c r="Z25" s="141"/>
    </row>
    <row r="26" spans="1:94" x14ac:dyDescent="0.2">
      <c r="A26" s="118">
        <f t="shared" si="0"/>
        <v>1</v>
      </c>
      <c r="B26" s="198" t="s">
        <v>348</v>
      </c>
      <c r="C26" s="143"/>
      <c r="D26" s="172">
        <f>SUMIFS($AH26:$CO26,$AH$6:$CO$6,1,$AH$23:$CO$23,1)</f>
        <v>3393198.353816377</v>
      </c>
      <c r="E26" s="166" t="s">
        <v>555</v>
      </c>
      <c r="F26" s="173">
        <f>'Exhibit MJC-3 - E-13c cal yr'!F28</f>
        <v>88.67</v>
      </c>
      <c r="G26" s="142" t="s">
        <v>375</v>
      </c>
      <c r="H26" s="174">
        <f>ROUND(D26*F26,2)</f>
        <v>300874898.02999997</v>
      </c>
      <c r="I26" s="162"/>
      <c r="J26" s="185">
        <f>SUMIFS($AH26:$CO26,$AH$6:$CO$6,1,$AH$23:$CO$23,1)</f>
        <v>3393198.353816377</v>
      </c>
      <c r="K26" s="166" t="s">
        <v>555</v>
      </c>
      <c r="L26" s="173">
        <f>ROUND(F26*(1+'Exhibit MJC-2 - Old E-8a'!$V$16)+L25,2)</f>
        <v>90.95</v>
      </c>
      <c r="M26" s="142" t="s">
        <v>375</v>
      </c>
      <c r="N26" s="174">
        <f>ROUND(J26*L26,2)</f>
        <v>308611390.27999997</v>
      </c>
      <c r="Q26" s="1022"/>
      <c r="T26" s="859">
        <f>'MFR E-14B'!G45</f>
        <v>0.1573</v>
      </c>
      <c r="U26" s="178" t="s">
        <v>135</v>
      </c>
      <c r="V26" s="179">
        <v>238</v>
      </c>
      <c r="W26" s="180">
        <v>212</v>
      </c>
      <c r="Y26" s="178"/>
      <c r="Z26" s="181"/>
      <c r="AB26" s="182">
        <f>SUM(AH26:AS26)</f>
        <v>14987995.473220017</v>
      </c>
      <c r="AC26" s="182">
        <f>SUM(AT26:BE26)</f>
        <v>15070158.104417343</v>
      </c>
      <c r="AD26" s="182">
        <f>SUM(BF26:BQ26)</f>
        <v>15013144.373565374</v>
      </c>
      <c r="AE26" s="182">
        <f>SUM(BR26:CC26)</f>
        <v>14946335.265957752</v>
      </c>
      <c r="AF26" s="182">
        <f>SUM(CD26:CO26)</f>
        <v>15440352.074610243</v>
      </c>
      <c r="AH26" s="168">
        <v>1349521.3100839802</v>
      </c>
      <c r="AI26" s="168">
        <v>998433.68865364487</v>
      </c>
      <c r="AJ26" s="168">
        <v>1070175.7267304664</v>
      </c>
      <c r="AK26" s="168">
        <v>1090211.371000106</v>
      </c>
      <c r="AL26" s="168">
        <v>1264749.2062485528</v>
      </c>
      <c r="AM26" s="168">
        <v>1345825.2949063445</v>
      </c>
      <c r="AN26" s="168">
        <v>1318345.1304139977</v>
      </c>
      <c r="AO26" s="168">
        <v>1411748.6277431981</v>
      </c>
      <c r="AP26" s="168">
        <v>1426400.1763021729</v>
      </c>
      <c r="AQ26" s="168">
        <v>1461511.3692986062</v>
      </c>
      <c r="AR26" s="168">
        <v>1162192.2166807102</v>
      </c>
      <c r="AS26" s="168">
        <v>1088881.3551582387</v>
      </c>
      <c r="AT26" s="168">
        <v>1312974.5634247565</v>
      </c>
      <c r="AU26" s="168">
        <v>1089061.5338510454</v>
      </c>
      <c r="AV26" s="168">
        <v>1035125.9280180109</v>
      </c>
      <c r="AW26" s="168">
        <v>1129907.8645380577</v>
      </c>
      <c r="AX26" s="168">
        <v>1268459.7676146461</v>
      </c>
      <c r="AY26" s="168">
        <v>1279759.3262698518</v>
      </c>
      <c r="AZ26" s="168">
        <v>1371546.4336380993</v>
      </c>
      <c r="BA26" s="168">
        <v>1384991.6330856672</v>
      </c>
      <c r="BB26" s="168">
        <v>1432298.0486183902</v>
      </c>
      <c r="BC26" s="168">
        <v>1508463.256931965</v>
      </c>
      <c r="BD26" s="168">
        <v>1167342.1752888064</v>
      </c>
      <c r="BE26" s="168">
        <v>1090227.5731380442</v>
      </c>
      <c r="BF26" s="168">
        <v>1244856.8551657491</v>
      </c>
      <c r="BG26" s="168">
        <v>1107083.5880324915</v>
      </c>
      <c r="BH26" s="168">
        <v>1061222.1541909911</v>
      </c>
      <c r="BI26" s="168">
        <v>1070545.9829492178</v>
      </c>
      <c r="BJ26" s="168">
        <v>1254337.6680893656</v>
      </c>
      <c r="BK26" s="168">
        <v>1307320.9147047503</v>
      </c>
      <c r="BL26" s="168">
        <v>1371467.9402417501</v>
      </c>
      <c r="BM26" s="168">
        <v>1397257.6062328261</v>
      </c>
      <c r="BN26" s="168">
        <v>1429598.930002894</v>
      </c>
      <c r="BO26" s="168">
        <v>1464166.4249993437</v>
      </c>
      <c r="BP26" s="168">
        <v>1151283.1195119726</v>
      </c>
      <c r="BQ26" s="168">
        <v>1154003.1894440216</v>
      </c>
      <c r="BR26" s="168">
        <v>1233292.3866749797</v>
      </c>
      <c r="BS26" s="168">
        <v>1061144.1089033578</v>
      </c>
      <c r="BT26" s="168">
        <v>1082757.6152831407</v>
      </c>
      <c r="BU26" s="168">
        <v>1101831.9726066822</v>
      </c>
      <c r="BV26" s="168">
        <v>1170490.1258331609</v>
      </c>
      <c r="BW26" s="168">
        <v>1340041.7159403192</v>
      </c>
      <c r="BX26" s="168">
        <v>1401116.4797399039</v>
      </c>
      <c r="BY26" s="168">
        <v>1404580.527448941</v>
      </c>
      <c r="BZ26" s="168">
        <v>1423881.7026463861</v>
      </c>
      <c r="CA26" s="168">
        <v>1477955.6781624062</v>
      </c>
      <c r="CB26" s="168">
        <v>1150481.0944804365</v>
      </c>
      <c r="CC26" s="168">
        <v>1098761.8582380398</v>
      </c>
      <c r="CD26" s="168">
        <v>1291229.6005704643</v>
      </c>
      <c r="CE26" s="168">
        <v>1057700.9506949368</v>
      </c>
      <c r="CF26" s="168">
        <v>1028274.6829603468</v>
      </c>
      <c r="CG26" s="168">
        <v>1176689.6849928589</v>
      </c>
      <c r="CH26" s="168">
        <v>1258932.8366042154</v>
      </c>
      <c r="CI26" s="168">
        <v>1325411.7155332258</v>
      </c>
      <c r="CJ26" s="168">
        <v>1421940.6537261424</v>
      </c>
      <c r="CK26" s="168">
        <v>1441073.4124573357</v>
      </c>
      <c r="CL26" s="168">
        <v>1521195.7408981293</v>
      </c>
      <c r="CM26" s="168">
        <v>1526697.3336581797</v>
      </c>
      <c r="CN26" s="168">
        <v>1236759.6323954361</v>
      </c>
      <c r="CO26" s="168">
        <v>1154445.8301189742</v>
      </c>
    </row>
    <row r="27" spans="1:94" x14ac:dyDescent="0.2">
      <c r="A27" s="118">
        <f t="shared" si="0"/>
        <v>2</v>
      </c>
      <c r="B27" s="198" t="s">
        <v>349</v>
      </c>
      <c r="C27" s="143"/>
      <c r="D27" s="172">
        <f>SUMIFS($AH27:$CO27,$AH$6:$CO$6,1,$AH$23:$CO$23,1)</f>
        <v>889668.85931853601</v>
      </c>
      <c r="E27" s="166" t="s">
        <v>555</v>
      </c>
      <c r="F27" s="173">
        <f>'Exhibit MJC-3 - E-13c cal yr'!F29</f>
        <v>103.08</v>
      </c>
      <c r="G27" s="142" t="s">
        <v>375</v>
      </c>
      <c r="H27" s="174">
        <f>ROUND(D27*F27,2)</f>
        <v>91707066.019999996</v>
      </c>
      <c r="I27" s="162"/>
      <c r="J27" s="185">
        <f>SUMIFS($AH27:$CO27,$AH$6:$CO$6,1,$AH$23:$CO$23,1)</f>
        <v>889668.85931853601</v>
      </c>
      <c r="K27" s="166" t="s">
        <v>555</v>
      </c>
      <c r="L27" s="173">
        <f>ROUND(F27*(1+'Exhibit MJC-2 - Old E-8a'!$V$16)+L25,2)</f>
        <v>105.73</v>
      </c>
      <c r="M27" s="142" t="s">
        <v>375</v>
      </c>
      <c r="N27" s="174">
        <f>ROUND(J27*L27,2)</f>
        <v>94064688.5</v>
      </c>
      <c r="Q27" s="1022"/>
      <c r="T27" s="859">
        <f>'MFR E-14B'!G46</f>
        <v>0.19</v>
      </c>
      <c r="U27" s="178" t="s">
        <v>135</v>
      </c>
      <c r="V27" s="179">
        <v>238</v>
      </c>
      <c r="W27" s="180">
        <v>212</v>
      </c>
      <c r="Y27" s="178"/>
      <c r="Z27" s="181"/>
      <c r="AB27" s="182">
        <f>SUM(AH27:AS27)</f>
        <v>5861703.6245576572</v>
      </c>
      <c r="AC27" s="182">
        <f>SUM(AT27:BE27)</f>
        <v>5881721.880669564</v>
      </c>
      <c r="AD27" s="182">
        <f>SUM(BF27:BQ27)</f>
        <v>5870705.838589102</v>
      </c>
      <c r="AE27" s="182">
        <f>SUM(BR27:CC27)</f>
        <v>5870584.6471353546</v>
      </c>
      <c r="AF27" s="182">
        <f>SUM(CD27:CO27)</f>
        <v>6055540.6666690279</v>
      </c>
      <c r="AH27" s="168">
        <v>377723.74317184283</v>
      </c>
      <c r="AI27" s="168">
        <v>270931.40528787987</v>
      </c>
      <c r="AJ27" s="168">
        <v>232607.24294336492</v>
      </c>
      <c r="AK27" s="168">
        <v>283620.74474470172</v>
      </c>
      <c r="AL27" s="168">
        <v>408440.32671771653</v>
      </c>
      <c r="AM27" s="168">
        <v>741827.7094499463</v>
      </c>
      <c r="AN27" s="168">
        <v>851231.78130831919</v>
      </c>
      <c r="AO27" s="168">
        <v>865546.64991835866</v>
      </c>
      <c r="AP27" s="168">
        <v>800452.9911470206</v>
      </c>
      <c r="AQ27" s="168">
        <v>475145.35383805388</v>
      </c>
      <c r="AR27" s="168">
        <v>299953.79961426568</v>
      </c>
      <c r="AS27" s="168">
        <v>254221.87641618701</v>
      </c>
      <c r="AT27" s="168">
        <v>367494.50570391724</v>
      </c>
      <c r="AU27" s="168">
        <v>295523.85417715396</v>
      </c>
      <c r="AV27" s="168">
        <v>224989.02021546566</v>
      </c>
      <c r="AW27" s="168">
        <v>293947.86970456975</v>
      </c>
      <c r="AX27" s="168">
        <v>409638.62191267352</v>
      </c>
      <c r="AY27" s="168">
        <v>705411.71521080402</v>
      </c>
      <c r="AZ27" s="168">
        <v>885582.90763072227</v>
      </c>
      <c r="BA27" s="168">
        <v>849141.86890239862</v>
      </c>
      <c r="BB27" s="168">
        <v>803762.70017212606</v>
      </c>
      <c r="BC27" s="168">
        <v>490409.66975892364</v>
      </c>
      <c r="BD27" s="168">
        <v>301282.96843004605</v>
      </c>
      <c r="BE27" s="168">
        <v>254536.17885076365</v>
      </c>
      <c r="BF27" s="168">
        <v>348428.72619556793</v>
      </c>
      <c r="BG27" s="168">
        <v>300414.25453227188</v>
      </c>
      <c r="BH27" s="168">
        <v>230661.14589511327</v>
      </c>
      <c r="BI27" s="168">
        <v>278504.75333876919</v>
      </c>
      <c r="BJ27" s="168">
        <v>405078.00632537092</v>
      </c>
      <c r="BK27" s="168">
        <v>720603.8431154039</v>
      </c>
      <c r="BL27" s="168">
        <v>885532.2258539598</v>
      </c>
      <c r="BM27" s="168">
        <v>856662.16802426416</v>
      </c>
      <c r="BN27" s="168">
        <v>802248.03577069868</v>
      </c>
      <c r="BO27" s="168">
        <v>476008.52699351974</v>
      </c>
      <c r="BP27" s="168">
        <v>297138.23683630308</v>
      </c>
      <c r="BQ27" s="168">
        <v>269425.91570785973</v>
      </c>
      <c r="BR27" s="168">
        <v>345191.89377692732</v>
      </c>
      <c r="BS27" s="168">
        <v>287948.28129830275</v>
      </c>
      <c r="BT27" s="168">
        <v>235341.96989909542</v>
      </c>
      <c r="BU27" s="168">
        <v>286643.86830560828</v>
      </c>
      <c r="BV27" s="168">
        <v>378000.13398166501</v>
      </c>
      <c r="BW27" s="168">
        <v>738639.76287691959</v>
      </c>
      <c r="BX27" s="168">
        <v>904675.75550182851</v>
      </c>
      <c r="BY27" s="168">
        <v>861151.86952045513</v>
      </c>
      <c r="BZ27" s="168">
        <v>799039.69927816675</v>
      </c>
      <c r="CA27" s="168">
        <v>480491.48874869937</v>
      </c>
      <c r="CB27" s="168">
        <v>296931.23970438098</v>
      </c>
      <c r="CC27" s="168">
        <v>256528.68424330599</v>
      </c>
      <c r="CD27" s="168">
        <v>361408.20776769216</v>
      </c>
      <c r="CE27" s="168">
        <v>287013.95816534245</v>
      </c>
      <c r="CF27" s="168">
        <v>223499.87298124324</v>
      </c>
      <c r="CG27" s="168">
        <v>306118.25712745258</v>
      </c>
      <c r="CH27" s="168">
        <v>406561.97810432565</v>
      </c>
      <c r="CI27" s="168">
        <v>730575.61091579811</v>
      </c>
      <c r="CJ27" s="168">
        <v>918121.55077018403</v>
      </c>
      <c r="CK27" s="168">
        <v>883525.74950457492</v>
      </c>
      <c r="CL27" s="168">
        <v>853649.41841122287</v>
      </c>
      <c r="CM27" s="168">
        <v>496337.6680078496</v>
      </c>
      <c r="CN27" s="168">
        <v>319199.13558367128</v>
      </c>
      <c r="CO27" s="168">
        <v>269529.25932967087</v>
      </c>
    </row>
    <row r="28" spans="1:94" x14ac:dyDescent="0.2">
      <c r="A28" s="118">
        <f t="shared" si="0"/>
        <v>3</v>
      </c>
      <c r="B28" s="199" t="s">
        <v>556</v>
      </c>
      <c r="C28" s="143"/>
      <c r="D28" s="188">
        <f>SUM(D26:D27)</f>
        <v>4282867.2131349128</v>
      </c>
      <c r="E28" s="166"/>
      <c r="F28" s="183"/>
      <c r="G28" s="142"/>
      <c r="H28" s="174"/>
      <c r="I28" s="162"/>
      <c r="J28" s="200">
        <f>SUM(J26:J27)</f>
        <v>4282867.2131349128</v>
      </c>
      <c r="K28" s="166"/>
      <c r="L28" s="183"/>
      <c r="M28" s="142"/>
      <c r="N28" s="174"/>
      <c r="Q28" s="1219"/>
      <c r="T28" s="927"/>
      <c r="U28" s="184"/>
      <c r="V28" s="139"/>
      <c r="W28" s="140"/>
      <c r="Y28" s="184"/>
      <c r="Z28" s="141"/>
      <c r="AB28" s="188">
        <f>+AB26+AB27</f>
        <v>20849699.097777672</v>
      </c>
      <c r="AC28" s="188">
        <f>+AC26+AC27</f>
        <v>20951879.985086907</v>
      </c>
      <c r="AD28" s="188">
        <f>+AD26+AD27</f>
        <v>20883850.212154478</v>
      </c>
      <c r="AE28" s="188">
        <f>+AE26+AE27</f>
        <v>20816919.913093105</v>
      </c>
      <c r="AF28" s="188">
        <f>+AF26+AF27</f>
        <v>21495892.74127927</v>
      </c>
      <c r="AH28" s="188">
        <f t="shared" ref="AH28:CO28" si="3">+AH26+AH27</f>
        <v>1727245.053255823</v>
      </c>
      <c r="AI28" s="188">
        <f t="shared" si="3"/>
        <v>1269365.0939415246</v>
      </c>
      <c r="AJ28" s="188">
        <f t="shared" si="3"/>
        <v>1302782.9696738312</v>
      </c>
      <c r="AK28" s="188">
        <f t="shared" si="3"/>
        <v>1373832.1157448078</v>
      </c>
      <c r="AL28" s="188">
        <f t="shared" si="3"/>
        <v>1673189.5329662692</v>
      </c>
      <c r="AM28" s="188">
        <f t="shared" si="3"/>
        <v>2087653.0043562907</v>
      </c>
      <c r="AN28" s="188">
        <f t="shared" si="3"/>
        <v>2169576.9117223169</v>
      </c>
      <c r="AO28" s="188">
        <f t="shared" si="3"/>
        <v>2277295.2776615568</v>
      </c>
      <c r="AP28" s="188">
        <f t="shared" si="3"/>
        <v>2226853.1674491935</v>
      </c>
      <c r="AQ28" s="188">
        <f t="shared" si="3"/>
        <v>1936656.7231366602</v>
      </c>
      <c r="AR28" s="188">
        <f t="shared" si="3"/>
        <v>1462146.0162949758</v>
      </c>
      <c r="AS28" s="188">
        <f t="shared" si="3"/>
        <v>1343103.2315744257</v>
      </c>
      <c r="AT28" s="188">
        <f t="shared" si="3"/>
        <v>1680469.0691286738</v>
      </c>
      <c r="AU28" s="188">
        <f t="shared" si="3"/>
        <v>1384585.3880281993</v>
      </c>
      <c r="AV28" s="188">
        <f t="shared" si="3"/>
        <v>1260114.9482334766</v>
      </c>
      <c r="AW28" s="188">
        <f t="shared" si="3"/>
        <v>1423855.7342426274</v>
      </c>
      <c r="AX28" s="188">
        <f t="shared" si="3"/>
        <v>1678098.3895273197</v>
      </c>
      <c r="AY28" s="188">
        <f t="shared" si="3"/>
        <v>1985171.0414806558</v>
      </c>
      <c r="AZ28" s="188">
        <f t="shared" si="3"/>
        <v>2257129.3412688216</v>
      </c>
      <c r="BA28" s="188">
        <f t="shared" si="3"/>
        <v>2234133.5019880659</v>
      </c>
      <c r="BB28" s="188">
        <f t="shared" si="3"/>
        <v>2236060.7487905165</v>
      </c>
      <c r="BC28" s="188">
        <f t="shared" si="3"/>
        <v>1998872.9266908886</v>
      </c>
      <c r="BD28" s="188">
        <f t="shared" si="3"/>
        <v>1468625.1437188524</v>
      </c>
      <c r="BE28" s="188">
        <f t="shared" si="3"/>
        <v>1344763.7519888079</v>
      </c>
      <c r="BF28" s="188">
        <f t="shared" si="3"/>
        <v>1593285.5813613171</v>
      </c>
      <c r="BG28" s="188">
        <f t="shared" si="3"/>
        <v>1407497.8425647635</v>
      </c>
      <c r="BH28" s="188">
        <f t="shared" si="3"/>
        <v>1291883.3000861043</v>
      </c>
      <c r="BI28" s="188">
        <f t="shared" si="3"/>
        <v>1349050.7362879869</v>
      </c>
      <c r="BJ28" s="188">
        <f t="shared" si="3"/>
        <v>1659415.6744147365</v>
      </c>
      <c r="BK28" s="188">
        <f t="shared" si="3"/>
        <v>2027924.7578201541</v>
      </c>
      <c r="BL28" s="188">
        <f t="shared" si="3"/>
        <v>2257000.1660957099</v>
      </c>
      <c r="BM28" s="188">
        <f t="shared" si="3"/>
        <v>2253919.7742570904</v>
      </c>
      <c r="BN28" s="188">
        <f t="shared" si="3"/>
        <v>2231846.9657735927</v>
      </c>
      <c r="BO28" s="188">
        <f t="shared" si="3"/>
        <v>1940174.9519928633</v>
      </c>
      <c r="BP28" s="188">
        <f t="shared" si="3"/>
        <v>1448421.3563482757</v>
      </c>
      <c r="BQ28" s="188">
        <f t="shared" si="3"/>
        <v>1423429.1051518812</v>
      </c>
      <c r="BR28" s="188">
        <f t="shared" si="3"/>
        <v>1578484.2804519071</v>
      </c>
      <c r="BS28" s="188">
        <f t="shared" si="3"/>
        <v>1349092.3902016606</v>
      </c>
      <c r="BT28" s="188">
        <f t="shared" si="3"/>
        <v>1318099.585182236</v>
      </c>
      <c r="BU28" s="188">
        <f t="shared" si="3"/>
        <v>1388475.8409122904</v>
      </c>
      <c r="BV28" s="188">
        <f t="shared" si="3"/>
        <v>1548490.2598148258</v>
      </c>
      <c r="BW28" s="188">
        <f t="shared" si="3"/>
        <v>2078681.4788172389</v>
      </c>
      <c r="BX28" s="188">
        <f t="shared" si="3"/>
        <v>2305792.2352417326</v>
      </c>
      <c r="BY28" s="188">
        <f t="shared" si="3"/>
        <v>2265732.3969693962</v>
      </c>
      <c r="BZ28" s="188">
        <f t="shared" si="3"/>
        <v>2222921.4019245529</v>
      </c>
      <c r="CA28" s="188">
        <f t="shared" si="3"/>
        <v>1958447.1669111056</v>
      </c>
      <c r="CB28" s="188">
        <f t="shared" si="3"/>
        <v>1447412.3341848175</v>
      </c>
      <c r="CC28" s="188">
        <f t="shared" si="3"/>
        <v>1355290.5424813458</v>
      </c>
      <c r="CD28" s="188">
        <f t="shared" si="3"/>
        <v>1652637.8083381564</v>
      </c>
      <c r="CE28" s="188">
        <f t="shared" si="3"/>
        <v>1344714.9088602792</v>
      </c>
      <c r="CF28" s="188">
        <f t="shared" si="3"/>
        <v>1251774.5559415901</v>
      </c>
      <c r="CG28" s="188">
        <f t="shared" si="3"/>
        <v>1482807.9421203115</v>
      </c>
      <c r="CH28" s="188">
        <f t="shared" si="3"/>
        <v>1665494.8147085411</v>
      </c>
      <c r="CI28" s="188">
        <f t="shared" si="3"/>
        <v>2055987.326449024</v>
      </c>
      <c r="CJ28" s="188">
        <f t="shared" si="3"/>
        <v>2340062.2044963264</v>
      </c>
      <c r="CK28" s="188">
        <f t="shared" si="3"/>
        <v>2324599.1619619108</v>
      </c>
      <c r="CL28" s="188">
        <f t="shared" si="3"/>
        <v>2374845.1593093523</v>
      </c>
      <c r="CM28" s="188">
        <f t="shared" si="3"/>
        <v>2023035.0016660294</v>
      </c>
      <c r="CN28" s="188">
        <f t="shared" si="3"/>
        <v>1555958.7679791073</v>
      </c>
      <c r="CO28" s="188">
        <f t="shared" si="3"/>
        <v>1423975.089448645</v>
      </c>
    </row>
    <row r="29" spans="1:94" x14ac:dyDescent="0.2">
      <c r="A29" s="118">
        <f t="shared" si="0"/>
        <v>4</v>
      </c>
      <c r="B29" s="100" t="s">
        <v>557</v>
      </c>
      <c r="C29" s="143"/>
      <c r="D29" s="143"/>
      <c r="E29" s="166"/>
      <c r="F29" s="183"/>
      <c r="G29" s="142"/>
      <c r="H29" s="174"/>
      <c r="I29" s="162"/>
      <c r="J29" s="175"/>
      <c r="K29" s="166"/>
      <c r="L29" s="183"/>
      <c r="M29" s="142"/>
      <c r="N29" s="174"/>
      <c r="Q29" s="1219"/>
      <c r="T29" s="860"/>
      <c r="U29" s="184"/>
      <c r="V29" s="139"/>
      <c r="W29" s="140"/>
      <c r="Y29" s="184"/>
      <c r="Z29" s="141"/>
    </row>
    <row r="30" spans="1:94" x14ac:dyDescent="0.2">
      <c r="A30" s="118">
        <f t="shared" si="0"/>
        <v>5</v>
      </c>
      <c r="B30" s="171" t="s">
        <v>149</v>
      </c>
      <c r="I30" s="162"/>
      <c r="L30" s="857">
        <v>0</v>
      </c>
      <c r="Q30" s="1219"/>
      <c r="S30" s="732"/>
      <c r="T30" s="858" t="s">
        <v>554</v>
      </c>
      <c r="U30" s="184"/>
      <c r="V30" s="139"/>
      <c r="W30" s="140"/>
      <c r="Y30" s="184"/>
      <c r="Z30" s="141"/>
    </row>
    <row r="31" spans="1:94" x14ac:dyDescent="0.2">
      <c r="A31" s="118">
        <f t="shared" si="0"/>
        <v>6</v>
      </c>
      <c r="B31" s="198" t="s">
        <v>348</v>
      </c>
      <c r="C31" s="143"/>
      <c r="D31" s="172">
        <f>SUMIFS($AH31:$CO31,AH$6:CO$6,1,AH$23:CO$23,2)</f>
        <v>11553136.912141375</v>
      </c>
      <c r="E31" s="166" t="s">
        <v>555</v>
      </c>
      <c r="F31" s="173">
        <f>'Exhibit MJC-3 - E-13c cal yr'!F33</f>
        <v>84.48</v>
      </c>
      <c r="G31" s="142" t="s">
        <v>375</v>
      </c>
      <c r="H31" s="174">
        <f>ROUND(D31*F31,2)</f>
        <v>976009006.34000003</v>
      </c>
      <c r="I31" s="162"/>
      <c r="J31" s="185">
        <f>SUMIFS($AH31:$CO31,$AH$6:$CO$6,1,$AH$23:$CO$23,2)</f>
        <v>11553136.912141375</v>
      </c>
      <c r="K31" s="166" t="s">
        <v>555</v>
      </c>
      <c r="L31" s="173">
        <f>ROUND(F31*(1+'Exhibit MJC-2 - Old E-8a'!$V$16)+L30,2)</f>
        <v>86.65</v>
      </c>
      <c r="M31" s="142" t="s">
        <v>375</v>
      </c>
      <c r="N31" s="174">
        <f>ROUND(J31*L31,2)</f>
        <v>1001079313.4400001</v>
      </c>
      <c r="Q31" s="1022"/>
      <c r="S31" s="182"/>
      <c r="T31" s="859">
        <f>'MFR E-14B'!G47</f>
        <v>-4.2299999999999997E-2</v>
      </c>
      <c r="U31" s="178" t="s">
        <v>135</v>
      </c>
      <c r="V31" s="179">
        <v>264</v>
      </c>
      <c r="W31" s="180">
        <v>186</v>
      </c>
      <c r="Y31" s="178"/>
      <c r="Z31" s="181"/>
      <c r="AB31" s="182">
        <f>SUM(AH31:AS31)</f>
        <v>14987995.473220017</v>
      </c>
      <c r="AC31" s="182">
        <f>SUM(AT31:BE31)</f>
        <v>15070158.104417343</v>
      </c>
      <c r="AD31" s="182">
        <f>SUM(BF31:BQ31)</f>
        <v>15013144.373565374</v>
      </c>
      <c r="AE31" s="182">
        <f>SUM(BR31:CC31)</f>
        <v>14946335.265957752</v>
      </c>
      <c r="AF31" s="182">
        <f>SUM(CD31:CO31)</f>
        <v>15440352.074610243</v>
      </c>
      <c r="AH31" s="168">
        <v>1349521.3100839802</v>
      </c>
      <c r="AI31" s="168">
        <v>998433.68865364487</v>
      </c>
      <c r="AJ31" s="168">
        <v>1070175.7267304664</v>
      </c>
      <c r="AK31" s="168">
        <v>1090211.371000106</v>
      </c>
      <c r="AL31" s="168">
        <v>1264749.2062485528</v>
      </c>
      <c r="AM31" s="168">
        <v>1345825.2949063445</v>
      </c>
      <c r="AN31" s="168">
        <v>1318345.1304139977</v>
      </c>
      <c r="AO31" s="168">
        <v>1411748.6277431981</v>
      </c>
      <c r="AP31" s="168">
        <v>1426400.1763021729</v>
      </c>
      <c r="AQ31" s="168">
        <v>1461511.3692986062</v>
      </c>
      <c r="AR31" s="168">
        <v>1162192.2166807102</v>
      </c>
      <c r="AS31" s="168">
        <v>1088881.3551582387</v>
      </c>
      <c r="AT31" s="168">
        <v>1312974.5634247565</v>
      </c>
      <c r="AU31" s="168">
        <v>1089061.5338510454</v>
      </c>
      <c r="AV31" s="168">
        <v>1035125.9280180109</v>
      </c>
      <c r="AW31" s="168">
        <v>1129907.8645380577</v>
      </c>
      <c r="AX31" s="168">
        <v>1268459.7676146461</v>
      </c>
      <c r="AY31" s="168">
        <v>1279759.3262698518</v>
      </c>
      <c r="AZ31" s="168">
        <v>1371546.4336380993</v>
      </c>
      <c r="BA31" s="168">
        <v>1384991.6330856672</v>
      </c>
      <c r="BB31" s="168">
        <v>1432298.0486183902</v>
      </c>
      <c r="BC31" s="168">
        <v>1508463.256931965</v>
      </c>
      <c r="BD31" s="168">
        <v>1167342.1752888064</v>
      </c>
      <c r="BE31" s="168">
        <v>1090227.5731380442</v>
      </c>
      <c r="BF31" s="168">
        <v>1244856.8551657491</v>
      </c>
      <c r="BG31" s="168">
        <v>1107083.5880324915</v>
      </c>
      <c r="BH31" s="168">
        <v>1061222.1541909911</v>
      </c>
      <c r="BI31" s="168">
        <v>1070545.9829492178</v>
      </c>
      <c r="BJ31" s="168">
        <v>1254337.6680893656</v>
      </c>
      <c r="BK31" s="168">
        <v>1307320.9147047503</v>
      </c>
      <c r="BL31" s="168">
        <v>1371467.9402417501</v>
      </c>
      <c r="BM31" s="168">
        <v>1397257.6062328261</v>
      </c>
      <c r="BN31" s="168">
        <v>1429598.930002894</v>
      </c>
      <c r="BO31" s="168">
        <v>1464166.4249993437</v>
      </c>
      <c r="BP31" s="168">
        <v>1151283.1195119726</v>
      </c>
      <c r="BQ31" s="168">
        <v>1154003.1894440216</v>
      </c>
      <c r="BR31" s="168">
        <v>1233292.3866749797</v>
      </c>
      <c r="BS31" s="168">
        <v>1061144.1089033578</v>
      </c>
      <c r="BT31" s="168">
        <v>1082757.6152831407</v>
      </c>
      <c r="BU31" s="168">
        <v>1101831.9726066822</v>
      </c>
      <c r="BV31" s="168">
        <v>1170490.1258331609</v>
      </c>
      <c r="BW31" s="168">
        <v>1340041.7159403192</v>
      </c>
      <c r="BX31" s="168">
        <v>1401116.4797399039</v>
      </c>
      <c r="BY31" s="168">
        <v>1404580.527448941</v>
      </c>
      <c r="BZ31" s="168">
        <v>1423881.7026463861</v>
      </c>
      <c r="CA31" s="168">
        <v>1477955.6781624062</v>
      </c>
      <c r="CB31" s="168">
        <v>1150481.0944804365</v>
      </c>
      <c r="CC31" s="168">
        <v>1098761.8582380398</v>
      </c>
      <c r="CD31" s="168">
        <v>1291229.6005704643</v>
      </c>
      <c r="CE31" s="168">
        <v>1057700.9506949368</v>
      </c>
      <c r="CF31" s="168">
        <v>1028274.6829603468</v>
      </c>
      <c r="CG31" s="168">
        <v>1176689.6849928589</v>
      </c>
      <c r="CH31" s="168">
        <v>1258932.8366042154</v>
      </c>
      <c r="CI31" s="168">
        <v>1325411.7155332258</v>
      </c>
      <c r="CJ31" s="168">
        <v>1421940.6537261424</v>
      </c>
      <c r="CK31" s="168">
        <v>1441073.4124573357</v>
      </c>
      <c r="CL31" s="168">
        <v>1521195.7408981293</v>
      </c>
      <c r="CM31" s="168">
        <v>1526697.3336581797</v>
      </c>
      <c r="CN31" s="168">
        <v>1236759.6323954361</v>
      </c>
      <c r="CO31" s="168">
        <v>1154445.8301189742</v>
      </c>
    </row>
    <row r="32" spans="1:94" x14ac:dyDescent="0.2">
      <c r="A32" s="118">
        <f t="shared" si="0"/>
        <v>7</v>
      </c>
      <c r="B32" s="198" t="s">
        <v>349</v>
      </c>
      <c r="C32" s="143"/>
      <c r="D32" s="172">
        <f>SUMIFS($AH32:$CO32,AH$6:CO$6,1,AH$23:CO$23,2)</f>
        <v>4980915.7878168188</v>
      </c>
      <c r="E32" s="166" t="s">
        <v>555</v>
      </c>
      <c r="F32" s="173">
        <f>'Exhibit MJC-3 - E-13c cal yr'!F34</f>
        <v>91.56</v>
      </c>
      <c r="G32" s="142" t="s">
        <v>375</v>
      </c>
      <c r="H32" s="174">
        <f>ROUND(D32*F32,2)</f>
        <v>456052649.52999997</v>
      </c>
      <c r="I32" s="162"/>
      <c r="J32" s="185">
        <f>SUMIFS($AH32:$CO32,$AH$6:$CO$6,1,$AH$23:$CO$23,2)</f>
        <v>4980915.7878168188</v>
      </c>
      <c r="K32" s="166" t="s">
        <v>555</v>
      </c>
      <c r="L32" s="173">
        <f>ROUND(F32*(1+'Exhibit MJC-2 - Old E-8a'!$V$16)+L30,2)</f>
        <v>93.91</v>
      </c>
      <c r="M32" s="142" t="s">
        <v>375</v>
      </c>
      <c r="N32" s="174">
        <f>ROUND(J32*L32,2)</f>
        <v>467757801.63</v>
      </c>
      <c r="Q32" s="1022"/>
      <c r="S32" s="182"/>
      <c r="T32" s="859">
        <f>'MFR E-14B'!G48</f>
        <v>-6.7799999999999999E-2</v>
      </c>
      <c r="U32" s="178" t="s">
        <v>135</v>
      </c>
      <c r="V32" s="179">
        <v>264</v>
      </c>
      <c r="W32" s="180">
        <v>186</v>
      </c>
      <c r="Y32" s="178"/>
      <c r="Z32" s="181"/>
      <c r="AB32" s="182">
        <f>SUM(AH32:AS32)</f>
        <v>5861703.6245576572</v>
      </c>
      <c r="AC32" s="182">
        <f>SUM(AT32:BE32)</f>
        <v>5881721.880669564</v>
      </c>
      <c r="AD32" s="182">
        <f>SUM(BF32:BQ32)</f>
        <v>5870705.838589102</v>
      </c>
      <c r="AE32" s="182">
        <f>SUM(BR32:CC32)</f>
        <v>5870584.6471353546</v>
      </c>
      <c r="AF32" s="182">
        <f>SUM(CD32:CO32)</f>
        <v>6055540.6666690279</v>
      </c>
      <c r="AH32" s="168">
        <v>377723.74317184283</v>
      </c>
      <c r="AI32" s="168">
        <v>270931.40528787987</v>
      </c>
      <c r="AJ32" s="168">
        <v>232607.24294336492</v>
      </c>
      <c r="AK32" s="168">
        <v>283620.74474470172</v>
      </c>
      <c r="AL32" s="168">
        <v>408440.32671771653</v>
      </c>
      <c r="AM32" s="168">
        <v>741827.7094499463</v>
      </c>
      <c r="AN32" s="168">
        <v>851231.78130831919</v>
      </c>
      <c r="AO32" s="168">
        <v>865546.64991835866</v>
      </c>
      <c r="AP32" s="168">
        <v>800452.9911470206</v>
      </c>
      <c r="AQ32" s="168">
        <v>475145.35383805388</v>
      </c>
      <c r="AR32" s="168">
        <v>299953.79961426568</v>
      </c>
      <c r="AS32" s="168">
        <v>254221.87641618701</v>
      </c>
      <c r="AT32" s="168">
        <v>367494.50570391724</v>
      </c>
      <c r="AU32" s="168">
        <v>295523.85417715396</v>
      </c>
      <c r="AV32" s="168">
        <v>224989.02021546566</v>
      </c>
      <c r="AW32" s="168">
        <v>293947.86970456975</v>
      </c>
      <c r="AX32" s="168">
        <v>409638.62191267352</v>
      </c>
      <c r="AY32" s="168">
        <v>705411.71521080402</v>
      </c>
      <c r="AZ32" s="168">
        <v>885582.90763072227</v>
      </c>
      <c r="BA32" s="168">
        <v>849141.86890239862</v>
      </c>
      <c r="BB32" s="168">
        <v>803762.70017212606</v>
      </c>
      <c r="BC32" s="168">
        <v>490409.66975892364</v>
      </c>
      <c r="BD32" s="168">
        <v>301282.96843004605</v>
      </c>
      <c r="BE32" s="168">
        <v>254536.17885076365</v>
      </c>
      <c r="BF32" s="168">
        <v>348428.72619556793</v>
      </c>
      <c r="BG32" s="168">
        <v>300414.25453227188</v>
      </c>
      <c r="BH32" s="168">
        <v>230661.14589511327</v>
      </c>
      <c r="BI32" s="168">
        <v>278504.75333876919</v>
      </c>
      <c r="BJ32" s="168">
        <v>405078.00632537092</v>
      </c>
      <c r="BK32" s="168">
        <v>720603.8431154039</v>
      </c>
      <c r="BL32" s="168">
        <v>885532.2258539598</v>
      </c>
      <c r="BM32" s="168">
        <v>856662.16802426416</v>
      </c>
      <c r="BN32" s="168">
        <v>802248.03577069868</v>
      </c>
      <c r="BO32" s="168">
        <v>476008.52699351974</v>
      </c>
      <c r="BP32" s="168">
        <v>297138.23683630308</v>
      </c>
      <c r="BQ32" s="168">
        <v>269425.91570785973</v>
      </c>
      <c r="BR32" s="168">
        <v>345191.89377692732</v>
      </c>
      <c r="BS32" s="168">
        <v>287948.28129830275</v>
      </c>
      <c r="BT32" s="168">
        <v>235341.96989909542</v>
      </c>
      <c r="BU32" s="168">
        <v>286643.86830560828</v>
      </c>
      <c r="BV32" s="168">
        <v>378000.13398166501</v>
      </c>
      <c r="BW32" s="168">
        <v>738639.76287691959</v>
      </c>
      <c r="BX32" s="168">
        <v>904675.75550182851</v>
      </c>
      <c r="BY32" s="168">
        <v>861151.86952045513</v>
      </c>
      <c r="BZ32" s="168">
        <v>799039.69927816675</v>
      </c>
      <c r="CA32" s="168">
        <v>480491.48874869937</v>
      </c>
      <c r="CB32" s="168">
        <v>296931.23970438098</v>
      </c>
      <c r="CC32" s="168">
        <v>256528.68424330599</v>
      </c>
      <c r="CD32" s="168">
        <v>361408.20776769216</v>
      </c>
      <c r="CE32" s="168">
        <v>287013.95816534245</v>
      </c>
      <c r="CF32" s="168">
        <v>223499.87298124324</v>
      </c>
      <c r="CG32" s="168">
        <v>306118.25712745258</v>
      </c>
      <c r="CH32" s="168">
        <v>406561.97810432565</v>
      </c>
      <c r="CI32" s="168">
        <v>730575.61091579811</v>
      </c>
      <c r="CJ32" s="168">
        <v>918121.55077018403</v>
      </c>
      <c r="CK32" s="168">
        <v>883525.74950457492</v>
      </c>
      <c r="CL32" s="168">
        <v>853649.41841122287</v>
      </c>
      <c r="CM32" s="168">
        <v>496337.6680078496</v>
      </c>
      <c r="CN32" s="168">
        <v>319199.13558367128</v>
      </c>
      <c r="CO32" s="168">
        <v>269529.25932967087</v>
      </c>
    </row>
    <row r="33" spans="1:93" x14ac:dyDescent="0.2">
      <c r="A33" s="118">
        <f t="shared" si="0"/>
        <v>8</v>
      </c>
      <c r="B33" s="199" t="s">
        <v>556</v>
      </c>
      <c r="C33" s="143"/>
      <c r="D33" s="188">
        <f>SUM(D31:D32)</f>
        <v>16534052.699958194</v>
      </c>
      <c r="E33" s="166"/>
      <c r="F33" s="183"/>
      <c r="G33" s="142"/>
      <c r="H33" s="174"/>
      <c r="I33" s="162"/>
      <c r="J33" s="200">
        <f>SUM(J31:J32)</f>
        <v>16534052.699958194</v>
      </c>
      <c r="K33" s="166"/>
      <c r="L33" s="183"/>
      <c r="M33" s="142"/>
      <c r="N33" s="174"/>
      <c r="S33" s="182"/>
      <c r="T33" s="860"/>
      <c r="U33" s="184"/>
      <c r="V33" s="139"/>
      <c r="W33" s="140"/>
      <c r="Y33" s="184"/>
      <c r="Z33" s="141"/>
      <c r="AB33" s="188">
        <f>+AB31+AB32</f>
        <v>20849699.097777672</v>
      </c>
      <c r="AC33" s="188">
        <f>+AC31+AC32</f>
        <v>20951879.985086907</v>
      </c>
      <c r="AD33" s="188">
        <f>+AD31+AD32</f>
        <v>20883850.212154478</v>
      </c>
      <c r="AE33" s="188">
        <f>+AE31+AE32</f>
        <v>20816919.913093105</v>
      </c>
      <c r="AF33" s="188">
        <f>+AF31+AF32</f>
        <v>21495892.74127927</v>
      </c>
      <c r="AH33" s="188">
        <f t="shared" ref="AH33:CO33" si="4">+AH31+AH32</f>
        <v>1727245.053255823</v>
      </c>
      <c r="AI33" s="188">
        <f t="shared" si="4"/>
        <v>1269365.0939415246</v>
      </c>
      <c r="AJ33" s="188">
        <f t="shared" si="4"/>
        <v>1302782.9696738312</v>
      </c>
      <c r="AK33" s="188">
        <f t="shared" si="4"/>
        <v>1373832.1157448078</v>
      </c>
      <c r="AL33" s="188">
        <f t="shared" si="4"/>
        <v>1673189.5329662692</v>
      </c>
      <c r="AM33" s="188">
        <f t="shared" si="4"/>
        <v>2087653.0043562907</v>
      </c>
      <c r="AN33" s="188">
        <f t="shared" si="4"/>
        <v>2169576.9117223169</v>
      </c>
      <c r="AO33" s="188">
        <f t="shared" si="4"/>
        <v>2277295.2776615568</v>
      </c>
      <c r="AP33" s="188">
        <f t="shared" si="4"/>
        <v>2226853.1674491935</v>
      </c>
      <c r="AQ33" s="188">
        <f t="shared" si="4"/>
        <v>1936656.7231366602</v>
      </c>
      <c r="AR33" s="188">
        <f t="shared" si="4"/>
        <v>1462146.0162949758</v>
      </c>
      <c r="AS33" s="188">
        <f t="shared" si="4"/>
        <v>1343103.2315744257</v>
      </c>
      <c r="AT33" s="188">
        <f t="shared" si="4"/>
        <v>1680469.0691286738</v>
      </c>
      <c r="AU33" s="188">
        <f t="shared" si="4"/>
        <v>1384585.3880281993</v>
      </c>
      <c r="AV33" s="188">
        <f t="shared" si="4"/>
        <v>1260114.9482334766</v>
      </c>
      <c r="AW33" s="188">
        <f t="shared" si="4"/>
        <v>1423855.7342426274</v>
      </c>
      <c r="AX33" s="188">
        <f t="shared" si="4"/>
        <v>1678098.3895273197</v>
      </c>
      <c r="AY33" s="188">
        <f t="shared" si="4"/>
        <v>1985171.0414806558</v>
      </c>
      <c r="AZ33" s="188">
        <f t="shared" si="4"/>
        <v>2257129.3412688216</v>
      </c>
      <c r="BA33" s="188">
        <f t="shared" si="4"/>
        <v>2234133.5019880659</v>
      </c>
      <c r="BB33" s="188">
        <f t="shared" si="4"/>
        <v>2236060.7487905165</v>
      </c>
      <c r="BC33" s="188">
        <f t="shared" si="4"/>
        <v>1998872.9266908886</v>
      </c>
      <c r="BD33" s="188">
        <f t="shared" si="4"/>
        <v>1468625.1437188524</v>
      </c>
      <c r="BE33" s="188">
        <f t="shared" si="4"/>
        <v>1344763.7519888079</v>
      </c>
      <c r="BF33" s="188">
        <f t="shared" si="4"/>
        <v>1593285.5813613171</v>
      </c>
      <c r="BG33" s="188">
        <f t="shared" si="4"/>
        <v>1407497.8425647635</v>
      </c>
      <c r="BH33" s="188">
        <f t="shared" si="4"/>
        <v>1291883.3000861043</v>
      </c>
      <c r="BI33" s="188">
        <f t="shared" si="4"/>
        <v>1349050.7362879869</v>
      </c>
      <c r="BJ33" s="188">
        <f t="shared" si="4"/>
        <v>1659415.6744147365</v>
      </c>
      <c r="BK33" s="188">
        <f t="shared" si="4"/>
        <v>2027924.7578201541</v>
      </c>
      <c r="BL33" s="188">
        <f t="shared" si="4"/>
        <v>2257000.1660957099</v>
      </c>
      <c r="BM33" s="188">
        <f t="shared" si="4"/>
        <v>2253919.7742570904</v>
      </c>
      <c r="BN33" s="188">
        <f t="shared" si="4"/>
        <v>2231846.9657735927</v>
      </c>
      <c r="BO33" s="188">
        <f t="shared" si="4"/>
        <v>1940174.9519928633</v>
      </c>
      <c r="BP33" s="188">
        <f t="shared" si="4"/>
        <v>1448421.3563482757</v>
      </c>
      <c r="BQ33" s="188">
        <f t="shared" si="4"/>
        <v>1423429.1051518812</v>
      </c>
      <c r="BR33" s="188">
        <f t="shared" si="4"/>
        <v>1578484.2804519071</v>
      </c>
      <c r="BS33" s="188">
        <f t="shared" si="4"/>
        <v>1349092.3902016606</v>
      </c>
      <c r="BT33" s="188">
        <f t="shared" si="4"/>
        <v>1318099.585182236</v>
      </c>
      <c r="BU33" s="188">
        <f t="shared" si="4"/>
        <v>1388475.8409122904</v>
      </c>
      <c r="BV33" s="188">
        <f t="shared" si="4"/>
        <v>1548490.2598148258</v>
      </c>
      <c r="BW33" s="188">
        <f t="shared" si="4"/>
        <v>2078681.4788172389</v>
      </c>
      <c r="BX33" s="188">
        <f t="shared" si="4"/>
        <v>2305792.2352417326</v>
      </c>
      <c r="BY33" s="188">
        <f t="shared" si="4"/>
        <v>2265732.3969693962</v>
      </c>
      <c r="BZ33" s="188">
        <f t="shared" si="4"/>
        <v>2222921.4019245529</v>
      </c>
      <c r="CA33" s="188">
        <f t="shared" si="4"/>
        <v>1958447.1669111056</v>
      </c>
      <c r="CB33" s="188">
        <f t="shared" si="4"/>
        <v>1447412.3341848175</v>
      </c>
      <c r="CC33" s="188">
        <f t="shared" si="4"/>
        <v>1355290.5424813458</v>
      </c>
      <c r="CD33" s="188">
        <f t="shared" si="4"/>
        <v>1652637.8083381564</v>
      </c>
      <c r="CE33" s="188">
        <f t="shared" si="4"/>
        <v>1344714.9088602792</v>
      </c>
      <c r="CF33" s="188">
        <f t="shared" si="4"/>
        <v>1251774.5559415901</v>
      </c>
      <c r="CG33" s="188">
        <f t="shared" si="4"/>
        <v>1482807.9421203115</v>
      </c>
      <c r="CH33" s="188">
        <f t="shared" si="4"/>
        <v>1665494.8147085411</v>
      </c>
      <c r="CI33" s="188">
        <f t="shared" si="4"/>
        <v>2055987.326449024</v>
      </c>
      <c r="CJ33" s="188">
        <f t="shared" si="4"/>
        <v>2340062.2044963264</v>
      </c>
      <c r="CK33" s="188">
        <f t="shared" si="4"/>
        <v>2324599.1619619108</v>
      </c>
      <c r="CL33" s="188">
        <f t="shared" si="4"/>
        <v>2374845.1593093523</v>
      </c>
      <c r="CM33" s="188">
        <f t="shared" si="4"/>
        <v>2023035.0016660294</v>
      </c>
      <c r="CN33" s="188">
        <f t="shared" si="4"/>
        <v>1555958.7679791073</v>
      </c>
      <c r="CO33" s="188">
        <f t="shared" si="4"/>
        <v>1423975.089448645</v>
      </c>
    </row>
    <row r="34" spans="1:93" x14ac:dyDescent="0.2">
      <c r="A34" s="118">
        <f t="shared" si="0"/>
        <v>9</v>
      </c>
      <c r="B34" s="171"/>
      <c r="C34" s="143"/>
      <c r="E34" s="166"/>
      <c r="F34" s="183"/>
      <c r="G34" s="142"/>
      <c r="H34" s="1145"/>
      <c r="I34" s="162"/>
      <c r="J34" s="1136"/>
      <c r="K34" s="202"/>
      <c r="L34" s="183"/>
      <c r="N34" s="1145"/>
      <c r="P34" s="1146"/>
      <c r="U34" s="184"/>
      <c r="V34" s="139"/>
      <c r="W34" s="140"/>
      <c r="Y34" s="184"/>
      <c r="Z34" s="141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</row>
    <row r="35" spans="1:93" x14ac:dyDescent="0.2">
      <c r="A35" s="118">
        <f t="shared" si="0"/>
        <v>10</v>
      </c>
      <c r="B35" s="102" t="s">
        <v>546</v>
      </c>
      <c r="C35" s="143"/>
      <c r="D35" s="143"/>
      <c r="E35" s="166"/>
      <c r="F35" s="183"/>
      <c r="G35" s="142"/>
      <c r="H35" s="174"/>
      <c r="I35" s="162"/>
      <c r="J35" s="175"/>
      <c r="L35" s="183"/>
      <c r="N35" s="203"/>
      <c r="U35" s="184"/>
      <c r="V35" s="139"/>
      <c r="W35" s="140"/>
      <c r="Y35" s="184"/>
      <c r="Z35" s="141"/>
    </row>
    <row r="36" spans="1:93" x14ac:dyDescent="0.2">
      <c r="A36" s="118">
        <f t="shared" si="0"/>
        <v>11</v>
      </c>
      <c r="B36" s="171" t="s">
        <v>149</v>
      </c>
      <c r="C36" s="143"/>
      <c r="F36" s="197"/>
      <c r="I36" s="162"/>
      <c r="J36" s="182"/>
      <c r="L36" s="857">
        <v>0</v>
      </c>
      <c r="N36" s="174"/>
      <c r="T36" s="858" t="s">
        <v>558</v>
      </c>
      <c r="U36" s="184"/>
      <c r="V36" s="139"/>
      <c r="W36" s="140"/>
      <c r="Y36" s="184"/>
      <c r="Z36" s="141"/>
    </row>
    <row r="37" spans="1:93" x14ac:dyDescent="0.2">
      <c r="A37" s="118">
        <f t="shared" si="0"/>
        <v>12</v>
      </c>
      <c r="B37" s="199" t="s">
        <v>559</v>
      </c>
      <c r="C37" s="143"/>
      <c r="D37" s="172">
        <f>SUMIF($AH$6:$CP$6,1,$AH37:$CP37)+($AE$40*'TOU Split'!C20)</f>
        <v>329.67553653305612</v>
      </c>
      <c r="E37" s="166" t="s">
        <v>555</v>
      </c>
      <c r="F37" s="173">
        <f>'Exhibit MJC-3 - E-13c cal yr'!F39</f>
        <v>119.1</v>
      </c>
      <c r="G37" s="142" t="s">
        <v>375</v>
      </c>
      <c r="H37" s="174">
        <f>ROUND(D37*F37,2)</f>
        <v>39264.36</v>
      </c>
      <c r="I37" s="162"/>
      <c r="J37" s="172">
        <f>D37</f>
        <v>329.67553653305612</v>
      </c>
      <c r="K37" s="166" t="s">
        <v>555</v>
      </c>
      <c r="L37" s="173">
        <f>ROUND(F37*(1+'Exhibit MJC-2 - Old E-8a'!$V$16)+L36,2)</f>
        <v>122.16</v>
      </c>
      <c r="M37" s="142" t="s">
        <v>375</v>
      </c>
      <c r="N37" s="174">
        <f>ROUND(J37*L37,2)</f>
        <v>40273.160000000003</v>
      </c>
      <c r="Q37" s="1022"/>
      <c r="S37" s="935"/>
      <c r="T37" s="859">
        <f>'MFR E-14C'!Z45</f>
        <v>1.4</v>
      </c>
      <c r="U37" s="184" t="s">
        <v>548</v>
      </c>
      <c r="V37" s="179">
        <v>240</v>
      </c>
      <c r="W37" s="180">
        <v>214</v>
      </c>
      <c r="Y37" s="184"/>
      <c r="Z37" s="181"/>
      <c r="AB37" s="182">
        <f>SUM(AH37:AS37)</f>
        <v>329.56395031231091</v>
      </c>
      <c r="AC37" s="182">
        <f>SUM(AT37:BE37)</f>
        <v>331.45503091364225</v>
      </c>
      <c r="AD37" s="182">
        <f>SUM(BF37:BQ37)</f>
        <v>332.2643275590969</v>
      </c>
      <c r="AE37" s="182">
        <f>SUM(BR37:CC37)</f>
        <v>329.67553653305612</v>
      </c>
      <c r="AF37" s="182">
        <f>SUM(CD37:CO37)</f>
        <v>345.42013753226672</v>
      </c>
      <c r="AH37" s="168">
        <v>8.7910793188577649</v>
      </c>
      <c r="AI37" s="168">
        <v>6.7997837346381225</v>
      </c>
      <c r="AJ37" s="168">
        <v>5.5068248458420364</v>
      </c>
      <c r="AK37" s="168">
        <v>5.4847387898621038</v>
      </c>
      <c r="AL37" s="168">
        <v>12.999467131971569</v>
      </c>
      <c r="AM37" s="168">
        <v>16.265641298964432</v>
      </c>
      <c r="AN37" s="168">
        <v>17.293272977303079</v>
      </c>
      <c r="AO37" s="168">
        <v>25.214685320186945</v>
      </c>
      <c r="AP37" s="168">
        <v>104.62302972042311</v>
      </c>
      <c r="AQ37" s="168">
        <v>43.186462776032108</v>
      </c>
      <c r="AR37" s="168">
        <v>34.385797012781907</v>
      </c>
      <c r="AS37" s="168">
        <v>49.013167385447744</v>
      </c>
      <c r="AT37" s="168">
        <v>8.5530057543080904</v>
      </c>
      <c r="AU37" s="168">
        <v>7.4170002355252054</v>
      </c>
      <c r="AV37" s="168">
        <v>5.3264683888878199</v>
      </c>
      <c r="AW37" s="168">
        <v>5.6844476754237956</v>
      </c>
      <c r="AX37" s="168">
        <v>13.037605381263511</v>
      </c>
      <c r="AY37" s="168">
        <v>15.46716815986014</v>
      </c>
      <c r="AZ37" s="168">
        <v>17.991136259214514</v>
      </c>
      <c r="BA37" s="168">
        <v>24.736789193960792</v>
      </c>
      <c r="BB37" s="168">
        <v>105.05562450054047</v>
      </c>
      <c r="BC37" s="168">
        <v>44.57385256316433</v>
      </c>
      <c r="BD37" s="168">
        <v>34.538168908566931</v>
      </c>
      <c r="BE37" s="168">
        <v>49.07376389292665</v>
      </c>
      <c r="BF37" s="168">
        <v>8.1092719860088085</v>
      </c>
      <c r="BG37" s="168">
        <v>7.5397385528319978</v>
      </c>
      <c r="BH37" s="168">
        <v>5.4607522668366553</v>
      </c>
      <c r="BI37" s="168">
        <v>5.385804290067397</v>
      </c>
      <c r="BJ37" s="168">
        <v>12.892454257462578</v>
      </c>
      <c r="BK37" s="168">
        <v>15.800277451837706</v>
      </c>
      <c r="BL37" s="168">
        <v>17.990106629189214</v>
      </c>
      <c r="BM37" s="168">
        <v>24.955866901545249</v>
      </c>
      <c r="BN37" s="168">
        <v>104.8576506276964</v>
      </c>
      <c r="BO37" s="168">
        <v>43.264917495302079</v>
      </c>
      <c r="BP37" s="168">
        <v>34.063029405622842</v>
      </c>
      <c r="BQ37" s="168">
        <v>51.944457694695998</v>
      </c>
      <c r="BR37" s="168">
        <v>8.0339384888471681</v>
      </c>
      <c r="BS37" s="168">
        <v>7.2268699802768568</v>
      </c>
      <c r="BT37" s="168">
        <v>5.5715677238188759</v>
      </c>
      <c r="BU37" s="168">
        <v>5.5432008148313106</v>
      </c>
      <c r="BV37" s="168">
        <v>12.030644371145934</v>
      </c>
      <c r="BW37" s="168">
        <v>16.195740977398437</v>
      </c>
      <c r="BX37" s="168">
        <v>18.37901866374796</v>
      </c>
      <c r="BY37" s="168">
        <v>25.086658708571132</v>
      </c>
      <c r="BZ37" s="168">
        <v>104.43830572184469</v>
      </c>
      <c r="CA37" s="168">
        <v>43.672378621466073</v>
      </c>
      <c r="CB37" s="168">
        <v>34.039299880043728</v>
      </c>
      <c r="CC37" s="168">
        <v>49.457912581063979</v>
      </c>
      <c r="CD37" s="168">
        <v>8.4113542725498629</v>
      </c>
      <c r="CE37" s="168">
        <v>7.2034205199396588</v>
      </c>
      <c r="CF37" s="168">
        <v>5.2912137988554306</v>
      </c>
      <c r="CG37" s="168">
        <v>5.9198020957995716</v>
      </c>
      <c r="CH37" s="168">
        <v>12.939684761169984</v>
      </c>
      <c r="CI37" s="168">
        <v>16.018922827430437</v>
      </c>
      <c r="CJ37" s="168">
        <v>18.652177882045969</v>
      </c>
      <c r="CK37" s="168">
        <v>25.738443731648076</v>
      </c>
      <c r="CL37" s="168">
        <v>111.5760568840891</v>
      </c>
      <c r="CM37" s="168">
        <v>45.112654581632306</v>
      </c>
      <c r="CN37" s="168">
        <v>36.592024161555472</v>
      </c>
      <c r="CO37" s="168">
        <v>51.964382015550889</v>
      </c>
    </row>
    <row r="38" spans="1:93" x14ac:dyDescent="0.2">
      <c r="A38" s="118">
        <f t="shared" si="0"/>
        <v>13</v>
      </c>
      <c r="B38" s="199" t="s">
        <v>560</v>
      </c>
      <c r="C38" s="143"/>
      <c r="D38" s="172">
        <f>SUMIF($AH$6:$CP$6,1,$AH38:$CP38)+($AE$40*'TOU Split'!C21)</f>
        <v>2247.6389455353169</v>
      </c>
      <c r="E38" s="166" t="s">
        <v>555</v>
      </c>
      <c r="F38" s="173">
        <f>'Exhibit MJC-3 - E-13c cal yr'!F40</f>
        <v>88.22</v>
      </c>
      <c r="G38" s="142" t="s">
        <v>375</v>
      </c>
      <c r="H38" s="174">
        <f>ROUND(D38*F38,2)</f>
        <v>198286.71</v>
      </c>
      <c r="I38" s="162"/>
      <c r="J38" s="172">
        <f>D38</f>
        <v>2247.6389455353169</v>
      </c>
      <c r="K38" s="166" t="s">
        <v>555</v>
      </c>
      <c r="L38" s="173">
        <f>ROUND(F38*(1+'Exhibit MJC-2 - Old E-8a'!$V$16)+L36,2)</f>
        <v>90.49</v>
      </c>
      <c r="M38" s="142" t="s">
        <v>375</v>
      </c>
      <c r="N38" s="174">
        <f>ROUND(J38*L38,2)</f>
        <v>203388.85</v>
      </c>
      <c r="Q38" s="1022"/>
      <c r="S38" s="1102"/>
      <c r="T38" s="859">
        <f>'MFR E-14C'!Z46</f>
        <v>1</v>
      </c>
      <c r="U38" s="184" t="s">
        <v>548</v>
      </c>
      <c r="V38" s="179">
        <v>240</v>
      </c>
      <c r="W38" s="180">
        <v>214</v>
      </c>
      <c r="Y38" s="184"/>
      <c r="Z38" s="181"/>
      <c r="AB38" s="182">
        <f>SUM(AH38:AS38)</f>
        <v>2254.3443625580367</v>
      </c>
      <c r="AC38" s="182">
        <f>SUM(AT38:BE38)</f>
        <v>2269.8839919461816</v>
      </c>
      <c r="AD38" s="182">
        <f>SUM(BF38:BQ38)</f>
        <v>2273.3661046706898</v>
      </c>
      <c r="AE38" s="182">
        <f>SUM(BR38:CC38)</f>
        <v>2267.4604522431864</v>
      </c>
      <c r="AF38" s="182">
        <f>SUM(CD38:CO38)</f>
        <v>2356.6889767937359</v>
      </c>
      <c r="AH38" s="168">
        <v>46.970737268564157</v>
      </c>
      <c r="AI38" s="168">
        <v>37.963567029387974</v>
      </c>
      <c r="AJ38" s="168">
        <v>48.862648246959886</v>
      </c>
      <c r="AK38" s="168">
        <v>54.908889899221975</v>
      </c>
      <c r="AL38" s="168">
        <v>74.519419723203711</v>
      </c>
      <c r="AM38" s="168">
        <v>129.38124623598088</v>
      </c>
      <c r="AN38" s="168">
        <v>293.91882830341001</v>
      </c>
      <c r="AO38" s="168">
        <v>340.69882253211739</v>
      </c>
      <c r="AP38" s="168">
        <v>329.39180059893937</v>
      </c>
      <c r="AQ38" s="168">
        <v>334.78568437405335</v>
      </c>
      <c r="AR38" s="168">
        <v>276.22643978621863</v>
      </c>
      <c r="AS38" s="168">
        <v>286.71627855997917</v>
      </c>
      <c r="AT38" s="168">
        <v>45.69871020050374</v>
      </c>
      <c r="AU38" s="168">
        <v>41.409520741667045</v>
      </c>
      <c r="AV38" s="168">
        <v>47.26232603553602</v>
      </c>
      <c r="AW38" s="168">
        <v>56.908218149725407</v>
      </c>
      <c r="AX38" s="168">
        <v>74.738047162131906</v>
      </c>
      <c r="AY38" s="168">
        <v>123.02997806742449</v>
      </c>
      <c r="AZ38" s="168">
        <v>305.77980791117932</v>
      </c>
      <c r="BA38" s="168">
        <v>334.24152808523576</v>
      </c>
      <c r="BB38" s="168">
        <v>330.75376816892231</v>
      </c>
      <c r="BC38" s="168">
        <v>345.54086573232854</v>
      </c>
      <c r="BD38" s="168">
        <v>277.45046685415383</v>
      </c>
      <c r="BE38" s="168">
        <v>287.07075483737322</v>
      </c>
      <c r="BF38" s="168">
        <v>43.327840652862847</v>
      </c>
      <c r="BG38" s="168">
        <v>42.094775525935376</v>
      </c>
      <c r="BH38" s="168">
        <v>48.453841305611462</v>
      </c>
      <c r="BI38" s="168">
        <v>53.91843551942484</v>
      </c>
      <c r="BJ38" s="168">
        <v>73.905968630911673</v>
      </c>
      <c r="BK38" s="168">
        <v>125.6796181607165</v>
      </c>
      <c r="BL38" s="168">
        <v>305.76230817870999</v>
      </c>
      <c r="BM38" s="168">
        <v>337.20168864521327</v>
      </c>
      <c r="BN38" s="168">
        <v>330.13047355948567</v>
      </c>
      <c r="BO38" s="168">
        <v>335.39387303306398</v>
      </c>
      <c r="BP38" s="168">
        <v>273.63359754467564</v>
      </c>
      <c r="BQ38" s="168">
        <v>303.86368391407848</v>
      </c>
      <c r="BR38" s="168">
        <v>42.925333773518553</v>
      </c>
      <c r="BS38" s="168">
        <v>40.348013056846618</v>
      </c>
      <c r="BT38" s="168">
        <v>49.437118756125756</v>
      </c>
      <c r="BU38" s="168">
        <v>55.494165700916163</v>
      </c>
      <c r="BV38" s="168">
        <v>68.965645155491188</v>
      </c>
      <c r="BW38" s="168">
        <v>128.82524044744306</v>
      </c>
      <c r="BX38" s="168">
        <v>312.37231021017215</v>
      </c>
      <c r="BY38" s="168">
        <v>338.96893713888727</v>
      </c>
      <c r="BZ38" s="168">
        <v>328.81022146986828</v>
      </c>
      <c r="CA38" s="168">
        <v>338.55255154503374</v>
      </c>
      <c r="CB38" s="168">
        <v>273.44297458583884</v>
      </c>
      <c r="CC38" s="168">
        <v>289.31794040304493</v>
      </c>
      <c r="CD38" s="168">
        <v>44.941866325930093</v>
      </c>
      <c r="CE38" s="168">
        <v>40.217093428509123</v>
      </c>
      <c r="CF38" s="168">
        <v>46.949508272112126</v>
      </c>
      <c r="CG38" s="168">
        <v>59.264401452309549</v>
      </c>
      <c r="CH38" s="168">
        <v>74.176717400363472</v>
      </c>
      <c r="CI38" s="168">
        <v>127.41878175457508</v>
      </c>
      <c r="CJ38" s="168">
        <v>317.01496157453789</v>
      </c>
      <c r="CK38" s="168">
        <v>347.77580452932034</v>
      </c>
      <c r="CL38" s="168">
        <v>351.28248894139523</v>
      </c>
      <c r="CM38" s="168">
        <v>349.71771169052624</v>
      </c>
      <c r="CN38" s="168">
        <v>293.94940460331691</v>
      </c>
      <c r="CO38" s="168">
        <v>303.98023682083965</v>
      </c>
    </row>
    <row r="39" spans="1:93" x14ac:dyDescent="0.2">
      <c r="A39" s="118">
        <f t="shared" si="0"/>
        <v>14</v>
      </c>
      <c r="B39" s="199" t="s">
        <v>561</v>
      </c>
      <c r="C39" s="143"/>
      <c r="D39" s="172">
        <f>SUMIF($AH$6:$CP$6,1,$AH39:$CP39)+($AE$40*'TOU Split'!C22)</f>
        <v>723.39855424550785</v>
      </c>
      <c r="E39" s="166" t="s">
        <v>555</v>
      </c>
      <c r="F39" s="173">
        <f>'Exhibit MJC-3 - E-13c cal yr'!F41</f>
        <v>53.52</v>
      </c>
      <c r="G39" s="142" t="s">
        <v>375</v>
      </c>
      <c r="H39" s="174">
        <f>ROUND(D39*F39,2)</f>
        <v>38716.29</v>
      </c>
      <c r="I39" s="162"/>
      <c r="J39" s="172">
        <f>D39</f>
        <v>723.39855424550785</v>
      </c>
      <c r="K39" s="166" t="s">
        <v>555</v>
      </c>
      <c r="L39" s="173">
        <f>ROUND(F39*(1+'Exhibit MJC-2 - Old E-8a'!$V$16)+L36,2)</f>
        <v>54.89</v>
      </c>
      <c r="M39" s="142" t="s">
        <v>375</v>
      </c>
      <c r="N39" s="174">
        <f>ROUND(J39*L39,2)</f>
        <v>39707.35</v>
      </c>
      <c r="Q39" s="1022"/>
      <c r="S39" s="935"/>
      <c r="T39" s="859">
        <f>'MFR E-14C'!Z47</f>
        <v>0.60959085470100693</v>
      </c>
      <c r="U39" s="184" t="s">
        <v>548</v>
      </c>
      <c r="V39" s="179">
        <v>240</v>
      </c>
      <c r="W39" s="180">
        <v>214</v>
      </c>
      <c r="Y39" s="184"/>
      <c r="Z39" s="181"/>
      <c r="AB39" s="182">
        <f>SUM(AH39:AS39)</f>
        <v>703.24552862451878</v>
      </c>
      <c r="AC39" s="182">
        <f>SUM(AT39:BE39)</f>
        <v>707.27577493598665</v>
      </c>
      <c r="AD39" s="182">
        <f>SUM(BF39:BQ39)</f>
        <v>705.78501803724464</v>
      </c>
      <c r="AE39" s="182">
        <f>SUM(BR39:CC39)</f>
        <v>703.57704753763858</v>
      </c>
      <c r="AF39" s="182">
        <f>SUM(CD39:CO39)</f>
        <v>738.09255496968854</v>
      </c>
      <c r="AH39" s="168">
        <v>0</v>
      </c>
      <c r="AI39" s="168">
        <v>0</v>
      </c>
      <c r="AJ39" s="168">
        <v>2.3532491333139478</v>
      </c>
      <c r="AK39" s="168">
        <v>8.5437125190332264</v>
      </c>
      <c r="AL39" s="168">
        <v>35.605723038687557</v>
      </c>
      <c r="AM39" s="168">
        <v>41.790472036308486</v>
      </c>
      <c r="AN39" s="168">
        <v>47.12237815604977</v>
      </c>
      <c r="AO39" s="168">
        <v>71.73655542027474</v>
      </c>
      <c r="AP39" s="168">
        <v>233.08716794383511</v>
      </c>
      <c r="AQ39" s="168">
        <v>117.05313033151228</v>
      </c>
      <c r="AR39" s="168">
        <v>92.851643578424628</v>
      </c>
      <c r="AS39" s="168">
        <v>53.101496467079045</v>
      </c>
      <c r="AT39" s="168">
        <v>0</v>
      </c>
      <c r="AU39" s="168">
        <v>0</v>
      </c>
      <c r="AV39" s="168">
        <v>2.2761768297821678</v>
      </c>
      <c r="AW39" s="168">
        <v>8.8548039622373054</v>
      </c>
      <c r="AX39" s="168">
        <v>35.710184239110887</v>
      </c>
      <c r="AY39" s="168">
        <v>39.738996242753039</v>
      </c>
      <c r="AZ39" s="168">
        <v>49.023983335972218</v>
      </c>
      <c r="BA39" s="168">
        <v>70.376926239548467</v>
      </c>
      <c r="BB39" s="168">
        <v>234.0509356002899</v>
      </c>
      <c r="BC39" s="168">
        <v>120.8135290105151</v>
      </c>
      <c r="BD39" s="168">
        <v>93.263091972467691</v>
      </c>
      <c r="BE39" s="168">
        <v>53.167147503309856</v>
      </c>
      <c r="BF39" s="168">
        <v>0</v>
      </c>
      <c r="BG39" s="168">
        <v>0</v>
      </c>
      <c r="BH39" s="168">
        <v>2.3335607902761604</v>
      </c>
      <c r="BI39" s="168">
        <v>8.3895998152481877</v>
      </c>
      <c r="BJ39" s="168">
        <v>35.312613272521084</v>
      </c>
      <c r="BK39" s="168">
        <v>40.594836740865418</v>
      </c>
      <c r="BL39" s="168">
        <v>49.021177700770792</v>
      </c>
      <c r="BM39" s="168">
        <v>71.000209057157036</v>
      </c>
      <c r="BN39" s="168">
        <v>233.60987430172676</v>
      </c>
      <c r="BO39" s="168">
        <v>117.26577498656205</v>
      </c>
      <c r="BP39" s="168">
        <v>91.980077250982688</v>
      </c>
      <c r="BQ39" s="168">
        <v>56.277294121134446</v>
      </c>
      <c r="BR39" s="168">
        <v>0</v>
      </c>
      <c r="BS39" s="168">
        <v>0</v>
      </c>
      <c r="BT39" s="168">
        <v>2.3809159151260268</v>
      </c>
      <c r="BU39" s="168">
        <v>8.6347802532962845</v>
      </c>
      <c r="BV39" s="168">
        <v>32.952103890661583</v>
      </c>
      <c r="BW39" s="168">
        <v>41.610880750601318</v>
      </c>
      <c r="BX39" s="168">
        <v>50.080922723356686</v>
      </c>
      <c r="BY39" s="168">
        <v>71.37231577171984</v>
      </c>
      <c r="BZ39" s="168">
        <v>232.67562572607522</v>
      </c>
      <c r="CA39" s="168">
        <v>118.37016273309379</v>
      </c>
      <c r="CB39" s="168">
        <v>91.916000636718451</v>
      </c>
      <c r="CC39" s="168">
        <v>53.583339136989366</v>
      </c>
      <c r="CD39" s="168">
        <v>0</v>
      </c>
      <c r="CE39" s="168">
        <v>0</v>
      </c>
      <c r="CF39" s="168">
        <v>2.2611113726881946</v>
      </c>
      <c r="CG39" s="168">
        <v>9.2214213317811478</v>
      </c>
      <c r="CH39" s="168">
        <v>35.441978285479777</v>
      </c>
      <c r="CI39" s="168">
        <v>41.15659101090197</v>
      </c>
      <c r="CJ39" s="168">
        <v>50.825253307760448</v>
      </c>
      <c r="CK39" s="168">
        <v>73.226664213365083</v>
      </c>
      <c r="CL39" s="168">
        <v>248.57765234814121</v>
      </c>
      <c r="CM39" s="168">
        <v>122.27390475876035</v>
      </c>
      <c r="CN39" s="168">
        <v>98.809097953986097</v>
      </c>
      <c r="CO39" s="168">
        <v>56.298880386824329</v>
      </c>
    </row>
    <row r="40" spans="1:93" x14ac:dyDescent="0.2">
      <c r="A40" s="118">
        <f t="shared" si="0"/>
        <v>15</v>
      </c>
      <c r="B40" s="199" t="s">
        <v>556</v>
      </c>
      <c r="C40" s="143"/>
      <c r="D40" s="188">
        <f>SUM(D37:D39)</f>
        <v>3300.7130363138808</v>
      </c>
      <c r="E40" s="166"/>
      <c r="F40" s="183"/>
      <c r="G40" s="142"/>
      <c r="H40" s="1145"/>
      <c r="I40" s="162"/>
      <c r="J40" s="188">
        <f>SUM(J37:J39)</f>
        <v>3300.7130363138808</v>
      </c>
      <c r="K40" s="166"/>
      <c r="L40" s="183"/>
      <c r="M40" s="142"/>
      <c r="N40" s="1145"/>
      <c r="P40" s="1231"/>
      <c r="T40" s="176"/>
      <c r="U40" s="184"/>
      <c r="V40" s="139"/>
      <c r="W40" s="140"/>
      <c r="Y40" s="184"/>
      <c r="Z40" s="141"/>
      <c r="AB40" s="188">
        <f>SUM(AB37:AB39)</f>
        <v>3287.1538414948664</v>
      </c>
      <c r="AC40" s="188">
        <f>SUM(AC37:AC39)</f>
        <v>3308.6147977958103</v>
      </c>
      <c r="AD40" s="188">
        <f>SUM(AD37:AD39)</f>
        <v>3311.4154502670312</v>
      </c>
      <c r="AE40" s="188">
        <f>SUM(AE37:AE39)</f>
        <v>3300.7130363138808</v>
      </c>
      <c r="AF40" s="188">
        <f>SUM(AF37:AF39)</f>
        <v>3440.2016692956913</v>
      </c>
      <c r="AH40" s="188">
        <f t="shared" ref="AH40:CO40" si="5">SUM(AH37:AH39)</f>
        <v>55.761816587421919</v>
      </c>
      <c r="AI40" s="188">
        <f t="shared" si="5"/>
        <v>44.7633507640261</v>
      </c>
      <c r="AJ40" s="188">
        <f t="shared" si="5"/>
        <v>56.72272222611587</v>
      </c>
      <c r="AK40" s="188">
        <f t="shared" si="5"/>
        <v>68.937341208117303</v>
      </c>
      <c r="AL40" s="188">
        <f t="shared" si="5"/>
        <v>123.12460989386284</v>
      </c>
      <c r="AM40" s="188">
        <f t="shared" si="5"/>
        <v>187.43735957125381</v>
      </c>
      <c r="AN40" s="188">
        <f t="shared" si="5"/>
        <v>358.33447943676288</v>
      </c>
      <c r="AO40" s="188">
        <f t="shared" si="5"/>
        <v>437.65006327257908</v>
      </c>
      <c r="AP40" s="188">
        <f t="shared" si="5"/>
        <v>667.10199826319763</v>
      </c>
      <c r="AQ40" s="188">
        <f t="shared" si="5"/>
        <v>495.02527748159775</v>
      </c>
      <c r="AR40" s="188">
        <f t="shared" si="5"/>
        <v>403.46388037742514</v>
      </c>
      <c r="AS40" s="188">
        <f t="shared" si="5"/>
        <v>388.83094241250592</v>
      </c>
      <c r="AT40" s="188">
        <f t="shared" si="5"/>
        <v>54.251715954811829</v>
      </c>
      <c r="AU40" s="188">
        <f t="shared" si="5"/>
        <v>48.826520977192253</v>
      </c>
      <c r="AV40" s="188">
        <f t="shared" si="5"/>
        <v>54.864971254206004</v>
      </c>
      <c r="AW40" s="188">
        <f t="shared" si="5"/>
        <v>71.44746978738651</v>
      </c>
      <c r="AX40" s="188">
        <f t="shared" si="5"/>
        <v>123.4858367825063</v>
      </c>
      <c r="AY40" s="188">
        <f t="shared" si="5"/>
        <v>178.23614247003769</v>
      </c>
      <c r="AZ40" s="188">
        <f t="shared" si="5"/>
        <v>372.79492750636604</v>
      </c>
      <c r="BA40" s="188">
        <f t="shared" si="5"/>
        <v>429.35524351874506</v>
      </c>
      <c r="BB40" s="188">
        <f t="shared" si="5"/>
        <v>669.8603282697527</v>
      </c>
      <c r="BC40" s="188">
        <f t="shared" si="5"/>
        <v>510.92824730600796</v>
      </c>
      <c r="BD40" s="188">
        <f t="shared" si="5"/>
        <v>405.25172773518847</v>
      </c>
      <c r="BE40" s="188">
        <f t="shared" si="5"/>
        <v>389.31166623360974</v>
      </c>
      <c r="BF40" s="188">
        <f t="shared" si="5"/>
        <v>51.437112638871653</v>
      </c>
      <c r="BG40" s="188">
        <f t="shared" si="5"/>
        <v>49.634514078767374</v>
      </c>
      <c r="BH40" s="188">
        <f t="shared" si="5"/>
        <v>56.248154362724279</v>
      </c>
      <c r="BI40" s="188">
        <f t="shared" si="5"/>
        <v>67.69383962474042</v>
      </c>
      <c r="BJ40" s="188">
        <f t="shared" si="5"/>
        <v>122.11103616089534</v>
      </c>
      <c r="BK40" s="188">
        <f t="shared" si="5"/>
        <v>182.07473235341962</v>
      </c>
      <c r="BL40" s="188">
        <f t="shared" si="5"/>
        <v>372.77359250866999</v>
      </c>
      <c r="BM40" s="188">
        <f t="shared" si="5"/>
        <v>433.15776460391555</v>
      </c>
      <c r="BN40" s="188">
        <f t="shared" si="5"/>
        <v>668.59799848890884</v>
      </c>
      <c r="BO40" s="188">
        <f t="shared" si="5"/>
        <v>495.92456551492813</v>
      </c>
      <c r="BP40" s="188">
        <f t="shared" si="5"/>
        <v>399.67670420128115</v>
      </c>
      <c r="BQ40" s="188">
        <f t="shared" si="5"/>
        <v>412.08543572990891</v>
      </c>
      <c r="BR40" s="188">
        <f t="shared" si="5"/>
        <v>50.959272262365722</v>
      </c>
      <c r="BS40" s="188">
        <f t="shared" si="5"/>
        <v>47.574883037123477</v>
      </c>
      <c r="BT40" s="188">
        <f t="shared" si="5"/>
        <v>57.389602395070654</v>
      </c>
      <c r="BU40" s="188">
        <f t="shared" si="5"/>
        <v>69.672146769043763</v>
      </c>
      <c r="BV40" s="188">
        <f t="shared" si="5"/>
        <v>113.94839341729872</v>
      </c>
      <c r="BW40" s="188">
        <f t="shared" si="5"/>
        <v>186.63186217544282</v>
      </c>
      <c r="BX40" s="188">
        <f t="shared" si="5"/>
        <v>380.83225159727681</v>
      </c>
      <c r="BY40" s="188">
        <f t="shared" si="5"/>
        <v>435.42791161917825</v>
      </c>
      <c r="BZ40" s="188">
        <f t="shared" si="5"/>
        <v>665.92415291778821</v>
      </c>
      <c r="CA40" s="188">
        <f t="shared" si="5"/>
        <v>500.59509289959362</v>
      </c>
      <c r="CB40" s="188">
        <f t="shared" si="5"/>
        <v>399.39827510260102</v>
      </c>
      <c r="CC40" s="188">
        <f t="shared" si="5"/>
        <v>392.35919212109826</v>
      </c>
      <c r="CD40" s="188">
        <f t="shared" si="5"/>
        <v>53.353220598479957</v>
      </c>
      <c r="CE40" s="188">
        <f t="shared" si="5"/>
        <v>47.420513948448786</v>
      </c>
      <c r="CF40" s="188">
        <f t="shared" si="5"/>
        <v>54.501833443655755</v>
      </c>
      <c r="CG40" s="188">
        <f t="shared" si="5"/>
        <v>74.405624879890269</v>
      </c>
      <c r="CH40" s="188">
        <f t="shared" si="5"/>
        <v>122.55838044701323</v>
      </c>
      <c r="CI40" s="188">
        <f t="shared" si="5"/>
        <v>184.59429559290749</v>
      </c>
      <c r="CJ40" s="188">
        <f t="shared" si="5"/>
        <v>386.49239276434434</v>
      </c>
      <c r="CK40" s="188">
        <f t="shared" si="5"/>
        <v>446.74091247433353</v>
      </c>
      <c r="CL40" s="188">
        <f t="shared" si="5"/>
        <v>711.4361981736256</v>
      </c>
      <c r="CM40" s="188">
        <f t="shared" si="5"/>
        <v>517.10427103091888</v>
      </c>
      <c r="CN40" s="188">
        <f t="shared" si="5"/>
        <v>429.35052671885848</v>
      </c>
      <c r="CO40" s="188">
        <f t="shared" si="5"/>
        <v>412.24349922321488</v>
      </c>
    </row>
    <row r="41" spans="1:93" x14ac:dyDescent="0.2">
      <c r="A41" s="118">
        <f t="shared" si="0"/>
        <v>16</v>
      </c>
      <c r="B41" s="199"/>
      <c r="C41" s="143"/>
      <c r="D41" s="168"/>
      <c r="E41" s="166"/>
      <c r="F41" s="183"/>
      <c r="G41" s="142"/>
      <c r="H41" s="187"/>
      <c r="I41" s="162"/>
      <c r="J41" s="168"/>
      <c r="K41" s="166"/>
      <c r="L41" s="183"/>
      <c r="M41" s="142"/>
      <c r="N41" s="174"/>
      <c r="P41" s="227"/>
      <c r="U41" s="184"/>
      <c r="V41" s="139"/>
      <c r="W41" s="140"/>
      <c r="Y41" s="184"/>
      <c r="Z41" s="141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</row>
    <row r="42" spans="1:93" x14ac:dyDescent="0.2">
      <c r="A42" s="118">
        <f t="shared" si="0"/>
        <v>17</v>
      </c>
      <c r="B42" s="199"/>
      <c r="C42" s="143" t="s">
        <v>374</v>
      </c>
      <c r="D42" s="204">
        <f>+D28+D33+D40</f>
        <v>20820220.626129419</v>
      </c>
      <c r="E42" s="166" t="s">
        <v>562</v>
      </c>
      <c r="F42" s="205">
        <f>H42/D42</f>
        <v>87.65132320402607</v>
      </c>
      <c r="G42" s="142"/>
      <c r="H42" s="206">
        <f>SUM(H26:H41)</f>
        <v>1824919887.2799997</v>
      </c>
      <c r="I42" s="162"/>
      <c r="J42" s="204">
        <f>+J28+J33+J40</f>
        <v>20820220.626129419</v>
      </c>
      <c r="K42" s="166" t="s">
        <v>562</v>
      </c>
      <c r="L42" s="205">
        <f>N42/J42</f>
        <v>89.902820763622998</v>
      </c>
      <c r="M42" s="142"/>
      <c r="N42" s="206">
        <f>SUM(N26:N41)-N40-N34</f>
        <v>1871796563.2099998</v>
      </c>
      <c r="P42" s="1241"/>
      <c r="Q42" s="1022"/>
      <c r="T42" s="176"/>
      <c r="U42" s="184"/>
      <c r="V42" s="139"/>
      <c r="W42" s="140"/>
      <c r="Y42" s="192" t="s">
        <v>135</v>
      </c>
      <c r="Z42" s="141" t="s">
        <v>141</v>
      </c>
      <c r="AB42" s="204">
        <f>+AB28+AB40</f>
        <v>20852986.251619168</v>
      </c>
      <c r="AC42" s="204">
        <f>+AC28+AC40</f>
        <v>20955188.599884704</v>
      </c>
      <c r="AD42" s="204">
        <f>+AD28+AD40</f>
        <v>20887161.627604745</v>
      </c>
      <c r="AE42" s="204">
        <f>+AE28+AE40</f>
        <v>20820220.626129419</v>
      </c>
      <c r="AF42" s="204">
        <f>+AF28+AF40</f>
        <v>21499332.942948565</v>
      </c>
      <c r="AH42" s="204">
        <f t="shared" ref="AH42:CO42" si="6">+AH28+AH40</f>
        <v>1727300.8150724105</v>
      </c>
      <c r="AI42" s="204">
        <f t="shared" si="6"/>
        <v>1269409.8572922887</v>
      </c>
      <c r="AJ42" s="204">
        <f t="shared" si="6"/>
        <v>1302839.6923960573</v>
      </c>
      <c r="AK42" s="204">
        <f t="shared" si="6"/>
        <v>1373901.0530860159</v>
      </c>
      <c r="AL42" s="204">
        <f t="shared" si="6"/>
        <v>1673312.6575761631</v>
      </c>
      <c r="AM42" s="204">
        <f t="shared" si="6"/>
        <v>2087840.4417158619</v>
      </c>
      <c r="AN42" s="204">
        <f t="shared" si="6"/>
        <v>2169935.2462017536</v>
      </c>
      <c r="AO42" s="204">
        <f t="shared" si="6"/>
        <v>2277732.9277248294</v>
      </c>
      <c r="AP42" s="204">
        <f t="shared" si="6"/>
        <v>2227520.2694474566</v>
      </c>
      <c r="AQ42" s="204">
        <f t="shared" si="6"/>
        <v>1937151.7484141418</v>
      </c>
      <c r="AR42" s="204">
        <f t="shared" si="6"/>
        <v>1462549.4801753531</v>
      </c>
      <c r="AS42" s="204">
        <f t="shared" si="6"/>
        <v>1343492.0625168383</v>
      </c>
      <c r="AT42" s="204">
        <f t="shared" si="6"/>
        <v>1680523.3208446286</v>
      </c>
      <c r="AU42" s="204">
        <f t="shared" si="6"/>
        <v>1384634.2145491764</v>
      </c>
      <c r="AV42" s="204">
        <f t="shared" si="6"/>
        <v>1260169.8132047309</v>
      </c>
      <c r="AW42" s="204">
        <f t="shared" si="6"/>
        <v>1423927.1817124148</v>
      </c>
      <c r="AX42" s="204">
        <f t="shared" si="6"/>
        <v>1678221.8753641022</v>
      </c>
      <c r="AY42" s="204">
        <f t="shared" si="6"/>
        <v>1985349.2776231258</v>
      </c>
      <c r="AZ42" s="204">
        <f t="shared" si="6"/>
        <v>2257502.1361963279</v>
      </c>
      <c r="BA42" s="204">
        <f t="shared" si="6"/>
        <v>2234562.8572315848</v>
      </c>
      <c r="BB42" s="204">
        <f t="shared" si="6"/>
        <v>2236730.6091187862</v>
      </c>
      <c r="BC42" s="204">
        <f t="shared" si="6"/>
        <v>1999383.8549381946</v>
      </c>
      <c r="BD42" s="204">
        <f t="shared" si="6"/>
        <v>1469030.3954465876</v>
      </c>
      <c r="BE42" s="204">
        <f t="shared" si="6"/>
        <v>1345153.0636550416</v>
      </c>
      <c r="BF42" s="204">
        <f t="shared" si="6"/>
        <v>1593337.018473956</v>
      </c>
      <c r="BG42" s="204">
        <f t="shared" si="6"/>
        <v>1407547.4770788422</v>
      </c>
      <c r="BH42" s="204">
        <f t="shared" si="6"/>
        <v>1291939.548240467</v>
      </c>
      <c r="BI42" s="204">
        <f t="shared" si="6"/>
        <v>1349118.4301276116</v>
      </c>
      <c r="BJ42" s="204">
        <f t="shared" si="6"/>
        <v>1659537.7854508974</v>
      </c>
      <c r="BK42" s="204">
        <f t="shared" si="6"/>
        <v>2028106.8325525075</v>
      </c>
      <c r="BL42" s="204">
        <f t="shared" si="6"/>
        <v>2257372.9396882188</v>
      </c>
      <c r="BM42" s="204">
        <f t="shared" si="6"/>
        <v>2254352.9320216943</v>
      </c>
      <c r="BN42" s="204">
        <f t="shared" si="6"/>
        <v>2232515.5637720814</v>
      </c>
      <c r="BO42" s="204">
        <f t="shared" si="6"/>
        <v>1940670.8765583783</v>
      </c>
      <c r="BP42" s="204">
        <f t="shared" si="6"/>
        <v>1448821.0330524771</v>
      </c>
      <c r="BQ42" s="204">
        <f t="shared" si="6"/>
        <v>1423841.1905876112</v>
      </c>
      <c r="BR42" s="204">
        <f t="shared" si="6"/>
        <v>1578535.2397241695</v>
      </c>
      <c r="BS42" s="204">
        <f t="shared" si="6"/>
        <v>1349139.9650846976</v>
      </c>
      <c r="BT42" s="204">
        <f t="shared" si="6"/>
        <v>1318156.974784631</v>
      </c>
      <c r="BU42" s="204">
        <f t="shared" si="6"/>
        <v>1388545.5130590594</v>
      </c>
      <c r="BV42" s="204">
        <f t="shared" si="6"/>
        <v>1548604.2082082431</v>
      </c>
      <c r="BW42" s="204">
        <f t="shared" si="6"/>
        <v>2078868.1106794144</v>
      </c>
      <c r="BX42" s="204">
        <f t="shared" si="6"/>
        <v>2306173.0674933298</v>
      </c>
      <c r="BY42" s="204">
        <f t="shared" si="6"/>
        <v>2266167.8248810153</v>
      </c>
      <c r="BZ42" s="204">
        <f t="shared" si="6"/>
        <v>2223587.3260774706</v>
      </c>
      <c r="CA42" s="204">
        <f t="shared" si="6"/>
        <v>1958947.7620040053</v>
      </c>
      <c r="CB42" s="204">
        <f t="shared" si="6"/>
        <v>1447811.73245992</v>
      </c>
      <c r="CC42" s="204">
        <f t="shared" si="6"/>
        <v>1355682.9016734669</v>
      </c>
      <c r="CD42" s="204">
        <f t="shared" si="6"/>
        <v>1652691.161558755</v>
      </c>
      <c r="CE42" s="204">
        <f t="shared" si="6"/>
        <v>1344762.3293742277</v>
      </c>
      <c r="CF42" s="204">
        <f t="shared" si="6"/>
        <v>1251829.0577750339</v>
      </c>
      <c r="CG42" s="204">
        <f t="shared" si="6"/>
        <v>1482882.3477451915</v>
      </c>
      <c r="CH42" s="204">
        <f t="shared" si="6"/>
        <v>1665617.3730889882</v>
      </c>
      <c r="CI42" s="204">
        <f t="shared" si="6"/>
        <v>2056171.920744617</v>
      </c>
      <c r="CJ42" s="204">
        <f t="shared" si="6"/>
        <v>2340448.6968890908</v>
      </c>
      <c r="CK42" s="204">
        <f t="shared" si="6"/>
        <v>2325045.902874385</v>
      </c>
      <c r="CL42" s="204">
        <f t="shared" si="6"/>
        <v>2375556.5955075258</v>
      </c>
      <c r="CM42" s="204">
        <f t="shared" si="6"/>
        <v>2023552.1059370604</v>
      </c>
      <c r="CN42" s="204">
        <f t="shared" si="6"/>
        <v>1556388.1185058262</v>
      </c>
      <c r="CO42" s="204">
        <f t="shared" si="6"/>
        <v>1424387.3329478682</v>
      </c>
    </row>
    <row r="43" spans="1:93" x14ac:dyDescent="0.2">
      <c r="A43" s="118">
        <f t="shared" si="0"/>
        <v>18</v>
      </c>
      <c r="B43" s="143"/>
      <c r="C43" s="143"/>
      <c r="D43" s="143"/>
      <c r="E43" s="166"/>
      <c r="F43" s="197"/>
      <c r="G43" s="143"/>
      <c r="H43" s="174"/>
      <c r="I43" s="162"/>
      <c r="J43" s="101" t="s">
        <v>416</v>
      </c>
      <c r="L43" s="197"/>
      <c r="M43" s="142"/>
      <c r="N43" s="203"/>
      <c r="S43" s="1068"/>
      <c r="T43" s="1350"/>
      <c r="U43" s="184"/>
      <c r="V43" s="139"/>
      <c r="W43" s="140"/>
      <c r="Y43" s="184"/>
      <c r="Z43" s="141"/>
      <c r="AB43" s="193">
        <f>SUM(AH43:AS43)</f>
        <v>0</v>
      </c>
      <c r="AC43" s="193">
        <f>SUM(AT43:BE43)</f>
        <v>0</v>
      </c>
      <c r="AD43" s="193">
        <f>SUM(BF43:BQ43)</f>
        <v>0</v>
      </c>
      <c r="AE43" s="193">
        <f>SUM(BR43:CC43)</f>
        <v>0</v>
      </c>
      <c r="AF43" s="193">
        <f>SUM(CD43:CO43)</f>
        <v>0</v>
      </c>
      <c r="AH43" s="194">
        <v>0</v>
      </c>
      <c r="AI43" s="194">
        <v>0</v>
      </c>
      <c r="AJ43" s="194">
        <v>0</v>
      </c>
      <c r="AK43" s="194">
        <v>0</v>
      </c>
      <c r="AL43" s="194">
        <v>0</v>
      </c>
      <c r="AM43" s="194">
        <v>0</v>
      </c>
      <c r="AN43" s="194">
        <v>0</v>
      </c>
      <c r="AO43" s="194">
        <v>0</v>
      </c>
      <c r="AP43" s="194">
        <v>0</v>
      </c>
      <c r="AQ43" s="194">
        <v>0</v>
      </c>
      <c r="AR43" s="194">
        <v>0</v>
      </c>
      <c r="AS43" s="194">
        <v>0</v>
      </c>
      <c r="AT43" s="194">
        <v>0</v>
      </c>
      <c r="AU43" s="194">
        <v>0</v>
      </c>
      <c r="AV43" s="194">
        <v>0</v>
      </c>
      <c r="AW43" s="194">
        <v>0</v>
      </c>
      <c r="AX43" s="194">
        <v>0</v>
      </c>
      <c r="AY43" s="194">
        <v>0</v>
      </c>
      <c r="AZ43" s="194">
        <v>0</v>
      </c>
      <c r="BA43" s="194">
        <v>0</v>
      </c>
      <c r="BB43" s="194">
        <v>0</v>
      </c>
      <c r="BC43" s="194">
        <v>0</v>
      </c>
      <c r="BD43" s="194">
        <v>0</v>
      </c>
      <c r="BE43" s="194">
        <v>0</v>
      </c>
      <c r="BF43" s="194">
        <v>0</v>
      </c>
      <c r="BG43" s="194">
        <v>0</v>
      </c>
      <c r="BH43" s="194">
        <v>0</v>
      </c>
      <c r="BI43" s="194">
        <v>0</v>
      </c>
      <c r="BJ43" s="194">
        <v>0</v>
      </c>
      <c r="BK43" s="194">
        <v>0</v>
      </c>
      <c r="BL43" s="194">
        <v>0</v>
      </c>
      <c r="BM43" s="194">
        <v>0</v>
      </c>
      <c r="BN43" s="194">
        <v>0</v>
      </c>
      <c r="BO43" s="194">
        <v>0</v>
      </c>
      <c r="BP43" s="194">
        <v>0</v>
      </c>
      <c r="BQ43" s="194">
        <v>0</v>
      </c>
      <c r="BR43" s="194">
        <v>0</v>
      </c>
      <c r="BS43" s="194">
        <v>0</v>
      </c>
      <c r="BT43" s="194">
        <v>0</v>
      </c>
      <c r="BU43" s="194">
        <v>0</v>
      </c>
      <c r="BV43" s="194">
        <v>0</v>
      </c>
      <c r="BW43" s="194">
        <v>0</v>
      </c>
      <c r="BX43" s="194">
        <v>0</v>
      </c>
      <c r="BY43" s="194">
        <v>0</v>
      </c>
      <c r="BZ43" s="194">
        <v>0</v>
      </c>
      <c r="CA43" s="194">
        <v>0</v>
      </c>
      <c r="CB43" s="194">
        <v>0</v>
      </c>
      <c r="CC43" s="194">
        <v>0</v>
      </c>
      <c r="CD43" s="194">
        <v>0</v>
      </c>
      <c r="CE43" s="194">
        <v>0</v>
      </c>
      <c r="CF43" s="194">
        <v>0</v>
      </c>
      <c r="CG43" s="194">
        <v>0</v>
      </c>
      <c r="CH43" s="194">
        <v>0</v>
      </c>
      <c r="CI43" s="194">
        <v>0</v>
      </c>
      <c r="CJ43" s="194">
        <v>0</v>
      </c>
      <c r="CK43" s="194">
        <v>0</v>
      </c>
      <c r="CL43" s="194">
        <v>0</v>
      </c>
      <c r="CM43" s="194">
        <v>0</v>
      </c>
      <c r="CN43" s="194">
        <v>0</v>
      </c>
      <c r="CO43" s="194">
        <v>0</v>
      </c>
    </row>
    <row r="44" spans="1:93" x14ac:dyDescent="0.2">
      <c r="A44" s="118">
        <f t="shared" si="0"/>
        <v>19</v>
      </c>
      <c r="B44" s="207" t="s">
        <v>563</v>
      </c>
      <c r="C44" s="143"/>
      <c r="D44" s="143"/>
      <c r="E44" s="166"/>
      <c r="F44" s="166"/>
      <c r="G44" s="143"/>
      <c r="H44" s="174"/>
      <c r="I44" s="162"/>
      <c r="J44" s="208"/>
      <c r="K44" s="166"/>
      <c r="L44" s="166"/>
      <c r="M44" s="143"/>
      <c r="N44" s="174"/>
      <c r="S44" s="933"/>
      <c r="T44" s="177"/>
      <c r="U44" s="184"/>
      <c r="V44" s="139"/>
      <c r="W44" s="140"/>
      <c r="Y44" s="184"/>
      <c r="Z44" s="141"/>
    </row>
    <row r="45" spans="1:93" x14ac:dyDescent="0.2">
      <c r="A45" s="118">
        <f t="shared" si="0"/>
        <v>20</v>
      </c>
      <c r="B45" s="171" t="s">
        <v>564</v>
      </c>
      <c r="C45" s="143"/>
      <c r="D45" s="143"/>
      <c r="E45" s="166"/>
      <c r="F45" s="166"/>
      <c r="G45" s="143"/>
      <c r="H45" s="174">
        <f>'MFR E-5 Yr4'!J22*1000</f>
        <v>45059899.920000002</v>
      </c>
      <c r="I45" s="162"/>
      <c r="J45" s="208"/>
      <c r="K45" s="166"/>
      <c r="L45" s="166"/>
      <c r="M45" s="143"/>
      <c r="N45" s="174">
        <f>H45</f>
        <v>45059899.920000002</v>
      </c>
      <c r="S45" s="933"/>
      <c r="T45" s="177"/>
      <c r="U45" s="184"/>
      <c r="V45" s="139"/>
      <c r="W45" s="140"/>
      <c r="Y45" s="184" t="s">
        <v>135</v>
      </c>
      <c r="Z45" s="141" t="s">
        <v>565</v>
      </c>
    </row>
    <row r="46" spans="1:93" x14ac:dyDescent="0.2">
      <c r="A46" s="118">
        <f t="shared" si="0"/>
        <v>21</v>
      </c>
      <c r="B46" s="171" t="s">
        <v>566</v>
      </c>
      <c r="C46" s="143"/>
      <c r="D46" s="143"/>
      <c r="E46" s="166"/>
      <c r="F46" s="166"/>
      <c r="G46" s="143"/>
      <c r="H46" s="174">
        <f>'MFR E-5 Yr4'!J23*1000</f>
        <v>19150457.465999942</v>
      </c>
      <c r="I46" s="162"/>
      <c r="J46" s="208"/>
      <c r="K46" s="166"/>
      <c r="L46" s="166"/>
      <c r="M46" s="143"/>
      <c r="N46" s="174">
        <f t="shared" ref="N46:N47" si="7">H46</f>
        <v>19150457.465999942</v>
      </c>
      <c r="S46" s="933"/>
      <c r="T46" s="177"/>
      <c r="U46" s="184"/>
      <c r="V46" s="139"/>
      <c r="W46" s="140"/>
      <c r="Y46" s="184" t="s">
        <v>135</v>
      </c>
      <c r="Z46" s="141" t="s">
        <v>565</v>
      </c>
    </row>
    <row r="47" spans="1:93" x14ac:dyDescent="0.2">
      <c r="A47" s="118">
        <f t="shared" si="0"/>
        <v>22</v>
      </c>
      <c r="B47" s="171" t="s">
        <v>567</v>
      </c>
      <c r="C47" s="143"/>
      <c r="D47" s="143"/>
      <c r="E47" s="166"/>
      <c r="F47" s="166"/>
      <c r="G47" s="143"/>
      <c r="H47" s="174">
        <f>'MFR E-5 Yr4'!J21*1000</f>
        <v>1201989.332713814</v>
      </c>
      <c r="I47" s="162"/>
      <c r="J47" s="208"/>
      <c r="K47" s="166"/>
      <c r="L47" s="166"/>
      <c r="M47" s="143"/>
      <c r="N47" s="174">
        <f t="shared" si="7"/>
        <v>1201989.332713814</v>
      </c>
      <c r="S47" s="933"/>
      <c r="T47" s="177"/>
      <c r="U47" s="184"/>
      <c r="V47" s="139"/>
      <c r="W47" s="140"/>
      <c r="Y47" s="184" t="s">
        <v>135</v>
      </c>
      <c r="Z47" s="141" t="s">
        <v>568</v>
      </c>
    </row>
    <row r="48" spans="1:93" x14ac:dyDescent="0.2">
      <c r="A48" s="118">
        <f t="shared" si="0"/>
        <v>23</v>
      </c>
      <c r="B48" s="171" t="s">
        <v>158</v>
      </c>
      <c r="C48" s="143"/>
      <c r="D48" s="143"/>
      <c r="E48" s="166"/>
      <c r="F48" s="166"/>
      <c r="G48" s="143"/>
      <c r="H48" s="174">
        <f>'MFR E-5 Yr4'!J19*1000</f>
        <v>12642725</v>
      </c>
      <c r="I48" s="162"/>
      <c r="J48" s="208"/>
      <c r="K48" s="166"/>
      <c r="L48" s="166"/>
      <c r="M48" s="143"/>
      <c r="N48" s="174">
        <f>H48</f>
        <v>12642725</v>
      </c>
      <c r="T48" s="935"/>
      <c r="U48" s="184"/>
      <c r="V48" s="139"/>
      <c r="W48" s="140"/>
      <c r="Y48" s="184" t="s">
        <v>135</v>
      </c>
      <c r="Z48" s="141" t="s">
        <v>569</v>
      </c>
    </row>
    <row r="49" spans="1:93" x14ac:dyDescent="0.2">
      <c r="A49" s="118">
        <f t="shared" si="0"/>
        <v>24</v>
      </c>
      <c r="B49" s="171" t="s">
        <v>570</v>
      </c>
      <c r="C49" s="143"/>
      <c r="D49" s="172">
        <f>ROUND(H49/F49,0)</f>
        <v>14211</v>
      </c>
      <c r="E49" s="166" t="s">
        <v>545</v>
      </c>
      <c r="F49" s="205">
        <f>-'MFR E-14A'!G27*12</f>
        <v>-90</v>
      </c>
      <c r="G49" s="143"/>
      <c r="H49" s="174">
        <f>'MFR E-5 Yr4'!J20*1000</f>
        <v>-1278968</v>
      </c>
      <c r="I49" s="162"/>
      <c r="J49" s="172">
        <f>ROUND(N49/L49,0)</f>
        <v>14211</v>
      </c>
      <c r="K49" s="166" t="s">
        <v>545</v>
      </c>
      <c r="L49" s="205">
        <f>-'MFR E-14A'!H27*12</f>
        <v>-90</v>
      </c>
      <c r="M49" s="143"/>
      <c r="N49" s="203">
        <f>H49</f>
        <v>-1278968</v>
      </c>
      <c r="P49" s="182"/>
      <c r="S49" s="933"/>
      <c r="T49" s="934"/>
      <c r="U49" s="184"/>
      <c r="V49" s="139"/>
      <c r="W49" s="140"/>
      <c r="Y49" s="184" t="s">
        <v>135</v>
      </c>
      <c r="Z49" s="141" t="s">
        <v>571</v>
      </c>
      <c r="AB49" s="101">
        <v>91.38</v>
      </c>
      <c r="AC49" s="101">
        <f>AB49/AB50</f>
        <v>1.2049050632911391</v>
      </c>
    </row>
    <row r="50" spans="1:93" ht="10.8" thickBot="1" x14ac:dyDescent="0.25">
      <c r="A50" s="118">
        <f t="shared" si="0"/>
        <v>25</v>
      </c>
      <c r="B50" s="207" t="s">
        <v>572</v>
      </c>
      <c r="C50" s="143"/>
      <c r="D50" s="143"/>
      <c r="E50" s="166"/>
      <c r="F50" s="209" t="s">
        <v>416</v>
      </c>
      <c r="G50" s="143"/>
      <c r="H50" s="210">
        <f>H21+H42+H45+H46+H47+H48+H49</f>
        <v>2224104164.9887133</v>
      </c>
      <c r="I50" s="162"/>
      <c r="J50" s="143"/>
      <c r="K50" s="166"/>
      <c r="L50" s="209" t="s">
        <v>416</v>
      </c>
      <c r="M50" s="143"/>
      <c r="N50" s="210">
        <f>N21+N42+N45+N46+N47+N48+N49</f>
        <v>2279225464.4887137</v>
      </c>
      <c r="P50" s="177"/>
      <c r="Q50" s="939">
        <f>(N50-H50)/H50</f>
        <v>2.4783596185694028E-2</v>
      </c>
      <c r="S50" s="933"/>
      <c r="T50" s="177"/>
      <c r="U50" s="184"/>
      <c r="V50" s="139"/>
      <c r="W50" s="140"/>
      <c r="Y50" s="192" t="s">
        <v>135</v>
      </c>
      <c r="Z50" s="141" t="s">
        <v>121</v>
      </c>
      <c r="AB50" s="101">
        <v>75.84</v>
      </c>
    </row>
    <row r="51" spans="1:93" ht="10.8" thickTop="1" x14ac:dyDescent="0.2">
      <c r="A51" s="118">
        <f t="shared" si="0"/>
        <v>26</v>
      </c>
      <c r="B51" s="143"/>
      <c r="C51" s="143"/>
      <c r="D51" s="143"/>
      <c r="E51" s="166"/>
      <c r="F51" s="166"/>
      <c r="G51" s="143"/>
      <c r="H51" s="143"/>
      <c r="I51" s="162"/>
      <c r="J51" s="143"/>
      <c r="K51" s="166"/>
      <c r="L51" s="166"/>
      <c r="M51" s="143"/>
      <c r="N51" s="174"/>
      <c r="S51" s="933"/>
      <c r="T51" s="177"/>
      <c r="U51" s="184"/>
      <c r="V51" s="139"/>
      <c r="W51" s="140"/>
      <c r="Y51" s="184"/>
      <c r="Z51" s="141"/>
      <c r="AB51" s="101">
        <v>43.440000000000005</v>
      </c>
      <c r="AC51" s="101">
        <f>AB51/AB50</f>
        <v>0.57278481012658233</v>
      </c>
    </row>
    <row r="52" spans="1:93" x14ac:dyDescent="0.2">
      <c r="A52" s="118">
        <f t="shared" si="0"/>
        <v>27</v>
      </c>
      <c r="B52" s="102"/>
      <c r="C52" s="1348"/>
      <c r="D52" s="1349"/>
      <c r="E52" s="1349"/>
      <c r="F52" s="1349"/>
      <c r="G52" s="143"/>
      <c r="H52" s="211"/>
      <c r="I52" s="162"/>
      <c r="J52" s="171" t="s">
        <v>573</v>
      </c>
      <c r="K52" s="166"/>
      <c r="L52" s="166"/>
      <c r="M52" s="143"/>
      <c r="N52" s="174">
        <f>N50-H50</f>
        <v>55121299.500000477</v>
      </c>
      <c r="S52" s="933"/>
      <c r="T52" s="177"/>
      <c r="U52" s="184"/>
      <c r="V52" s="139"/>
      <c r="W52" s="140"/>
      <c r="Y52" s="184"/>
      <c r="Z52" s="141"/>
    </row>
    <row r="53" spans="1:93" x14ac:dyDescent="0.2">
      <c r="A53" s="118">
        <f t="shared" si="0"/>
        <v>28</v>
      </c>
      <c r="B53" s="143"/>
      <c r="C53" s="1348"/>
      <c r="D53" s="1145"/>
      <c r="E53" s="1145"/>
      <c r="F53" s="1282"/>
      <c r="G53" s="143"/>
      <c r="H53" s="211"/>
      <c r="I53" s="162"/>
      <c r="J53" s="171"/>
      <c r="K53" s="166"/>
      <c r="L53" s="166"/>
      <c r="M53" s="143"/>
      <c r="N53" s="212"/>
      <c r="S53" s="933"/>
      <c r="T53" s="177"/>
      <c r="U53" s="184"/>
      <c r="V53" s="139"/>
      <c r="W53" s="140"/>
      <c r="Y53" s="184"/>
      <c r="Z53" s="141"/>
    </row>
    <row r="54" spans="1:93" x14ac:dyDescent="0.2">
      <c r="A54" s="118">
        <f t="shared" si="0"/>
        <v>29</v>
      </c>
      <c r="B54" s="143"/>
      <c r="C54" s="1348"/>
      <c r="D54" s="1145"/>
      <c r="E54" s="1145"/>
      <c r="F54" s="1146"/>
      <c r="G54" s="143"/>
      <c r="H54" s="211"/>
      <c r="I54" s="162"/>
      <c r="J54" s="171" t="s">
        <v>574</v>
      </c>
      <c r="N54" s="211">
        <f>'Exhibit MJC-2 - Old E-8a'!U16*1000</f>
        <v>57598944.361976884</v>
      </c>
      <c r="P54" s="101" t="s">
        <v>672</v>
      </c>
      <c r="Q54" s="939">
        <f>N54/H50</f>
        <v>2.5897592958407677E-2</v>
      </c>
      <c r="S54" s="933"/>
      <c r="T54" s="935"/>
      <c r="U54" s="184"/>
      <c r="V54" s="139"/>
      <c r="W54" s="140"/>
      <c r="Y54" s="184"/>
      <c r="Z54" s="141"/>
    </row>
    <row r="55" spans="1:93" x14ac:dyDescent="0.2">
      <c r="A55" s="118">
        <f t="shared" si="0"/>
        <v>30</v>
      </c>
      <c r="I55" s="162"/>
      <c r="U55" s="184"/>
      <c r="V55" s="139"/>
      <c r="W55" s="140"/>
      <c r="Y55" s="184"/>
      <c r="Z55" s="141"/>
    </row>
    <row r="56" spans="1:93" x14ac:dyDescent="0.2">
      <c r="A56" s="118">
        <f t="shared" si="0"/>
        <v>31</v>
      </c>
      <c r="I56" s="162"/>
      <c r="J56" s="171" t="s">
        <v>575</v>
      </c>
      <c r="N56" s="214">
        <f>N52-N54</f>
        <v>-2477644.8619764075</v>
      </c>
      <c r="U56" s="184"/>
      <c r="V56" s="139"/>
      <c r="W56" s="140"/>
      <c r="Y56" s="184"/>
      <c r="Z56" s="141"/>
    </row>
    <row r="57" spans="1:93" x14ac:dyDescent="0.2">
      <c r="A57" s="118"/>
      <c r="I57" s="162"/>
      <c r="J57" s="171"/>
      <c r="N57" s="214"/>
      <c r="U57" s="855"/>
      <c r="V57" s="139"/>
      <c r="W57" s="139"/>
      <c r="Y57" s="855"/>
      <c r="Z57" s="856"/>
    </row>
    <row r="58" spans="1:93" x14ac:dyDescent="0.2">
      <c r="A58" s="215"/>
      <c r="B58" s="215" t="s">
        <v>98</v>
      </c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 t="s">
        <v>99</v>
      </c>
      <c r="O58" s="215"/>
      <c r="P58" s="215"/>
      <c r="Q58" s="215"/>
      <c r="Y58" s="101"/>
    </row>
    <row r="59" spans="1:93" x14ac:dyDescent="0.2">
      <c r="A59" s="216"/>
      <c r="B59" s="216"/>
      <c r="C59" s="216"/>
      <c r="D59" s="216"/>
      <c r="E59" s="216"/>
      <c r="F59" s="216"/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  <c r="X59" s="216"/>
      <c r="Y59" s="216"/>
      <c r="Z59" s="217"/>
      <c r="AA59" s="216"/>
      <c r="AB59" s="216"/>
      <c r="AC59" s="216"/>
      <c r="AD59" s="216"/>
      <c r="AE59" s="216"/>
      <c r="AF59" s="216"/>
      <c r="AG59" s="216"/>
      <c r="AH59" s="216"/>
      <c r="AI59" s="216"/>
      <c r="AJ59" s="216"/>
      <c r="AK59" s="216"/>
      <c r="AL59" s="216"/>
      <c r="AM59" s="216"/>
      <c r="AN59" s="216"/>
      <c r="AO59" s="216"/>
      <c r="AP59" s="216"/>
      <c r="AQ59" s="216"/>
      <c r="AR59" s="216"/>
      <c r="AS59" s="216"/>
      <c r="AT59" s="216"/>
      <c r="AU59" s="216"/>
      <c r="AV59" s="216"/>
      <c r="AW59" s="216"/>
      <c r="AX59" s="216"/>
      <c r="AY59" s="216"/>
      <c r="AZ59" s="216"/>
      <c r="BA59" s="216"/>
      <c r="BB59" s="216"/>
      <c r="BC59" s="216"/>
      <c r="BD59" s="216"/>
      <c r="BE59" s="216"/>
      <c r="BF59" s="216"/>
      <c r="BG59" s="216"/>
      <c r="BH59" s="216"/>
      <c r="BI59" s="216"/>
      <c r="BJ59" s="216"/>
      <c r="BK59" s="216"/>
      <c r="BL59" s="216"/>
      <c r="BM59" s="216"/>
      <c r="BN59" s="216"/>
      <c r="BO59" s="216"/>
      <c r="BP59" s="216"/>
      <c r="BQ59" s="216"/>
      <c r="BR59" s="216"/>
      <c r="BS59" s="216"/>
      <c r="BT59" s="216"/>
      <c r="BU59" s="216"/>
      <c r="BV59" s="216"/>
      <c r="BW59" s="216"/>
      <c r="BX59" s="216"/>
      <c r="BY59" s="216"/>
      <c r="BZ59" s="216"/>
      <c r="CA59" s="216"/>
      <c r="CB59" s="216"/>
      <c r="CC59" s="216"/>
      <c r="CD59" s="216"/>
      <c r="CE59" s="216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</row>
    <row r="60" spans="1:93" x14ac:dyDescent="0.2">
      <c r="A60" s="100" t="s">
        <v>505</v>
      </c>
      <c r="C60" s="102"/>
      <c r="D60" s="103"/>
      <c r="F60" s="104"/>
      <c r="G60" s="104"/>
      <c r="H60" s="102" t="s">
        <v>506</v>
      </c>
      <c r="I60" s="104"/>
      <c r="J60" s="104"/>
      <c r="K60" s="104"/>
      <c r="L60" s="104"/>
      <c r="N60" s="105"/>
      <c r="Q60" s="106" t="s">
        <v>576</v>
      </c>
      <c r="R60" s="105"/>
      <c r="S60" s="105"/>
      <c r="T60" s="114"/>
      <c r="U60" s="114"/>
      <c r="V60" s="114"/>
      <c r="W60" s="114"/>
      <c r="X60" s="114"/>
      <c r="Y60" s="114"/>
      <c r="Z60" s="218"/>
      <c r="AA60" s="114"/>
      <c r="AE60" s="114"/>
    </row>
    <row r="61" spans="1:93" ht="10.8" thickBot="1" x14ac:dyDescent="0.25">
      <c r="A61" s="108"/>
      <c r="B61" s="109"/>
      <c r="C61" s="109"/>
      <c r="D61" s="109"/>
      <c r="E61" s="110" t="s">
        <v>416</v>
      </c>
      <c r="F61" s="110" t="s">
        <v>416</v>
      </c>
      <c r="G61" s="109" t="s">
        <v>416</v>
      </c>
      <c r="H61" s="109" t="s">
        <v>416</v>
      </c>
      <c r="I61" s="109" t="s">
        <v>416</v>
      </c>
      <c r="J61" s="109"/>
      <c r="K61" s="109"/>
      <c r="L61" s="110" t="s">
        <v>416</v>
      </c>
      <c r="M61" s="111"/>
      <c r="N61" s="111"/>
      <c r="O61" s="109"/>
      <c r="P61" s="112"/>
      <c r="Q61" s="109"/>
      <c r="T61" s="114"/>
      <c r="U61" s="114"/>
      <c r="V61" s="114"/>
      <c r="W61" s="114"/>
      <c r="X61" s="114"/>
      <c r="Y61" s="114"/>
      <c r="Z61" s="218"/>
      <c r="AA61" s="114"/>
      <c r="AE61" s="114"/>
    </row>
    <row r="62" spans="1:93" x14ac:dyDescent="0.2">
      <c r="A62" s="113"/>
      <c r="M62" s="105"/>
      <c r="N62" s="105"/>
      <c r="P62" s="114"/>
      <c r="T62" s="114"/>
      <c r="U62" s="114"/>
      <c r="V62" s="114"/>
      <c r="W62" s="114"/>
      <c r="X62" s="114"/>
      <c r="Y62" s="114"/>
      <c r="Z62" s="218"/>
      <c r="AA62" s="114"/>
      <c r="AE62" s="114"/>
    </row>
    <row r="63" spans="1:93" x14ac:dyDescent="0.2">
      <c r="A63" s="100" t="s">
        <v>3</v>
      </c>
      <c r="D63" s="106" t="s">
        <v>4</v>
      </c>
      <c r="E63" s="101" t="s">
        <v>508</v>
      </c>
      <c r="O63" s="100" t="s">
        <v>6</v>
      </c>
      <c r="T63" s="114"/>
      <c r="U63" s="114"/>
      <c r="V63" s="114"/>
      <c r="W63" s="114"/>
      <c r="X63" s="114"/>
      <c r="Y63" s="114"/>
      <c r="Z63" s="218"/>
      <c r="AA63" s="114"/>
      <c r="AE63" s="114"/>
    </row>
    <row r="64" spans="1:93" x14ac:dyDescent="0.2">
      <c r="E64" s="101" t="s">
        <v>509</v>
      </c>
      <c r="T64" s="114"/>
      <c r="U64" s="114"/>
      <c r="V64" s="114"/>
      <c r="W64" s="114"/>
      <c r="X64" s="114"/>
      <c r="Y64" s="114"/>
      <c r="Z64" s="218"/>
      <c r="AA64" s="114"/>
      <c r="AE64" s="114"/>
    </row>
    <row r="65" spans="1:93" x14ac:dyDescent="0.2">
      <c r="A65" s="100" t="s">
        <v>9</v>
      </c>
      <c r="E65" s="101" t="s">
        <v>510</v>
      </c>
      <c r="O65" s="107" t="str">
        <f>O6</f>
        <v>__X__  Projected Test Year Ended 12/31/26</v>
      </c>
      <c r="T65" s="114"/>
      <c r="U65" s="114"/>
      <c r="V65" s="114"/>
      <c r="W65" s="114"/>
      <c r="X65" s="114"/>
      <c r="Y65" s="114"/>
      <c r="Z65" s="218"/>
      <c r="AA65" s="114"/>
      <c r="AE65" s="114"/>
    </row>
    <row r="66" spans="1:93" x14ac:dyDescent="0.2">
      <c r="E66" s="101" t="s">
        <v>512</v>
      </c>
      <c r="T66" s="114"/>
      <c r="U66" s="114"/>
      <c r="V66" s="114"/>
      <c r="W66" s="114"/>
      <c r="X66" s="114"/>
      <c r="Y66" s="114"/>
      <c r="Z66" s="218"/>
      <c r="AA66" s="114"/>
      <c r="AE66" s="114"/>
    </row>
    <row r="67" spans="1:93" x14ac:dyDescent="0.2">
      <c r="A67" s="100" t="s">
        <v>491</v>
      </c>
      <c r="C67" s="119" t="str">
        <f>C8</f>
        <v>20240025-EI</v>
      </c>
      <c r="D67" s="182"/>
      <c r="F67" s="182"/>
      <c r="J67" s="182"/>
      <c r="L67" s="182"/>
      <c r="O67" s="100" t="s">
        <v>493</v>
      </c>
      <c r="T67" s="114"/>
      <c r="U67" s="114"/>
      <c r="V67" s="114"/>
      <c r="W67" s="114"/>
      <c r="X67" s="114"/>
      <c r="Y67" s="114"/>
      <c r="Z67" s="218"/>
      <c r="AA67" s="114"/>
      <c r="AE67" s="114"/>
    </row>
    <row r="68" spans="1:93" ht="10.8" thickBot="1" x14ac:dyDescent="0.25">
      <c r="A68" s="123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23"/>
      <c r="O68" s="109"/>
      <c r="P68" s="109"/>
      <c r="Q68" s="109"/>
      <c r="T68" s="114"/>
      <c r="U68" s="114"/>
      <c r="V68" s="114"/>
      <c r="W68" s="114"/>
      <c r="X68" s="114"/>
      <c r="Y68" s="114"/>
      <c r="Z68" s="218"/>
      <c r="AA68" s="114"/>
      <c r="AE68" s="114"/>
    </row>
    <row r="69" spans="1:93" ht="15.6" x14ac:dyDescent="0.2">
      <c r="B69" s="124"/>
      <c r="C69" s="125"/>
      <c r="D69" s="125"/>
      <c r="E69" s="125"/>
      <c r="F69" s="125"/>
      <c r="G69" s="125"/>
      <c r="H69" s="125"/>
      <c r="I69" s="126" t="s">
        <v>577</v>
      </c>
      <c r="J69" s="125"/>
      <c r="K69" s="125"/>
      <c r="L69" s="125"/>
      <c r="M69" s="125"/>
      <c r="N69" s="125"/>
      <c r="U69" s="127" t="s">
        <v>530</v>
      </c>
      <c r="V69" s="128"/>
      <c r="W69" s="129"/>
      <c r="X69" s="114"/>
      <c r="Y69" s="130" t="s">
        <v>531</v>
      </c>
      <c r="Z69" s="131"/>
      <c r="AA69" s="114"/>
    </row>
    <row r="70" spans="1:93" x14ac:dyDescent="0.2">
      <c r="A70" s="101" t="s">
        <v>30</v>
      </c>
      <c r="B70" s="101" t="s">
        <v>532</v>
      </c>
      <c r="C70" s="132"/>
      <c r="D70" s="133" t="s">
        <v>533</v>
      </c>
      <c r="E70" s="134"/>
      <c r="F70" s="134"/>
      <c r="G70" s="133"/>
      <c r="H70" s="133"/>
      <c r="I70" s="135"/>
      <c r="J70" s="136" t="s">
        <v>534</v>
      </c>
      <c r="K70" s="133"/>
      <c r="L70" s="134"/>
      <c r="M70" s="134"/>
      <c r="N70" s="134"/>
      <c r="O70" s="137"/>
      <c r="Q70" s="118" t="s">
        <v>332</v>
      </c>
      <c r="U70" s="138"/>
      <c r="V70" s="139"/>
      <c r="W70" s="140"/>
      <c r="X70" s="114"/>
      <c r="Y70" s="138"/>
      <c r="Z70" s="141"/>
      <c r="AA70" s="114"/>
    </row>
    <row r="71" spans="1:93" x14ac:dyDescent="0.2">
      <c r="A71" s="101" t="s">
        <v>39</v>
      </c>
      <c r="B71" s="102" t="s">
        <v>535</v>
      </c>
      <c r="C71" s="104"/>
      <c r="D71" s="142" t="s">
        <v>536</v>
      </c>
      <c r="E71" s="143"/>
      <c r="F71" s="142" t="s">
        <v>537</v>
      </c>
      <c r="G71" s="142"/>
      <c r="H71" s="142" t="s">
        <v>538</v>
      </c>
      <c r="I71" s="144"/>
      <c r="J71" s="142" t="s">
        <v>536</v>
      </c>
      <c r="K71" s="143"/>
      <c r="L71" s="142" t="s">
        <v>537</v>
      </c>
      <c r="M71" s="142"/>
      <c r="N71" s="142" t="s">
        <v>538</v>
      </c>
      <c r="O71" s="132"/>
      <c r="Q71" s="145" t="s">
        <v>539</v>
      </c>
      <c r="R71" s="219"/>
      <c r="S71" s="132"/>
      <c r="U71" s="138" t="s">
        <v>128</v>
      </c>
      <c r="V71" s="146" t="s">
        <v>343</v>
      </c>
      <c r="W71" s="147" t="s">
        <v>344</v>
      </c>
      <c r="X71" s="118"/>
      <c r="Y71" s="148" t="s">
        <v>128</v>
      </c>
      <c r="Z71" s="149"/>
      <c r="AA71" s="118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</row>
    <row r="72" spans="1:93" ht="10.8" thickBot="1" x14ac:dyDescent="0.25">
      <c r="A72" s="109"/>
      <c r="B72" s="110" t="s">
        <v>136</v>
      </c>
      <c r="C72" s="150"/>
      <c r="D72" s="220" t="str">
        <f>+$D$13</f>
        <v>Jan '26-Dec '26</v>
      </c>
      <c r="E72" s="221"/>
      <c r="F72" s="152">
        <f>+$L$13</f>
        <v>46023</v>
      </c>
      <c r="G72" s="153"/>
      <c r="H72" s="153"/>
      <c r="I72" s="153"/>
      <c r="J72" s="153"/>
      <c r="K72" s="151"/>
      <c r="L72" s="152">
        <f>+$L$13</f>
        <v>46023</v>
      </c>
      <c r="M72" s="154"/>
      <c r="N72" s="154"/>
      <c r="O72" s="155"/>
      <c r="P72" s="109"/>
      <c r="Q72" s="156"/>
      <c r="R72" s="132"/>
      <c r="S72" s="132"/>
      <c r="U72" s="157" t="s">
        <v>144</v>
      </c>
      <c r="V72" s="158" t="s">
        <v>540</v>
      </c>
      <c r="W72" s="159" t="s">
        <v>540</v>
      </c>
      <c r="X72" s="118"/>
      <c r="Y72" s="160" t="s">
        <v>144</v>
      </c>
      <c r="Z72" s="159" t="s">
        <v>541</v>
      </c>
      <c r="AA72" s="118"/>
      <c r="AB72" s="118"/>
    </row>
    <row r="73" spans="1:93" x14ac:dyDescent="0.2">
      <c r="A73" s="118">
        <v>1</v>
      </c>
      <c r="B73" s="161"/>
      <c r="C73" s="104"/>
      <c r="E73" s="143"/>
      <c r="F73" s="142"/>
      <c r="G73" s="142"/>
      <c r="H73" s="142"/>
      <c r="I73" s="162"/>
      <c r="J73" s="142"/>
      <c r="K73" s="143"/>
      <c r="L73" s="142"/>
      <c r="M73" s="142"/>
      <c r="N73" s="142"/>
      <c r="O73" s="132"/>
      <c r="Q73" s="145"/>
      <c r="R73" s="132"/>
      <c r="S73" s="132"/>
      <c r="T73" s="118"/>
      <c r="U73" s="163"/>
      <c r="V73" s="139"/>
      <c r="W73" s="140"/>
      <c r="X73" s="118"/>
      <c r="Y73" s="163"/>
      <c r="Z73" s="141"/>
      <c r="AA73" s="118"/>
      <c r="AB73" s="118"/>
      <c r="AC73" s="118"/>
      <c r="AD73" s="118"/>
      <c r="AE73" s="118"/>
      <c r="AF73" s="118"/>
      <c r="AH73" s="118"/>
      <c r="AI73" s="118"/>
      <c r="AJ73" s="118"/>
      <c r="AK73" s="118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18"/>
      <c r="BA73" s="118"/>
      <c r="BB73" s="118"/>
      <c r="BC73" s="118"/>
      <c r="BD73" s="118"/>
      <c r="BE73" s="118"/>
      <c r="BF73" s="118"/>
      <c r="BG73" s="118"/>
      <c r="BH73" s="118"/>
      <c r="BI73" s="118"/>
      <c r="BJ73" s="118"/>
      <c r="BK73" s="118"/>
      <c r="BL73" s="118"/>
      <c r="BM73" s="118"/>
      <c r="BN73" s="118"/>
      <c r="BO73" s="118"/>
      <c r="BP73" s="118"/>
      <c r="BQ73" s="118"/>
      <c r="BR73" s="118"/>
      <c r="BS73" s="118"/>
      <c r="BT73" s="118"/>
      <c r="BU73" s="118"/>
      <c r="BV73" s="118"/>
      <c r="BW73" s="118"/>
      <c r="BX73" s="118"/>
      <c r="BY73" s="118"/>
      <c r="BZ73" s="118"/>
      <c r="CA73" s="118"/>
      <c r="CB73" s="118"/>
      <c r="CC73" s="118"/>
      <c r="CD73" s="118"/>
      <c r="CE73" s="118"/>
      <c r="CF73" s="118"/>
      <c r="CG73" s="118"/>
      <c r="CH73" s="118"/>
      <c r="CI73" s="118"/>
      <c r="CJ73" s="118"/>
      <c r="CK73" s="118"/>
      <c r="CL73" s="118"/>
      <c r="CM73" s="118"/>
      <c r="CN73" s="118"/>
      <c r="CO73" s="118"/>
    </row>
    <row r="74" spans="1:93" x14ac:dyDescent="0.2">
      <c r="A74" s="118">
        <f t="shared" ref="A74:A120" si="8">+A73+1</f>
        <v>2</v>
      </c>
      <c r="B74" s="222" t="s">
        <v>542</v>
      </c>
      <c r="C74" s="223"/>
      <c r="D74" s="224"/>
      <c r="E74" s="225"/>
      <c r="F74" s="226"/>
      <c r="G74" s="227"/>
      <c r="H74" s="228"/>
      <c r="I74" s="229"/>
      <c r="J74" s="226"/>
      <c r="K74" s="225"/>
      <c r="L74" s="226"/>
      <c r="M74" s="227"/>
      <c r="N74" s="228"/>
      <c r="O74" s="227"/>
      <c r="P74" s="230"/>
      <c r="U74" s="163"/>
      <c r="V74" s="139"/>
      <c r="W74" s="140"/>
      <c r="Y74" s="163"/>
      <c r="Z74" s="141"/>
      <c r="AB74" s="118"/>
      <c r="AC74" s="118"/>
      <c r="AD74" s="118"/>
      <c r="AE74" s="118"/>
      <c r="AF74" s="118"/>
      <c r="AH74" s="118"/>
      <c r="AI74" s="118"/>
      <c r="AJ74" s="118"/>
      <c r="AK74" s="118"/>
      <c r="AL74" s="118"/>
      <c r="AM74" s="118"/>
      <c r="AN74" s="118"/>
      <c r="AO74" s="118"/>
      <c r="AP74" s="118"/>
      <c r="AQ74" s="118"/>
      <c r="AR74" s="118"/>
      <c r="AS74" s="118"/>
      <c r="AT74" s="118"/>
      <c r="AU74" s="118"/>
      <c r="AV74" s="118"/>
      <c r="AW74" s="118"/>
      <c r="AX74" s="118"/>
      <c r="AY74" s="118"/>
      <c r="AZ74" s="118"/>
      <c r="BA74" s="118"/>
      <c r="BB74" s="118"/>
      <c r="BC74" s="118"/>
      <c r="BD74" s="118"/>
      <c r="BE74" s="118"/>
      <c r="BF74" s="118"/>
      <c r="BG74" s="118"/>
      <c r="BH74" s="118"/>
      <c r="BI74" s="118"/>
      <c r="BJ74" s="118"/>
      <c r="BK74" s="118"/>
      <c r="BL74" s="118"/>
      <c r="BM74" s="118"/>
      <c r="BN74" s="118"/>
      <c r="BO74" s="118"/>
      <c r="BP74" s="118"/>
      <c r="BQ74" s="118"/>
      <c r="BR74" s="118"/>
      <c r="BS74" s="118"/>
      <c r="BT74" s="118"/>
      <c r="BU74" s="118"/>
      <c r="BV74" s="118"/>
      <c r="BW74" s="118"/>
      <c r="BX74" s="118"/>
      <c r="BY74" s="118"/>
      <c r="BZ74" s="118"/>
      <c r="CA74" s="118"/>
      <c r="CB74" s="118"/>
      <c r="CC74" s="118"/>
      <c r="CD74" s="118"/>
      <c r="CE74" s="118"/>
      <c r="CF74" s="118"/>
      <c r="CG74" s="118"/>
      <c r="CH74" s="118"/>
      <c r="CI74" s="118"/>
      <c r="CJ74" s="118"/>
      <c r="CK74" s="118"/>
      <c r="CL74" s="118"/>
      <c r="CM74" s="118"/>
      <c r="CN74" s="118"/>
      <c r="CO74" s="118"/>
    </row>
    <row r="75" spans="1:93" x14ac:dyDescent="0.2">
      <c r="A75" s="118">
        <f t="shared" si="8"/>
        <v>3</v>
      </c>
      <c r="B75" s="228" t="s">
        <v>543</v>
      </c>
      <c r="C75" s="223"/>
      <c r="D75" s="168"/>
      <c r="E75" s="225"/>
      <c r="F75" s="231"/>
      <c r="G75" s="223"/>
      <c r="H75" s="170"/>
      <c r="I75" s="229"/>
      <c r="J75" s="168"/>
      <c r="K75" s="225"/>
      <c r="L75" s="857">
        <v>0</v>
      </c>
      <c r="M75" s="223"/>
      <c r="N75" s="170"/>
      <c r="O75" s="227"/>
      <c r="P75" s="230"/>
      <c r="U75" s="163"/>
      <c r="V75" s="139"/>
      <c r="W75" s="140"/>
      <c r="Y75" s="163"/>
      <c r="Z75" s="141"/>
    </row>
    <row r="76" spans="1:93" x14ac:dyDescent="0.2">
      <c r="A76" s="118">
        <f t="shared" si="8"/>
        <v>4</v>
      </c>
      <c r="B76" s="232" t="s">
        <v>578</v>
      </c>
      <c r="C76" s="223"/>
      <c r="D76" s="172">
        <f>SUMIF($AH$6:$CP$6,1,$AH76:$CP76)</f>
        <v>5595.4323882179406</v>
      </c>
      <c r="E76" s="225" t="s">
        <v>545</v>
      </c>
      <c r="F76" s="173">
        <f>'Exhibit MJC-3 - E-13c cal yr'!F78</f>
        <v>10.56</v>
      </c>
      <c r="G76" s="233" t="s">
        <v>375</v>
      </c>
      <c r="H76" s="174">
        <f>ROUND(D76*F76,2)</f>
        <v>59087.77</v>
      </c>
      <c r="I76" s="229"/>
      <c r="J76" s="172">
        <f>SUMIF($AH$6:$CP$6,1,$AH76:$CP76)</f>
        <v>5595.4323882179406</v>
      </c>
      <c r="K76" s="225" t="s">
        <v>545</v>
      </c>
      <c r="L76" s="183">
        <f>ROUND('MFR E-14E'!I48,2)</f>
        <v>10.66</v>
      </c>
      <c r="M76" s="233" t="s">
        <v>375</v>
      </c>
      <c r="N76" s="174">
        <f>ROUND(J76*L76,2)</f>
        <v>59647.31</v>
      </c>
      <c r="O76" s="227"/>
      <c r="P76" s="230"/>
      <c r="Q76" s="939"/>
      <c r="U76" s="178" t="s">
        <v>136</v>
      </c>
      <c r="V76" s="179">
        <v>241</v>
      </c>
      <c r="W76" s="180">
        <v>215</v>
      </c>
      <c r="Y76" s="178"/>
      <c r="Z76" s="181"/>
      <c r="AB76" s="182">
        <f>SUM(AH76:AS76)</f>
        <v>5397.3021116906184</v>
      </c>
      <c r="AC76" s="182">
        <f>SUM(AT76:BE76)</f>
        <v>5463.0223497089937</v>
      </c>
      <c r="AD76" s="182">
        <f>SUM(BF76:BQ76)</f>
        <v>5528.9116649821972</v>
      </c>
      <c r="AE76" s="182">
        <f>SUM(BR76:CC76)</f>
        <v>5595.4323882179406</v>
      </c>
      <c r="AF76" s="182">
        <f>SUM(CD76:CO76)</f>
        <v>5661.7423939996061</v>
      </c>
      <c r="AH76" s="168">
        <v>456.46769874814436</v>
      </c>
      <c r="AI76" s="168">
        <v>453.32623994379315</v>
      </c>
      <c r="AJ76" s="168">
        <v>449.60858540108472</v>
      </c>
      <c r="AK76" s="168">
        <v>450.04886781314087</v>
      </c>
      <c r="AL76" s="168">
        <v>448.59992906431779</v>
      </c>
      <c r="AM76" s="168">
        <v>448.9358120139317</v>
      </c>
      <c r="AN76" s="168">
        <v>449.63767703532255</v>
      </c>
      <c r="AO76" s="168">
        <v>448.48355853048815</v>
      </c>
      <c r="AP76" s="168">
        <v>446.9535355554338</v>
      </c>
      <c r="AQ76" s="168">
        <v>447.99475790518852</v>
      </c>
      <c r="AR76" s="168">
        <v>450.13869784177467</v>
      </c>
      <c r="AS76" s="168">
        <v>447.10675183799759</v>
      </c>
      <c r="AT76" s="168">
        <v>461.90681289871469</v>
      </c>
      <c r="AU76" s="168">
        <v>458.80030862618599</v>
      </c>
      <c r="AV76" s="168">
        <v>455.05942409501154</v>
      </c>
      <c r="AW76" s="168">
        <v>455.52261290951429</v>
      </c>
      <c r="AX76" s="168">
        <v>454.07074179057645</v>
      </c>
      <c r="AY76" s="168">
        <v>454.43031569969065</v>
      </c>
      <c r="AZ76" s="168">
        <v>455.15839732217694</v>
      </c>
      <c r="BA76" s="168">
        <v>453.99312682995986</v>
      </c>
      <c r="BB76" s="168">
        <v>452.43081034955679</v>
      </c>
      <c r="BC76" s="168">
        <v>453.46987593721559</v>
      </c>
      <c r="BD76" s="168">
        <v>455.62719854543826</v>
      </c>
      <c r="BE76" s="168">
        <v>452.55272470495186</v>
      </c>
      <c r="BF76" s="168">
        <v>467.52108404210088</v>
      </c>
      <c r="BG76" s="168">
        <v>464.37094680153245</v>
      </c>
      <c r="BH76" s="168">
        <v>460.57734185707153</v>
      </c>
      <c r="BI76" s="168">
        <v>461.03582123663415</v>
      </c>
      <c r="BJ76" s="168">
        <v>459.55338145189091</v>
      </c>
      <c r="BK76" s="168">
        <v>459.90785202038228</v>
      </c>
      <c r="BL76" s="168">
        <v>460.63192896193317</v>
      </c>
      <c r="BM76" s="168">
        <v>459.44710233458602</v>
      </c>
      <c r="BN76" s="168">
        <v>457.86492186585394</v>
      </c>
      <c r="BO76" s="168">
        <v>458.91360836284667</v>
      </c>
      <c r="BP76" s="168">
        <v>461.09614934034568</v>
      </c>
      <c r="BQ76" s="168">
        <v>457.99152670702028</v>
      </c>
      <c r="BR76" s="168">
        <v>473.14050731939437</v>
      </c>
      <c r="BS76" s="168">
        <v>469.95973407073694</v>
      </c>
      <c r="BT76" s="168">
        <v>466.12627059299126</v>
      </c>
      <c r="BU76" s="168">
        <v>466.59323859100965</v>
      </c>
      <c r="BV76" s="168">
        <v>465.09255831631611</v>
      </c>
      <c r="BW76" s="168">
        <v>465.45383410412325</v>
      </c>
      <c r="BX76" s="168">
        <v>466.18585058565009</v>
      </c>
      <c r="BY76" s="168">
        <v>464.98286849524925</v>
      </c>
      <c r="BZ76" s="168">
        <v>463.37305165844799</v>
      </c>
      <c r="CA76" s="168">
        <v>464.4243294979446</v>
      </c>
      <c r="CB76" s="168">
        <v>466.62397980598706</v>
      </c>
      <c r="CC76" s="168">
        <v>463.47616518009124</v>
      </c>
      <c r="CD76" s="168">
        <v>478.79340447440302</v>
      </c>
      <c r="CE76" s="168">
        <v>475.56587639067084</v>
      </c>
      <c r="CF76" s="168">
        <v>471.67730812247362</v>
      </c>
      <c r="CG76" s="168">
        <v>472.13823207478873</v>
      </c>
      <c r="CH76" s="168">
        <v>470.60550029509182</v>
      </c>
      <c r="CI76" s="168">
        <v>470.96058391245191</v>
      </c>
      <c r="CJ76" s="168">
        <v>471.68759391636297</v>
      </c>
      <c r="CK76" s="168">
        <v>470.46618023211562</v>
      </c>
      <c r="CL76" s="168">
        <v>468.84131851114171</v>
      </c>
      <c r="CM76" s="168">
        <v>469.907201846801</v>
      </c>
      <c r="CN76" s="168">
        <v>472.13730037527932</v>
      </c>
      <c r="CO76" s="168">
        <v>468.96189384802489</v>
      </c>
    </row>
    <row r="77" spans="1:93" x14ac:dyDescent="0.2">
      <c r="A77" s="118">
        <f t="shared" si="8"/>
        <v>5</v>
      </c>
      <c r="B77" s="234" t="s">
        <v>149</v>
      </c>
      <c r="C77" s="223"/>
      <c r="D77" s="172">
        <f>SUMIF($AH$6:$CP$6,1,$AH77:$CP77)</f>
        <v>1563574.3129887516</v>
      </c>
      <c r="E77" s="225" t="s">
        <v>545</v>
      </c>
      <c r="F77" s="173">
        <f>'Exhibit MJC-3 - E-13c cal yr'!F79</f>
        <v>16.16</v>
      </c>
      <c r="G77" s="233" t="s">
        <v>375</v>
      </c>
      <c r="H77" s="174">
        <f>ROUND(D77*F77,2)</f>
        <v>25267360.899999999</v>
      </c>
      <c r="I77" s="229"/>
      <c r="J77" s="172">
        <f>SUMIF($AH$6:$CP$6,1,$AH77:$CP77)</f>
        <v>1563574.3129887516</v>
      </c>
      <c r="K77" s="225" t="s">
        <v>545</v>
      </c>
      <c r="L77" s="173">
        <f>ROUND(F77*(1+'Exhibit MJC-2 - Old E-8a'!$V$18)+L75,2)</f>
        <v>16.64</v>
      </c>
      <c r="M77" s="233" t="s">
        <v>375</v>
      </c>
      <c r="N77" s="174">
        <f>ROUND(J77*L77,2)</f>
        <v>26017876.57</v>
      </c>
      <c r="O77" s="227"/>
      <c r="Q77" s="939"/>
      <c r="S77" s="263"/>
      <c r="T77" s="197"/>
      <c r="U77" s="178" t="s">
        <v>136</v>
      </c>
      <c r="V77" s="179">
        <v>241</v>
      </c>
      <c r="W77" s="180">
        <v>215</v>
      </c>
      <c r="Y77" s="178"/>
      <c r="Z77" s="181"/>
      <c r="AB77" s="182">
        <f>SUM(AH77:AS77)</f>
        <v>1508209.2599401623</v>
      </c>
      <c r="AC77" s="182">
        <f>SUM(AT77:BE77)</f>
        <v>1526573.966879596</v>
      </c>
      <c r="AD77" s="182">
        <f>SUM(BF77:BQ77)</f>
        <v>1544985.9203648227</v>
      </c>
      <c r="AE77" s="182">
        <f>SUM(BR77:CC77)</f>
        <v>1563574.3129887516</v>
      </c>
      <c r="AF77" s="182">
        <f>SUM(CD77:CO77)</f>
        <v>1582103.8232286857</v>
      </c>
      <c r="AH77" s="168">
        <v>127554.24763500634</v>
      </c>
      <c r="AI77" s="168">
        <v>126676.40586139495</v>
      </c>
      <c r="AJ77" s="168">
        <v>125637.55332163686</v>
      </c>
      <c r="AK77" s="168">
        <v>125760.58479126936</v>
      </c>
      <c r="AL77" s="168">
        <v>125355.69679485211</v>
      </c>
      <c r="AM77" s="168">
        <v>125449.55512710413</v>
      </c>
      <c r="AN77" s="168">
        <v>125645.68261868866</v>
      </c>
      <c r="AO77" s="168">
        <v>125323.17848976668</v>
      </c>
      <c r="AP77" s="168">
        <v>124895.63251010032</v>
      </c>
      <c r="AQ77" s="168">
        <v>125186.58920606796</v>
      </c>
      <c r="AR77" s="168">
        <v>125785.68668073237</v>
      </c>
      <c r="AS77" s="168">
        <v>124938.4469035425</v>
      </c>
      <c r="AT77" s="168">
        <v>129074.14075160497</v>
      </c>
      <c r="AU77" s="168">
        <v>128206.06658919646</v>
      </c>
      <c r="AV77" s="168">
        <v>127160.72271673405</v>
      </c>
      <c r="AW77" s="168">
        <v>127290.15509696354</v>
      </c>
      <c r="AX77" s="168">
        <v>126884.44768601858</v>
      </c>
      <c r="AY77" s="168">
        <v>126984.92616362394</v>
      </c>
      <c r="AZ77" s="168">
        <v>127188.37955983974</v>
      </c>
      <c r="BA77" s="168">
        <v>126862.75914609819</v>
      </c>
      <c r="BB77" s="168">
        <v>126426.18914613519</v>
      </c>
      <c r="BC77" s="168">
        <v>126716.54316163449</v>
      </c>
      <c r="BD77" s="168">
        <v>127319.38025821875</v>
      </c>
      <c r="BE77" s="168">
        <v>126460.25660352806</v>
      </c>
      <c r="BF77" s="168">
        <v>130642.97932151366</v>
      </c>
      <c r="BG77" s="168">
        <v>129762.71246633489</v>
      </c>
      <c r="BH77" s="168">
        <v>128702.63652702481</v>
      </c>
      <c r="BI77" s="168">
        <v>128830.75291396008</v>
      </c>
      <c r="BJ77" s="168">
        <v>128416.50346777646</v>
      </c>
      <c r="BK77" s="168">
        <v>128515.5558800209</v>
      </c>
      <c r="BL77" s="168">
        <v>128717.89021772469</v>
      </c>
      <c r="BM77" s="168">
        <v>128386.80508411357</v>
      </c>
      <c r="BN77" s="168">
        <v>127944.68433851561</v>
      </c>
      <c r="BO77" s="168">
        <v>128237.72679802752</v>
      </c>
      <c r="BP77" s="168">
        <v>128847.61085571865</v>
      </c>
      <c r="BQ77" s="168">
        <v>127980.06249409202</v>
      </c>
      <c r="BR77" s="168">
        <v>132213.25759146261</v>
      </c>
      <c r="BS77" s="168">
        <v>131324.42988307768</v>
      </c>
      <c r="BT77" s="168">
        <v>130253.21597006448</v>
      </c>
      <c r="BU77" s="168">
        <v>130383.70439634353</v>
      </c>
      <c r="BV77" s="168">
        <v>129964.357871049</v>
      </c>
      <c r="BW77" s="168">
        <v>130065.31191758692</v>
      </c>
      <c r="BX77" s="168">
        <v>130269.86486145054</v>
      </c>
      <c r="BY77" s="168">
        <v>129933.70640844217</v>
      </c>
      <c r="BZ77" s="168">
        <v>129483.86302190794</v>
      </c>
      <c r="CA77" s="168">
        <v>129777.62960000338</v>
      </c>
      <c r="CB77" s="168">
        <v>130392.29464831225</v>
      </c>
      <c r="CC77" s="168">
        <v>129512.67681905125</v>
      </c>
      <c r="CD77" s="168">
        <v>133792.88972215369</v>
      </c>
      <c r="CE77" s="168">
        <v>132890.9969539023</v>
      </c>
      <c r="CF77" s="168">
        <v>131804.38468935972</v>
      </c>
      <c r="CG77" s="168">
        <v>131933.18418188844</v>
      </c>
      <c r="CH77" s="168">
        <v>131504.88126029799</v>
      </c>
      <c r="CI77" s="168">
        <v>131604.10498145962</v>
      </c>
      <c r="CJ77" s="168">
        <v>131807.25892713052</v>
      </c>
      <c r="CK77" s="168">
        <v>131465.94999339315</v>
      </c>
      <c r="CL77" s="168">
        <v>131011.90250022299</v>
      </c>
      <c r="CM77" s="168">
        <v>131309.75040341433</v>
      </c>
      <c r="CN77" s="168">
        <v>131932.9238299944</v>
      </c>
      <c r="CO77" s="168">
        <v>131045.59578546893</v>
      </c>
    </row>
    <row r="78" spans="1:93" x14ac:dyDescent="0.2">
      <c r="A78" s="118">
        <f t="shared" si="8"/>
        <v>6</v>
      </c>
      <c r="B78" s="234" t="s">
        <v>148</v>
      </c>
      <c r="C78" s="223"/>
      <c r="D78" s="172">
        <f>SUMIF($AH$6:$CP$6,1,$AH78:$CP78)</f>
        <v>1608.2327165995773</v>
      </c>
      <c r="E78" s="225" t="s">
        <v>545</v>
      </c>
      <c r="F78" s="173">
        <f>'Exhibit MJC-3 - E-13c cal yr'!F80</f>
        <v>204.3</v>
      </c>
      <c r="G78" s="233" t="s">
        <v>375</v>
      </c>
      <c r="H78" s="174">
        <f>ROUND(D78*F78,2)</f>
        <v>328561.94</v>
      </c>
      <c r="I78" s="229"/>
      <c r="J78" s="172">
        <f>SUMIF($AH$6:$CP$6,1,$AH78:$CP78)</f>
        <v>1608.2327165995773</v>
      </c>
      <c r="K78" s="225" t="s">
        <v>545</v>
      </c>
      <c r="L78" s="173">
        <f>ROUND(F78*(1+'Exhibit MJC-2 - Old E-8a'!$V$18)+L75,2)</f>
        <v>210.34</v>
      </c>
      <c r="M78" s="233" t="s">
        <v>375</v>
      </c>
      <c r="N78" s="174">
        <f>ROUND(J78*L78,2)</f>
        <v>338275.67</v>
      </c>
      <c r="O78" s="227"/>
      <c r="S78" s="263"/>
      <c r="T78" s="197"/>
      <c r="U78" s="178" t="s">
        <v>136</v>
      </c>
      <c r="V78" s="179">
        <v>241</v>
      </c>
      <c r="W78" s="180">
        <v>215</v>
      </c>
      <c r="Y78" s="178"/>
      <c r="Z78" s="181"/>
      <c r="AB78" s="182">
        <f>SUM(AH78:AS78)</f>
        <v>1551.2863412790375</v>
      </c>
      <c r="AC78" s="182">
        <f>SUM(AT78:BE78)</f>
        <v>1570.175576210446</v>
      </c>
      <c r="AD78" s="182">
        <f>SUM(BF78:BQ78)</f>
        <v>1589.1134071312233</v>
      </c>
      <c r="AE78" s="182">
        <f>SUM(BR78:CC78)</f>
        <v>1608.2327165995773</v>
      </c>
      <c r="AF78" s="182">
        <f>SUM(CD78:CO78)</f>
        <v>1627.2914619005712</v>
      </c>
      <c r="AH78" s="168">
        <v>131.19741894182496</v>
      </c>
      <c r="AI78" s="168">
        <v>130.29450447937066</v>
      </c>
      <c r="AJ78" s="168">
        <v>129.22598050306667</v>
      </c>
      <c r="AK78" s="168">
        <v>129.35252596559482</v>
      </c>
      <c r="AL78" s="168">
        <v>128.93607366333615</v>
      </c>
      <c r="AM78" s="168">
        <v>129.03261275290757</v>
      </c>
      <c r="AN78" s="168">
        <v>129.23434198699042</v>
      </c>
      <c r="AO78" s="168">
        <v>128.90262657886291</v>
      </c>
      <c r="AP78" s="168">
        <v>128.46286914191975</v>
      </c>
      <c r="AQ78" s="168">
        <v>128.76213606750287</v>
      </c>
      <c r="AR78" s="168">
        <v>129.37834480870802</v>
      </c>
      <c r="AS78" s="168">
        <v>128.50690638895247</v>
      </c>
      <c r="AT78" s="168">
        <v>132.76072285104311</v>
      </c>
      <c r="AU78" s="168">
        <v>131.86785497976712</v>
      </c>
      <c r="AV78" s="168">
        <v>130.79265426699931</v>
      </c>
      <c r="AW78" s="168">
        <v>130.92578346127118</v>
      </c>
      <c r="AX78" s="168">
        <v>130.50848834057982</v>
      </c>
      <c r="AY78" s="168">
        <v>130.61183665837748</v>
      </c>
      <c r="AZ78" s="168">
        <v>130.82110103767783</v>
      </c>
      <c r="BA78" s="168">
        <v>130.48618033821273</v>
      </c>
      <c r="BB78" s="168">
        <v>130.03714113924795</v>
      </c>
      <c r="BC78" s="168">
        <v>130.33578817075966</v>
      </c>
      <c r="BD78" s="168">
        <v>130.9558433439951</v>
      </c>
      <c r="BE78" s="168">
        <v>130.07218162251471</v>
      </c>
      <c r="BF78" s="168">
        <v>134.37437018090216</v>
      </c>
      <c r="BG78" s="168">
        <v>133.46896137233028</v>
      </c>
      <c r="BH78" s="168">
        <v>132.37860781924607</v>
      </c>
      <c r="BI78" s="168">
        <v>132.51038343316492</v>
      </c>
      <c r="BJ78" s="168">
        <v>132.08430230184197</v>
      </c>
      <c r="BK78" s="168">
        <v>132.1861838233701</v>
      </c>
      <c r="BL78" s="168">
        <v>132.39429718189973</v>
      </c>
      <c r="BM78" s="168">
        <v>132.05375568065486</v>
      </c>
      <c r="BN78" s="168">
        <v>131.5990071970993</v>
      </c>
      <c r="BO78" s="168">
        <v>131.90041945926356</v>
      </c>
      <c r="BP78" s="168">
        <v>132.52772286707955</v>
      </c>
      <c r="BQ78" s="168">
        <v>131.63539581437081</v>
      </c>
      <c r="BR78" s="168">
        <v>135.98949833114023</v>
      </c>
      <c r="BS78" s="168">
        <v>135.0752841564954</v>
      </c>
      <c r="BT78" s="168">
        <v>133.97347450979467</v>
      </c>
      <c r="BU78" s="168">
        <v>134.10768991262921</v>
      </c>
      <c r="BV78" s="168">
        <v>133.67636612074503</v>
      </c>
      <c r="BW78" s="168">
        <v>133.78020359055168</v>
      </c>
      <c r="BX78" s="168">
        <v>133.99059892249429</v>
      </c>
      <c r="BY78" s="168">
        <v>133.64483919902059</v>
      </c>
      <c r="BZ78" s="168">
        <v>133.18214750246321</v>
      </c>
      <c r="CA78" s="168">
        <v>133.484304565298</v>
      </c>
      <c r="CB78" s="168">
        <v>134.11652551714457</v>
      </c>
      <c r="CC78" s="168">
        <v>133.21178427180024</v>
      </c>
      <c r="CD78" s="168">
        <v>137.61424750466261</v>
      </c>
      <c r="CE78" s="168">
        <v>136.6865951093032</v>
      </c>
      <c r="CF78" s="168">
        <v>135.56894730735425</v>
      </c>
      <c r="CG78" s="168">
        <v>135.70142553755116</v>
      </c>
      <c r="CH78" s="168">
        <v>135.26088953910519</v>
      </c>
      <c r="CI78" s="168">
        <v>135.36294726243136</v>
      </c>
      <c r="CJ78" s="168">
        <v>135.57190363835807</v>
      </c>
      <c r="CK78" s="168">
        <v>135.22084632746191</v>
      </c>
      <c r="CL78" s="168">
        <v>134.7538304476663</v>
      </c>
      <c r="CM78" s="168">
        <v>135.06018540534481</v>
      </c>
      <c r="CN78" s="168">
        <v>135.70115774955389</v>
      </c>
      <c r="CO78" s="168">
        <v>134.78848607177835</v>
      </c>
    </row>
    <row r="79" spans="1:93" x14ac:dyDescent="0.2">
      <c r="A79" s="118">
        <f t="shared" si="8"/>
        <v>7</v>
      </c>
      <c r="B79" s="234" t="s">
        <v>216</v>
      </c>
      <c r="C79" s="223"/>
      <c r="D79" s="172">
        <f>SUMIF($AH$6:$CP$6,1,$AH79:$CP79)</f>
        <v>0</v>
      </c>
      <c r="E79" s="225" t="s">
        <v>545</v>
      </c>
      <c r="F79" s="173">
        <f>'Exhibit MJC-3 - E-13c cal yr'!F81</f>
        <v>1007.76</v>
      </c>
      <c r="G79" s="233" t="s">
        <v>375</v>
      </c>
      <c r="H79" s="174">
        <f>ROUND(D79*F79,2)</f>
        <v>0</v>
      </c>
      <c r="I79" s="229"/>
      <c r="J79" s="172">
        <f>SUMIF($AH$6:$CP$6,1,$AH79:$CP79)</f>
        <v>0</v>
      </c>
      <c r="K79" s="225" t="s">
        <v>545</v>
      </c>
      <c r="L79" s="173">
        <f>ROUND(F79*(1+'Exhibit MJC-2 - Old E-8a'!$V$18)+L75,2)</f>
        <v>1037.56</v>
      </c>
      <c r="M79" s="233" t="s">
        <v>375</v>
      </c>
      <c r="N79" s="174">
        <f>ROUND(J79*L79,2)</f>
        <v>0</v>
      </c>
      <c r="O79" s="227"/>
      <c r="S79" s="263"/>
      <c r="T79" s="927"/>
      <c r="U79" s="178" t="s">
        <v>136</v>
      </c>
      <c r="V79" s="179">
        <v>241</v>
      </c>
      <c r="W79" s="180">
        <v>215</v>
      </c>
      <c r="Y79" s="178"/>
      <c r="Z79" s="181"/>
    </row>
    <row r="80" spans="1:93" x14ac:dyDescent="0.2">
      <c r="A80" s="118">
        <f t="shared" si="8"/>
        <v>8</v>
      </c>
      <c r="B80" s="226" t="s">
        <v>546</v>
      </c>
      <c r="C80" s="223"/>
      <c r="D80" s="168"/>
      <c r="E80" s="225"/>
      <c r="F80" s="183"/>
      <c r="G80" s="233"/>
      <c r="H80" s="174"/>
      <c r="I80" s="229"/>
      <c r="J80" s="168"/>
      <c r="K80" s="225"/>
      <c r="L80" s="183"/>
      <c r="M80" s="233"/>
      <c r="N80" s="174"/>
      <c r="O80" s="227"/>
      <c r="S80" s="230"/>
      <c r="U80" s="184"/>
      <c r="V80" s="179"/>
      <c r="W80" s="180"/>
      <c r="Y80" s="184"/>
      <c r="Z80" s="181"/>
    </row>
    <row r="81" spans="1:93" x14ac:dyDescent="0.2">
      <c r="A81" s="118">
        <f t="shared" si="8"/>
        <v>9</v>
      </c>
      <c r="B81" s="234" t="s">
        <v>149</v>
      </c>
      <c r="C81" s="223"/>
      <c r="D81" s="172">
        <f>SUMIF($AH$6:$CP$6,1,$AH81:$CP81)</f>
        <v>15566.867961957443</v>
      </c>
      <c r="E81" s="225" t="s">
        <v>545</v>
      </c>
      <c r="F81" s="173">
        <f>'Exhibit MJC-3 - E-13c cal yr'!F83</f>
        <v>16.16</v>
      </c>
      <c r="G81" s="233" t="s">
        <v>375</v>
      </c>
      <c r="H81" s="174">
        <f>ROUND(D81*F81,2)</f>
        <v>251560.59</v>
      </c>
      <c r="I81" s="229"/>
      <c r="J81" s="172">
        <f>SUMIF($AH$6:$CP$6,1,$AH81:$CP81)</f>
        <v>15566.867961957443</v>
      </c>
      <c r="K81" s="225" t="s">
        <v>545</v>
      </c>
      <c r="L81" s="183">
        <f>L77</f>
        <v>16.64</v>
      </c>
      <c r="M81" s="233" t="s">
        <v>375</v>
      </c>
      <c r="N81" s="174">
        <f>ROUND(J81*L81,2)</f>
        <v>259032.68</v>
      </c>
      <c r="O81" s="227"/>
      <c r="S81" s="263"/>
      <c r="U81" s="178" t="s">
        <v>580</v>
      </c>
      <c r="V81" s="179">
        <v>242</v>
      </c>
      <c r="W81" s="180">
        <v>216</v>
      </c>
      <c r="Y81" s="178"/>
      <c r="Z81" s="181"/>
      <c r="AB81" s="182">
        <f>SUM(AH81:AS81)</f>
        <v>15015.656252124012</v>
      </c>
      <c r="AC81" s="182">
        <f>SUM(AT81:BE81)</f>
        <v>15198.494359472903</v>
      </c>
      <c r="AD81" s="182">
        <f>SUM(BF81:BQ81)</f>
        <v>15381.80285107786</v>
      </c>
      <c r="AE81" s="182">
        <f>SUM(BR81:CC81)</f>
        <v>15566.867961957443</v>
      </c>
      <c r="AF81" s="182">
        <f>SUM(CD81:CO81)</f>
        <v>15751.346842755527</v>
      </c>
      <c r="AH81" s="168">
        <v>1269.923734629203</v>
      </c>
      <c r="AI81" s="168">
        <v>1261.1839856657027</v>
      </c>
      <c r="AJ81" s="168">
        <v>1250.8412215360938</v>
      </c>
      <c r="AK81" s="168">
        <v>1252.0661167182573</v>
      </c>
      <c r="AL81" s="168">
        <v>1248.0350719976766</v>
      </c>
      <c r="AM81" s="168">
        <v>1248.9695208775024</v>
      </c>
      <c r="AN81" s="168">
        <v>1250.9221564125353</v>
      </c>
      <c r="AO81" s="168">
        <v>1247.7113213723264</v>
      </c>
      <c r="AP81" s="168">
        <v>1243.4546948993514</v>
      </c>
      <c r="AQ81" s="168">
        <v>1246.3514452687775</v>
      </c>
      <c r="AR81" s="168">
        <v>1252.3160298791606</v>
      </c>
      <c r="AS81" s="168">
        <v>1243.8809528674244</v>
      </c>
      <c r="AT81" s="168">
        <v>1285.0557147761222</v>
      </c>
      <c r="AU81" s="168">
        <v>1276.4132116631301</v>
      </c>
      <c r="AV81" s="168">
        <v>1266.0058201485185</v>
      </c>
      <c r="AW81" s="168">
        <v>1267.2944424776888</v>
      </c>
      <c r="AX81" s="168">
        <v>1263.2552397068941</v>
      </c>
      <c r="AY81" s="168">
        <v>1264.2555984240382</v>
      </c>
      <c r="AZ81" s="168">
        <v>1266.2811703005991</v>
      </c>
      <c r="BA81" s="168">
        <v>1263.0393096839821</v>
      </c>
      <c r="BB81" s="168">
        <v>1258.6928405145152</v>
      </c>
      <c r="BC81" s="168">
        <v>1261.5835906272246</v>
      </c>
      <c r="BD81" s="168">
        <v>1267.5854067271316</v>
      </c>
      <c r="BE81" s="168">
        <v>1259.0320144230586</v>
      </c>
      <c r="BF81" s="168">
        <v>1300.6749934177064</v>
      </c>
      <c r="BG81" s="168">
        <v>1291.9111004629403</v>
      </c>
      <c r="BH81" s="168">
        <v>1281.3570372247532</v>
      </c>
      <c r="BI81" s="168">
        <v>1282.6325575902499</v>
      </c>
      <c r="BJ81" s="168">
        <v>1278.5083107421881</v>
      </c>
      <c r="BK81" s="168">
        <v>1279.4944716236462</v>
      </c>
      <c r="BL81" s="168">
        <v>1281.5089022094141</v>
      </c>
      <c r="BM81" s="168">
        <v>1278.2126351140307</v>
      </c>
      <c r="BN81" s="168">
        <v>1273.8109029975633</v>
      </c>
      <c r="BO81" s="168">
        <v>1276.7284191249225</v>
      </c>
      <c r="BP81" s="168">
        <v>1282.8003944185261</v>
      </c>
      <c r="BQ81" s="168">
        <v>1274.1631261519224</v>
      </c>
      <c r="BR81" s="168">
        <v>1316.3086056411646</v>
      </c>
      <c r="BS81" s="168">
        <v>1307.4594812583846</v>
      </c>
      <c r="BT81" s="168">
        <v>1296.7945289089096</v>
      </c>
      <c r="BU81" s="168">
        <v>1298.0936651799364</v>
      </c>
      <c r="BV81" s="168">
        <v>1293.9186720661858</v>
      </c>
      <c r="BW81" s="168">
        <v>1294.9237655239294</v>
      </c>
      <c r="BX81" s="168">
        <v>1296.9602844420917</v>
      </c>
      <c r="BY81" s="168">
        <v>1293.6135076315454</v>
      </c>
      <c r="BZ81" s="168">
        <v>1289.1348892866631</v>
      </c>
      <c r="CA81" s="168">
        <v>1292.0596147025637</v>
      </c>
      <c r="CB81" s="168">
        <v>1298.1791893005659</v>
      </c>
      <c r="CC81" s="168">
        <v>1289.4217580155021</v>
      </c>
      <c r="CD81" s="168">
        <v>1332.0353444361572</v>
      </c>
      <c r="CE81" s="168">
        <v>1323.056144968255</v>
      </c>
      <c r="CF81" s="168">
        <v>1312.2378873981083</v>
      </c>
      <c r="CG81" s="168">
        <v>1313.5202087288603</v>
      </c>
      <c r="CH81" s="168">
        <v>1309.2560461798</v>
      </c>
      <c r="CI81" s="168">
        <v>1310.2439126043034</v>
      </c>
      <c r="CJ81" s="168">
        <v>1312.2665031661579</v>
      </c>
      <c r="CK81" s="168">
        <v>1308.8684484260734</v>
      </c>
      <c r="CL81" s="168">
        <v>1304.3479742049747</v>
      </c>
      <c r="CM81" s="168">
        <v>1307.3133330901965</v>
      </c>
      <c r="CN81" s="168">
        <v>1313.5176166783742</v>
      </c>
      <c r="CO81" s="168">
        <v>1304.6834228742648</v>
      </c>
    </row>
    <row r="82" spans="1:93" x14ac:dyDescent="0.2">
      <c r="A82" s="118">
        <f t="shared" si="8"/>
        <v>10</v>
      </c>
      <c r="B82" s="234" t="s">
        <v>148</v>
      </c>
      <c r="C82" s="223"/>
      <c r="D82" s="172">
        <f>SUMIF($AH$6:$CP$6,1,$AH82:$CP82)</f>
        <v>205.20185456001929</v>
      </c>
      <c r="E82" s="225" t="s">
        <v>545</v>
      </c>
      <c r="F82" s="173">
        <f>'Exhibit MJC-3 - E-13c cal yr'!F84</f>
        <v>204.3</v>
      </c>
      <c r="G82" s="233" t="s">
        <v>375</v>
      </c>
      <c r="H82" s="174">
        <f>ROUND(D82*F82,2)</f>
        <v>41922.74</v>
      </c>
      <c r="I82" s="229"/>
      <c r="J82" s="172">
        <f>SUMIF($AH$6:$CP$6,1,$AH82:$CP82)</f>
        <v>205.20185456001929</v>
      </c>
      <c r="K82" s="225" t="s">
        <v>545</v>
      </c>
      <c r="L82" s="183">
        <f>L78</f>
        <v>210.34</v>
      </c>
      <c r="M82" s="233" t="s">
        <v>375</v>
      </c>
      <c r="N82" s="174">
        <f>ROUND(J82*L82,2)</f>
        <v>43162.16</v>
      </c>
      <c r="O82" s="227"/>
      <c r="S82" s="263"/>
      <c r="T82" s="197"/>
      <c r="U82" s="178" t="s">
        <v>580</v>
      </c>
      <c r="V82" s="179">
        <v>242</v>
      </c>
      <c r="W82" s="180">
        <v>216</v>
      </c>
      <c r="Y82" s="178"/>
      <c r="Z82" s="181"/>
      <c r="AB82" s="182">
        <f>SUM(AH82:AS82)</f>
        <v>197.9358030081311</v>
      </c>
      <c r="AC82" s="182">
        <f>SUM(AT82:BE82)</f>
        <v>200.34596790475169</v>
      </c>
      <c r="AD82" s="182">
        <f>SUM(BF82:BQ82)</f>
        <v>202.76233338853825</v>
      </c>
      <c r="AE82" s="182">
        <f>SUM(BR82:CC82)</f>
        <v>205.20185456001929</v>
      </c>
      <c r="AF82" s="182">
        <f>SUM(CD82:CO82)</f>
        <v>207.63364806912051</v>
      </c>
      <c r="AH82" s="168">
        <v>16.740085811258496</v>
      </c>
      <c r="AI82" s="168">
        <v>16.624878776671835</v>
      </c>
      <c r="AJ82" s="168">
        <v>16.488540857839396</v>
      </c>
      <c r="AK82" s="168">
        <v>16.504687379004466</v>
      </c>
      <c r="AL82" s="168">
        <v>16.451550302586845</v>
      </c>
      <c r="AM82" s="168">
        <v>16.463868171769036</v>
      </c>
      <c r="AN82" s="168">
        <v>16.489607738266784</v>
      </c>
      <c r="AO82" s="168">
        <v>16.447282634299356</v>
      </c>
      <c r="AP82" s="168">
        <v>16.391171947900627</v>
      </c>
      <c r="AQ82" s="168">
        <v>16.429356799821793</v>
      </c>
      <c r="AR82" s="168">
        <v>16.507981724676419</v>
      </c>
      <c r="AS82" s="168">
        <v>16.39679086403606</v>
      </c>
      <c r="AT82" s="168">
        <v>16.939554991372411</v>
      </c>
      <c r="AU82" s="168">
        <v>16.82562984784574</v>
      </c>
      <c r="AV82" s="168">
        <v>16.688440013310654</v>
      </c>
      <c r="AW82" s="168">
        <v>16.705426583275749</v>
      </c>
      <c r="AX82" s="168">
        <v>16.652181967754078</v>
      </c>
      <c r="AY82" s="168">
        <v>16.665368657876005</v>
      </c>
      <c r="AZ82" s="168">
        <v>16.692069668421652</v>
      </c>
      <c r="BA82" s="168">
        <v>16.649335586499671</v>
      </c>
      <c r="BB82" s="168">
        <v>16.592040597132371</v>
      </c>
      <c r="BC82" s="168">
        <v>16.630146353900344</v>
      </c>
      <c r="BD82" s="168">
        <v>16.709262062817444</v>
      </c>
      <c r="BE82" s="168">
        <v>16.596511574545524</v>
      </c>
      <c r="BF82" s="168">
        <v>17.14544772149484</v>
      </c>
      <c r="BG82" s="168">
        <v>17.029922421744217</v>
      </c>
      <c r="BH82" s="168">
        <v>16.890799166191957</v>
      </c>
      <c r="BI82" s="168">
        <v>16.907613026575987</v>
      </c>
      <c r="BJ82" s="168">
        <v>16.853247363299737</v>
      </c>
      <c r="BK82" s="168">
        <v>16.866246898097895</v>
      </c>
      <c r="BL82" s="168">
        <v>16.892801044576949</v>
      </c>
      <c r="BM82" s="168">
        <v>16.849349778545093</v>
      </c>
      <c r="BN82" s="168">
        <v>16.791326315136601</v>
      </c>
      <c r="BO82" s="168">
        <v>16.829784900479904</v>
      </c>
      <c r="BP82" s="168">
        <v>16.909825445189025</v>
      </c>
      <c r="BQ82" s="168">
        <v>16.795969307206043</v>
      </c>
      <c r="BR82" s="168">
        <v>17.351529396342066</v>
      </c>
      <c r="BS82" s="168">
        <v>17.23488057918653</v>
      </c>
      <c r="BT82" s="168">
        <v>17.094295587635582</v>
      </c>
      <c r="BU82" s="168">
        <v>17.111420751977718</v>
      </c>
      <c r="BV82" s="168">
        <v>17.056386153379556</v>
      </c>
      <c r="BW82" s="168">
        <v>17.069635256669901</v>
      </c>
      <c r="BX82" s="168">
        <v>17.096480570696766</v>
      </c>
      <c r="BY82" s="168">
        <v>17.05236348754292</v>
      </c>
      <c r="BZ82" s="168">
        <v>16.993326512829555</v>
      </c>
      <c r="CA82" s="168">
        <v>17.031880130737047</v>
      </c>
      <c r="CB82" s="168">
        <v>17.112548127645429</v>
      </c>
      <c r="CC82" s="168">
        <v>16.997108005376219</v>
      </c>
      <c r="CD82" s="168">
        <v>17.558838662072336</v>
      </c>
      <c r="CE82" s="168">
        <v>17.440475200149187</v>
      </c>
      <c r="CF82" s="168">
        <v>17.297869345077554</v>
      </c>
      <c r="CG82" s="168">
        <v>17.314772855523927</v>
      </c>
      <c r="CH82" s="168">
        <v>17.258562828860185</v>
      </c>
      <c r="CI82" s="168">
        <v>17.271584846061142</v>
      </c>
      <c r="CJ82" s="168">
        <v>17.298246557031035</v>
      </c>
      <c r="CK82" s="168">
        <v>17.253453530182867</v>
      </c>
      <c r="CL82" s="168">
        <v>17.193864812919568</v>
      </c>
      <c r="CM82" s="168">
        <v>17.232954059656329</v>
      </c>
      <c r="CN82" s="168">
        <v>17.314738687214142</v>
      </c>
      <c r="CO82" s="168">
        <v>17.198286684372206</v>
      </c>
    </row>
    <row r="83" spans="1:93" x14ac:dyDescent="0.2">
      <c r="A83" s="118">
        <f t="shared" si="8"/>
        <v>11</v>
      </c>
      <c r="B83" s="234" t="s">
        <v>216</v>
      </c>
      <c r="C83" s="223"/>
      <c r="D83" s="172">
        <f>SUMIF($AH$6:$CP$6,1,$AH83:$CP83)</f>
        <v>23.563849327466329</v>
      </c>
      <c r="E83" s="225" t="s">
        <v>545</v>
      </c>
      <c r="F83" s="173">
        <f>'Exhibit MJC-3 - E-13c cal yr'!F85</f>
        <v>1007.76</v>
      </c>
      <c r="G83" s="233" t="s">
        <v>375</v>
      </c>
      <c r="H83" s="174">
        <f>ROUND(D83*F83,2)</f>
        <v>23746.7</v>
      </c>
      <c r="I83" s="229"/>
      <c r="J83" s="172">
        <f>SUMIF($AH$6:$CP$6,1,$AH83:$CP83)</f>
        <v>23.563849327466329</v>
      </c>
      <c r="K83" s="225" t="s">
        <v>545</v>
      </c>
      <c r="L83" s="183">
        <f>L79</f>
        <v>1037.56</v>
      </c>
      <c r="M83" s="233" t="s">
        <v>375</v>
      </c>
      <c r="N83" s="174">
        <f>ROUND(J83*L83,2)</f>
        <v>24448.91</v>
      </c>
      <c r="O83" s="227"/>
      <c r="P83" s="1226"/>
      <c r="S83" s="263"/>
      <c r="T83" s="197"/>
      <c r="U83" s="178" t="s">
        <v>580</v>
      </c>
      <c r="V83" s="179">
        <v>242</v>
      </c>
      <c r="W83" s="180">
        <v>216</v>
      </c>
      <c r="Y83" s="178"/>
      <c r="Z83" s="181"/>
      <c r="AB83" s="182">
        <f>SUM(AH83:AS83)</f>
        <v>22.729470201890656</v>
      </c>
      <c r="AC83" s="182">
        <f>SUM(AT83:BE83)</f>
        <v>23.006235548871004</v>
      </c>
      <c r="AD83" s="182">
        <f>SUM(BF83:BQ83)</f>
        <v>23.283712924999609</v>
      </c>
      <c r="AE83" s="182">
        <f>SUM(BR83:CC83)</f>
        <v>23.563849327466329</v>
      </c>
      <c r="AF83" s="182">
        <f>SUM(CD83:CO83)</f>
        <v>23.84309834286551</v>
      </c>
      <c r="AH83" s="168">
        <v>1.9223065046421242</v>
      </c>
      <c r="AI83" s="168">
        <v>1.9090769887087273</v>
      </c>
      <c r="AJ83" s="168">
        <v>1.8934209597518923</v>
      </c>
      <c r="AK83" s="168">
        <v>1.8952751057230008</v>
      </c>
      <c r="AL83" s="168">
        <v>1.8891732404884416</v>
      </c>
      <c r="AM83" s="168">
        <v>1.890587732643334</v>
      </c>
      <c r="AN83" s="168">
        <v>1.8935434723368558</v>
      </c>
      <c r="AO83" s="168">
        <v>1.8886831733166725</v>
      </c>
      <c r="AP83" s="168">
        <v>1.8822398409072492</v>
      </c>
      <c r="AQ83" s="168">
        <v>1.8866247042857562</v>
      </c>
      <c r="AR83" s="168">
        <v>1.8956534037905934</v>
      </c>
      <c r="AS83" s="168">
        <v>1.8828850752960067</v>
      </c>
      <c r="AT83" s="168">
        <v>1.9452120564255402</v>
      </c>
      <c r="AU83" s="168">
        <v>1.9321297432932909</v>
      </c>
      <c r="AV83" s="168">
        <v>1.9163758866959602</v>
      </c>
      <c r="AW83" s="168">
        <v>1.918326497601043</v>
      </c>
      <c r="AX83" s="168">
        <v>1.9122122833784585</v>
      </c>
      <c r="AY83" s="168">
        <v>1.9137265444450913</v>
      </c>
      <c r="AZ83" s="168">
        <v>1.9167926891967446</v>
      </c>
      <c r="BA83" s="168">
        <v>1.9118854262009191</v>
      </c>
      <c r="BB83" s="168">
        <v>1.9053060972783582</v>
      </c>
      <c r="BC83" s="168">
        <v>1.9096818779598481</v>
      </c>
      <c r="BD83" s="168">
        <v>1.9187669354431514</v>
      </c>
      <c r="BE83" s="168">
        <v>1.9058195109525962</v>
      </c>
      <c r="BF83" s="168">
        <v>1.9688552407458189</v>
      </c>
      <c r="BG83" s="168">
        <v>1.9555891776165608</v>
      </c>
      <c r="BH83" s="168">
        <v>1.9396133013808945</v>
      </c>
      <c r="BI83" s="168">
        <v>1.9415440796068117</v>
      </c>
      <c r="BJ83" s="168">
        <v>1.935301132627721</v>
      </c>
      <c r="BK83" s="168">
        <v>1.9367939021739209</v>
      </c>
      <c r="BL83" s="168">
        <v>1.9398431821523772</v>
      </c>
      <c r="BM83" s="168">
        <v>1.9348535630865178</v>
      </c>
      <c r="BN83" s="168">
        <v>1.9281905816424805</v>
      </c>
      <c r="BO83" s="168">
        <v>1.932606878524008</v>
      </c>
      <c r="BP83" s="168">
        <v>1.9417981372465865</v>
      </c>
      <c r="BQ83" s="168">
        <v>1.9287237481959094</v>
      </c>
      <c r="BR83" s="168">
        <v>1.9925201220679885</v>
      </c>
      <c r="BS83" s="168">
        <v>1.979125042586013</v>
      </c>
      <c r="BT83" s="168">
        <v>1.9629813114988228</v>
      </c>
      <c r="BU83" s="168">
        <v>1.9649478375476808</v>
      </c>
      <c r="BV83" s="168">
        <v>1.9586280750292311</v>
      </c>
      <c r="BW83" s="168">
        <v>1.9601495031582661</v>
      </c>
      <c r="BX83" s="168">
        <v>1.963232218644605</v>
      </c>
      <c r="BY83" s="168">
        <v>1.9581661421101917</v>
      </c>
      <c r="BZ83" s="168">
        <v>1.9513867765928674</v>
      </c>
      <c r="CA83" s="168">
        <v>1.9558139863047326</v>
      </c>
      <c r="CB83" s="168">
        <v>1.965077296954499</v>
      </c>
      <c r="CC83" s="168">
        <v>1.9518210149714321</v>
      </c>
      <c r="CD83" s="168">
        <v>2.0163259707642873</v>
      </c>
      <c r="CE83" s="168">
        <v>2.0027339942755047</v>
      </c>
      <c r="CF83" s="168">
        <v>1.9863582023055568</v>
      </c>
      <c r="CG83" s="168">
        <v>1.9882992752754749</v>
      </c>
      <c r="CH83" s="168">
        <v>1.9818445353715044</v>
      </c>
      <c r="CI83" s="168">
        <v>1.9833398866290308</v>
      </c>
      <c r="CJ83" s="168">
        <v>1.9864015185107406</v>
      </c>
      <c r="CK83" s="168">
        <v>1.9812578216477934</v>
      </c>
      <c r="CL83" s="168">
        <v>1.9744150981343045</v>
      </c>
      <c r="CM83" s="168">
        <v>1.9789038154629277</v>
      </c>
      <c r="CN83" s="168">
        <v>1.9882953516418151</v>
      </c>
      <c r="CO83" s="168">
        <v>1.9749228728465693</v>
      </c>
    </row>
    <row r="84" spans="1:93" x14ac:dyDescent="0.2">
      <c r="A84" s="118">
        <f t="shared" si="8"/>
        <v>12</v>
      </c>
      <c r="B84" s="226"/>
      <c r="C84" s="223" t="s">
        <v>374</v>
      </c>
      <c r="D84" s="204">
        <f>SUM(D76:D83)</f>
        <v>1586573.6117594137</v>
      </c>
      <c r="E84" s="235" t="s">
        <v>581</v>
      </c>
      <c r="F84" s="183"/>
      <c r="G84" s="233"/>
      <c r="H84" s="204">
        <f>SUM(H76:H83)</f>
        <v>25972240.639999997</v>
      </c>
      <c r="I84" s="229"/>
      <c r="J84" s="236">
        <f>SUM(J76:J83)</f>
        <v>1586573.6117594137</v>
      </c>
      <c r="K84" s="235" t="s">
        <v>581</v>
      </c>
      <c r="L84" s="183"/>
      <c r="M84" s="233"/>
      <c r="N84" s="204">
        <f>SUM(N76:N83)</f>
        <v>26742443.300000001</v>
      </c>
      <c r="O84" s="227"/>
      <c r="Q84" s="1022"/>
      <c r="S84" s="263"/>
      <c r="T84" s="935"/>
      <c r="U84" s="184"/>
      <c r="V84" s="179"/>
      <c r="W84" s="180"/>
      <c r="Y84" s="184" t="s">
        <v>136</v>
      </c>
      <c r="Z84" s="181" t="s">
        <v>451</v>
      </c>
      <c r="AB84" s="204">
        <f>SUM(AB76:AB83)</f>
        <v>1530394.1699184661</v>
      </c>
      <c r="AC84" s="204">
        <f>SUM(AC76:AC83)</f>
        <v>1549029.0113684419</v>
      </c>
      <c r="AD84" s="204">
        <f>SUM(AD76:AD83)</f>
        <v>1567711.7943343273</v>
      </c>
      <c r="AE84" s="204">
        <f>SUM(AE76:AE83)</f>
        <v>1586573.6117594137</v>
      </c>
      <c r="AF84" s="204">
        <f>SUM(AF76:AF83)</f>
        <v>1605375.6806737534</v>
      </c>
      <c r="AG84" s="114"/>
      <c r="AH84" s="204">
        <f t="shared" ref="AH84:CO84" si="9">SUM(AH76:AH83)</f>
        <v>129430.49887964141</v>
      </c>
      <c r="AI84" s="204">
        <f t="shared" si="9"/>
        <v>128539.7445472492</v>
      </c>
      <c r="AJ84" s="204">
        <f t="shared" si="9"/>
        <v>127485.61107089469</v>
      </c>
      <c r="AK84" s="204">
        <f t="shared" si="9"/>
        <v>127610.45226425107</v>
      </c>
      <c r="AL84" s="204">
        <f t="shared" si="9"/>
        <v>127199.60859312052</v>
      </c>
      <c r="AM84" s="204">
        <f t="shared" si="9"/>
        <v>127294.8475286529</v>
      </c>
      <c r="AN84" s="204">
        <f t="shared" si="9"/>
        <v>127493.85994533412</v>
      </c>
      <c r="AO84" s="204">
        <f t="shared" si="9"/>
        <v>127166.61196205595</v>
      </c>
      <c r="AP84" s="204">
        <f t="shared" si="9"/>
        <v>126732.77702148585</v>
      </c>
      <c r="AQ84" s="204">
        <f t="shared" si="9"/>
        <v>127028.01352681355</v>
      </c>
      <c r="AR84" s="204">
        <f t="shared" si="9"/>
        <v>127635.92338839047</v>
      </c>
      <c r="AS84" s="204">
        <f t="shared" si="9"/>
        <v>126776.22119057619</v>
      </c>
      <c r="AT84" s="204">
        <f t="shared" si="9"/>
        <v>130972.74876917865</v>
      </c>
      <c r="AU84" s="204">
        <f t="shared" si="9"/>
        <v>130091.90572405669</v>
      </c>
      <c r="AV84" s="204">
        <f t="shared" si="9"/>
        <v>129031.18543114459</v>
      </c>
      <c r="AW84" s="204">
        <f t="shared" si="9"/>
        <v>129162.52168889288</v>
      </c>
      <c r="AX84" s="204">
        <f t="shared" si="9"/>
        <v>128750.84655010777</v>
      </c>
      <c r="AY84" s="204">
        <f t="shared" si="9"/>
        <v>128852.80300960837</v>
      </c>
      <c r="AZ84" s="204">
        <f t="shared" si="9"/>
        <v>129059.24909085782</v>
      </c>
      <c r="BA84" s="204">
        <f t="shared" si="9"/>
        <v>128728.83898396304</v>
      </c>
      <c r="BB84" s="204">
        <f t="shared" si="9"/>
        <v>128285.84728483291</v>
      </c>
      <c r="BC84" s="204">
        <f t="shared" si="9"/>
        <v>128580.47224460155</v>
      </c>
      <c r="BD84" s="204">
        <f t="shared" si="9"/>
        <v>129192.17673583358</v>
      </c>
      <c r="BE84" s="204">
        <f t="shared" si="9"/>
        <v>128320.41585536409</v>
      </c>
      <c r="BF84" s="204">
        <f t="shared" si="9"/>
        <v>132564.66407211663</v>
      </c>
      <c r="BG84" s="204">
        <f t="shared" si="9"/>
        <v>131671.44898657105</v>
      </c>
      <c r="BH84" s="204">
        <f t="shared" si="9"/>
        <v>130595.77992639346</v>
      </c>
      <c r="BI84" s="204">
        <f t="shared" si="9"/>
        <v>130725.78083332631</v>
      </c>
      <c r="BJ84" s="204">
        <f t="shared" si="9"/>
        <v>130305.4380107683</v>
      </c>
      <c r="BK84" s="204">
        <f t="shared" si="9"/>
        <v>130405.94742828856</v>
      </c>
      <c r="BL84" s="204">
        <f t="shared" si="9"/>
        <v>130611.25799030467</v>
      </c>
      <c r="BM84" s="204">
        <f t="shared" si="9"/>
        <v>130275.30278058446</v>
      </c>
      <c r="BN84" s="204">
        <f t="shared" si="9"/>
        <v>129826.67868747292</v>
      </c>
      <c r="BO84" s="204">
        <f t="shared" si="9"/>
        <v>130124.03163675356</v>
      </c>
      <c r="BP84" s="204">
        <f t="shared" si="9"/>
        <v>130742.88674592704</v>
      </c>
      <c r="BQ84" s="204">
        <f t="shared" si="9"/>
        <v>129862.57723582073</v>
      </c>
      <c r="BR84" s="204">
        <f t="shared" si="9"/>
        <v>134158.04025227271</v>
      </c>
      <c r="BS84" s="204">
        <f t="shared" si="9"/>
        <v>133256.13838818506</v>
      </c>
      <c r="BT84" s="204">
        <f t="shared" si="9"/>
        <v>132169.16752097529</v>
      </c>
      <c r="BU84" s="204">
        <f t="shared" si="9"/>
        <v>132301.57535861665</v>
      </c>
      <c r="BV84" s="204">
        <f t="shared" si="9"/>
        <v>131876.06048178067</v>
      </c>
      <c r="BW84" s="204">
        <f t="shared" si="9"/>
        <v>131978.49950556536</v>
      </c>
      <c r="BX84" s="204">
        <f t="shared" si="9"/>
        <v>132186.06130819011</v>
      </c>
      <c r="BY84" s="204">
        <f t="shared" si="9"/>
        <v>131844.95815339766</v>
      </c>
      <c r="BZ84" s="204">
        <f t="shared" si="9"/>
        <v>131388.49782364495</v>
      </c>
      <c r="CA84" s="204">
        <f t="shared" si="9"/>
        <v>131686.5855428862</v>
      </c>
      <c r="CB84" s="204">
        <f t="shared" si="9"/>
        <v>132310.29196836054</v>
      </c>
      <c r="CC84" s="204">
        <f t="shared" si="9"/>
        <v>131417.73545553899</v>
      </c>
      <c r="CD84" s="204">
        <f t="shared" si="9"/>
        <v>135760.90788320173</v>
      </c>
      <c r="CE84" s="204">
        <f t="shared" si="9"/>
        <v>134845.74877956495</v>
      </c>
      <c r="CF84" s="204">
        <f t="shared" si="9"/>
        <v>133743.15305973505</v>
      </c>
      <c r="CG84" s="204">
        <f t="shared" si="9"/>
        <v>133873.84712036044</v>
      </c>
      <c r="CH84" s="204">
        <f t="shared" si="9"/>
        <v>133439.2441036762</v>
      </c>
      <c r="CI84" s="204">
        <f t="shared" si="9"/>
        <v>133539.92734997149</v>
      </c>
      <c r="CJ84" s="204">
        <f t="shared" si="9"/>
        <v>133746.06957592696</v>
      </c>
      <c r="CK84" s="204">
        <f t="shared" si="9"/>
        <v>133399.74017973064</v>
      </c>
      <c r="CL84" s="204">
        <f t="shared" si="9"/>
        <v>132939.01390329786</v>
      </c>
      <c r="CM84" s="204">
        <f t="shared" si="9"/>
        <v>133241.2429816318</v>
      </c>
      <c r="CN84" s="204">
        <f t="shared" si="9"/>
        <v>133873.58293883645</v>
      </c>
      <c r="CO84" s="204">
        <f t="shared" si="9"/>
        <v>132973.20279782021</v>
      </c>
    </row>
    <row r="85" spans="1:93" x14ac:dyDescent="0.2">
      <c r="A85" s="118">
        <f t="shared" si="8"/>
        <v>13</v>
      </c>
      <c r="B85" s="226"/>
      <c r="C85" s="223"/>
      <c r="D85" s="168"/>
      <c r="E85" s="237"/>
      <c r="F85" s="183"/>
      <c r="G85" s="233"/>
      <c r="H85" s="174"/>
      <c r="I85" s="229"/>
      <c r="J85" s="175"/>
      <c r="K85" s="237"/>
      <c r="L85" s="183"/>
      <c r="M85" s="233"/>
      <c r="N85" s="174"/>
      <c r="O85" s="227"/>
      <c r="S85" s="230"/>
      <c r="T85" s="227"/>
      <c r="U85" s="184"/>
      <c r="V85" s="179"/>
      <c r="W85" s="180"/>
      <c r="Y85" s="184"/>
      <c r="Z85" s="181"/>
      <c r="AB85" s="193">
        <f>SUM(AH85:AS85)</f>
        <v>0</v>
      </c>
      <c r="AC85" s="193">
        <f>SUM(AT85:BE85)</f>
        <v>0</v>
      </c>
      <c r="AD85" s="193">
        <f>SUM(BF85:BQ85)</f>
        <v>0</v>
      </c>
      <c r="AE85" s="193">
        <f>SUM(BR85:CC85)</f>
        <v>0</v>
      </c>
      <c r="AF85" s="193">
        <f>SUM(CD85:CO85)</f>
        <v>0</v>
      </c>
      <c r="AG85" s="238"/>
      <c r="AH85" s="193">
        <v>0</v>
      </c>
      <c r="AI85" s="193">
        <v>0</v>
      </c>
      <c r="AJ85" s="193">
        <v>0</v>
      </c>
      <c r="AK85" s="193">
        <v>0</v>
      </c>
      <c r="AL85" s="193">
        <v>0</v>
      </c>
      <c r="AM85" s="193">
        <v>0</v>
      </c>
      <c r="AN85" s="193">
        <v>0</v>
      </c>
      <c r="AO85" s="193">
        <v>0</v>
      </c>
      <c r="AP85" s="193">
        <v>0</v>
      </c>
      <c r="AQ85" s="193">
        <v>0</v>
      </c>
      <c r="AR85" s="193">
        <v>0</v>
      </c>
      <c r="AS85" s="193">
        <v>0</v>
      </c>
      <c r="AT85" s="193">
        <v>0</v>
      </c>
      <c r="AU85" s="193">
        <v>0</v>
      </c>
      <c r="AV85" s="193">
        <v>0</v>
      </c>
      <c r="AW85" s="193">
        <v>0</v>
      </c>
      <c r="AX85" s="193">
        <v>0</v>
      </c>
      <c r="AY85" s="193">
        <v>0</v>
      </c>
      <c r="AZ85" s="193">
        <v>0</v>
      </c>
      <c r="BA85" s="193">
        <v>0</v>
      </c>
      <c r="BB85" s="193">
        <v>0</v>
      </c>
      <c r="BC85" s="193">
        <v>0</v>
      </c>
      <c r="BD85" s="193">
        <v>0</v>
      </c>
      <c r="BE85" s="193">
        <v>0</v>
      </c>
      <c r="BF85" s="193">
        <v>0</v>
      </c>
      <c r="BG85" s="193">
        <v>0</v>
      </c>
      <c r="BH85" s="193">
        <v>0</v>
      </c>
      <c r="BI85" s="193">
        <v>0</v>
      </c>
      <c r="BJ85" s="193">
        <v>0</v>
      </c>
      <c r="BK85" s="193">
        <v>0</v>
      </c>
      <c r="BL85" s="193">
        <v>0</v>
      </c>
      <c r="BM85" s="193">
        <v>0</v>
      </c>
      <c r="BN85" s="193">
        <v>0</v>
      </c>
      <c r="BO85" s="193">
        <v>0</v>
      </c>
      <c r="BP85" s="193">
        <v>0</v>
      </c>
      <c r="BQ85" s="193">
        <v>0</v>
      </c>
      <c r="BR85" s="193">
        <v>0</v>
      </c>
      <c r="BS85" s="193">
        <v>0</v>
      </c>
      <c r="BT85" s="193">
        <v>0</v>
      </c>
      <c r="BU85" s="193">
        <v>0</v>
      </c>
      <c r="BV85" s="193">
        <v>0</v>
      </c>
      <c r="BW85" s="193">
        <v>0</v>
      </c>
      <c r="BX85" s="193">
        <v>0</v>
      </c>
      <c r="BY85" s="193">
        <v>0</v>
      </c>
      <c r="BZ85" s="193">
        <v>0</v>
      </c>
      <c r="CA85" s="193">
        <v>0</v>
      </c>
      <c r="CB85" s="193">
        <v>0</v>
      </c>
      <c r="CC85" s="193">
        <v>0</v>
      </c>
      <c r="CD85" s="193">
        <v>0</v>
      </c>
      <c r="CE85" s="193">
        <v>0</v>
      </c>
      <c r="CF85" s="193">
        <v>0</v>
      </c>
      <c r="CG85" s="193">
        <v>0</v>
      </c>
      <c r="CH85" s="193">
        <v>0</v>
      </c>
      <c r="CI85" s="193">
        <v>0</v>
      </c>
      <c r="CJ85" s="193">
        <v>0</v>
      </c>
      <c r="CK85" s="193">
        <v>0</v>
      </c>
      <c r="CL85" s="193">
        <v>0</v>
      </c>
      <c r="CM85" s="193">
        <v>0</v>
      </c>
      <c r="CN85" s="193">
        <v>0</v>
      </c>
      <c r="CO85" s="193">
        <v>0</v>
      </c>
    </row>
    <row r="86" spans="1:93" x14ac:dyDescent="0.2">
      <c r="A86" s="118">
        <f t="shared" si="8"/>
        <v>14</v>
      </c>
      <c r="B86" s="239" t="s">
        <v>551</v>
      </c>
      <c r="C86" s="223"/>
      <c r="D86" s="240"/>
      <c r="E86" s="225"/>
      <c r="F86" s="183"/>
      <c r="G86" s="233"/>
      <c r="H86" s="174"/>
      <c r="I86" s="229"/>
      <c r="J86" s="175"/>
      <c r="K86" s="225"/>
      <c r="L86" s="183"/>
      <c r="M86" s="233"/>
      <c r="N86" s="174"/>
      <c r="O86" s="227"/>
      <c r="S86" s="230"/>
      <c r="T86" s="227"/>
      <c r="U86" s="184"/>
      <c r="V86" s="179"/>
      <c r="W86" s="180"/>
      <c r="Y86" s="184"/>
      <c r="Z86" s="181"/>
      <c r="AF86" s="114"/>
      <c r="AG86" s="241"/>
    </row>
    <row r="87" spans="1:93" x14ac:dyDescent="0.2">
      <c r="A87" s="118">
        <f t="shared" si="8"/>
        <v>15</v>
      </c>
      <c r="B87" s="228" t="s">
        <v>543</v>
      </c>
      <c r="C87" s="223"/>
      <c r="D87" s="168"/>
      <c r="E87" s="225"/>
      <c r="F87" s="183"/>
      <c r="G87" s="233"/>
      <c r="H87" s="174"/>
      <c r="I87" s="229"/>
      <c r="J87" s="175"/>
      <c r="K87" s="225"/>
      <c r="L87" s="857">
        <v>0</v>
      </c>
      <c r="M87" s="233"/>
      <c r="N87" s="174"/>
      <c r="O87" s="227"/>
      <c r="S87" s="230"/>
      <c r="T87" s="227"/>
      <c r="U87" s="178"/>
      <c r="V87" s="179"/>
      <c r="W87" s="180"/>
      <c r="Y87" s="178"/>
      <c r="Z87" s="181"/>
      <c r="AE87" s="242"/>
      <c r="AF87" s="114"/>
      <c r="AG87" s="241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</row>
    <row r="88" spans="1:93" x14ac:dyDescent="0.2">
      <c r="A88" s="118">
        <f t="shared" si="8"/>
        <v>16</v>
      </c>
      <c r="B88" s="234" t="s">
        <v>149</v>
      </c>
      <c r="C88" s="223"/>
      <c r="D88" s="172">
        <f>SUMIF($AH$6:$CP$6,1,$AH88:$CP88)</f>
        <v>2051871.7093230446</v>
      </c>
      <c r="E88" s="225" t="s">
        <v>555</v>
      </c>
      <c r="F88" s="173">
        <f>'Exhibit MJC-3 - E-13c cal yr'!F90</f>
        <v>74</v>
      </c>
      <c r="G88" s="233" t="s">
        <v>375</v>
      </c>
      <c r="H88" s="174">
        <f>ROUND(D88*F88,2)</f>
        <v>151838506.49000001</v>
      </c>
      <c r="I88" s="229"/>
      <c r="J88" s="172">
        <f>SUMIF($AH$6:$CP$6,1,$AH88:$CP88)</f>
        <v>2051871.7093230446</v>
      </c>
      <c r="K88" s="225" t="s">
        <v>555</v>
      </c>
      <c r="L88" s="173">
        <f>ROUND(F88*(1+'Exhibit MJC-2 - Old E-8a'!$V$18)+L87,2)</f>
        <v>76.19</v>
      </c>
      <c r="M88" s="233" t="s">
        <v>375</v>
      </c>
      <c r="N88" s="174">
        <f>ROUND(J88*L88,2)</f>
        <v>156332105.53</v>
      </c>
      <c r="O88" s="227"/>
      <c r="Q88" s="1022"/>
      <c r="R88" s="186"/>
      <c r="S88" s="230"/>
      <c r="T88" s="176"/>
      <c r="U88" s="178" t="s">
        <v>136</v>
      </c>
      <c r="V88" s="179">
        <v>241</v>
      </c>
      <c r="W88" s="180">
        <v>215</v>
      </c>
      <c r="Y88" s="178"/>
      <c r="Z88" s="181"/>
      <c r="AB88" s="182">
        <f>SUM(AH88:AS88)</f>
        <v>2022003.465775976</v>
      </c>
      <c r="AC88" s="182">
        <f>SUM(AT88:BE88)</f>
        <v>2034629.5388168318</v>
      </c>
      <c r="AD88" s="182">
        <f>SUM(BF88:BQ88)</f>
        <v>2042841.9304549096</v>
      </c>
      <c r="AE88" s="182">
        <f>SUM(BR88:CC88)</f>
        <v>2051871.7093230446</v>
      </c>
      <c r="AF88" s="182">
        <f>SUM(CD88:CO88)</f>
        <v>2064012.9449247932</v>
      </c>
      <c r="AG88" s="241"/>
      <c r="AH88" s="168">
        <v>168712.35234296418</v>
      </c>
      <c r="AI88" s="168">
        <v>139971.48640706346</v>
      </c>
      <c r="AJ88" s="168">
        <v>126533.00837395462</v>
      </c>
      <c r="AK88" s="168">
        <v>144462.9973109058</v>
      </c>
      <c r="AL88" s="168">
        <v>172878.46835371628</v>
      </c>
      <c r="AM88" s="168">
        <v>193524.60048065713</v>
      </c>
      <c r="AN88" s="168">
        <v>194824.70680809917</v>
      </c>
      <c r="AO88" s="168">
        <v>209332.33669090815</v>
      </c>
      <c r="AP88" s="168">
        <v>198620.02165022129</v>
      </c>
      <c r="AQ88" s="168">
        <v>178142.80806679567</v>
      </c>
      <c r="AR88" s="168">
        <v>158689.63741860984</v>
      </c>
      <c r="AS88" s="168">
        <v>136311.0418720803</v>
      </c>
      <c r="AT88" s="168">
        <v>165644.65294328204</v>
      </c>
      <c r="AU88" s="168">
        <v>138752.47414889364</v>
      </c>
      <c r="AV88" s="168">
        <v>123113.37054795095</v>
      </c>
      <c r="AW88" s="168">
        <v>145215.49169262772</v>
      </c>
      <c r="AX88" s="168">
        <v>172224.60310259034</v>
      </c>
      <c r="AY88" s="168">
        <v>189762.46873146587</v>
      </c>
      <c r="AZ88" s="168">
        <v>202638.34396484229</v>
      </c>
      <c r="BA88" s="168">
        <v>211609.89357379294</v>
      </c>
      <c r="BB88" s="168">
        <v>203000.58489726586</v>
      </c>
      <c r="BC88" s="168">
        <v>183782.15360472794</v>
      </c>
      <c r="BD88" s="168">
        <v>162227.33421929553</v>
      </c>
      <c r="BE88" s="168">
        <v>136658.16739009673</v>
      </c>
      <c r="BF88" s="168">
        <v>162733.28789023092</v>
      </c>
      <c r="BG88" s="168">
        <v>140193.62577819015</v>
      </c>
      <c r="BH88" s="168">
        <v>124834.91698474795</v>
      </c>
      <c r="BI88" s="168">
        <v>143473.34516156875</v>
      </c>
      <c r="BJ88" s="168">
        <v>173002.58243680396</v>
      </c>
      <c r="BK88" s="168">
        <v>193528.74893154154</v>
      </c>
      <c r="BL88" s="168">
        <v>204295.18110058337</v>
      </c>
      <c r="BM88" s="168">
        <v>214013.87536960369</v>
      </c>
      <c r="BN88" s="168">
        <v>203801.85514944754</v>
      </c>
      <c r="BO88" s="168">
        <v>181649.72095911068</v>
      </c>
      <c r="BP88" s="168">
        <v>161430.00047826811</v>
      </c>
      <c r="BQ88" s="168">
        <v>139884.79021481291</v>
      </c>
      <c r="BR88" s="168">
        <v>162177.21307265983</v>
      </c>
      <c r="BS88" s="168">
        <v>138222.06354150089</v>
      </c>
      <c r="BT88" s="168">
        <v>126447.65502297673</v>
      </c>
      <c r="BU88" s="168">
        <v>146077.44494470366</v>
      </c>
      <c r="BV88" s="168">
        <v>168849.57300902365</v>
      </c>
      <c r="BW88" s="168">
        <v>197366.28609468119</v>
      </c>
      <c r="BX88" s="168">
        <v>208258.14649936033</v>
      </c>
      <c r="BY88" s="168">
        <v>216108.04948808756</v>
      </c>
      <c r="BZ88" s="168">
        <v>204717.50141371958</v>
      </c>
      <c r="CA88" s="168">
        <v>183735.154255651</v>
      </c>
      <c r="CB88" s="168">
        <v>162172.59912674394</v>
      </c>
      <c r="CC88" s="168">
        <v>137740.02285393621</v>
      </c>
      <c r="CD88" s="168">
        <v>163259.85777228337</v>
      </c>
      <c r="CE88" s="168">
        <v>136649.58406935114</v>
      </c>
      <c r="CF88" s="168">
        <v>122986.24624077164</v>
      </c>
      <c r="CG88" s="168">
        <v>149235.85105832067</v>
      </c>
      <c r="CH88" s="168">
        <v>173600.16924055415</v>
      </c>
      <c r="CI88" s="168">
        <v>194769.96971492577</v>
      </c>
      <c r="CJ88" s="168">
        <v>208489.35386577531</v>
      </c>
      <c r="CK88" s="168">
        <v>217336.9743071259</v>
      </c>
      <c r="CL88" s="168">
        <v>210331.04979209986</v>
      </c>
      <c r="CM88" s="168">
        <v>184875.65681037304</v>
      </c>
      <c r="CN88" s="168">
        <v>164815.52652022085</v>
      </c>
      <c r="CO88" s="168">
        <v>137662.70553299144</v>
      </c>
    </row>
    <row r="89" spans="1:93" x14ac:dyDescent="0.2">
      <c r="A89" s="118">
        <f t="shared" si="8"/>
        <v>17</v>
      </c>
      <c r="B89" s="234" t="s">
        <v>148</v>
      </c>
      <c r="C89" s="223"/>
      <c r="D89" s="172">
        <f>SUMIF($AH$6:$CP$6,1,$AH89:$CP89)</f>
        <v>15593.067718822966</v>
      </c>
      <c r="E89" s="225" t="s">
        <v>555</v>
      </c>
      <c r="F89" s="173">
        <f>'Exhibit MJC-3 - E-13c cal yr'!F91</f>
        <v>74</v>
      </c>
      <c r="G89" s="233" t="s">
        <v>375</v>
      </c>
      <c r="H89" s="174">
        <f>ROUND(D89*F89,2)</f>
        <v>1153887.01</v>
      </c>
      <c r="I89" s="229"/>
      <c r="J89" s="172">
        <f>SUMIF($AH$6:$CP$6,1,$AH89:$CP89)</f>
        <v>15593.067718822966</v>
      </c>
      <c r="K89" s="225" t="s">
        <v>555</v>
      </c>
      <c r="L89" s="183">
        <f>L88</f>
        <v>76.19</v>
      </c>
      <c r="M89" s="233" t="s">
        <v>375</v>
      </c>
      <c r="N89" s="174">
        <f>ROUND(J89*L89,2)</f>
        <v>1188035.83</v>
      </c>
      <c r="O89" s="227"/>
      <c r="R89" s="186"/>
      <c r="S89" s="926"/>
      <c r="T89" s="176"/>
      <c r="U89" s="178" t="s">
        <v>136</v>
      </c>
      <c r="V89" s="179">
        <v>241</v>
      </c>
      <c r="W89" s="180">
        <v>215</v>
      </c>
      <c r="Y89" s="178"/>
      <c r="Z89" s="181"/>
      <c r="AB89" s="182">
        <f>SUM(AH89:AS89)</f>
        <v>15177.514568094466</v>
      </c>
      <c r="AC89" s="182">
        <f>SUM(AT89:BE89)</f>
        <v>15395.920511931707</v>
      </c>
      <c r="AD89" s="182">
        <f>SUM(BF89:BQ89)</f>
        <v>15466.990943451354</v>
      </c>
      <c r="AE89" s="182">
        <f>SUM(BR89:CC89)</f>
        <v>15593.067718822966</v>
      </c>
      <c r="AF89" s="182">
        <f>SUM(CD89:CO89)</f>
        <v>15696.689370231048</v>
      </c>
      <c r="AG89" s="241"/>
      <c r="AH89" s="168">
        <v>266.26242454759733</v>
      </c>
      <c r="AI89" s="168">
        <v>725.03306608544892</v>
      </c>
      <c r="AJ89" s="168">
        <v>697.05347619831173</v>
      </c>
      <c r="AK89" s="168">
        <v>393.88661619946259</v>
      </c>
      <c r="AL89" s="168">
        <v>853.01996773694816</v>
      </c>
      <c r="AM89" s="168">
        <v>1399.2541262015513</v>
      </c>
      <c r="AN89" s="168">
        <v>2519.8129042607602</v>
      </c>
      <c r="AO89" s="168">
        <v>2334.7745757694684</v>
      </c>
      <c r="AP89" s="168">
        <v>2553.7577998835991</v>
      </c>
      <c r="AQ89" s="168">
        <v>2466.1922499542443</v>
      </c>
      <c r="AR89" s="168">
        <v>681.33818569646758</v>
      </c>
      <c r="AS89" s="168">
        <v>287.12917556060603</v>
      </c>
      <c r="AT89" s="168">
        <v>261.42097062558616</v>
      </c>
      <c r="AU89" s="168">
        <v>718.71875009278835</v>
      </c>
      <c r="AV89" s="168">
        <v>678.21514725484428</v>
      </c>
      <c r="AW89" s="168">
        <v>395.93833512571246</v>
      </c>
      <c r="AX89" s="168">
        <v>849.79365435777959</v>
      </c>
      <c r="AY89" s="168">
        <v>1372.0525282636404</v>
      </c>
      <c r="AZ89" s="168">
        <v>2620.8724878184344</v>
      </c>
      <c r="BA89" s="168">
        <v>2360.1771580416939</v>
      </c>
      <c r="BB89" s="168">
        <v>2610.0809110537507</v>
      </c>
      <c r="BC89" s="168">
        <v>2544.2628182325202</v>
      </c>
      <c r="BD89" s="168">
        <v>696.52738115328896</v>
      </c>
      <c r="BE89" s="168">
        <v>287.86036991166696</v>
      </c>
      <c r="BF89" s="168">
        <v>256.82624411621526</v>
      </c>
      <c r="BG89" s="168">
        <v>726.18371750368078</v>
      </c>
      <c r="BH89" s="168">
        <v>687.69891709187891</v>
      </c>
      <c r="BI89" s="168">
        <v>391.18827306957485</v>
      </c>
      <c r="BJ89" s="168">
        <v>853.63237362045334</v>
      </c>
      <c r="BK89" s="168">
        <v>1399.2841210290974</v>
      </c>
      <c r="BL89" s="168">
        <v>2642.3015953648974</v>
      </c>
      <c r="BM89" s="168">
        <v>2386.9898123415373</v>
      </c>
      <c r="BN89" s="168">
        <v>2620.3832468370347</v>
      </c>
      <c r="BO89" s="168">
        <v>2514.7416216080751</v>
      </c>
      <c r="BP89" s="168">
        <v>693.10400749547944</v>
      </c>
      <c r="BQ89" s="168">
        <v>294.65701337342853</v>
      </c>
      <c r="BR89" s="168">
        <v>255.948644894225</v>
      </c>
      <c r="BS89" s="168">
        <v>715.97129603029566</v>
      </c>
      <c r="BT89" s="168">
        <v>696.5832759654329</v>
      </c>
      <c r="BU89" s="168">
        <v>398.28849991601953</v>
      </c>
      <c r="BV89" s="168">
        <v>833.14052173263963</v>
      </c>
      <c r="BW89" s="168">
        <v>1427.0309278776233</v>
      </c>
      <c r="BX89" s="168">
        <v>2693.5575757514775</v>
      </c>
      <c r="BY89" s="168">
        <v>2410.3470469014796</v>
      </c>
      <c r="BZ89" s="168">
        <v>2632.1561726976365</v>
      </c>
      <c r="CA89" s="168">
        <v>2543.6121636722587</v>
      </c>
      <c r="CB89" s="168">
        <v>696.29237457529382</v>
      </c>
      <c r="CC89" s="168">
        <v>290.13921880858521</v>
      </c>
      <c r="CD89" s="168">
        <v>257.65727854577511</v>
      </c>
      <c r="CE89" s="168">
        <v>707.82606843920234</v>
      </c>
      <c r="CF89" s="168">
        <v>677.51483639234755</v>
      </c>
      <c r="CG89" s="168">
        <v>406.90007464334502</v>
      </c>
      <c r="CH89" s="168">
        <v>856.58099689846631</v>
      </c>
      <c r="CI89" s="168">
        <v>1408.2586043679798</v>
      </c>
      <c r="CJ89" s="168">
        <v>2696.5479526651529</v>
      </c>
      <c r="CK89" s="168">
        <v>2424.0537797855609</v>
      </c>
      <c r="CL89" s="168">
        <v>2704.3323956040972</v>
      </c>
      <c r="CM89" s="168">
        <v>2559.4011735797139</v>
      </c>
      <c r="CN89" s="168">
        <v>707.63985374590197</v>
      </c>
      <c r="CO89" s="168">
        <v>289.97635556350593</v>
      </c>
    </row>
    <row r="90" spans="1:93" x14ac:dyDescent="0.2">
      <c r="A90" s="118">
        <f t="shared" si="8"/>
        <v>18</v>
      </c>
      <c r="B90" s="234" t="s">
        <v>216</v>
      </c>
      <c r="C90" s="223"/>
      <c r="D90" s="172">
        <f>SUMIF($AH$6:$CP$6,1,$AH90:$CP90)</f>
        <v>0</v>
      </c>
      <c r="E90" s="225" t="s">
        <v>555</v>
      </c>
      <c r="F90" s="173">
        <f>'Exhibit MJC-3 - E-13c cal yr'!F92</f>
        <v>74</v>
      </c>
      <c r="G90" s="233" t="s">
        <v>375</v>
      </c>
      <c r="H90" s="174">
        <f>ROUND(D90*F90,2)</f>
        <v>0</v>
      </c>
      <c r="I90" s="229"/>
      <c r="J90" s="172">
        <f>SUMIF($AH$6:$CP$6,1,$AH90:$CP90)-'Unbilled to E-13c'!P45</f>
        <v>0</v>
      </c>
      <c r="K90" s="225" t="s">
        <v>555</v>
      </c>
      <c r="L90" s="183">
        <f>L89</f>
        <v>76.19</v>
      </c>
      <c r="M90" s="233" t="s">
        <v>375</v>
      </c>
      <c r="N90" s="174">
        <f>ROUND(J90*L90,2)</f>
        <v>0</v>
      </c>
      <c r="O90" s="227"/>
      <c r="S90" s="230"/>
      <c r="T90" s="176"/>
      <c r="U90" s="178" t="s">
        <v>136</v>
      </c>
      <c r="V90" s="179">
        <v>241</v>
      </c>
      <c r="W90" s="180">
        <v>215</v>
      </c>
      <c r="Y90" s="178"/>
      <c r="Z90" s="181"/>
      <c r="AB90" s="182">
        <f>SUM(AH90:AS90)</f>
        <v>0</v>
      </c>
      <c r="AC90" s="182">
        <f>SUM(AT90:BE90)</f>
        <v>0</v>
      </c>
      <c r="AD90" s="182">
        <f>SUM(BF90:BQ90)</f>
        <v>0</v>
      </c>
      <c r="AE90" s="182">
        <f>SUM(BR90:CC90)</f>
        <v>0</v>
      </c>
      <c r="AF90" s="182">
        <f>SUM(CD90:CO90)</f>
        <v>0</v>
      </c>
      <c r="AG90" s="241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</row>
    <row r="91" spans="1:93" x14ac:dyDescent="0.2">
      <c r="A91" s="118">
        <f t="shared" si="8"/>
        <v>19</v>
      </c>
      <c r="B91" s="226" t="s">
        <v>546</v>
      </c>
      <c r="C91" s="223"/>
      <c r="D91" s="168"/>
      <c r="E91" s="225"/>
      <c r="F91" s="183"/>
      <c r="G91" s="233"/>
      <c r="H91" s="174"/>
      <c r="I91" s="229"/>
      <c r="J91" s="168"/>
      <c r="K91" s="225"/>
      <c r="L91" s="183"/>
      <c r="M91" s="233"/>
      <c r="N91" s="174"/>
      <c r="O91" s="227"/>
      <c r="S91" s="230"/>
      <c r="T91" s="227"/>
      <c r="U91" s="184"/>
      <c r="V91" s="179"/>
      <c r="W91" s="180"/>
      <c r="Y91" s="184"/>
      <c r="Z91" s="181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</row>
    <row r="92" spans="1:93" x14ac:dyDescent="0.2">
      <c r="A92" s="118">
        <f t="shared" si="8"/>
        <v>20</v>
      </c>
      <c r="B92" s="234" t="s">
        <v>149</v>
      </c>
      <c r="C92" s="223"/>
      <c r="D92" s="168"/>
      <c r="E92" s="225"/>
      <c r="F92" s="183"/>
      <c r="G92" s="233"/>
      <c r="H92" s="174"/>
      <c r="I92" s="229"/>
      <c r="J92" s="168"/>
      <c r="K92" s="225"/>
      <c r="L92" s="857">
        <v>0</v>
      </c>
      <c r="M92" s="233"/>
      <c r="N92" s="174"/>
      <c r="O92" s="227"/>
      <c r="T92" s="858" t="s">
        <v>558</v>
      </c>
      <c r="U92" s="184"/>
      <c r="V92" s="179"/>
      <c r="W92" s="180"/>
      <c r="Y92" s="184"/>
      <c r="Z92" s="181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</row>
    <row r="93" spans="1:93" x14ac:dyDescent="0.2">
      <c r="A93" s="118">
        <f t="shared" si="8"/>
        <v>21</v>
      </c>
      <c r="B93" s="243" t="s">
        <v>559</v>
      </c>
      <c r="C93" s="223"/>
      <c r="D93" s="172">
        <f>SUMIF($AH$6:$CP$6,1,$AH93:$CP93)+(SUM($AE$93:$AE$95)*'TOU Split'!D20)</f>
        <v>15146.948498393165</v>
      </c>
      <c r="E93" s="225" t="s">
        <v>555</v>
      </c>
      <c r="F93" s="173">
        <f>'Exhibit MJC-3 - E-13c cal yr'!F95</f>
        <v>99.86</v>
      </c>
      <c r="G93" s="233" t="s">
        <v>375</v>
      </c>
      <c r="H93" s="174">
        <f>ROUND(D93*F93,2)</f>
        <v>1512574.28</v>
      </c>
      <c r="I93" s="229"/>
      <c r="J93" s="172">
        <f>D93</f>
        <v>15146.948498393165</v>
      </c>
      <c r="K93" s="225" t="s">
        <v>555</v>
      </c>
      <c r="L93" s="173">
        <f>ROUND(F93*(1+'Exhibit MJC-2 - Old E-8a'!$V$18)+L92,2)</f>
        <v>102.81</v>
      </c>
      <c r="M93" s="233" t="s">
        <v>375</v>
      </c>
      <c r="N93" s="174">
        <f>ROUND(J93*L93,2)</f>
        <v>1557257.78</v>
      </c>
      <c r="O93" s="227"/>
      <c r="Q93" s="1022"/>
      <c r="S93" s="230"/>
      <c r="T93" s="859">
        <f>'MFR E-14C'!Z96</f>
        <v>1.3999999999999997</v>
      </c>
      <c r="U93" s="178" t="s">
        <v>580</v>
      </c>
      <c r="V93" s="179">
        <v>242</v>
      </c>
      <c r="W93" s="180">
        <v>216</v>
      </c>
      <c r="Y93" s="178"/>
      <c r="Z93" s="181"/>
      <c r="AB93" s="182">
        <f>SUM(AH93:AS93)</f>
        <v>15026.487355436428</v>
      </c>
      <c r="AC93" s="182">
        <f>SUM(AT93:BE93)</f>
        <v>15038.945688180134</v>
      </c>
      <c r="AD93" s="182">
        <f>SUM(BF93:BQ93)</f>
        <v>15119.459251268765</v>
      </c>
      <c r="AE93" s="182">
        <f>SUM(BR93:CC93)</f>
        <v>15146.948498393165</v>
      </c>
      <c r="AF93" s="182">
        <f>SUM(CD93:CO93)</f>
        <v>15166.374954749992</v>
      </c>
      <c r="AG93" s="241"/>
      <c r="AH93" s="168">
        <v>1330.4540872618363</v>
      </c>
      <c r="AI93" s="168">
        <v>2707.2079356463687</v>
      </c>
      <c r="AJ93" s="168">
        <v>1738.6988296977377</v>
      </c>
      <c r="AK93" s="168">
        <v>1005.9694450236032</v>
      </c>
      <c r="AL93" s="168">
        <v>947.49744396279755</v>
      </c>
      <c r="AM93" s="168">
        <v>1100.1531966943967</v>
      </c>
      <c r="AN93" s="168">
        <v>967.77050802189785</v>
      </c>
      <c r="AO93" s="168">
        <v>1073.8540836832308</v>
      </c>
      <c r="AP93" s="168">
        <v>977.65346567082611</v>
      </c>
      <c r="AQ93" s="168">
        <v>1004.4477795287892</v>
      </c>
      <c r="AR93" s="168">
        <v>889.15708541341439</v>
      </c>
      <c r="AS93" s="168">
        <v>1283.6234948315278</v>
      </c>
      <c r="AT93" s="168">
        <v>1306.2624193245599</v>
      </c>
      <c r="AU93" s="168">
        <v>2683.6308504579602</v>
      </c>
      <c r="AV93" s="168">
        <v>1691.709349541771</v>
      </c>
      <c r="AW93" s="168">
        <v>1011.2094467517626</v>
      </c>
      <c r="AX93" s="168">
        <v>943.91379551867567</v>
      </c>
      <c r="AY93" s="168">
        <v>1078.7661417154518</v>
      </c>
      <c r="AZ93" s="168">
        <v>1006.583899426759</v>
      </c>
      <c r="BA93" s="168">
        <v>1085.5377241478088</v>
      </c>
      <c r="BB93" s="168">
        <v>999.21560630740998</v>
      </c>
      <c r="BC93" s="168">
        <v>1036.2448987335551</v>
      </c>
      <c r="BD93" s="168">
        <v>908.97922520491386</v>
      </c>
      <c r="BE93" s="168">
        <v>1286.8923310495038</v>
      </c>
      <c r="BF93" s="168">
        <v>1283.303593366938</v>
      </c>
      <c r="BG93" s="168">
        <v>2711.5043640388253</v>
      </c>
      <c r="BH93" s="168">
        <v>1715.3652383362823</v>
      </c>
      <c r="BI93" s="168">
        <v>999.07799294267829</v>
      </c>
      <c r="BJ93" s="168">
        <v>948.17767775712275</v>
      </c>
      <c r="BK93" s="168">
        <v>1100.1767799054742</v>
      </c>
      <c r="BL93" s="168">
        <v>1014.814057412548</v>
      </c>
      <c r="BM93" s="168">
        <v>1097.8699118515333</v>
      </c>
      <c r="BN93" s="168">
        <v>1003.159642928068</v>
      </c>
      <c r="BO93" s="168">
        <v>1024.2213022767071</v>
      </c>
      <c r="BP93" s="168">
        <v>904.51166855278325</v>
      </c>
      <c r="BQ93" s="168">
        <v>1317.2770218998025</v>
      </c>
      <c r="BR93" s="168">
        <v>1278.9184253363433</v>
      </c>
      <c r="BS93" s="168">
        <v>2673.3721053210493</v>
      </c>
      <c r="BT93" s="168">
        <v>1737.5259833917567</v>
      </c>
      <c r="BU93" s="168">
        <v>1017.2116663565586</v>
      </c>
      <c r="BV93" s="168">
        <v>925.41622079231331</v>
      </c>
      <c r="BW93" s="168">
        <v>1121.9925013536815</v>
      </c>
      <c r="BX93" s="168">
        <v>1034.4996563290413</v>
      </c>
      <c r="BY93" s="168">
        <v>1108.6128169593962</v>
      </c>
      <c r="BZ93" s="168">
        <v>1007.6666646077382</v>
      </c>
      <c r="CA93" s="168">
        <v>1035.9798956591569</v>
      </c>
      <c r="CB93" s="168">
        <v>908.67253791168741</v>
      </c>
      <c r="CC93" s="168">
        <v>1297.0800243744461</v>
      </c>
      <c r="CD93" s="168">
        <v>1287.4560874912654</v>
      </c>
      <c r="CE93" s="168">
        <v>2642.9585617135699</v>
      </c>
      <c r="CF93" s="168">
        <v>1689.9625256342447</v>
      </c>
      <c r="CG93" s="168">
        <v>1039.2052571335553</v>
      </c>
      <c r="CH93" s="168">
        <v>951.45288012611115</v>
      </c>
      <c r="CI93" s="168">
        <v>1107.2329009838904</v>
      </c>
      <c r="CJ93" s="168">
        <v>1035.6481537353491</v>
      </c>
      <c r="CK93" s="168">
        <v>1114.9170791499653</v>
      </c>
      <c r="CL93" s="168">
        <v>1035.2978418739408</v>
      </c>
      <c r="CM93" s="168">
        <v>1042.410552451139</v>
      </c>
      <c r="CN93" s="168">
        <v>923.48117731858292</v>
      </c>
      <c r="CO93" s="168">
        <v>1296.3519371383793</v>
      </c>
    </row>
    <row r="94" spans="1:93" x14ac:dyDescent="0.2">
      <c r="A94" s="118">
        <f t="shared" si="8"/>
        <v>22</v>
      </c>
      <c r="B94" s="243" t="s">
        <v>560</v>
      </c>
      <c r="C94" s="223"/>
      <c r="D94" s="172">
        <f>SUMIF($AH$6:$CP$6,1,$AH94:$CP94)+(SUM($AE$93:$AE$95)*'TOU Split'!D21)</f>
        <v>82535.281525311584</v>
      </c>
      <c r="E94" s="225" t="s">
        <v>555</v>
      </c>
      <c r="F94" s="173">
        <f>'Exhibit MJC-3 - E-13c cal yr'!F96</f>
        <v>85.78</v>
      </c>
      <c r="G94" s="233" t="s">
        <v>375</v>
      </c>
      <c r="H94" s="174">
        <f>ROUND(D94*F94,2)</f>
        <v>7079876.4500000002</v>
      </c>
      <c r="I94" s="229"/>
      <c r="J94" s="172">
        <f t="shared" ref="J94:J95" si="10">D94</f>
        <v>82535.281525311584</v>
      </c>
      <c r="K94" s="225" t="s">
        <v>555</v>
      </c>
      <c r="L94" s="173">
        <f>ROUND(F94*(1+'Exhibit MJC-2 - Old E-8a'!$V$18)+L92,2)</f>
        <v>88.32</v>
      </c>
      <c r="M94" s="233" t="s">
        <v>375</v>
      </c>
      <c r="N94" s="174">
        <f>ROUND(J94*L94,2)</f>
        <v>7289516.0599999996</v>
      </c>
      <c r="O94" s="227"/>
      <c r="Q94" s="1022"/>
      <c r="S94" s="230"/>
      <c r="T94" s="859">
        <f>'MFR E-14C'!Z97</f>
        <v>1</v>
      </c>
      <c r="U94" s="178" t="s">
        <v>580</v>
      </c>
      <c r="V94" s="179">
        <v>242</v>
      </c>
      <c r="W94" s="180">
        <v>216</v>
      </c>
      <c r="Y94" s="178"/>
      <c r="Z94" s="181"/>
      <c r="AB94" s="182">
        <f>SUM(AH94:AS94)</f>
        <v>84158.984580079428</v>
      </c>
      <c r="AC94" s="182">
        <f>SUM(AT94:BE94)</f>
        <v>84634.762774536808</v>
      </c>
      <c r="AD94" s="182">
        <f>SUM(BF94:BQ94)</f>
        <v>85053.175769692505</v>
      </c>
      <c r="AE94" s="182">
        <f>SUM(BR94:CC94)</f>
        <v>85437.633011677681</v>
      </c>
      <c r="AF94" s="182">
        <f>SUM(CD94:CO94)</f>
        <v>85811.081940918491</v>
      </c>
      <c r="AG94" s="241"/>
      <c r="AH94" s="168">
        <v>4532.1447252804337</v>
      </c>
      <c r="AI94" s="168">
        <v>8633.483501129469</v>
      </c>
      <c r="AJ94" s="168">
        <v>6592.768600002034</v>
      </c>
      <c r="AK94" s="168">
        <v>6908.7382241381465</v>
      </c>
      <c r="AL94" s="168">
        <v>5686.462376869833</v>
      </c>
      <c r="AM94" s="168">
        <v>8159.3368223685793</v>
      </c>
      <c r="AN94" s="168">
        <v>7528.8112570635012</v>
      </c>
      <c r="AO94" s="168">
        <v>8175.0303018660297</v>
      </c>
      <c r="AP94" s="168">
        <v>7525.2343134371758</v>
      </c>
      <c r="AQ94" s="168">
        <v>7419.2430199355931</v>
      </c>
      <c r="AR94" s="168">
        <v>6626.8427515873318</v>
      </c>
      <c r="AS94" s="168">
        <v>6370.8886864013002</v>
      </c>
      <c r="AT94" s="168">
        <v>4449.7366652899454</v>
      </c>
      <c r="AU94" s="168">
        <v>8558.2944573553887</v>
      </c>
      <c r="AV94" s="168">
        <v>6414.5946897127342</v>
      </c>
      <c r="AW94" s="168">
        <v>6944.7252020856067</v>
      </c>
      <c r="AX94" s="168">
        <v>5664.9548971618169</v>
      </c>
      <c r="AY94" s="168">
        <v>8000.7187446898915</v>
      </c>
      <c r="AZ94" s="168">
        <v>7830.761663395906</v>
      </c>
      <c r="BA94" s="168">
        <v>8263.9754539917521</v>
      </c>
      <c r="BB94" s="168">
        <v>7691.2033058124453</v>
      </c>
      <c r="BC94" s="168">
        <v>7654.1089428058594</v>
      </c>
      <c r="BD94" s="168">
        <v>6774.5761561265008</v>
      </c>
      <c r="BE94" s="168">
        <v>6387.1125961089765</v>
      </c>
      <c r="BF94" s="168">
        <v>4371.5282378374695</v>
      </c>
      <c r="BG94" s="168">
        <v>8647.1851245443704</v>
      </c>
      <c r="BH94" s="168">
        <v>6504.2926858152023</v>
      </c>
      <c r="BI94" s="168">
        <v>6861.4095118727464</v>
      </c>
      <c r="BJ94" s="168">
        <v>5690.5448405255947</v>
      </c>
      <c r="BK94" s="168">
        <v>8159.51172833905</v>
      </c>
      <c r="BL94" s="168">
        <v>7894.7885226328863</v>
      </c>
      <c r="BM94" s="168">
        <v>8357.8578628758896</v>
      </c>
      <c r="BN94" s="168">
        <v>7721.5615060883119</v>
      </c>
      <c r="BO94" s="168">
        <v>7565.2979703441133</v>
      </c>
      <c r="BP94" s="168">
        <v>6741.2796825301475</v>
      </c>
      <c r="BQ94" s="168">
        <v>6537.9180962867204</v>
      </c>
      <c r="BR94" s="168">
        <v>4356.5903182582742</v>
      </c>
      <c r="BS94" s="168">
        <v>8525.5785711038716</v>
      </c>
      <c r="BT94" s="168">
        <v>6588.3214213609554</v>
      </c>
      <c r="BU94" s="168">
        <v>6985.9468954665172</v>
      </c>
      <c r="BV94" s="168">
        <v>5553.9406000626386</v>
      </c>
      <c r="BW94" s="168">
        <v>8321.3090306181621</v>
      </c>
      <c r="BX94" s="168">
        <v>8047.9334650505543</v>
      </c>
      <c r="BY94" s="168">
        <v>8439.641390192397</v>
      </c>
      <c r="BZ94" s="168">
        <v>7756.2531380276378</v>
      </c>
      <c r="CA94" s="168">
        <v>7652.1515267509276</v>
      </c>
      <c r="CB94" s="168">
        <v>6772.2904312535156</v>
      </c>
      <c r="CC94" s="168">
        <v>6437.6762235322376</v>
      </c>
      <c r="CD94" s="168">
        <v>4385.6735619959773</v>
      </c>
      <c r="CE94" s="168">
        <v>8428.5875629553393</v>
      </c>
      <c r="CF94" s="168">
        <v>6407.97111258105</v>
      </c>
      <c r="CG94" s="168">
        <v>7136.993194177433</v>
      </c>
      <c r="CH94" s="168">
        <v>5710.2011627315869</v>
      </c>
      <c r="CI94" s="168">
        <v>8211.8437751041765</v>
      </c>
      <c r="CJ94" s="168">
        <v>8056.8682487928227</v>
      </c>
      <c r="CK94" s="168">
        <v>8487.6344417828332</v>
      </c>
      <c r="CL94" s="168">
        <v>7968.936967815549</v>
      </c>
      <c r="CM94" s="168">
        <v>7699.6508656811175</v>
      </c>
      <c r="CN94" s="168">
        <v>6882.6584711919559</v>
      </c>
      <c r="CO94" s="168">
        <v>6434.0625761086339</v>
      </c>
    </row>
    <row r="95" spans="1:93" x14ac:dyDescent="0.2">
      <c r="A95" s="118">
        <f t="shared" si="8"/>
        <v>23</v>
      </c>
      <c r="B95" s="243" t="s">
        <v>561</v>
      </c>
      <c r="C95" s="223"/>
      <c r="D95" s="172">
        <f>SUMIF($AH$6:$CP$6,1,$AH95:$CP95)+(SUM($AE$93:$AE$95)*'TOU Split'!D22)</f>
        <v>27236.38912587093</v>
      </c>
      <c r="E95" s="225" t="s">
        <v>555</v>
      </c>
      <c r="F95" s="173">
        <f>'Exhibit MJC-3 - E-13c cal yr'!F97</f>
        <v>48.8</v>
      </c>
      <c r="G95" s="233" t="s">
        <v>375</v>
      </c>
      <c r="H95" s="174">
        <f>ROUND(D95*F95,2)</f>
        <v>1329135.79</v>
      </c>
      <c r="I95" s="229"/>
      <c r="J95" s="172">
        <f t="shared" si="10"/>
        <v>27236.38912587093</v>
      </c>
      <c r="K95" s="225" t="s">
        <v>555</v>
      </c>
      <c r="L95" s="173">
        <f>ROUND(F95*(1+'Exhibit MJC-2 - Old E-8a'!$V$18)+L92,2)</f>
        <v>50.24</v>
      </c>
      <c r="M95" s="233" t="s">
        <v>375</v>
      </c>
      <c r="N95" s="174">
        <f>ROUND(J95*L95,2)</f>
        <v>1368356.19</v>
      </c>
      <c r="O95" s="227"/>
      <c r="Q95" s="1022"/>
      <c r="S95" s="230"/>
      <c r="T95" s="859">
        <f>'MFR E-14C'!Z98</f>
        <v>0.65603733982549717</v>
      </c>
      <c r="U95" s="178" t="s">
        <v>580</v>
      </c>
      <c r="V95" s="179">
        <v>242</v>
      </c>
      <c r="W95" s="180">
        <v>216</v>
      </c>
      <c r="Y95" s="178"/>
      <c r="Z95" s="181"/>
      <c r="AB95" s="182">
        <f>SUM(AH95:AS95)</f>
        <v>23803.942610591144</v>
      </c>
      <c r="AC95" s="182">
        <f>SUM(AT95:BE95)</f>
        <v>24067.327213958506</v>
      </c>
      <c r="AD95" s="182">
        <f>SUM(BF95:BQ95)</f>
        <v>24193.963702191333</v>
      </c>
      <c r="AE95" s="182">
        <f>SUM(BR95:CC95)</f>
        <v>24334.037639504833</v>
      </c>
      <c r="AF95" s="182">
        <f>SUM(CD95:CO95)</f>
        <v>24555.153982484931</v>
      </c>
      <c r="AG95" s="241"/>
      <c r="AH95" s="168">
        <v>0</v>
      </c>
      <c r="AI95" s="168">
        <v>0.14574760863414665</v>
      </c>
      <c r="AJ95" s="168">
        <v>560.27452825171918</v>
      </c>
      <c r="AK95" s="168">
        <v>1603.8401309152575</v>
      </c>
      <c r="AL95" s="168">
        <v>3398.7706232082965</v>
      </c>
      <c r="AM95" s="168">
        <v>3301.7856033738285</v>
      </c>
      <c r="AN95" s="168">
        <v>2892.7985426456507</v>
      </c>
      <c r="AO95" s="168">
        <v>2924.6602951358295</v>
      </c>
      <c r="AP95" s="168">
        <v>2664.7217237491227</v>
      </c>
      <c r="AQ95" s="168">
        <v>2620.2015974917472</v>
      </c>
      <c r="AR95" s="168">
        <v>2425.1873795346842</v>
      </c>
      <c r="AS95" s="168">
        <v>1411.5564386763729</v>
      </c>
      <c r="AT95" s="168">
        <v>0</v>
      </c>
      <c r="AU95" s="168">
        <v>0.14447829210344076</v>
      </c>
      <c r="AV95" s="168">
        <v>545.13274039432793</v>
      </c>
      <c r="AW95" s="168">
        <v>1612.1943857082451</v>
      </c>
      <c r="AX95" s="168">
        <v>3385.9157082600877</v>
      </c>
      <c r="AY95" s="168">
        <v>3237.5986606460128</v>
      </c>
      <c r="AZ95" s="168">
        <v>3008.8170833641661</v>
      </c>
      <c r="BA95" s="168">
        <v>2956.4808933796726</v>
      </c>
      <c r="BB95" s="168">
        <v>2723.4921435168394</v>
      </c>
      <c r="BC95" s="168">
        <v>2703.1475347858172</v>
      </c>
      <c r="BD95" s="168">
        <v>2479.2525206063146</v>
      </c>
      <c r="BE95" s="168">
        <v>1415.1510650049192</v>
      </c>
      <c r="BF95" s="168">
        <v>0</v>
      </c>
      <c r="BG95" s="168">
        <v>0.14597891490198933</v>
      </c>
      <c r="BH95" s="168">
        <v>552.75556253485013</v>
      </c>
      <c r="BI95" s="168">
        <v>1592.8529309934866</v>
      </c>
      <c r="BJ95" s="168">
        <v>3401.210691676868</v>
      </c>
      <c r="BK95" s="168">
        <v>3301.8563814318759</v>
      </c>
      <c r="BL95" s="168">
        <v>3033.4181523466236</v>
      </c>
      <c r="BM95" s="168">
        <v>2990.0678213220026</v>
      </c>
      <c r="BN95" s="168">
        <v>2734.2421284873512</v>
      </c>
      <c r="BO95" s="168">
        <v>2671.7827916046349</v>
      </c>
      <c r="BP95" s="168">
        <v>2467.0672024124374</v>
      </c>
      <c r="BQ95" s="168">
        <v>1448.5640604663024</v>
      </c>
      <c r="BR95" s="168">
        <v>0</v>
      </c>
      <c r="BS95" s="168">
        <v>0.14392599334884398</v>
      </c>
      <c r="BT95" s="168">
        <v>559.89659280966839</v>
      </c>
      <c r="BU95" s="168">
        <v>1621.763861922816</v>
      </c>
      <c r="BV95" s="168">
        <v>3319.5630083334063</v>
      </c>
      <c r="BW95" s="168">
        <v>3367.329840238644</v>
      </c>
      <c r="BX95" s="168">
        <v>3092.2611025964052</v>
      </c>
      <c r="BY95" s="168">
        <v>3019.3263104415041</v>
      </c>
      <c r="BZ95" s="168">
        <v>2746.526602486515</v>
      </c>
      <c r="CA95" s="168">
        <v>2702.4562479981614</v>
      </c>
      <c r="CB95" s="168">
        <v>2478.4160270719349</v>
      </c>
      <c r="CC95" s="168">
        <v>1426.3541196124308</v>
      </c>
      <c r="CD95" s="168">
        <v>0</v>
      </c>
      <c r="CE95" s="168">
        <v>0.14228862327744529</v>
      </c>
      <c r="CF95" s="168">
        <v>544.56984765867332</v>
      </c>
      <c r="CG95" s="168">
        <v>1656.8287475270176</v>
      </c>
      <c r="CH95" s="168">
        <v>3412.9591788814596</v>
      </c>
      <c r="CI95" s="168">
        <v>3323.0332494011545</v>
      </c>
      <c r="CJ95" s="168">
        <v>3095.6941185807332</v>
      </c>
      <c r="CK95" s="168">
        <v>3036.4960782889602</v>
      </c>
      <c r="CL95" s="168">
        <v>2821.8389712341591</v>
      </c>
      <c r="CM95" s="168">
        <v>2719.2312536706081</v>
      </c>
      <c r="CN95" s="168">
        <v>2518.8067814019018</v>
      </c>
      <c r="CO95" s="168">
        <v>1425.5534672169845</v>
      </c>
    </row>
    <row r="96" spans="1:93" x14ac:dyDescent="0.2">
      <c r="A96" s="118">
        <f t="shared" si="8"/>
        <v>24</v>
      </c>
      <c r="B96" s="234" t="s">
        <v>148</v>
      </c>
      <c r="C96" s="223"/>
      <c r="D96" s="168"/>
      <c r="E96" s="225"/>
      <c r="F96" s="183"/>
      <c r="G96" s="233"/>
      <c r="H96" s="1149"/>
      <c r="I96" s="229"/>
      <c r="J96" s="168"/>
      <c r="K96" s="225"/>
      <c r="L96" s="183"/>
      <c r="M96" s="233"/>
      <c r="N96" s="1149"/>
      <c r="O96" s="227"/>
      <c r="S96" s="230"/>
      <c r="T96" s="176"/>
      <c r="U96" s="178"/>
      <c r="V96" s="179"/>
      <c r="W96" s="180"/>
      <c r="Y96" s="178"/>
      <c r="Z96" s="181"/>
      <c r="AF96" s="245"/>
    </row>
    <row r="97" spans="1:93" x14ac:dyDescent="0.2">
      <c r="A97" s="118">
        <f t="shared" si="8"/>
        <v>25</v>
      </c>
      <c r="B97" s="243" t="s">
        <v>559</v>
      </c>
      <c r="C97" s="223"/>
      <c r="D97" s="172">
        <f>SUMIF($AH$6:$CP$6,1,$AH97:$CP97)+(SUM($AE$97:$AE$99)*'TOU Split'!D20)</f>
        <v>1243.6143765061483</v>
      </c>
      <c r="E97" s="225" t="s">
        <v>555</v>
      </c>
      <c r="F97" s="173">
        <f>'Exhibit MJC-3 - E-13c cal yr'!F99</f>
        <v>99.86</v>
      </c>
      <c r="G97" s="233" t="s">
        <v>375</v>
      </c>
      <c r="H97" s="174">
        <f>ROUND(D97*F97,2)</f>
        <v>124187.33</v>
      </c>
      <c r="I97" s="229"/>
      <c r="J97" s="172">
        <f t="shared" ref="J97:J99" si="11">D97</f>
        <v>1243.6143765061483</v>
      </c>
      <c r="K97" s="225" t="s">
        <v>555</v>
      </c>
      <c r="L97" s="183">
        <f>L93</f>
        <v>102.81</v>
      </c>
      <c r="M97" s="233" t="s">
        <v>375</v>
      </c>
      <c r="N97" s="174">
        <f>ROUND(J97*L97,2)</f>
        <v>127855.99</v>
      </c>
      <c r="O97" s="227"/>
      <c r="S97" s="230"/>
      <c r="T97" s="176"/>
      <c r="U97" s="178" t="s">
        <v>580</v>
      </c>
      <c r="V97" s="179">
        <v>242</v>
      </c>
      <c r="W97" s="180">
        <v>216</v>
      </c>
      <c r="Y97" s="178"/>
      <c r="Z97" s="181"/>
      <c r="AB97" s="182">
        <f>SUM(AH97:AS97)</f>
        <v>1229.0048297923745</v>
      </c>
      <c r="AC97" s="182">
        <f>SUM(AT97:BE97)</f>
        <v>1228.3944231713842</v>
      </c>
      <c r="AD97" s="182">
        <f>SUM(BF97:BQ97)</f>
        <v>1237.6745690273738</v>
      </c>
      <c r="AE97" s="182">
        <f>SUM(BR97:CC97)</f>
        <v>1243.6143765061483</v>
      </c>
      <c r="AF97" s="182">
        <f>SUM(CD97:CO97)</f>
        <v>1245.2114808359802</v>
      </c>
      <c r="AG97" s="241"/>
      <c r="AH97" s="168">
        <v>17.2447258389955</v>
      </c>
      <c r="AI97" s="168">
        <v>13.874769714201909</v>
      </c>
      <c r="AJ97" s="168">
        <v>288.46715111385413</v>
      </c>
      <c r="AK97" s="168">
        <v>230.94849906251218</v>
      </c>
      <c r="AL97" s="168">
        <v>66.181377200650388</v>
      </c>
      <c r="AM97" s="168">
        <v>60.305583794956569</v>
      </c>
      <c r="AN97" s="168">
        <v>54.768004865767679</v>
      </c>
      <c r="AO97" s="168">
        <v>61.339451550935522</v>
      </c>
      <c r="AP97" s="168">
        <v>71.36408526206769</v>
      </c>
      <c r="AQ97" s="168">
        <v>49.833830085612824</v>
      </c>
      <c r="AR97" s="168">
        <v>51.802850756292443</v>
      </c>
      <c r="AS97" s="168">
        <v>262.87450054652783</v>
      </c>
      <c r="AT97" s="168">
        <v>16.931164713391436</v>
      </c>
      <c r="AU97" s="168">
        <v>13.753934286965627</v>
      </c>
      <c r="AV97" s="168">
        <v>280.6711365071904</v>
      </c>
      <c r="AW97" s="168">
        <v>232.1514884178946</v>
      </c>
      <c r="AX97" s="168">
        <v>65.931064346567098</v>
      </c>
      <c r="AY97" s="168">
        <v>59.133239034212849</v>
      </c>
      <c r="AZ97" s="168">
        <v>56.96452975642935</v>
      </c>
      <c r="BA97" s="168">
        <v>62.006830954808926</v>
      </c>
      <c r="BB97" s="168">
        <v>72.938019684492119</v>
      </c>
      <c r="BC97" s="168">
        <v>51.41138570170034</v>
      </c>
      <c r="BD97" s="168">
        <v>52.957701081544002</v>
      </c>
      <c r="BE97" s="168">
        <v>263.5439286861876</v>
      </c>
      <c r="BF97" s="168">
        <v>16.633583110978357</v>
      </c>
      <c r="BG97" s="168">
        <v>13.896789431916966</v>
      </c>
      <c r="BH97" s="168">
        <v>284.59587995962903</v>
      </c>
      <c r="BI97" s="168">
        <v>229.36637296283376</v>
      </c>
      <c r="BJ97" s="168">
        <v>66.228890584051797</v>
      </c>
      <c r="BK97" s="168">
        <v>60.306876523383892</v>
      </c>
      <c r="BL97" s="168">
        <v>57.430290315234814</v>
      </c>
      <c r="BM97" s="168">
        <v>62.711255924330935</v>
      </c>
      <c r="BN97" s="168">
        <v>73.225915729007468</v>
      </c>
      <c r="BO97" s="168">
        <v>50.814857066702885</v>
      </c>
      <c r="BP97" s="168">
        <v>52.697418422504057</v>
      </c>
      <c r="BQ97" s="168">
        <v>269.76643899679971</v>
      </c>
      <c r="BR97" s="168">
        <v>16.576744606613907</v>
      </c>
      <c r="BS97" s="168">
        <v>13.70135697125332</v>
      </c>
      <c r="BT97" s="168">
        <v>288.27256443397499</v>
      </c>
      <c r="BU97" s="168">
        <v>233.52946626367176</v>
      </c>
      <c r="BV97" s="168">
        <v>64.639034507264782</v>
      </c>
      <c r="BW97" s="168">
        <v>61.502718904058938</v>
      </c>
      <c r="BX97" s="168">
        <v>58.544336432891093</v>
      </c>
      <c r="BY97" s="168">
        <v>63.324899730684834</v>
      </c>
      <c r="BZ97" s="168">
        <v>73.554907023694156</v>
      </c>
      <c r="CA97" s="168">
        <v>51.398238061324335</v>
      </c>
      <c r="CB97" s="168">
        <v>52.939833287044586</v>
      </c>
      <c r="CC97" s="168">
        <v>265.63027628367149</v>
      </c>
      <c r="CD97" s="168">
        <v>16.687405804604296</v>
      </c>
      <c r="CE97" s="168">
        <v>13.545483863690988</v>
      </c>
      <c r="CF97" s="168">
        <v>280.38132132615112</v>
      </c>
      <c r="CG97" s="168">
        <v>238.57871184868384</v>
      </c>
      <c r="CH97" s="168">
        <v>66.457658909255855</v>
      </c>
      <c r="CI97" s="168">
        <v>60.693662202178764</v>
      </c>
      <c r="CJ97" s="168">
        <v>58.60933212248446</v>
      </c>
      <c r="CK97" s="168">
        <v>63.685004507561459</v>
      </c>
      <c r="CL97" s="168">
        <v>75.571852454316215</v>
      </c>
      <c r="CM97" s="168">
        <v>51.717283276458218</v>
      </c>
      <c r="CN97" s="168">
        <v>53.802593928200004</v>
      </c>
      <c r="CO97" s="168">
        <v>265.48117059239507</v>
      </c>
    </row>
    <row r="98" spans="1:93" x14ac:dyDescent="0.2">
      <c r="A98" s="118">
        <f t="shared" si="8"/>
        <v>26</v>
      </c>
      <c r="B98" s="243" t="s">
        <v>560</v>
      </c>
      <c r="C98" s="223"/>
      <c r="D98" s="172">
        <f>SUMIF($AH$6:$CP$6,1,$AH98:$CP98)+(SUM($AE$97:$AE$99)*'TOU Split'!D21)</f>
        <v>8759.014502965565</v>
      </c>
      <c r="E98" s="225" t="s">
        <v>555</v>
      </c>
      <c r="F98" s="173">
        <f>'Exhibit MJC-3 - E-13c cal yr'!F100</f>
        <v>85.78</v>
      </c>
      <c r="G98" s="233" t="s">
        <v>375</v>
      </c>
      <c r="H98" s="174">
        <f>ROUND(D98*F98,2)</f>
        <v>751348.26</v>
      </c>
      <c r="I98" s="229"/>
      <c r="J98" s="172">
        <f t="shared" si="11"/>
        <v>8759.014502965565</v>
      </c>
      <c r="K98" s="225" t="s">
        <v>555</v>
      </c>
      <c r="L98" s="183">
        <f>L94</f>
        <v>88.32</v>
      </c>
      <c r="M98" s="233" t="s">
        <v>375</v>
      </c>
      <c r="N98" s="174">
        <f>ROUND(J98*L98,2)</f>
        <v>773596.16000000003</v>
      </c>
      <c r="O98" s="227"/>
      <c r="S98" s="230"/>
      <c r="T98" s="176"/>
      <c r="U98" s="178" t="s">
        <v>580</v>
      </c>
      <c r="V98" s="179">
        <v>242</v>
      </c>
      <c r="W98" s="180">
        <v>216</v>
      </c>
      <c r="Y98" s="178"/>
      <c r="Z98" s="181"/>
      <c r="AB98" s="182">
        <f>SUM(AH98:AS98)</f>
        <v>8877.6475366965369</v>
      </c>
      <c r="AC98" s="182">
        <f>SUM(AT98:BE98)</f>
        <v>8938.6581742942217</v>
      </c>
      <c r="AD98" s="182">
        <f>SUM(BF98:BQ98)</f>
        <v>8983.7491452086888</v>
      </c>
      <c r="AE98" s="182">
        <f>SUM(BR98:CC98)</f>
        <v>9028.4164206917976</v>
      </c>
      <c r="AF98" s="182">
        <f>SUM(CD98:CO98)</f>
        <v>9098.5888932508915</v>
      </c>
      <c r="AG98" s="241"/>
      <c r="AH98" s="168">
        <v>39.735013630308146</v>
      </c>
      <c r="AI98" s="168">
        <v>34.908659231745439</v>
      </c>
      <c r="AJ98" s="168">
        <v>898.86628762882515</v>
      </c>
      <c r="AK98" s="168">
        <v>999.22364860858079</v>
      </c>
      <c r="AL98" s="168">
        <v>1307.7347715381848</v>
      </c>
      <c r="AM98" s="168">
        <v>888.65474736534429</v>
      </c>
      <c r="AN98" s="168">
        <v>789.43880872790203</v>
      </c>
      <c r="AO98" s="168">
        <v>768.85980285054598</v>
      </c>
      <c r="AP98" s="168">
        <v>868.07969977532264</v>
      </c>
      <c r="AQ98" s="168">
        <v>711.74172858612826</v>
      </c>
      <c r="AR98" s="168">
        <v>893.52814535655466</v>
      </c>
      <c r="AS98" s="168">
        <v>676.8762233970964</v>
      </c>
      <c r="AT98" s="168">
        <v>39.012511242265653</v>
      </c>
      <c r="AU98" s="168">
        <v>34.604639573084292</v>
      </c>
      <c r="AV98" s="168">
        <v>874.57383463813426</v>
      </c>
      <c r="AW98" s="168">
        <v>1004.4285121075945</v>
      </c>
      <c r="AX98" s="168">
        <v>1302.7886244966198</v>
      </c>
      <c r="AY98" s="168">
        <v>871.3792370125052</v>
      </c>
      <c r="AZ98" s="168">
        <v>821.10003132082068</v>
      </c>
      <c r="BA98" s="168">
        <v>777.22507485599488</v>
      </c>
      <c r="BB98" s="168">
        <v>887.22519173905789</v>
      </c>
      <c r="BC98" s="168">
        <v>734.27285170481935</v>
      </c>
      <c r="BD98" s="168">
        <v>913.44772997827738</v>
      </c>
      <c r="BE98" s="168">
        <v>678.59993562504803</v>
      </c>
      <c r="BF98" s="168">
        <v>38.326828608722479</v>
      </c>
      <c r="BG98" s="168">
        <v>34.964060426714994</v>
      </c>
      <c r="BH98" s="168">
        <v>886.80337121922196</v>
      </c>
      <c r="BI98" s="168">
        <v>992.3784089975984</v>
      </c>
      <c r="BJ98" s="168">
        <v>1308.6736293591557</v>
      </c>
      <c r="BK98" s="168">
        <v>888.67379683276874</v>
      </c>
      <c r="BL98" s="168">
        <v>827.81361275576637</v>
      </c>
      <c r="BM98" s="168">
        <v>786.05469477426175</v>
      </c>
      <c r="BN98" s="168">
        <v>890.72718732929968</v>
      </c>
      <c r="BO98" s="168">
        <v>725.75305057585115</v>
      </c>
      <c r="BP98" s="168">
        <v>908.95821099997704</v>
      </c>
      <c r="BQ98" s="168">
        <v>694.62229332935146</v>
      </c>
      <c r="BR98" s="168">
        <v>38.195862261867561</v>
      </c>
      <c r="BS98" s="168">
        <v>34.472356037189485</v>
      </c>
      <c r="BT98" s="168">
        <v>898.25995375028958</v>
      </c>
      <c r="BU98" s="168">
        <v>1010.3904822279831</v>
      </c>
      <c r="BV98" s="168">
        <v>1277.2582952984553</v>
      </c>
      <c r="BW98" s="168">
        <v>906.29556486507545</v>
      </c>
      <c r="BX98" s="168">
        <v>843.87173359011172</v>
      </c>
      <c r="BY98" s="168">
        <v>793.74641754067625</v>
      </c>
      <c r="BZ98" s="168">
        <v>894.72906955439294</v>
      </c>
      <c r="CA98" s="168">
        <v>734.08507315615145</v>
      </c>
      <c r="CB98" s="168">
        <v>913.13953502283437</v>
      </c>
      <c r="CC98" s="168">
        <v>683.97207738677253</v>
      </c>
      <c r="CD98" s="168">
        <v>38.450845974078923</v>
      </c>
      <c r="CE98" s="168">
        <v>34.080182234858405</v>
      </c>
      <c r="CF98" s="168">
        <v>873.67076787689837</v>
      </c>
      <c r="CG98" s="168">
        <v>1032.2365891161289</v>
      </c>
      <c r="CH98" s="168">
        <v>1313.1940595186684</v>
      </c>
      <c r="CI98" s="168">
        <v>894.3734171339778</v>
      </c>
      <c r="CJ98" s="168">
        <v>844.80859663434342</v>
      </c>
      <c r="CK98" s="168">
        <v>798.26015349289628</v>
      </c>
      <c r="CL98" s="168">
        <v>919.26339066910998</v>
      </c>
      <c r="CM98" s="168">
        <v>738.6417727420835</v>
      </c>
      <c r="CN98" s="168">
        <v>928.02097309667579</v>
      </c>
      <c r="CO98" s="168">
        <v>683.58814476117209</v>
      </c>
    </row>
    <row r="99" spans="1:93" x14ac:dyDescent="0.2">
      <c r="A99" s="118">
        <f t="shared" si="8"/>
        <v>27</v>
      </c>
      <c r="B99" s="243" t="s">
        <v>561</v>
      </c>
      <c r="C99" s="223"/>
      <c r="D99" s="172">
        <f>SUMIF($AH$6:$CP$6,1,$AH99:$CP99)+(SUM($AE$97:$AE$99)*'TOU Split'!D22)</f>
        <v>1592.5606476052953</v>
      </c>
      <c r="E99" s="225" t="s">
        <v>555</v>
      </c>
      <c r="F99" s="173">
        <f>'Exhibit MJC-3 - E-13c cal yr'!F101</f>
        <v>48.8</v>
      </c>
      <c r="G99" s="233" t="s">
        <v>375</v>
      </c>
      <c r="H99" s="174">
        <f>ROUND(D99*F99,2)</f>
        <v>77716.960000000006</v>
      </c>
      <c r="I99" s="229"/>
      <c r="J99" s="172">
        <f t="shared" si="11"/>
        <v>1592.5606476052953</v>
      </c>
      <c r="K99" s="225" t="s">
        <v>555</v>
      </c>
      <c r="L99" s="183">
        <f>L95</f>
        <v>50.24</v>
      </c>
      <c r="M99" s="233" t="s">
        <v>375</v>
      </c>
      <c r="N99" s="174">
        <f>ROUND(J99*L99,2)</f>
        <v>80010.25</v>
      </c>
      <c r="O99" s="227"/>
      <c r="S99" s="230"/>
      <c r="T99" s="176"/>
      <c r="U99" s="178" t="s">
        <v>580</v>
      </c>
      <c r="V99" s="179">
        <v>242</v>
      </c>
      <c r="W99" s="180">
        <v>216</v>
      </c>
      <c r="Y99" s="178"/>
      <c r="Z99" s="181"/>
      <c r="AB99" s="182">
        <f>SUM(AH99:AS99)</f>
        <v>1297.1768853765263</v>
      </c>
      <c r="AC99" s="182">
        <f>SUM(AT99:BE99)</f>
        <v>1311.4928465267176</v>
      </c>
      <c r="AD99" s="182">
        <f>SUM(BF99:BQ99)</f>
        <v>1318.1272697682559</v>
      </c>
      <c r="AE99" s="182">
        <f>SUM(BR99:CC99)</f>
        <v>1323.158729879063</v>
      </c>
      <c r="AF99" s="182">
        <f>SUM(CD99:CO99)</f>
        <v>1335.9327746302181</v>
      </c>
      <c r="AG99" s="241"/>
      <c r="AH99" s="168">
        <v>0</v>
      </c>
      <c r="AI99" s="168">
        <v>0</v>
      </c>
      <c r="AJ99" s="168">
        <v>63.948704851477871</v>
      </c>
      <c r="AK99" s="168">
        <v>15.420121063167464</v>
      </c>
      <c r="AL99" s="168">
        <v>247.44563146525201</v>
      </c>
      <c r="AM99" s="168">
        <v>139.13398766930177</v>
      </c>
      <c r="AN99" s="168">
        <v>137.58279618452295</v>
      </c>
      <c r="AO99" s="168">
        <v>169.64722707788098</v>
      </c>
      <c r="AP99" s="168">
        <v>157.94964782801728</v>
      </c>
      <c r="AQ99" s="168">
        <v>162.17956459433415</v>
      </c>
      <c r="AR99" s="168">
        <v>157.19852607075484</v>
      </c>
      <c r="AS99" s="168">
        <v>46.670678571816886</v>
      </c>
      <c r="AT99" s="168">
        <v>0</v>
      </c>
      <c r="AU99" s="168">
        <v>0</v>
      </c>
      <c r="AV99" s="168">
        <v>62.220449016543732</v>
      </c>
      <c r="AW99" s="168">
        <v>15.500443046523062</v>
      </c>
      <c r="AX99" s="168">
        <v>246.50973643159745</v>
      </c>
      <c r="AY99" s="168">
        <v>136.42921323182875</v>
      </c>
      <c r="AZ99" s="168">
        <v>143.10069001846514</v>
      </c>
      <c r="BA99" s="168">
        <v>171.49300597569191</v>
      </c>
      <c r="BB99" s="168">
        <v>161.43322625284256</v>
      </c>
      <c r="BC99" s="168">
        <v>167.3135726065797</v>
      </c>
      <c r="BD99" s="168">
        <v>160.70298125635722</v>
      </c>
      <c r="BE99" s="168">
        <v>46.789528690288009</v>
      </c>
      <c r="BF99" s="168">
        <v>0</v>
      </c>
      <c r="BG99" s="168">
        <v>0</v>
      </c>
      <c r="BH99" s="168">
        <v>63.090503924662919</v>
      </c>
      <c r="BI99" s="168">
        <v>15.31448462866682</v>
      </c>
      <c r="BJ99" s="168">
        <v>247.62327931206497</v>
      </c>
      <c r="BK99" s="168">
        <v>139.13697018683578</v>
      </c>
      <c r="BL99" s="168">
        <v>144.27072789349782</v>
      </c>
      <c r="BM99" s="168">
        <v>173.44124222075513</v>
      </c>
      <c r="BN99" s="168">
        <v>162.0704246233575</v>
      </c>
      <c r="BO99" s="168">
        <v>165.37222565159476</v>
      </c>
      <c r="BP99" s="168">
        <v>159.91313958228901</v>
      </c>
      <c r="BQ99" s="168">
        <v>47.894271744531068</v>
      </c>
      <c r="BR99" s="168">
        <v>0</v>
      </c>
      <c r="BS99" s="168">
        <v>0</v>
      </c>
      <c r="BT99" s="168">
        <v>63.905567994780078</v>
      </c>
      <c r="BU99" s="168">
        <v>15.592448776330791</v>
      </c>
      <c r="BV99" s="168">
        <v>241.67896449874971</v>
      </c>
      <c r="BW99" s="168">
        <v>141.89595714255427</v>
      </c>
      <c r="BX99" s="168">
        <v>147.06932499998959</v>
      </c>
      <c r="BY99" s="168">
        <v>175.13840395809163</v>
      </c>
      <c r="BZ99" s="168">
        <v>162.79857883346784</v>
      </c>
      <c r="CA99" s="168">
        <v>167.27078483393686</v>
      </c>
      <c r="CB99" s="168">
        <v>160.64876047664268</v>
      </c>
      <c r="CC99" s="168">
        <v>47.159938364519661</v>
      </c>
      <c r="CD99" s="168">
        <v>0</v>
      </c>
      <c r="CE99" s="168">
        <v>0</v>
      </c>
      <c r="CF99" s="168">
        <v>62.156201474311644</v>
      </c>
      <c r="CG99" s="168">
        <v>15.929580121693963</v>
      </c>
      <c r="CH99" s="168">
        <v>248.47862148056862</v>
      </c>
      <c r="CI99" s="168">
        <v>140.02934250922442</v>
      </c>
      <c r="CJ99" s="168">
        <v>147.23260078000226</v>
      </c>
      <c r="CK99" s="168">
        <v>176.13434988375568</v>
      </c>
      <c r="CL99" s="168">
        <v>167.26267053008516</v>
      </c>
      <c r="CM99" s="168">
        <v>168.30908780979539</v>
      </c>
      <c r="CN99" s="168">
        <v>163.26685386651303</v>
      </c>
      <c r="CO99" s="168">
        <v>47.133466174267959</v>
      </c>
    </row>
    <row r="100" spans="1:93" x14ac:dyDescent="0.2">
      <c r="A100" s="118">
        <f t="shared" si="8"/>
        <v>28</v>
      </c>
      <c r="B100" s="234" t="s">
        <v>216</v>
      </c>
      <c r="C100" s="223"/>
      <c r="D100" s="168"/>
      <c r="E100" s="225"/>
      <c r="F100" s="183"/>
      <c r="G100" s="233"/>
      <c r="H100" s="174"/>
      <c r="I100" s="229"/>
      <c r="J100" s="168"/>
      <c r="K100" s="225"/>
      <c r="L100" s="183"/>
      <c r="M100" s="233"/>
      <c r="N100" s="174"/>
      <c r="O100" s="227"/>
      <c r="S100" s="230"/>
      <c r="T100" s="227"/>
      <c r="U100" s="178"/>
      <c r="V100" s="179"/>
      <c r="W100" s="180"/>
      <c r="Y100" s="178"/>
      <c r="Z100" s="181"/>
      <c r="AE100" s="242"/>
    </row>
    <row r="101" spans="1:93" x14ac:dyDescent="0.2">
      <c r="A101" s="118">
        <f t="shared" si="8"/>
        <v>29</v>
      </c>
      <c r="B101" s="243" t="s">
        <v>559</v>
      </c>
      <c r="C101" s="223"/>
      <c r="D101" s="172">
        <f>SUMIF($AH$6:$CP$6,1,$AH101:$CP101)+(SUM($AE$101:$AE$103)*'TOU Split'!D20)</f>
        <v>225.8619797650459</v>
      </c>
      <c r="E101" s="225" t="s">
        <v>555</v>
      </c>
      <c r="F101" s="173">
        <f>'Exhibit MJC-3 - E-13c cal yr'!F103</f>
        <v>99.86</v>
      </c>
      <c r="G101" s="233" t="s">
        <v>375</v>
      </c>
      <c r="H101" s="174">
        <f>ROUND(D101*F101,2)</f>
        <v>22554.58</v>
      </c>
      <c r="I101" s="229"/>
      <c r="J101" s="172">
        <f t="shared" ref="J101:J103" si="12">D101</f>
        <v>225.8619797650459</v>
      </c>
      <c r="K101" s="225" t="s">
        <v>555</v>
      </c>
      <c r="L101" s="310">
        <f>L93</f>
        <v>102.81</v>
      </c>
      <c r="M101" s="233" t="s">
        <v>375</v>
      </c>
      <c r="N101" s="174">
        <f>ROUND(J101*L101,2)</f>
        <v>23220.87</v>
      </c>
      <c r="O101" s="227"/>
      <c r="S101" s="230"/>
      <c r="T101" s="176"/>
      <c r="U101" s="178" t="s">
        <v>580</v>
      </c>
      <c r="V101" s="179">
        <v>242</v>
      </c>
      <c r="W101" s="180">
        <v>216</v>
      </c>
      <c r="Y101" s="178"/>
      <c r="Z101" s="181"/>
      <c r="AB101" s="182">
        <f>SUM(AH101:AS101)</f>
        <v>225.68981846495393</v>
      </c>
      <c r="AC101" s="182">
        <f>SUM(AT101:BE101)</f>
        <v>225.31889010055323</v>
      </c>
      <c r="AD101" s="182">
        <f>SUM(BF101:BQ101)</f>
        <v>225.65992810295302</v>
      </c>
      <c r="AE101" s="182">
        <f>SUM(BR101:CC101)</f>
        <v>225.8619797650459</v>
      </c>
      <c r="AF101" s="182">
        <f>SUM(CD101:CO101)</f>
        <v>225.90533069828987</v>
      </c>
      <c r="AH101" s="168">
        <v>52.420734634399444</v>
      </c>
      <c r="AI101" s="168">
        <v>38.564179598807428</v>
      </c>
      <c r="AJ101" s="168">
        <v>32.109999080636925</v>
      </c>
      <c r="AK101" s="168">
        <v>3.5238113006755318</v>
      </c>
      <c r="AL101" s="168">
        <v>3.7739396202633904</v>
      </c>
      <c r="AM101" s="168">
        <v>5.7853877919127239</v>
      </c>
      <c r="AN101" s="168">
        <v>10.0451293972245</v>
      </c>
      <c r="AO101" s="168">
        <v>10.443304460720217</v>
      </c>
      <c r="AP101" s="168">
        <v>13.228877043149943</v>
      </c>
      <c r="AQ101" s="168">
        <v>17.550188844464763</v>
      </c>
      <c r="AR101" s="168">
        <v>21.930461031238206</v>
      </c>
      <c r="AS101" s="168">
        <v>16.313805661460904</v>
      </c>
      <c r="AT101" s="168">
        <v>51.467567578546046</v>
      </c>
      <c r="AU101" s="168">
        <v>38.228323998042477</v>
      </c>
      <c r="AV101" s="168">
        <v>31.242205223048611</v>
      </c>
      <c r="AW101" s="168">
        <v>3.5421665075822526</v>
      </c>
      <c r="AX101" s="168">
        <v>3.7596657317853359</v>
      </c>
      <c r="AY101" s="168">
        <v>5.6729194491837909</v>
      </c>
      <c r="AZ101" s="168">
        <v>10.447999226151058</v>
      </c>
      <c r="BA101" s="168">
        <v>10.556928663891915</v>
      </c>
      <c r="BB101" s="168">
        <v>13.520639837723323</v>
      </c>
      <c r="BC101" s="168">
        <v>18.105763218889074</v>
      </c>
      <c r="BD101" s="168">
        <v>22.419360767161827</v>
      </c>
      <c r="BE101" s="168">
        <v>16.355349898547491</v>
      </c>
      <c r="BF101" s="168">
        <v>50.562975278394759</v>
      </c>
      <c r="BG101" s="168">
        <v>38.625382225313679</v>
      </c>
      <c r="BH101" s="168">
        <v>31.679078219377406</v>
      </c>
      <c r="BI101" s="168">
        <v>3.4996712267985788</v>
      </c>
      <c r="BJ101" s="168">
        <v>3.7766490326040816</v>
      </c>
      <c r="BK101" s="168">
        <v>5.7855118092058344</v>
      </c>
      <c r="BL101" s="168">
        <v>10.533425472602641</v>
      </c>
      <c r="BM101" s="168">
        <v>10.676860033352288</v>
      </c>
      <c r="BN101" s="168">
        <v>13.574007597712358</v>
      </c>
      <c r="BO101" s="168">
        <v>17.895681228856393</v>
      </c>
      <c r="BP101" s="168">
        <v>22.309171489393382</v>
      </c>
      <c r="BQ101" s="168">
        <v>16.741514489341622</v>
      </c>
      <c r="BR101" s="168">
        <v>50.390196877501459</v>
      </c>
      <c r="BS101" s="168">
        <v>38.082188163883217</v>
      </c>
      <c r="BT101" s="168">
        <v>32.088339151290043</v>
      </c>
      <c r="BU101" s="168">
        <v>3.5631916881949905</v>
      </c>
      <c r="BV101" s="168">
        <v>3.6859887729888725</v>
      </c>
      <c r="BW101" s="168">
        <v>5.9002343850411396</v>
      </c>
      <c r="BX101" s="168">
        <v>10.737755307763893</v>
      </c>
      <c r="BY101" s="168">
        <v>10.781335520793965</v>
      </c>
      <c r="BZ101" s="168">
        <v>13.634993251346037</v>
      </c>
      <c r="CA101" s="168">
        <v>18.101132959263001</v>
      </c>
      <c r="CB101" s="168">
        <v>22.411796531501768</v>
      </c>
      <c r="CC101" s="168">
        <v>16.484827155477483</v>
      </c>
      <c r="CD101" s="168">
        <v>50.726586179850436</v>
      </c>
      <c r="CE101" s="168">
        <v>37.64894720648519</v>
      </c>
      <c r="CF101" s="168">
        <v>31.209945171390064</v>
      </c>
      <c r="CG101" s="168">
        <v>3.6402330576976154</v>
      </c>
      <c r="CH101" s="168">
        <v>3.7896943617112608</v>
      </c>
      <c r="CI101" s="168">
        <v>5.8226179112177956</v>
      </c>
      <c r="CJ101" s="168">
        <v>10.749676321023868</v>
      </c>
      <c r="CK101" s="168">
        <v>10.842644902074614</v>
      </c>
      <c r="CL101" s="168">
        <v>14.008877720073679</v>
      </c>
      <c r="CM101" s="168">
        <v>18.213492450112962</v>
      </c>
      <c r="CN101" s="168">
        <v>22.777041654963369</v>
      </c>
      <c r="CO101" s="168">
        <v>16.475573761689031</v>
      </c>
    </row>
    <row r="102" spans="1:93" x14ac:dyDescent="0.2">
      <c r="A102" s="118">
        <f t="shared" si="8"/>
        <v>30</v>
      </c>
      <c r="B102" s="243" t="s">
        <v>560</v>
      </c>
      <c r="C102" s="223"/>
      <c r="D102" s="172">
        <f>SUMIF($AH$6:$CP$6,1,$AH102:$CP102)+(SUM($AE$101:$AE$103)*'TOU Split'!D21)</f>
        <v>1890.6066860441856</v>
      </c>
      <c r="E102" s="225" t="s">
        <v>555</v>
      </c>
      <c r="F102" s="173">
        <f>'Exhibit MJC-3 - E-13c cal yr'!F104</f>
        <v>85.78</v>
      </c>
      <c r="G102" s="233" t="s">
        <v>375</v>
      </c>
      <c r="H102" s="174">
        <f>ROUND(D102*F102,2)</f>
        <v>162176.24</v>
      </c>
      <c r="I102" s="229"/>
      <c r="J102" s="172">
        <f t="shared" si="12"/>
        <v>1890.6066860441856</v>
      </c>
      <c r="K102" s="225" t="s">
        <v>555</v>
      </c>
      <c r="L102" s="310">
        <f>L94</f>
        <v>88.32</v>
      </c>
      <c r="M102" s="233" t="s">
        <v>375</v>
      </c>
      <c r="N102" s="174">
        <f>ROUND(J102*L102,2)</f>
        <v>166978.38</v>
      </c>
      <c r="O102" s="227"/>
      <c r="S102" s="230"/>
      <c r="T102" s="176"/>
      <c r="U102" s="178" t="s">
        <v>580</v>
      </c>
      <c r="V102" s="179">
        <v>242</v>
      </c>
      <c r="W102" s="180">
        <v>216</v>
      </c>
      <c r="Y102" s="178"/>
      <c r="Z102" s="181"/>
      <c r="AB102" s="182">
        <f>SUM(AH102:AS102)</f>
        <v>1938.4993531984273</v>
      </c>
      <c r="AC102" s="182">
        <f>SUM(AT102:BE102)</f>
        <v>1951.8305092636858</v>
      </c>
      <c r="AD102" s="182">
        <f>SUM(BF102:BQ102)</f>
        <v>1956.5720750454811</v>
      </c>
      <c r="AE102" s="182">
        <f>SUM(BR102:CC102)</f>
        <v>1965.1063044150073</v>
      </c>
      <c r="AF102" s="182">
        <f>SUM(CD102:CO102)</f>
        <v>1976.2528472005063</v>
      </c>
      <c r="AH102" s="168">
        <v>216.40919522043771</v>
      </c>
      <c r="AI102" s="168">
        <v>161.52752003645492</v>
      </c>
      <c r="AJ102" s="168">
        <v>131.2304220262132</v>
      </c>
      <c r="AK102" s="168">
        <v>146.4561237632004</v>
      </c>
      <c r="AL102" s="168">
        <v>87.357690631133039</v>
      </c>
      <c r="AM102" s="168">
        <v>114.59415324608604</v>
      </c>
      <c r="AN102" s="168">
        <v>164.48974409724707</v>
      </c>
      <c r="AO102" s="168">
        <v>177.01155594172587</v>
      </c>
      <c r="AP102" s="168">
        <v>187.760998353227</v>
      </c>
      <c r="AQ102" s="168">
        <v>206.59141027984779</v>
      </c>
      <c r="AR102" s="168">
        <v>199.12501956163243</v>
      </c>
      <c r="AS102" s="168">
        <v>145.94552004122187</v>
      </c>
      <c r="AT102" s="168">
        <v>212.47422336423435</v>
      </c>
      <c r="AU102" s="168">
        <v>160.12077619161519</v>
      </c>
      <c r="AV102" s="168">
        <v>127.68383350476589</v>
      </c>
      <c r="AW102" s="168">
        <v>147.21900015613164</v>
      </c>
      <c r="AX102" s="168">
        <v>87.027284196680824</v>
      </c>
      <c r="AY102" s="168">
        <v>112.36643490367366</v>
      </c>
      <c r="AZ102" s="168">
        <v>171.08676763414061</v>
      </c>
      <c r="BA102" s="168">
        <v>178.93745947845701</v>
      </c>
      <c r="BB102" s="168">
        <v>191.90206591419522</v>
      </c>
      <c r="BC102" s="168">
        <v>213.13133384106141</v>
      </c>
      <c r="BD102" s="168">
        <v>203.56414965291492</v>
      </c>
      <c r="BE102" s="168">
        <v>146.31718042581514</v>
      </c>
      <c r="BF102" s="168">
        <v>208.73978329879731</v>
      </c>
      <c r="BG102" s="168">
        <v>161.7838695447841</v>
      </c>
      <c r="BH102" s="168">
        <v>129.46929066208656</v>
      </c>
      <c r="BI102" s="168">
        <v>145.45281758539841</v>
      </c>
      <c r="BJ102" s="168">
        <v>87.420407057166813</v>
      </c>
      <c r="BK102" s="168">
        <v>114.59660972043194</v>
      </c>
      <c r="BL102" s="168">
        <v>172.48562879982072</v>
      </c>
      <c r="BM102" s="168">
        <v>180.9702680013007</v>
      </c>
      <c r="BN102" s="168">
        <v>192.65952883888124</v>
      </c>
      <c r="BO102" s="168">
        <v>210.65836132892008</v>
      </c>
      <c r="BP102" s="168">
        <v>202.5636489311166</v>
      </c>
      <c r="BQ102" s="168">
        <v>149.77186127677658</v>
      </c>
      <c r="BR102" s="168">
        <v>208.02649999688305</v>
      </c>
      <c r="BS102" s="168">
        <v>159.50868074123164</v>
      </c>
      <c r="BT102" s="168">
        <v>131.14190001591626</v>
      </c>
      <c r="BU102" s="168">
        <v>148.09284560108284</v>
      </c>
      <c r="BV102" s="168">
        <v>85.321838529604918</v>
      </c>
      <c r="BW102" s="168">
        <v>116.86897881804612</v>
      </c>
      <c r="BX102" s="168">
        <v>175.83154511090316</v>
      </c>
      <c r="BY102" s="168">
        <v>182.74110295678616</v>
      </c>
      <c r="BZ102" s="168">
        <v>193.52511457031818</v>
      </c>
      <c r="CA102" s="168">
        <v>213.07682890811793</v>
      </c>
      <c r="CB102" s="168">
        <v>203.4954676233109</v>
      </c>
      <c r="CC102" s="168">
        <v>147.47550154280628</v>
      </c>
      <c r="CD102" s="168">
        <v>209.41522029448711</v>
      </c>
      <c r="CE102" s="168">
        <v>157.69403465891523</v>
      </c>
      <c r="CF102" s="168">
        <v>127.55198983254694</v>
      </c>
      <c r="CG102" s="168">
        <v>151.29482759841616</v>
      </c>
      <c r="CH102" s="168">
        <v>87.722375275791038</v>
      </c>
      <c r="CI102" s="168">
        <v>115.33158937836733</v>
      </c>
      <c r="CJ102" s="168">
        <v>176.02675259335277</v>
      </c>
      <c r="CK102" s="168">
        <v>183.78028255890649</v>
      </c>
      <c r="CL102" s="168">
        <v>198.83175706824801</v>
      </c>
      <c r="CM102" s="168">
        <v>214.39946457196945</v>
      </c>
      <c r="CN102" s="168">
        <v>206.81183394367613</v>
      </c>
      <c r="CO102" s="168">
        <v>147.39271942582951</v>
      </c>
    </row>
    <row r="103" spans="1:93" x14ac:dyDescent="0.2">
      <c r="A103" s="118">
        <f t="shared" si="8"/>
        <v>31</v>
      </c>
      <c r="B103" s="243" t="s">
        <v>561</v>
      </c>
      <c r="C103" s="223"/>
      <c r="D103" s="172">
        <f>SUMIF($AH$6:$CP$6,1,$AH103:$CP103)+(SUM($AE$101:$AE$103)*'TOU Split'!D22)</f>
        <v>1090.0311319480422</v>
      </c>
      <c r="E103" s="225" t="s">
        <v>555</v>
      </c>
      <c r="F103" s="173">
        <f>'Exhibit MJC-3 - E-13c cal yr'!F105</f>
        <v>48.8</v>
      </c>
      <c r="G103" s="233" t="s">
        <v>375</v>
      </c>
      <c r="H103" s="187">
        <f>ROUND(D103*F103,2)</f>
        <v>53193.52</v>
      </c>
      <c r="I103" s="229"/>
      <c r="J103" s="172">
        <f t="shared" si="12"/>
        <v>1090.0311319480422</v>
      </c>
      <c r="K103" s="225" t="s">
        <v>555</v>
      </c>
      <c r="L103" s="310">
        <f>L95</f>
        <v>50.24</v>
      </c>
      <c r="M103" s="233" t="s">
        <v>375</v>
      </c>
      <c r="N103" s="187">
        <f>ROUND(J103*L103,2)</f>
        <v>54763.16</v>
      </c>
      <c r="O103" s="227"/>
      <c r="P103" s="1231"/>
      <c r="S103" s="227"/>
      <c r="T103" s="176"/>
      <c r="U103" s="178" t="s">
        <v>580</v>
      </c>
      <c r="V103" s="179">
        <v>242</v>
      </c>
      <c r="W103" s="180">
        <v>216</v>
      </c>
      <c r="Y103" s="178"/>
      <c r="Z103" s="181"/>
      <c r="AB103" s="182">
        <f>SUM(AH103:AS103)</f>
        <v>993.0083242146751</v>
      </c>
      <c r="AC103" s="182">
        <f>SUM(AT103:BE103)</f>
        <v>1005.9562847027319</v>
      </c>
      <c r="AD103" s="182">
        <f>SUM(BF103:BQ103)</f>
        <v>1010.7292727459635</v>
      </c>
      <c r="AE103" s="182">
        <f>SUM(BR103:CC103)</f>
        <v>1015.5315135772205</v>
      </c>
      <c r="AF103" s="182">
        <f>SUM(CD103:CO103)</f>
        <v>1025.9256612157001</v>
      </c>
      <c r="AH103" s="168">
        <v>0</v>
      </c>
      <c r="AI103" s="168">
        <v>0</v>
      </c>
      <c r="AJ103" s="168">
        <v>7.742264710318894</v>
      </c>
      <c r="AK103" s="168">
        <v>73.152843303317837</v>
      </c>
      <c r="AL103" s="168">
        <v>135.27916864715439</v>
      </c>
      <c r="AM103" s="168">
        <v>96.983228553629829</v>
      </c>
      <c r="AN103" s="168">
        <v>115.91340528700759</v>
      </c>
      <c r="AO103" s="168">
        <v>126.45515485132461</v>
      </c>
      <c r="AP103" s="168">
        <v>119.85010927467916</v>
      </c>
      <c r="AQ103" s="168">
        <v>133.82023870799225</v>
      </c>
      <c r="AR103" s="168">
        <v>91.198697798808837</v>
      </c>
      <c r="AS103" s="168">
        <v>92.613213080441611</v>
      </c>
      <c r="AT103" s="168">
        <v>0</v>
      </c>
      <c r="AU103" s="168">
        <v>0</v>
      </c>
      <c r="AV103" s="168">
        <v>7.5330249111346879</v>
      </c>
      <c r="AW103" s="168">
        <v>73.533889693171304</v>
      </c>
      <c r="AX103" s="168">
        <v>134.7675124043503</v>
      </c>
      <c r="AY103" s="168">
        <v>95.097867817193901</v>
      </c>
      <c r="AZ103" s="168">
        <v>120.56222681151425</v>
      </c>
      <c r="BA103" s="168">
        <v>127.83099965801183</v>
      </c>
      <c r="BB103" s="168">
        <v>122.49340263191934</v>
      </c>
      <c r="BC103" s="168">
        <v>138.05649485682301</v>
      </c>
      <c r="BD103" s="168">
        <v>93.23180687056545</v>
      </c>
      <c r="BE103" s="168">
        <v>92.849059048047678</v>
      </c>
      <c r="BF103" s="168">
        <v>0</v>
      </c>
      <c r="BG103" s="168">
        <v>0</v>
      </c>
      <c r="BH103" s="168">
        <v>7.6383623910229161</v>
      </c>
      <c r="BI103" s="168">
        <v>72.651705503653929</v>
      </c>
      <c r="BJ103" s="168">
        <v>135.37628918586222</v>
      </c>
      <c r="BK103" s="168">
        <v>96.985307514957057</v>
      </c>
      <c r="BL103" s="168">
        <v>121.54798286656577</v>
      </c>
      <c r="BM103" s="168">
        <v>129.28321623885421</v>
      </c>
      <c r="BN103" s="168">
        <v>122.97690035024927</v>
      </c>
      <c r="BO103" s="168">
        <v>136.45461909904213</v>
      </c>
      <c r="BP103" s="168">
        <v>92.773580359524075</v>
      </c>
      <c r="BQ103" s="168">
        <v>95.041309236231896</v>
      </c>
      <c r="BR103" s="168">
        <v>0</v>
      </c>
      <c r="BS103" s="168">
        <v>0</v>
      </c>
      <c r="BT103" s="168">
        <v>7.7370421344418521</v>
      </c>
      <c r="BU103" s="168">
        <v>73.970363616304695</v>
      </c>
      <c r="BV103" s="168">
        <v>132.12651685664179</v>
      </c>
      <c r="BW103" s="168">
        <v>98.908457041432982</v>
      </c>
      <c r="BX103" s="168">
        <v>123.90579888452744</v>
      </c>
      <c r="BY103" s="168">
        <v>130.54828171619388</v>
      </c>
      <c r="BZ103" s="168">
        <v>123.52941415987527</v>
      </c>
      <c r="CA103" s="168">
        <v>138.0211891143075</v>
      </c>
      <c r="CB103" s="168">
        <v>93.200350694561749</v>
      </c>
      <c r="CC103" s="168">
        <v>93.584099358933344</v>
      </c>
      <c r="CD103" s="168">
        <v>0</v>
      </c>
      <c r="CE103" s="168">
        <v>0</v>
      </c>
      <c r="CF103" s="168">
        <v>7.5252464662059984</v>
      </c>
      <c r="CG103" s="168">
        <v>75.569710105152751</v>
      </c>
      <c r="CH103" s="168">
        <v>135.84390696831753</v>
      </c>
      <c r="CI103" s="168">
        <v>97.607334888332218</v>
      </c>
      <c r="CJ103" s="168">
        <v>124.04335860992202</v>
      </c>
      <c r="CK103" s="168">
        <v>131.29066046545319</v>
      </c>
      <c r="CL103" s="168">
        <v>126.9167080539036</v>
      </c>
      <c r="CM103" s="168">
        <v>138.87793054426606</v>
      </c>
      <c r="CN103" s="168">
        <v>94.719237123333869</v>
      </c>
      <c r="CO103" s="168">
        <v>93.531567990812903</v>
      </c>
    </row>
    <row r="104" spans="1:93" x14ac:dyDescent="0.2">
      <c r="A104" s="118">
        <f t="shared" si="8"/>
        <v>32</v>
      </c>
      <c r="B104" s="243"/>
      <c r="C104" s="223" t="s">
        <v>374</v>
      </c>
      <c r="D104" s="204">
        <f>SUM(D88:D103)</f>
        <v>2207185.0855162772</v>
      </c>
      <c r="E104" s="233" t="s">
        <v>439</v>
      </c>
      <c r="F104" s="183"/>
      <c r="G104" s="233"/>
      <c r="H104" s="206">
        <f>SUM(H88:H103)-H96</f>
        <v>164105156.91000003</v>
      </c>
      <c r="I104" s="229"/>
      <c r="J104" s="204">
        <f>SUM(J88:J103)</f>
        <v>2207185.0855162772</v>
      </c>
      <c r="K104" s="233" t="s">
        <v>439</v>
      </c>
      <c r="L104" s="183"/>
      <c r="M104" s="233"/>
      <c r="N104" s="206">
        <f>SUM(N88:N103)-N96</f>
        <v>168961696.20000002</v>
      </c>
      <c r="O104" s="227"/>
      <c r="Q104" s="1022"/>
      <c r="S104" s="1235"/>
      <c r="T104" s="176"/>
      <c r="U104" s="184"/>
      <c r="V104" s="179"/>
      <c r="W104" s="180"/>
      <c r="Y104" s="184" t="s">
        <v>136</v>
      </c>
      <c r="Z104" s="181" t="s">
        <v>141</v>
      </c>
      <c r="AB104" s="204">
        <f>SUM(AB88:AB102)</f>
        <v>2173738.4133137064</v>
      </c>
      <c r="AC104" s="204">
        <f>SUM(AC88:AC102)</f>
        <v>2187422.1898487946</v>
      </c>
      <c r="AD104" s="204">
        <f>SUM(AD88:AD102)</f>
        <v>2196397.3031086666</v>
      </c>
      <c r="AE104" s="204">
        <f>SUM(AE88:AE102)</f>
        <v>2206169.5540027004</v>
      </c>
      <c r="AF104" s="204">
        <f>SUM(AF88:AF102)</f>
        <v>2219124.1364997942</v>
      </c>
      <c r="AH104" s="204">
        <f t="shared" ref="AH104:CO104" si="13">SUM(AH88:AH103)</f>
        <v>175167.0232493782</v>
      </c>
      <c r="AI104" s="204">
        <f t="shared" si="13"/>
        <v>152286.23178611457</v>
      </c>
      <c r="AJ104" s="204">
        <f t="shared" si="13"/>
        <v>137544.16863751574</v>
      </c>
      <c r="AK104" s="204">
        <f t="shared" si="13"/>
        <v>155844.15677428368</v>
      </c>
      <c r="AL104" s="204">
        <f t="shared" si="13"/>
        <v>185611.99134459675</v>
      </c>
      <c r="AM104" s="204">
        <f t="shared" si="13"/>
        <v>208790.58731771674</v>
      </c>
      <c r="AN104" s="204">
        <f t="shared" si="13"/>
        <v>210006.13790865065</v>
      </c>
      <c r="AO104" s="204">
        <f t="shared" si="13"/>
        <v>225154.41244409585</v>
      </c>
      <c r="AP104" s="204">
        <f t="shared" si="13"/>
        <v>213759.62237049843</v>
      </c>
      <c r="AQ104" s="204">
        <f t="shared" si="13"/>
        <v>192934.60967480441</v>
      </c>
      <c r="AR104" s="204">
        <f t="shared" si="13"/>
        <v>170726.94652141698</v>
      </c>
      <c r="AS104" s="204">
        <f t="shared" si="13"/>
        <v>146905.53360884867</v>
      </c>
      <c r="AT104" s="204">
        <f t="shared" si="13"/>
        <v>171981.95846542058</v>
      </c>
      <c r="AU104" s="204">
        <f t="shared" si="13"/>
        <v>150959.97035914162</v>
      </c>
      <c r="AV104" s="204">
        <f t="shared" si="13"/>
        <v>133826.94695865543</v>
      </c>
      <c r="AW104" s="204">
        <f t="shared" si="13"/>
        <v>156655.93456222795</v>
      </c>
      <c r="AX104" s="204">
        <f t="shared" si="13"/>
        <v>184909.9650454963</v>
      </c>
      <c r="AY104" s="204">
        <f t="shared" si="13"/>
        <v>204731.68371822947</v>
      </c>
      <c r="AZ104" s="204">
        <f t="shared" si="13"/>
        <v>218428.64134361513</v>
      </c>
      <c r="BA104" s="204">
        <f t="shared" si="13"/>
        <v>227604.1151029407</v>
      </c>
      <c r="BB104" s="204">
        <f t="shared" si="13"/>
        <v>218474.08941001652</v>
      </c>
      <c r="BC104" s="204">
        <f t="shared" si="13"/>
        <v>199042.20920121559</v>
      </c>
      <c r="BD104" s="204">
        <f t="shared" si="13"/>
        <v>174532.99323199337</v>
      </c>
      <c r="BE104" s="204">
        <f t="shared" si="13"/>
        <v>147279.63873454573</v>
      </c>
      <c r="BF104" s="204">
        <f t="shared" si="13"/>
        <v>168959.20913584845</v>
      </c>
      <c r="BG104" s="204">
        <f t="shared" si="13"/>
        <v>152527.91506482064</v>
      </c>
      <c r="BH104" s="204">
        <f t="shared" si="13"/>
        <v>135698.3058749022</v>
      </c>
      <c r="BI104" s="204">
        <f t="shared" si="13"/>
        <v>154776.53733135221</v>
      </c>
      <c r="BJ104" s="204">
        <f t="shared" si="13"/>
        <v>185745.24716491494</v>
      </c>
      <c r="BK104" s="204">
        <f t="shared" si="13"/>
        <v>208795.06301483462</v>
      </c>
      <c r="BL104" s="204">
        <f t="shared" si="13"/>
        <v>220214.58509644383</v>
      </c>
      <c r="BM104" s="204">
        <f t="shared" si="13"/>
        <v>230189.79831518757</v>
      </c>
      <c r="BN104" s="204">
        <f t="shared" si="13"/>
        <v>219336.43563825681</v>
      </c>
      <c r="BO104" s="204">
        <f t="shared" si="13"/>
        <v>196732.71343989519</v>
      </c>
      <c r="BP104" s="204">
        <f t="shared" si="13"/>
        <v>173675.17820904378</v>
      </c>
      <c r="BQ104" s="204">
        <f t="shared" si="13"/>
        <v>150757.04409591216</v>
      </c>
      <c r="BR104" s="204">
        <f t="shared" si="13"/>
        <v>168381.85976489153</v>
      </c>
      <c r="BS104" s="204">
        <f t="shared" si="13"/>
        <v>150382.89402186303</v>
      </c>
      <c r="BT104" s="204">
        <f t="shared" si="13"/>
        <v>137451.38766398525</v>
      </c>
      <c r="BU104" s="204">
        <f t="shared" si="13"/>
        <v>157585.79466653912</v>
      </c>
      <c r="BV104" s="204">
        <f t="shared" si="13"/>
        <v>181286.34399840835</v>
      </c>
      <c r="BW104" s="204">
        <f t="shared" si="13"/>
        <v>212935.32030592547</v>
      </c>
      <c r="BX104" s="204">
        <f t="shared" si="13"/>
        <v>224486.35879341399</v>
      </c>
      <c r="BY104" s="204">
        <f t="shared" si="13"/>
        <v>232442.25749400555</v>
      </c>
      <c r="BZ104" s="204">
        <f t="shared" si="13"/>
        <v>220321.87606893224</v>
      </c>
      <c r="CA104" s="204">
        <f t="shared" si="13"/>
        <v>198991.30733676464</v>
      </c>
      <c r="CB104" s="204">
        <f t="shared" si="13"/>
        <v>174474.10624119229</v>
      </c>
      <c r="CC104" s="204">
        <f t="shared" si="13"/>
        <v>148445.57916035611</v>
      </c>
      <c r="CD104" s="204">
        <f t="shared" si="13"/>
        <v>169505.92475856942</v>
      </c>
      <c r="CE104" s="204">
        <f t="shared" si="13"/>
        <v>148672.06719904646</v>
      </c>
      <c r="CF104" s="204">
        <f t="shared" si="13"/>
        <v>133688.76003518549</v>
      </c>
      <c r="CG104" s="204">
        <f t="shared" si="13"/>
        <v>160993.02798364975</v>
      </c>
      <c r="CH104" s="204">
        <f t="shared" si="13"/>
        <v>186386.8497757061</v>
      </c>
      <c r="CI104" s="204">
        <f t="shared" si="13"/>
        <v>210134.1962088063</v>
      </c>
      <c r="CJ104" s="204">
        <f t="shared" si="13"/>
        <v>224735.5826566105</v>
      </c>
      <c r="CK104" s="204">
        <f t="shared" si="13"/>
        <v>233764.06878194388</v>
      </c>
      <c r="CL104" s="204">
        <f t="shared" si="13"/>
        <v>226363.31122512333</v>
      </c>
      <c r="CM104" s="204">
        <f t="shared" si="13"/>
        <v>200226.50968715028</v>
      </c>
      <c r="CN104" s="204">
        <f t="shared" si="13"/>
        <v>177317.51133749259</v>
      </c>
      <c r="CO104" s="204">
        <f t="shared" si="13"/>
        <v>148362.25251172512</v>
      </c>
    </row>
    <row r="105" spans="1:93" x14ac:dyDescent="0.2">
      <c r="A105" s="118">
        <f t="shared" si="8"/>
        <v>33</v>
      </c>
      <c r="B105" s="246" t="s">
        <v>563</v>
      </c>
      <c r="C105" s="223"/>
      <c r="D105" s="168"/>
      <c r="E105" s="225"/>
      <c r="F105" s="197"/>
      <c r="G105" s="233"/>
      <c r="H105" s="174"/>
      <c r="I105" s="229"/>
      <c r="J105" s="247"/>
      <c r="K105" s="227"/>
      <c r="L105" s="197"/>
      <c r="M105" s="227"/>
      <c r="N105" s="203"/>
      <c r="O105" s="227"/>
      <c r="S105" s="230"/>
      <c r="T105" s="227"/>
      <c r="U105" s="184"/>
      <c r="V105" s="179"/>
      <c r="W105" s="180"/>
      <c r="Y105" s="184"/>
      <c r="Z105" s="181"/>
      <c r="AB105" s="193">
        <f>SUM(AH105:AS105)</f>
        <v>0</v>
      </c>
      <c r="AC105" s="193">
        <f>SUM(AT105:BE105)</f>
        <v>0</v>
      </c>
      <c r="AD105" s="193">
        <f>SUM(BF105:BQ105)</f>
        <v>0</v>
      </c>
      <c r="AE105" s="193">
        <f>SUM(BR105:CC105)</f>
        <v>0</v>
      </c>
      <c r="AF105" s="193">
        <f>SUM(CD105:CO105)</f>
        <v>0</v>
      </c>
      <c r="AH105" s="193">
        <v>0</v>
      </c>
      <c r="AI105" s="193">
        <v>0</v>
      </c>
      <c r="AJ105" s="193">
        <v>0</v>
      </c>
      <c r="AK105" s="193">
        <v>0</v>
      </c>
      <c r="AL105" s="193">
        <v>0</v>
      </c>
      <c r="AM105" s="193">
        <v>0</v>
      </c>
      <c r="AN105" s="193">
        <v>0</v>
      </c>
      <c r="AO105" s="193">
        <v>0</v>
      </c>
      <c r="AP105" s="193">
        <v>0</v>
      </c>
      <c r="AQ105" s="193">
        <v>0</v>
      </c>
      <c r="AR105" s="193">
        <v>0</v>
      </c>
      <c r="AS105" s="193">
        <v>0</v>
      </c>
      <c r="AT105" s="193">
        <v>0</v>
      </c>
      <c r="AU105" s="193">
        <v>0</v>
      </c>
      <c r="AV105" s="193">
        <v>0</v>
      </c>
      <c r="AW105" s="193">
        <v>0</v>
      </c>
      <c r="AX105" s="193">
        <v>0</v>
      </c>
      <c r="AY105" s="193">
        <v>0</v>
      </c>
      <c r="AZ105" s="193">
        <v>0</v>
      </c>
      <c r="BA105" s="193">
        <v>0</v>
      </c>
      <c r="BB105" s="193">
        <v>0</v>
      </c>
      <c r="BC105" s="193">
        <v>0</v>
      </c>
      <c r="BD105" s="193">
        <v>0</v>
      </c>
      <c r="BE105" s="193">
        <v>0</v>
      </c>
      <c r="BF105" s="193">
        <v>0</v>
      </c>
      <c r="BG105" s="193">
        <v>0</v>
      </c>
      <c r="BH105" s="193">
        <v>0</v>
      </c>
      <c r="BI105" s="193">
        <v>0</v>
      </c>
      <c r="BJ105" s="193">
        <v>0</v>
      </c>
      <c r="BK105" s="193">
        <v>0</v>
      </c>
      <c r="BL105" s="193">
        <v>0</v>
      </c>
      <c r="BM105" s="193">
        <v>0</v>
      </c>
      <c r="BN105" s="193">
        <v>0</v>
      </c>
      <c r="BO105" s="193">
        <v>0</v>
      </c>
      <c r="BP105" s="193">
        <v>0</v>
      </c>
      <c r="BQ105" s="193">
        <v>0</v>
      </c>
      <c r="BR105" s="193">
        <v>0</v>
      </c>
      <c r="BS105" s="193">
        <v>0</v>
      </c>
      <c r="BT105" s="193">
        <v>0</v>
      </c>
      <c r="BU105" s="193">
        <v>0</v>
      </c>
      <c r="BV105" s="193">
        <v>0</v>
      </c>
      <c r="BW105" s="193">
        <v>0</v>
      </c>
      <c r="BX105" s="193">
        <v>0</v>
      </c>
      <c r="BY105" s="193">
        <v>0</v>
      </c>
      <c r="BZ105" s="193">
        <v>0</v>
      </c>
      <c r="CA105" s="193">
        <v>0</v>
      </c>
      <c r="CB105" s="193">
        <v>0</v>
      </c>
      <c r="CC105" s="193">
        <v>0</v>
      </c>
      <c r="CD105" s="193">
        <v>0</v>
      </c>
      <c r="CE105" s="193">
        <v>0</v>
      </c>
      <c r="CF105" s="193">
        <v>0</v>
      </c>
      <c r="CG105" s="193">
        <v>0</v>
      </c>
      <c r="CH105" s="193">
        <v>0</v>
      </c>
      <c r="CI105" s="193">
        <v>0</v>
      </c>
      <c r="CJ105" s="193">
        <v>0</v>
      </c>
      <c r="CK105" s="193">
        <v>0</v>
      </c>
      <c r="CL105" s="193">
        <v>0</v>
      </c>
      <c r="CM105" s="193">
        <v>0</v>
      </c>
      <c r="CN105" s="193">
        <v>0</v>
      </c>
      <c r="CO105" s="193">
        <v>0</v>
      </c>
    </row>
    <row r="106" spans="1:93" x14ac:dyDescent="0.2">
      <c r="A106" s="118">
        <f t="shared" si="8"/>
        <v>34</v>
      </c>
      <c r="B106" s="234" t="s">
        <v>582</v>
      </c>
      <c r="C106" s="227"/>
      <c r="D106" s="172">
        <f>SUM(H89,H97:H99)</f>
        <v>2107139.56</v>
      </c>
      <c r="E106" s="233" t="s">
        <v>10</v>
      </c>
      <c r="F106" s="248">
        <v>0.01</v>
      </c>
      <c r="G106" s="233" t="s">
        <v>375</v>
      </c>
      <c r="H106" s="174">
        <f>ROUND(D106*-F106,2)</f>
        <v>-21071.4</v>
      </c>
      <c r="I106" s="229"/>
      <c r="J106" s="172">
        <f>SUM(N89,N97:N99)</f>
        <v>2169498.23</v>
      </c>
      <c r="K106" s="233" t="s">
        <v>10</v>
      </c>
      <c r="L106" s="248">
        <v>0.01</v>
      </c>
      <c r="M106" s="233" t="s">
        <v>375</v>
      </c>
      <c r="N106" s="174">
        <f>ROUND(J106*-L106,2)</f>
        <v>-21694.98</v>
      </c>
      <c r="O106" s="227"/>
      <c r="S106" s="230"/>
      <c r="T106" s="176"/>
      <c r="U106" s="178" t="s">
        <v>580</v>
      </c>
      <c r="V106" s="179">
        <v>242</v>
      </c>
      <c r="W106" s="180">
        <v>216</v>
      </c>
      <c r="Y106" s="184" t="s">
        <v>136</v>
      </c>
      <c r="Z106" s="181" t="s">
        <v>417</v>
      </c>
      <c r="AB106" s="182"/>
      <c r="AC106" s="182"/>
      <c r="AD106" s="182"/>
      <c r="AE106" s="182"/>
      <c r="AF106" s="182"/>
      <c r="AH106" s="174">
        <v>-238.03714698953019</v>
      </c>
      <c r="AI106" s="174">
        <v>-557.55728692625951</v>
      </c>
      <c r="AJ106" s="174">
        <v>-1532.524300904952</v>
      </c>
      <c r="AK106" s="174">
        <v>-1326.231124321776</v>
      </c>
      <c r="AL106" s="174">
        <v>-1870.8986499066682</v>
      </c>
      <c r="AM106" s="174">
        <v>-1854.9059323120696</v>
      </c>
      <c r="AN106" s="174">
        <v>-2564.2171478120736</v>
      </c>
      <c r="AO106" s="174">
        <v>-2436.2061205780278</v>
      </c>
      <c r="AP106" s="174">
        <v>-2678.214646647928</v>
      </c>
      <c r="AQ106" s="174">
        <v>-2468.4085507862296</v>
      </c>
      <c r="AR106" s="174">
        <v>-1348.7777014425751</v>
      </c>
      <c r="AS106" s="174">
        <v>-1024.9199830194564</v>
      </c>
      <c r="AT106" s="174">
        <v>-240.7062484102662</v>
      </c>
      <c r="AU106" s="174">
        <v>-569.24394899711035</v>
      </c>
      <c r="AV106" s="174">
        <v>-1535.8102243255914</v>
      </c>
      <c r="AW106" s="174">
        <v>-1373.1222049275941</v>
      </c>
      <c r="AX106" s="174">
        <v>-1919.7108996951029</v>
      </c>
      <c r="AY106" s="174">
        <v>-1873.3504110091287</v>
      </c>
      <c r="AZ106" s="174">
        <v>-2746.9397512152395</v>
      </c>
      <c r="BA106" s="174">
        <v>-2536.477373753135</v>
      </c>
      <c r="BB106" s="174">
        <v>-2819.2728100338022</v>
      </c>
      <c r="BC106" s="174">
        <v>-2622.8191134646427</v>
      </c>
      <c r="BD106" s="174">
        <v>-1420.1875813867498</v>
      </c>
      <c r="BE106" s="174">
        <v>-1058.3444677699406</v>
      </c>
      <c r="BF106" s="174">
        <v>-236.47560318737067</v>
      </c>
      <c r="BG106" s="174">
        <v>-575.15639740277993</v>
      </c>
      <c r="BH106" s="174">
        <v>-1557.2861095809164</v>
      </c>
      <c r="BI106" s="174">
        <v>-1356.6488930367525</v>
      </c>
      <c r="BJ106" s="174">
        <v>-1928.3826886307281</v>
      </c>
      <c r="BK106" s="174">
        <v>-1910.53143319941</v>
      </c>
      <c r="BL106" s="174">
        <v>-2769.3996257898493</v>
      </c>
      <c r="BM106" s="174">
        <v>-2565.2928763225464</v>
      </c>
      <c r="BN106" s="174">
        <v>-2830.4008540077057</v>
      </c>
      <c r="BO106" s="174">
        <v>-2592.3864245914351</v>
      </c>
      <c r="BP106" s="174">
        <v>-1413.2074785410905</v>
      </c>
      <c r="BQ106" s="174">
        <v>-1083.3329370384522</v>
      </c>
      <c r="BR106" s="174">
        <v>-235.66754400287778</v>
      </c>
      <c r="BS106" s="174">
        <v>-567.06789389903531</v>
      </c>
      <c r="BT106" s="174">
        <v>-1577.4046357592399</v>
      </c>
      <c r="BU106" s="174">
        <v>-1381.2726242543442</v>
      </c>
      <c r="BV106" s="174">
        <v>-1882.090943308503</v>
      </c>
      <c r="BW106" s="174">
        <v>-1948.4159098816972</v>
      </c>
      <c r="BX106" s="174">
        <v>-2823.1210833066939</v>
      </c>
      <c r="BY106" s="174">
        <v>-2590.394846644087</v>
      </c>
      <c r="BZ106" s="174">
        <v>-2843.1173524245824</v>
      </c>
      <c r="CA106" s="174">
        <v>-2622.1483693871492</v>
      </c>
      <c r="CB106" s="174">
        <v>-1419.7084136861777</v>
      </c>
      <c r="CC106" s="174">
        <v>-1066.7228601261968</v>
      </c>
      <c r="CD106" s="174">
        <v>-237.24078732451318</v>
      </c>
      <c r="CE106" s="174">
        <v>-560.61666173230014</v>
      </c>
      <c r="CF106" s="174">
        <v>-1534.2243786139729</v>
      </c>
      <c r="CG106" s="174">
        <v>-1411.1377406839756</v>
      </c>
      <c r="CH106" s="174">
        <v>-1935.0437224203649</v>
      </c>
      <c r="CI106" s="174">
        <v>-1922.7848649778323</v>
      </c>
      <c r="CJ106" s="174">
        <v>-2826.2553011114405</v>
      </c>
      <c r="CK106" s="174">
        <v>-2605.125443332598</v>
      </c>
      <c r="CL106" s="174">
        <v>-2921.0783313005109</v>
      </c>
      <c r="CM106" s="174">
        <v>-2638.4248785084537</v>
      </c>
      <c r="CN106" s="174">
        <v>-1442.8454064795676</v>
      </c>
      <c r="CO106" s="174">
        <v>-1066.1240787986887</v>
      </c>
    </row>
    <row r="107" spans="1:93" x14ac:dyDescent="0.2">
      <c r="A107" s="118">
        <f t="shared" si="8"/>
        <v>35</v>
      </c>
      <c r="B107" s="234" t="s">
        <v>583</v>
      </c>
      <c r="C107" s="227"/>
      <c r="D107" s="172">
        <f>SUM(H90,H101:H103)</f>
        <v>237924.34</v>
      </c>
      <c r="E107" s="233" t="s">
        <v>10</v>
      </c>
      <c r="F107" s="248">
        <v>0.02</v>
      </c>
      <c r="G107" s="233" t="s">
        <v>375</v>
      </c>
      <c r="H107" s="174">
        <f>ROUND(D107*-F107,2)</f>
        <v>-4758.49</v>
      </c>
      <c r="I107" s="229"/>
      <c r="J107" s="172">
        <f>SUM(N90,N101:N103)</f>
        <v>244962.41</v>
      </c>
      <c r="K107" s="233" t="s">
        <v>10</v>
      </c>
      <c r="L107" s="248">
        <v>0.02</v>
      </c>
      <c r="M107" s="233" t="s">
        <v>375</v>
      </c>
      <c r="N107" s="174">
        <f>ROUND(J107*-L107,2)</f>
        <v>-4899.25</v>
      </c>
      <c r="O107" s="227"/>
      <c r="T107" s="176"/>
      <c r="U107" s="178" t="s">
        <v>580</v>
      </c>
      <c r="V107" s="179">
        <v>242</v>
      </c>
      <c r="W107" s="180">
        <v>216</v>
      </c>
      <c r="X107" s="213"/>
      <c r="Y107" s="184" t="s">
        <v>136</v>
      </c>
      <c r="Z107" s="181" t="s">
        <v>417</v>
      </c>
      <c r="AA107" s="213"/>
      <c r="AB107" s="182"/>
      <c r="AC107" s="182"/>
      <c r="AD107" s="182"/>
      <c r="AE107" s="182"/>
      <c r="AF107" s="182"/>
      <c r="AH107" s="174">
        <v>0</v>
      </c>
      <c r="AI107" s="174">
        <v>0</v>
      </c>
      <c r="AJ107" s="174">
        <v>0</v>
      </c>
      <c r="AK107" s="174">
        <v>0</v>
      </c>
      <c r="AL107" s="174">
        <v>0</v>
      </c>
      <c r="AM107" s="174">
        <v>0</v>
      </c>
      <c r="AN107" s="174">
        <v>0</v>
      </c>
      <c r="AO107" s="174">
        <v>0</v>
      </c>
      <c r="AP107" s="174">
        <v>0</v>
      </c>
      <c r="AQ107" s="174">
        <v>0</v>
      </c>
      <c r="AR107" s="174">
        <v>0</v>
      </c>
      <c r="AS107" s="174">
        <v>0</v>
      </c>
      <c r="AT107" s="174">
        <v>0</v>
      </c>
      <c r="AU107" s="174">
        <v>0</v>
      </c>
      <c r="AV107" s="174">
        <v>0</v>
      </c>
      <c r="AW107" s="174">
        <v>0</v>
      </c>
      <c r="AX107" s="174">
        <v>0</v>
      </c>
      <c r="AY107" s="174">
        <v>0</v>
      </c>
      <c r="AZ107" s="174">
        <v>0</v>
      </c>
      <c r="BA107" s="174">
        <v>0</v>
      </c>
      <c r="BB107" s="174">
        <v>0</v>
      </c>
      <c r="BC107" s="174">
        <v>0</v>
      </c>
      <c r="BD107" s="174">
        <v>0</v>
      </c>
      <c r="BE107" s="174">
        <v>0</v>
      </c>
      <c r="BF107" s="174">
        <v>0</v>
      </c>
      <c r="BG107" s="174">
        <v>0</v>
      </c>
      <c r="BH107" s="174">
        <v>0</v>
      </c>
      <c r="BI107" s="174">
        <v>0</v>
      </c>
      <c r="BJ107" s="174">
        <v>0</v>
      </c>
      <c r="BK107" s="174">
        <v>0</v>
      </c>
      <c r="BL107" s="174">
        <v>0</v>
      </c>
      <c r="BM107" s="174">
        <v>0</v>
      </c>
      <c r="BN107" s="174">
        <v>0</v>
      </c>
      <c r="BO107" s="174">
        <v>0</v>
      </c>
      <c r="BP107" s="174">
        <v>0</v>
      </c>
      <c r="BQ107" s="174">
        <v>0</v>
      </c>
      <c r="BR107" s="174">
        <v>0</v>
      </c>
      <c r="BS107" s="174">
        <v>0</v>
      </c>
      <c r="BT107" s="174">
        <v>0</v>
      </c>
      <c r="BU107" s="174">
        <v>0</v>
      </c>
      <c r="BV107" s="174">
        <v>0</v>
      </c>
      <c r="BW107" s="174">
        <v>0</v>
      </c>
      <c r="BX107" s="174">
        <v>0</v>
      </c>
      <c r="BY107" s="174">
        <v>0</v>
      </c>
      <c r="BZ107" s="174">
        <v>0</v>
      </c>
      <c r="CA107" s="174">
        <v>0</v>
      </c>
      <c r="CB107" s="174">
        <v>0</v>
      </c>
      <c r="CC107" s="174">
        <v>0</v>
      </c>
      <c r="CD107" s="174">
        <v>0</v>
      </c>
      <c r="CE107" s="174">
        <v>0</v>
      </c>
      <c r="CF107" s="174">
        <v>0</v>
      </c>
      <c r="CG107" s="174">
        <v>0</v>
      </c>
      <c r="CH107" s="174">
        <v>0</v>
      </c>
      <c r="CI107" s="174">
        <v>0</v>
      </c>
      <c r="CJ107" s="174">
        <v>0</v>
      </c>
      <c r="CK107" s="174">
        <v>0</v>
      </c>
      <c r="CL107" s="174">
        <v>0</v>
      </c>
      <c r="CM107" s="174">
        <v>0</v>
      </c>
      <c r="CN107" s="174">
        <v>0</v>
      </c>
      <c r="CO107" s="174">
        <v>0</v>
      </c>
    </row>
    <row r="108" spans="1:93" x14ac:dyDescent="0.2">
      <c r="A108" s="118">
        <f t="shared" si="8"/>
        <v>36</v>
      </c>
      <c r="B108" s="171" t="s">
        <v>564</v>
      </c>
      <c r="C108" s="227"/>
      <c r="D108" s="174"/>
      <c r="E108" s="233"/>
      <c r="F108" s="166"/>
      <c r="G108" s="233"/>
      <c r="H108" s="174">
        <f>'MFR E-5 Yr4'!K22*1000</f>
        <v>4105974.5579999997</v>
      </c>
      <c r="I108" s="162"/>
      <c r="J108" s="208"/>
      <c r="K108" s="166"/>
      <c r="L108" s="166"/>
      <c r="M108" s="143"/>
      <c r="N108" s="174">
        <f>H108</f>
        <v>4105974.5579999997</v>
      </c>
      <c r="O108" s="227"/>
      <c r="Q108" s="176"/>
      <c r="T108" s="213"/>
      <c r="U108" s="178"/>
      <c r="V108" s="179"/>
      <c r="W108" s="180"/>
      <c r="X108" s="213"/>
      <c r="Y108" s="184" t="s">
        <v>136</v>
      </c>
      <c r="Z108" s="181" t="s">
        <v>565</v>
      </c>
      <c r="AA108" s="213"/>
      <c r="AB108" s="182"/>
      <c r="AC108" s="182"/>
      <c r="AD108" s="182"/>
      <c r="AE108" s="182"/>
      <c r="AF108" s="182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</row>
    <row r="109" spans="1:93" x14ac:dyDescent="0.2">
      <c r="A109" s="118">
        <f t="shared" si="8"/>
        <v>37</v>
      </c>
      <c r="B109" s="171" t="s">
        <v>566</v>
      </c>
      <c r="C109" s="227"/>
      <c r="D109" s="174"/>
      <c r="E109" s="233"/>
      <c r="F109" s="166"/>
      <c r="G109" s="233"/>
      <c r="H109" s="174">
        <f>'MFR E-5 Yr4'!K23*1000</f>
        <v>1745039.1871499945</v>
      </c>
      <c r="I109" s="162"/>
      <c r="J109" s="208"/>
      <c r="K109" s="166"/>
      <c r="L109" s="166"/>
      <c r="M109" s="143"/>
      <c r="N109" s="174">
        <f>H109</f>
        <v>1745039.1871499945</v>
      </c>
      <c r="O109" s="227"/>
      <c r="Q109" s="176"/>
      <c r="T109" s="213"/>
      <c r="U109" s="178"/>
      <c r="V109" s="179"/>
      <c r="W109" s="180"/>
      <c r="X109" s="213"/>
      <c r="Y109" s="184" t="s">
        <v>136</v>
      </c>
      <c r="Z109" s="181" t="s">
        <v>565</v>
      </c>
      <c r="AA109" s="213"/>
      <c r="AB109" s="182"/>
      <c r="AC109" s="182"/>
      <c r="AD109" s="182"/>
      <c r="AE109" s="182"/>
      <c r="AF109" s="182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</row>
    <row r="110" spans="1:93" x14ac:dyDescent="0.2">
      <c r="A110" s="118">
        <f t="shared" si="8"/>
        <v>38</v>
      </c>
      <c r="B110" s="171" t="s">
        <v>158</v>
      </c>
      <c r="C110" s="227"/>
      <c r="D110" s="174"/>
      <c r="E110" s="233"/>
      <c r="F110" s="166"/>
      <c r="G110" s="233"/>
      <c r="H110" s="174">
        <f>'MFR E-5 Yr4'!K19*1000</f>
        <v>4005505.7</v>
      </c>
      <c r="I110" s="162"/>
      <c r="J110" s="208"/>
      <c r="K110" s="166"/>
      <c r="L110" s="166"/>
      <c r="M110" s="143"/>
      <c r="N110" s="174">
        <f>H110</f>
        <v>4005505.7</v>
      </c>
      <c r="O110" s="227"/>
      <c r="Q110" s="176"/>
      <c r="T110" s="213"/>
      <c r="U110" s="178"/>
      <c r="V110" s="179"/>
      <c r="W110" s="180"/>
      <c r="X110" s="213"/>
      <c r="Y110" s="184" t="s">
        <v>136</v>
      </c>
      <c r="Z110" s="181" t="s">
        <v>569</v>
      </c>
      <c r="AA110" s="213"/>
      <c r="AB110" s="182">
        <v>92.100000000000009</v>
      </c>
      <c r="AC110" s="1142">
        <f>AB110/AB111</f>
        <v>1.0736768477500584</v>
      </c>
      <c r="AD110" s="182"/>
      <c r="AE110" s="182"/>
      <c r="AF110" s="182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</row>
    <row r="111" spans="1:93" x14ac:dyDescent="0.2">
      <c r="A111" s="118">
        <f t="shared" si="8"/>
        <v>39</v>
      </c>
      <c r="B111" s="234"/>
      <c r="C111" s="223" t="s">
        <v>374</v>
      </c>
      <c r="D111" s="304"/>
      <c r="E111" s="168"/>
      <c r="G111" s="223"/>
      <c r="H111" s="206">
        <f>H106+H107+H108+H109+H110</f>
        <v>9830689.5551499948</v>
      </c>
      <c r="I111" s="229"/>
      <c r="J111" s="1226">
        <f>J93+J97+J101</f>
        <v>16616.424854664361</v>
      </c>
      <c r="K111" s="168"/>
      <c r="M111" s="223"/>
      <c r="N111" s="206">
        <f>N106+N107+N108+N110</f>
        <v>8084886.0279999999</v>
      </c>
      <c r="O111" s="227"/>
      <c r="Q111" s="176"/>
      <c r="T111" s="182"/>
      <c r="U111" s="184"/>
      <c r="V111" s="179"/>
      <c r="W111" s="180"/>
      <c r="X111" s="182"/>
      <c r="Y111" s="184"/>
      <c r="Z111" s="181"/>
      <c r="AA111" s="182"/>
      <c r="AB111" s="101">
        <v>85.78</v>
      </c>
      <c r="AC111" s="1142"/>
    </row>
    <row r="112" spans="1:93" x14ac:dyDescent="0.2">
      <c r="A112" s="118">
        <f t="shared" si="8"/>
        <v>40</v>
      </c>
      <c r="B112" s="234"/>
      <c r="C112" s="227"/>
      <c r="D112" s="304"/>
      <c r="E112" s="168"/>
      <c r="F112" s="197"/>
      <c r="G112" s="223"/>
      <c r="H112" s="174"/>
      <c r="I112" s="229"/>
      <c r="J112" s="1226">
        <f>J94+J98+J102</f>
        <v>93184.902714321332</v>
      </c>
      <c r="K112" s="227"/>
      <c r="L112" s="197"/>
      <c r="M112" s="227"/>
      <c r="N112" s="203"/>
      <c r="O112" s="227"/>
      <c r="Q112" s="227"/>
      <c r="T112" s="250"/>
      <c r="U112" s="184"/>
      <c r="V112" s="179"/>
      <c r="W112" s="180"/>
      <c r="X112" s="250"/>
      <c r="Y112" s="184"/>
      <c r="Z112" s="181"/>
      <c r="AA112" s="250"/>
      <c r="AB112" s="101">
        <v>48.06</v>
      </c>
      <c r="AC112" s="1142">
        <f>AB112/AB111</f>
        <v>0.56027045931452557</v>
      </c>
    </row>
    <row r="113" spans="1:93" ht="10.8" thickBot="1" x14ac:dyDescent="0.25">
      <c r="A113" s="118">
        <f t="shared" si="8"/>
        <v>41</v>
      </c>
      <c r="B113" s="246" t="s">
        <v>584</v>
      </c>
      <c r="C113" s="223"/>
      <c r="D113" s="304"/>
      <c r="E113" s="225"/>
      <c r="F113" s="183"/>
      <c r="G113" s="223"/>
      <c r="H113" s="210">
        <f>H84+H104+H111</f>
        <v>199908087.10515001</v>
      </c>
      <c r="I113" s="229"/>
      <c r="J113" s="1226">
        <f>J95+J99+J103</f>
        <v>29918.980905424269</v>
      </c>
      <c r="K113" s="225"/>
      <c r="L113" s="183"/>
      <c r="M113" s="223"/>
      <c r="N113" s="210">
        <f>N84+N104+N111</f>
        <v>203789025.52800003</v>
      </c>
      <c r="O113" s="227"/>
      <c r="Q113" s="939">
        <f>(N113-H113)/H113</f>
        <v>1.94136139215252E-2</v>
      </c>
      <c r="T113" s="250"/>
      <c r="U113" s="184"/>
      <c r="V113" s="179"/>
      <c r="W113" s="180"/>
      <c r="X113" s="250"/>
      <c r="Y113" s="184" t="s">
        <v>136</v>
      </c>
      <c r="Z113" s="181" t="s">
        <v>121</v>
      </c>
      <c r="AA113" s="250"/>
    </row>
    <row r="114" spans="1:93" ht="10.8" thickTop="1" x14ac:dyDescent="0.2">
      <c r="A114" s="118">
        <f t="shared" si="8"/>
        <v>42</v>
      </c>
      <c r="B114" s="143"/>
      <c r="C114" s="143"/>
      <c r="D114" s="143"/>
      <c r="E114" s="166"/>
      <c r="F114" s="166"/>
      <c r="G114" s="143"/>
      <c r="H114" s="143"/>
      <c r="I114" s="162"/>
      <c r="J114" s="143"/>
      <c r="K114" s="166"/>
      <c r="L114" s="166"/>
      <c r="M114" s="143"/>
      <c r="N114" s="174"/>
      <c r="U114" s="184"/>
      <c r="V114" s="139"/>
      <c r="W114" s="140"/>
      <c r="Y114" s="184"/>
      <c r="Z114" s="141"/>
    </row>
    <row r="115" spans="1:93" x14ac:dyDescent="0.2">
      <c r="A115" s="118">
        <f t="shared" si="8"/>
        <v>43</v>
      </c>
      <c r="B115" s="102"/>
      <c r="C115" s="1348"/>
      <c r="D115" s="1349"/>
      <c r="E115" s="1349"/>
      <c r="F115" s="1349"/>
      <c r="G115" s="143"/>
      <c r="H115" s="1147"/>
      <c r="I115" s="162"/>
      <c r="J115" s="171" t="s">
        <v>573</v>
      </c>
      <c r="K115" s="166"/>
      <c r="L115" s="166"/>
      <c r="M115" s="143"/>
      <c r="N115" s="174">
        <f>N113-H113</f>
        <v>3880938.4228500128</v>
      </c>
      <c r="S115" s="1147"/>
      <c r="U115" s="184"/>
      <c r="V115" s="139"/>
      <c r="W115" s="140"/>
      <c r="Y115" s="184"/>
      <c r="Z115" s="141"/>
    </row>
    <row r="116" spans="1:93" x14ac:dyDescent="0.2">
      <c r="A116" s="118">
        <f t="shared" si="8"/>
        <v>44</v>
      </c>
      <c r="B116" s="143"/>
      <c r="C116" s="1351"/>
      <c r="D116" s="1352"/>
      <c r="E116" s="1352"/>
      <c r="F116" s="1353"/>
      <c r="G116" s="143"/>
      <c r="H116" s="1148"/>
      <c r="I116" s="162"/>
      <c r="J116" s="171"/>
      <c r="K116" s="166"/>
      <c r="L116" s="166"/>
      <c r="M116" s="143"/>
      <c r="N116" s="212"/>
      <c r="S116" s="1148"/>
      <c r="U116" s="184"/>
      <c r="V116" s="139"/>
      <c r="W116" s="140"/>
      <c r="Y116" s="184"/>
      <c r="Z116" s="141"/>
    </row>
    <row r="117" spans="1:93" x14ac:dyDescent="0.2">
      <c r="A117" s="118">
        <f t="shared" si="8"/>
        <v>45</v>
      </c>
      <c r="B117" s="143"/>
      <c r="C117" s="1354"/>
      <c r="D117" s="1352"/>
      <c r="E117" s="1352"/>
      <c r="F117" s="1353"/>
      <c r="G117" s="143"/>
      <c r="H117" s="1148"/>
      <c r="I117" s="162"/>
      <c r="J117" s="171" t="s">
        <v>585</v>
      </c>
      <c r="N117" s="211">
        <f>'Exhibit MJC-2 - Old E-8a'!U18*1000</f>
        <v>5913753.619808876</v>
      </c>
      <c r="P117" s="101" t="s">
        <v>672</v>
      </c>
      <c r="Q117" s="939">
        <f>N117/H113</f>
        <v>2.958236310219051E-2</v>
      </c>
      <c r="S117" s="1148"/>
      <c r="U117" s="184"/>
      <c r="V117" s="139"/>
      <c r="W117" s="140"/>
      <c r="Y117" s="184"/>
      <c r="Z117" s="141"/>
    </row>
    <row r="118" spans="1:93" x14ac:dyDescent="0.2">
      <c r="A118" s="118">
        <f t="shared" si="8"/>
        <v>46</v>
      </c>
      <c r="C118" s="1355"/>
      <c r="D118" s="1355"/>
      <c r="E118" s="1355"/>
      <c r="F118" s="1355"/>
      <c r="I118" s="162"/>
      <c r="U118" s="184"/>
      <c r="V118" s="139"/>
      <c r="W118" s="140"/>
      <c r="Y118" s="184"/>
      <c r="Z118" s="141"/>
    </row>
    <row r="119" spans="1:93" x14ac:dyDescent="0.2">
      <c r="A119" s="118">
        <f t="shared" si="8"/>
        <v>47</v>
      </c>
      <c r="I119" s="162"/>
      <c r="J119" s="171" t="s">
        <v>575</v>
      </c>
      <c r="N119" s="214">
        <f>N115-N117</f>
        <v>-2032815.1969588632</v>
      </c>
      <c r="U119" s="184"/>
      <c r="V119" s="139"/>
      <c r="W119" s="140"/>
      <c r="Y119" s="184"/>
      <c r="Z119" s="141"/>
    </row>
    <row r="120" spans="1:93" x14ac:dyDescent="0.2">
      <c r="A120" s="118">
        <f t="shared" si="8"/>
        <v>48</v>
      </c>
      <c r="B120" s="226"/>
      <c r="C120" s="223"/>
      <c r="D120" s="168"/>
      <c r="E120" s="225"/>
      <c r="F120" s="197"/>
      <c r="G120" s="223"/>
      <c r="H120" s="174"/>
      <c r="I120" s="229"/>
      <c r="J120" s="234"/>
      <c r="K120" s="223"/>
      <c r="L120" s="197"/>
      <c r="M120" s="227"/>
      <c r="N120" s="251"/>
      <c r="O120" s="227"/>
      <c r="R120" s="227"/>
      <c r="S120" s="227"/>
      <c r="T120" s="250"/>
      <c r="U120" s="252"/>
      <c r="V120" s="253"/>
      <c r="W120" s="254"/>
      <c r="X120" s="250"/>
      <c r="Y120" s="252"/>
      <c r="Z120" s="255"/>
      <c r="AA120" s="250"/>
    </row>
    <row r="121" spans="1:93" x14ac:dyDescent="0.2">
      <c r="A121" s="215"/>
      <c r="B121" s="215" t="s">
        <v>98</v>
      </c>
      <c r="C121" s="215"/>
      <c r="D121" s="215"/>
      <c r="E121" s="215"/>
      <c r="F121" s="215"/>
      <c r="G121" s="215"/>
      <c r="H121" s="215"/>
      <c r="I121" s="215"/>
      <c r="J121" s="215"/>
      <c r="K121" s="215"/>
      <c r="L121" s="215"/>
      <c r="M121" s="215"/>
      <c r="N121" s="215" t="s">
        <v>99</v>
      </c>
      <c r="O121" s="215"/>
      <c r="P121" s="215"/>
      <c r="Q121" s="215"/>
      <c r="T121" s="250"/>
      <c r="U121" s="250"/>
      <c r="V121" s="250"/>
      <c r="W121" s="250"/>
      <c r="X121" s="250"/>
      <c r="Y121" s="250"/>
      <c r="Z121" s="256"/>
      <c r="AA121" s="250"/>
    </row>
    <row r="122" spans="1:93" x14ac:dyDescent="0.2">
      <c r="A122" s="216"/>
      <c r="B122" s="216"/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7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</row>
    <row r="123" spans="1:93" x14ac:dyDescent="0.2">
      <c r="A123" s="100" t="s">
        <v>505</v>
      </c>
      <c r="C123" s="102"/>
      <c r="D123" s="103"/>
      <c r="F123" s="104"/>
      <c r="G123" s="104"/>
      <c r="H123" s="102" t="s">
        <v>506</v>
      </c>
      <c r="I123" s="104"/>
      <c r="J123" s="104"/>
      <c r="K123" s="104"/>
      <c r="L123" s="104"/>
      <c r="N123" s="105"/>
      <c r="Q123" s="106" t="s">
        <v>586</v>
      </c>
      <c r="R123" s="105"/>
      <c r="S123" s="105"/>
      <c r="T123" s="114"/>
      <c r="U123" s="114"/>
      <c r="V123" s="114"/>
      <c r="W123" s="114"/>
      <c r="X123" s="114"/>
      <c r="Y123" s="114"/>
      <c r="Z123" s="218"/>
      <c r="AA123" s="114"/>
      <c r="AE123" s="114"/>
    </row>
    <row r="124" spans="1:93" ht="10.8" thickBot="1" x14ac:dyDescent="0.25">
      <c r="A124" s="108"/>
      <c r="B124" s="109"/>
      <c r="C124" s="109"/>
      <c r="D124" s="109"/>
      <c r="E124" s="110" t="s">
        <v>416</v>
      </c>
      <c r="F124" s="110" t="s">
        <v>416</v>
      </c>
      <c r="G124" s="109" t="s">
        <v>416</v>
      </c>
      <c r="H124" s="109" t="s">
        <v>416</v>
      </c>
      <c r="I124" s="109" t="s">
        <v>416</v>
      </c>
      <c r="J124" s="109"/>
      <c r="K124" s="109"/>
      <c r="L124" s="110" t="s">
        <v>416</v>
      </c>
      <c r="M124" s="111"/>
      <c r="N124" s="111"/>
      <c r="O124" s="109"/>
      <c r="P124" s="112"/>
      <c r="Q124" s="109"/>
      <c r="T124" s="114"/>
      <c r="U124" s="114"/>
      <c r="V124" s="114"/>
      <c r="W124" s="114"/>
      <c r="X124" s="114"/>
      <c r="Y124" s="114"/>
      <c r="Z124" s="218"/>
      <c r="AA124" s="114"/>
      <c r="AE124" s="114"/>
    </row>
    <row r="125" spans="1:93" x14ac:dyDescent="0.2">
      <c r="A125" s="113"/>
      <c r="M125" s="105"/>
      <c r="N125" s="105"/>
      <c r="P125" s="114"/>
      <c r="T125" s="114"/>
      <c r="U125" s="114"/>
      <c r="V125" s="114"/>
      <c r="W125" s="114"/>
      <c r="X125" s="114"/>
      <c r="Y125" s="114"/>
      <c r="Z125" s="218"/>
      <c r="AA125" s="114"/>
      <c r="AE125" s="114"/>
    </row>
    <row r="126" spans="1:93" x14ac:dyDescent="0.2">
      <c r="A126" s="100" t="s">
        <v>3</v>
      </c>
      <c r="D126" s="106" t="s">
        <v>4</v>
      </c>
      <c r="E126" s="101" t="s">
        <v>508</v>
      </c>
      <c r="O126" s="100" t="s">
        <v>6</v>
      </c>
      <c r="T126" s="114"/>
      <c r="U126" s="114"/>
      <c r="V126" s="114"/>
      <c r="W126" s="114"/>
      <c r="X126" s="114"/>
      <c r="Y126" s="114"/>
      <c r="Z126" s="218"/>
      <c r="AA126" s="114"/>
      <c r="AE126" s="114"/>
    </row>
    <row r="127" spans="1:93" x14ac:dyDescent="0.2">
      <c r="E127" s="101" t="s">
        <v>509</v>
      </c>
      <c r="T127" s="114"/>
      <c r="U127" s="114"/>
      <c r="V127" s="114"/>
      <c r="W127" s="114"/>
      <c r="X127" s="114"/>
      <c r="Y127" s="114"/>
      <c r="Z127" s="218"/>
      <c r="AA127" s="114"/>
      <c r="AE127" s="114"/>
    </row>
    <row r="128" spans="1:93" x14ac:dyDescent="0.2">
      <c r="A128" s="100" t="s">
        <v>9</v>
      </c>
      <c r="E128" s="101" t="s">
        <v>510</v>
      </c>
      <c r="O128" s="107" t="str">
        <f>O65</f>
        <v>__X__  Projected Test Year Ended 12/31/26</v>
      </c>
      <c r="T128" s="114"/>
      <c r="U128" s="114"/>
      <c r="V128" s="114"/>
      <c r="W128" s="114"/>
      <c r="X128" s="114"/>
      <c r="Y128" s="114"/>
      <c r="Z128" s="218"/>
      <c r="AA128" s="114"/>
      <c r="AE128" s="114"/>
    </row>
    <row r="129" spans="1:93" x14ac:dyDescent="0.2">
      <c r="E129" s="101" t="s">
        <v>512</v>
      </c>
      <c r="T129" s="114"/>
      <c r="U129" s="114"/>
      <c r="V129" s="114"/>
      <c r="W129" s="114"/>
      <c r="X129" s="114"/>
      <c r="Y129" s="114"/>
      <c r="Z129" s="218"/>
      <c r="AA129" s="114"/>
      <c r="AE129" s="114"/>
    </row>
    <row r="130" spans="1:93" x14ac:dyDescent="0.2">
      <c r="A130" s="100" t="s">
        <v>491</v>
      </c>
      <c r="C130" s="119" t="str">
        <f>C67</f>
        <v>20240025-EI</v>
      </c>
      <c r="O130" s="100" t="s">
        <v>493</v>
      </c>
      <c r="T130" s="114"/>
      <c r="U130" s="114"/>
      <c r="V130" s="114"/>
      <c r="W130" s="114"/>
      <c r="X130" s="114"/>
      <c r="Y130" s="114"/>
      <c r="Z130" s="218"/>
      <c r="AA130" s="114"/>
      <c r="AE130" s="114"/>
    </row>
    <row r="131" spans="1:93" ht="10.8" thickBot="1" x14ac:dyDescent="0.25">
      <c r="A131" s="123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23"/>
      <c r="O131" s="109"/>
      <c r="P131" s="109"/>
      <c r="Q131" s="109"/>
      <c r="T131" s="114"/>
      <c r="U131" s="114"/>
      <c r="V131" s="114"/>
      <c r="W131" s="114"/>
      <c r="X131" s="114"/>
      <c r="Y131" s="114"/>
      <c r="Z131" s="218"/>
      <c r="AA131" s="114"/>
      <c r="AE131" s="114"/>
    </row>
    <row r="132" spans="1:93" ht="15.6" x14ac:dyDescent="0.2">
      <c r="B132" s="124"/>
      <c r="C132" s="125"/>
      <c r="D132" s="125"/>
      <c r="E132" s="125"/>
      <c r="F132" s="125"/>
      <c r="G132" s="125"/>
      <c r="H132" s="125"/>
      <c r="I132" s="126" t="s">
        <v>587</v>
      </c>
      <c r="J132" s="125"/>
      <c r="K132" s="125"/>
      <c r="L132" s="125"/>
      <c r="M132" s="125"/>
      <c r="N132" s="125"/>
      <c r="U132" s="127" t="s">
        <v>530</v>
      </c>
      <c r="V132" s="128"/>
      <c r="W132" s="129"/>
      <c r="X132" s="114"/>
      <c r="Y132" s="130" t="s">
        <v>531</v>
      </c>
      <c r="Z132" s="131"/>
      <c r="AA132" s="114"/>
    </row>
    <row r="133" spans="1:93" x14ac:dyDescent="0.2">
      <c r="A133" s="101" t="s">
        <v>30</v>
      </c>
      <c r="B133" s="101" t="s">
        <v>532</v>
      </c>
      <c r="C133" s="132"/>
      <c r="D133" s="133" t="s">
        <v>533</v>
      </c>
      <c r="E133" s="134"/>
      <c r="F133" s="134"/>
      <c r="G133" s="133"/>
      <c r="H133" s="133"/>
      <c r="I133" s="135"/>
      <c r="J133" s="136" t="s">
        <v>534</v>
      </c>
      <c r="K133" s="133"/>
      <c r="L133" s="134"/>
      <c r="M133" s="134"/>
      <c r="N133" s="134"/>
      <c r="O133" s="137"/>
      <c r="Q133" s="118" t="s">
        <v>332</v>
      </c>
      <c r="U133" s="138"/>
      <c r="V133" s="139"/>
      <c r="W133" s="140"/>
      <c r="X133" s="114"/>
      <c r="Y133" s="138"/>
      <c r="Z133" s="141"/>
      <c r="AA133" s="114"/>
    </row>
    <row r="134" spans="1:93" x14ac:dyDescent="0.2">
      <c r="A134" s="101" t="s">
        <v>39</v>
      </c>
      <c r="B134" s="102" t="s">
        <v>535</v>
      </c>
      <c r="C134" s="104"/>
      <c r="D134" s="142" t="s">
        <v>536</v>
      </c>
      <c r="E134" s="143"/>
      <c r="F134" s="142" t="s">
        <v>537</v>
      </c>
      <c r="G134" s="142"/>
      <c r="H134" s="142" t="s">
        <v>538</v>
      </c>
      <c r="I134" s="144"/>
      <c r="J134" s="142" t="s">
        <v>536</v>
      </c>
      <c r="K134" s="143"/>
      <c r="L134" s="142" t="s">
        <v>537</v>
      </c>
      <c r="M134" s="142"/>
      <c r="N134" s="142" t="s">
        <v>538</v>
      </c>
      <c r="O134" s="132"/>
      <c r="Q134" s="145" t="s">
        <v>539</v>
      </c>
      <c r="R134" s="132"/>
      <c r="S134" s="132"/>
      <c r="U134" s="138" t="s">
        <v>128</v>
      </c>
      <c r="V134" s="146" t="s">
        <v>343</v>
      </c>
      <c r="W134" s="147" t="s">
        <v>344</v>
      </c>
      <c r="X134" s="118"/>
      <c r="Y134" s="148" t="s">
        <v>128</v>
      </c>
      <c r="Z134" s="149"/>
      <c r="AA134" s="118"/>
      <c r="AB134" s="118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/>
      <c r="BP134" s="116"/>
      <c r="BQ134" s="116"/>
      <c r="BR134" s="116"/>
      <c r="BS134" s="116"/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</row>
    <row r="135" spans="1:93" ht="10.8" thickBot="1" x14ac:dyDescent="0.25">
      <c r="A135" s="109"/>
      <c r="B135" s="110" t="s">
        <v>137</v>
      </c>
      <c r="C135" s="150"/>
      <c r="D135" s="220" t="str">
        <f>+$D$13</f>
        <v>Jan '26-Dec '26</v>
      </c>
      <c r="E135" s="221"/>
      <c r="F135" s="152">
        <f>+$L$13</f>
        <v>46023</v>
      </c>
      <c r="G135" s="153"/>
      <c r="H135" s="153"/>
      <c r="I135" s="153"/>
      <c r="J135" s="153"/>
      <c r="K135" s="151"/>
      <c r="L135" s="152">
        <f>+$L$13</f>
        <v>46023</v>
      </c>
      <c r="M135" s="154"/>
      <c r="N135" s="154"/>
      <c r="O135" s="155"/>
      <c r="P135" s="109"/>
      <c r="Q135" s="156"/>
      <c r="R135" s="132"/>
      <c r="S135" s="132"/>
      <c r="U135" s="157" t="s">
        <v>144</v>
      </c>
      <c r="V135" s="158" t="s">
        <v>540</v>
      </c>
      <c r="W135" s="159" t="s">
        <v>540</v>
      </c>
      <c r="X135" s="118"/>
      <c r="Y135" s="160" t="s">
        <v>144</v>
      </c>
      <c r="Z135" s="159" t="s">
        <v>541</v>
      </c>
      <c r="AA135" s="118"/>
      <c r="AB135" s="118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  <c r="BA135" s="116"/>
      <c r="BB135" s="116"/>
      <c r="BC135" s="116"/>
      <c r="BD135" s="116"/>
      <c r="BE135" s="116"/>
      <c r="BF135" s="116"/>
      <c r="BG135" s="116"/>
      <c r="BH135" s="116"/>
      <c r="BI135" s="116"/>
      <c r="BJ135" s="116"/>
      <c r="BK135" s="116"/>
      <c r="BL135" s="116"/>
      <c r="BM135" s="116"/>
      <c r="BN135" s="116"/>
      <c r="BO135" s="116"/>
      <c r="BP135" s="116"/>
      <c r="BQ135" s="116"/>
      <c r="BR135" s="116"/>
      <c r="BS135" s="116"/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</row>
    <row r="136" spans="1:93" x14ac:dyDescent="0.2">
      <c r="A136" s="118">
        <v>1</v>
      </c>
      <c r="B136" s="161"/>
      <c r="C136" s="104"/>
      <c r="E136" s="143"/>
      <c r="F136" s="142"/>
      <c r="G136" s="142"/>
      <c r="H136" s="142"/>
      <c r="I136" s="162"/>
      <c r="J136" s="142"/>
      <c r="K136" s="143"/>
      <c r="L136" s="142"/>
      <c r="M136" s="142"/>
      <c r="N136" s="142"/>
      <c r="O136" s="132"/>
      <c r="Q136" s="145"/>
      <c r="R136" s="132"/>
      <c r="S136" s="132"/>
      <c r="T136" s="118"/>
      <c r="U136" s="163"/>
      <c r="V136" s="139"/>
      <c r="W136" s="140"/>
      <c r="X136" s="118"/>
      <c r="Y136" s="163"/>
      <c r="Z136" s="141"/>
      <c r="AA136" s="118"/>
      <c r="AB136" s="118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/>
      <c r="BP136" s="116"/>
      <c r="BQ136" s="116"/>
      <c r="BR136" s="116"/>
      <c r="BS136" s="116"/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</row>
    <row r="137" spans="1:93" x14ac:dyDescent="0.2">
      <c r="A137" s="118">
        <f t="shared" ref="A137:A160" si="14">+A136+1</f>
        <v>2</v>
      </c>
      <c r="B137" s="222" t="s">
        <v>542</v>
      </c>
      <c r="C137" s="223"/>
      <c r="D137" s="226"/>
      <c r="E137" s="225"/>
      <c r="F137" s="226"/>
      <c r="G137" s="227"/>
      <c r="H137" s="228"/>
      <c r="I137" s="229"/>
      <c r="J137" s="226"/>
      <c r="K137" s="225"/>
      <c r="L137" s="226"/>
      <c r="M137" s="227"/>
      <c r="N137" s="228"/>
      <c r="O137" s="227"/>
      <c r="P137" s="230"/>
      <c r="Q137" s="227"/>
      <c r="R137" s="227"/>
      <c r="S137" s="227"/>
      <c r="T137" s="227"/>
      <c r="U137" s="163"/>
      <c r="V137" s="139"/>
      <c r="W137" s="140"/>
      <c r="X137" s="227"/>
      <c r="Y137" s="163"/>
      <c r="Z137" s="141"/>
      <c r="AA137" s="227"/>
      <c r="AB137" s="118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</row>
    <row r="138" spans="1:93" x14ac:dyDescent="0.2">
      <c r="A138" s="118">
        <f t="shared" si="14"/>
        <v>3</v>
      </c>
      <c r="B138" s="228" t="s">
        <v>543</v>
      </c>
      <c r="C138" s="223"/>
      <c r="D138" s="168"/>
      <c r="E138" s="225"/>
      <c r="F138" s="231"/>
      <c r="G138" s="223"/>
      <c r="H138" s="170"/>
      <c r="I138" s="229"/>
      <c r="J138" s="168"/>
      <c r="K138" s="225"/>
      <c r="L138" s="857">
        <v>0</v>
      </c>
      <c r="M138" s="223"/>
      <c r="N138" s="174"/>
      <c r="O138" s="227"/>
      <c r="P138" s="230"/>
      <c r="Q138" s="941"/>
      <c r="R138" s="227"/>
      <c r="S138" s="227"/>
      <c r="T138" s="227"/>
      <c r="U138" s="163"/>
      <c r="V138" s="139"/>
      <c r="W138" s="140"/>
      <c r="X138" s="227"/>
      <c r="Y138" s="163"/>
      <c r="Z138" s="141"/>
      <c r="AA138" s="227"/>
      <c r="AB138" s="227"/>
      <c r="AC138" s="227"/>
    </row>
    <row r="139" spans="1:93" x14ac:dyDescent="0.2">
      <c r="A139" s="118">
        <f t="shared" si="14"/>
        <v>4</v>
      </c>
      <c r="B139" s="232" t="s">
        <v>578</v>
      </c>
      <c r="C139" s="223"/>
      <c r="D139" s="172">
        <f>SUMIF($AH$6:$CP$6,1,$AH139:$CP139)</f>
        <v>10224.542495481846</v>
      </c>
      <c r="E139" s="225" t="s">
        <v>545</v>
      </c>
      <c r="F139" s="173">
        <f>'Exhibit MJC-3 - E-13c cal yr'!F141</f>
        <v>12.18</v>
      </c>
      <c r="G139" s="233" t="s">
        <v>375</v>
      </c>
      <c r="H139" s="174">
        <f>ROUND(D139*F139,2)</f>
        <v>124534.93</v>
      </c>
      <c r="I139" s="229"/>
      <c r="J139" s="168">
        <f>D139</f>
        <v>10224.542495481846</v>
      </c>
      <c r="K139" s="225" t="s">
        <v>545</v>
      </c>
      <c r="L139" s="173">
        <f>ROUND(SUM('MFR E-6b'!J52,'MFR E-6b'!J55),2)</f>
        <v>10.72</v>
      </c>
      <c r="M139" s="233" t="s">
        <v>375</v>
      </c>
      <c r="N139" s="174">
        <f>ROUND(J139*L139,2)</f>
        <v>109607.1</v>
      </c>
      <c r="O139" s="227"/>
      <c r="P139" s="230"/>
      <c r="Q139" s="1022"/>
      <c r="R139" s="227"/>
      <c r="S139" s="227"/>
      <c r="T139" s="227"/>
      <c r="U139" s="178" t="s">
        <v>137</v>
      </c>
      <c r="V139" s="179">
        <v>243</v>
      </c>
      <c r="W139" s="180">
        <v>217</v>
      </c>
      <c r="X139" s="227"/>
      <c r="Y139" s="178"/>
      <c r="Z139" s="181"/>
      <c r="AA139" s="227"/>
      <c r="AB139" s="182">
        <f>SUM(AH139:AS139)</f>
        <v>9923.3030592698997</v>
      </c>
      <c r="AC139" s="182">
        <f>SUM(AT139:BE139)</f>
        <v>10024.019205489247</v>
      </c>
      <c r="AD139" s="182">
        <f>SUM(BF139:BQ139)</f>
        <v>10123.90239371451</v>
      </c>
      <c r="AE139" s="182">
        <f>SUM(BR139:CC139)</f>
        <v>10224.542495481846</v>
      </c>
      <c r="AF139" s="182">
        <f>SUM(CD139:CO139)</f>
        <v>10324.644696744759</v>
      </c>
      <c r="AH139" s="168">
        <v>826.36175612814429</v>
      </c>
      <c r="AI139" s="168">
        <v>821.33865784450791</v>
      </c>
      <c r="AJ139" s="168">
        <v>818.92745941844214</v>
      </c>
      <c r="AK139" s="168">
        <v>821.97301497768694</v>
      </c>
      <c r="AL139" s="168">
        <v>819.93777927459303</v>
      </c>
      <c r="AM139" s="168">
        <v>830.41318016090645</v>
      </c>
      <c r="AN139" s="168">
        <v>830.24910324207224</v>
      </c>
      <c r="AO139" s="168">
        <v>831.79939194163501</v>
      </c>
      <c r="AP139" s="168">
        <v>828.89578322778334</v>
      </c>
      <c r="AQ139" s="168">
        <v>832.07347832418293</v>
      </c>
      <c r="AR139" s="168">
        <v>833.81710649475428</v>
      </c>
      <c r="AS139" s="168">
        <v>827.5163482351918</v>
      </c>
      <c r="AT139" s="168">
        <v>835.645639074972</v>
      </c>
      <c r="AU139" s="168">
        <v>829.83893659152011</v>
      </c>
      <c r="AV139" s="168">
        <v>826.99480839316629</v>
      </c>
      <c r="AW139" s="168">
        <v>830.12530097165654</v>
      </c>
      <c r="AX139" s="168">
        <v>828.12006231741339</v>
      </c>
      <c r="AY139" s="168">
        <v>838.75484085115068</v>
      </c>
      <c r="AZ139" s="168">
        <v>838.62373039962688</v>
      </c>
      <c r="BA139" s="168">
        <v>840.2043336148771</v>
      </c>
      <c r="BB139" s="168">
        <v>837.25175601656815</v>
      </c>
      <c r="BC139" s="168">
        <v>840.44626731773246</v>
      </c>
      <c r="BD139" s="168">
        <v>842.20387654759986</v>
      </c>
      <c r="BE139" s="168">
        <v>835.80965339296461</v>
      </c>
      <c r="BF139" s="168">
        <v>844.01394177502777</v>
      </c>
      <c r="BG139" s="168">
        <v>838.12808491421367</v>
      </c>
      <c r="BH139" s="168">
        <v>835.23998572238577</v>
      </c>
      <c r="BI139" s="168">
        <v>838.40528297572644</v>
      </c>
      <c r="BJ139" s="168">
        <v>836.37901507975482</v>
      </c>
      <c r="BK139" s="168">
        <v>847.12282622809914</v>
      </c>
      <c r="BL139" s="168">
        <v>846.97268619246665</v>
      </c>
      <c r="BM139" s="168">
        <v>848.56469975239168</v>
      </c>
      <c r="BN139" s="168">
        <v>845.57670309958962</v>
      </c>
      <c r="BO139" s="168">
        <v>848.80134757352209</v>
      </c>
      <c r="BP139" s="168">
        <v>850.58595395195346</v>
      </c>
      <c r="BQ139" s="168">
        <v>844.11186644937868</v>
      </c>
      <c r="BR139" s="168">
        <v>852.40408623644555</v>
      </c>
      <c r="BS139" s="168">
        <v>846.45259941309826</v>
      </c>
      <c r="BT139" s="168">
        <v>843.5336446154588</v>
      </c>
      <c r="BU139" s="168">
        <v>846.74728178691419</v>
      </c>
      <c r="BV139" s="168">
        <v>844.71324362850248</v>
      </c>
      <c r="BW139" s="168">
        <v>855.58076742260096</v>
      </c>
      <c r="BX139" s="168">
        <v>855.42448918812784</v>
      </c>
      <c r="BY139" s="168">
        <v>857.0258639518438</v>
      </c>
      <c r="BZ139" s="168">
        <v>853.98383138385714</v>
      </c>
      <c r="CA139" s="168">
        <v>857.22073824485051</v>
      </c>
      <c r="CB139" s="168">
        <v>859.01403204162546</v>
      </c>
      <c r="CC139" s="168">
        <v>852.44191756852194</v>
      </c>
      <c r="CD139" s="168">
        <v>860.8037651198124</v>
      </c>
      <c r="CE139" s="168">
        <v>854.76901007989136</v>
      </c>
      <c r="CF139" s="168">
        <v>851.80145595178396</v>
      </c>
      <c r="CG139" s="168">
        <v>855.04537958728599</v>
      </c>
      <c r="CH139" s="168">
        <v>852.98584767594582</v>
      </c>
      <c r="CI139" s="168">
        <v>863.95823398621053</v>
      </c>
      <c r="CJ139" s="168">
        <v>863.77758220348994</v>
      </c>
      <c r="CK139" s="168">
        <v>865.39168465419414</v>
      </c>
      <c r="CL139" s="168">
        <v>862.32075656160794</v>
      </c>
      <c r="CM139" s="168">
        <v>865.59447120208108</v>
      </c>
      <c r="CN139" s="168">
        <v>867.42084070582791</v>
      </c>
      <c r="CO139" s="168">
        <v>860.77566901662601</v>
      </c>
    </row>
    <row r="140" spans="1:93" x14ac:dyDescent="0.2">
      <c r="A140" s="118">
        <f t="shared" si="14"/>
        <v>5</v>
      </c>
      <c r="B140" s="234" t="s">
        <v>149</v>
      </c>
      <c r="C140" s="223"/>
      <c r="D140" s="172">
        <f>SUMIF($AH$6:$CP$6,1,$AH140:$CP140)</f>
        <v>168887.72794582756</v>
      </c>
      <c r="E140" s="225" t="s">
        <v>545</v>
      </c>
      <c r="F140" s="173">
        <f>'Exhibit MJC-3 - E-13c cal yr'!F142</f>
        <v>21.57</v>
      </c>
      <c r="G140" s="233" t="s">
        <v>375</v>
      </c>
      <c r="H140" s="187">
        <f>ROUND(D140*F140,2)</f>
        <v>3642908.29</v>
      </c>
      <c r="I140" s="229"/>
      <c r="J140" s="257">
        <f>D140</f>
        <v>168887.72794582756</v>
      </c>
      <c r="K140" s="225" t="s">
        <v>545</v>
      </c>
      <c r="L140" s="173">
        <f>ROUND(F140*(1+'Exhibit MJC-2 - Old E-8a'!$V$21)+L138,2)</f>
        <v>22.44</v>
      </c>
      <c r="M140" s="233"/>
      <c r="N140" s="187">
        <f>ROUND(J140*L140,2)</f>
        <v>3789840.62</v>
      </c>
      <c r="O140" s="227"/>
      <c r="P140" s="230"/>
      <c r="Q140" s="1022"/>
      <c r="R140" s="227"/>
      <c r="S140" s="227"/>
      <c r="T140" s="227"/>
      <c r="U140" s="178" t="s">
        <v>137</v>
      </c>
      <c r="V140" s="179">
        <v>243</v>
      </c>
      <c r="W140" s="180">
        <v>217</v>
      </c>
      <c r="X140" s="227"/>
      <c r="Y140" s="178"/>
      <c r="Z140" s="181"/>
      <c r="AA140" s="227"/>
      <c r="AB140" s="182">
        <f>SUM(AH140:AS140)</f>
        <v>163911.89220823839</v>
      </c>
      <c r="AC140" s="182">
        <f>SUM(AT140:BE140)</f>
        <v>165575.50905074866</v>
      </c>
      <c r="AD140" s="182">
        <f>SUM(BF140:BQ140)</f>
        <v>167225.3671961673</v>
      </c>
      <c r="AE140" s="182">
        <f>SUM(BR140:CC140)</f>
        <v>168887.72794582756</v>
      </c>
      <c r="AF140" s="182">
        <f>SUM(CD140:CO140)</f>
        <v>170541.20372150553</v>
      </c>
      <c r="AH140" s="168">
        <v>13649.741249105078</v>
      </c>
      <c r="AI140" s="168">
        <v>13566.770333120641</v>
      </c>
      <c r="AJ140" s="168">
        <v>13526.942455835691</v>
      </c>
      <c r="AK140" s="168">
        <v>13577.248565762951</v>
      </c>
      <c r="AL140" s="168">
        <v>13543.630794221421</v>
      </c>
      <c r="AM140" s="168">
        <v>13716.662170030457</v>
      </c>
      <c r="AN140" s="168">
        <v>13713.951967784978</v>
      </c>
      <c r="AO140" s="168">
        <v>13739.559444720493</v>
      </c>
      <c r="AP140" s="168">
        <v>13691.597995223579</v>
      </c>
      <c r="AQ140" s="168">
        <v>13744.086769677073</v>
      </c>
      <c r="AR140" s="168">
        <v>13772.887804074482</v>
      </c>
      <c r="AS140" s="168">
        <v>13668.812658681556</v>
      </c>
      <c r="AT140" s="168">
        <v>13803.091279005937</v>
      </c>
      <c r="AU140" s="168">
        <v>13707.176885797544</v>
      </c>
      <c r="AV140" s="168">
        <v>13660.19792809661</v>
      </c>
      <c r="AW140" s="168">
        <v>13711.907017199239</v>
      </c>
      <c r="AX140" s="168">
        <v>13678.784733199351</v>
      </c>
      <c r="AY140" s="168">
        <v>13854.448689270112</v>
      </c>
      <c r="AZ140" s="168">
        <v>13852.283023053009</v>
      </c>
      <c r="BA140" s="168">
        <v>13878.391231408095</v>
      </c>
      <c r="BB140" s="168">
        <v>13829.620919936213</v>
      </c>
      <c r="BC140" s="168">
        <v>13882.387462379487</v>
      </c>
      <c r="BD140" s="168">
        <v>13911.419434184592</v>
      </c>
      <c r="BE140" s="168">
        <v>13805.800447218462</v>
      </c>
      <c r="BF140" s="168">
        <v>13941.317867667472</v>
      </c>
      <c r="BG140" s="168">
        <v>13844.096012246899</v>
      </c>
      <c r="BH140" s="168">
        <v>13796.390747115911</v>
      </c>
      <c r="BI140" s="168">
        <v>13848.674735531638</v>
      </c>
      <c r="BJ140" s="168">
        <v>13815.205093118648</v>
      </c>
      <c r="BK140" s="168">
        <v>13992.67003642782</v>
      </c>
      <c r="BL140" s="168">
        <v>13990.190041894775</v>
      </c>
      <c r="BM140" s="168">
        <v>14016.486724911498</v>
      </c>
      <c r="BN140" s="168">
        <v>13967.131365879592</v>
      </c>
      <c r="BO140" s="168">
        <v>14020.395644342532</v>
      </c>
      <c r="BP140" s="168">
        <v>14049.873551707493</v>
      </c>
      <c r="BQ140" s="168">
        <v>13942.935375323024</v>
      </c>
      <c r="BR140" s="168">
        <v>14079.905235840892</v>
      </c>
      <c r="BS140" s="168">
        <v>13981.599312819024</v>
      </c>
      <c r="BT140" s="168">
        <v>13933.384378608742</v>
      </c>
      <c r="BU140" s="168">
        <v>13986.466839811204</v>
      </c>
      <c r="BV140" s="168">
        <v>13952.868849164575</v>
      </c>
      <c r="BW140" s="168">
        <v>14132.377262650416</v>
      </c>
      <c r="BX140" s="168">
        <v>14129.795878108349</v>
      </c>
      <c r="BY140" s="168">
        <v>14156.247188331108</v>
      </c>
      <c r="BZ140" s="168">
        <v>14105.999270737582</v>
      </c>
      <c r="CA140" s="168">
        <v>14159.466097792876</v>
      </c>
      <c r="CB140" s="168">
        <v>14189.087502859215</v>
      </c>
      <c r="CC140" s="168">
        <v>14080.530129103585</v>
      </c>
      <c r="CD140" s="168">
        <v>14218.650092416456</v>
      </c>
      <c r="CE140" s="168">
        <v>14118.96875529528</v>
      </c>
      <c r="CF140" s="168">
        <v>14069.951063357104</v>
      </c>
      <c r="CG140" s="168">
        <v>14123.533792625607</v>
      </c>
      <c r="CH140" s="168">
        <v>14089.514699322228</v>
      </c>
      <c r="CI140" s="168">
        <v>14270.755218876368</v>
      </c>
      <c r="CJ140" s="168">
        <v>14267.771235079877</v>
      </c>
      <c r="CK140" s="168">
        <v>14294.43277966162</v>
      </c>
      <c r="CL140" s="168">
        <v>14243.707569367753</v>
      </c>
      <c r="CM140" s="168">
        <v>14297.782382770585</v>
      </c>
      <c r="CN140" s="168">
        <v>14327.950128272514</v>
      </c>
      <c r="CO140" s="168">
        <v>14218.186004460111</v>
      </c>
    </row>
    <row r="141" spans="1:93" x14ac:dyDescent="0.2">
      <c r="A141" s="118">
        <f t="shared" si="14"/>
        <v>6</v>
      </c>
      <c r="B141" s="234"/>
      <c r="C141" s="223" t="s">
        <v>374</v>
      </c>
      <c r="D141" s="204">
        <f>D139+D140</f>
        <v>179112.2704413094</v>
      </c>
      <c r="E141" s="233" t="s">
        <v>581</v>
      </c>
      <c r="F141" s="183"/>
      <c r="G141" s="233"/>
      <c r="H141" s="206">
        <f>H139+H140</f>
        <v>3767443.22</v>
      </c>
      <c r="I141" s="229"/>
      <c r="J141" s="168">
        <f>J139+J140</f>
        <v>179112.2704413094</v>
      </c>
      <c r="K141" s="225"/>
      <c r="L141" s="183"/>
      <c r="M141" s="233"/>
      <c r="N141" s="206">
        <f>N139+N140</f>
        <v>3899447.72</v>
      </c>
      <c r="O141" s="227"/>
      <c r="P141" s="230"/>
      <c r="Q141" s="1022"/>
      <c r="R141" s="227"/>
      <c r="S141" s="227"/>
      <c r="T141" s="227"/>
      <c r="U141" s="178"/>
      <c r="V141" s="179"/>
      <c r="W141" s="180"/>
      <c r="X141" s="227"/>
      <c r="Y141" s="178" t="s">
        <v>137</v>
      </c>
      <c r="Z141" s="181" t="s">
        <v>451</v>
      </c>
      <c r="AA141" s="227"/>
      <c r="AB141" s="204">
        <f>AB139+AB140</f>
        <v>173835.1952675083</v>
      </c>
      <c r="AC141" s="204">
        <f>AC139+AC140</f>
        <v>175599.52825623791</v>
      </c>
      <c r="AD141" s="204">
        <f>AD139+AD140</f>
        <v>177349.26958988182</v>
      </c>
      <c r="AE141" s="204">
        <f>AE139+AE140</f>
        <v>179112.2704413094</v>
      </c>
      <c r="AF141" s="204">
        <f>AF139+AF140</f>
        <v>180865.8484182503</v>
      </c>
      <c r="AH141" s="204">
        <f t="shared" ref="AH141:CO141" si="15">AH139+AH140</f>
        <v>14476.103005233223</v>
      </c>
      <c r="AI141" s="204">
        <f t="shared" si="15"/>
        <v>14388.108990965149</v>
      </c>
      <c r="AJ141" s="204">
        <f t="shared" si="15"/>
        <v>14345.869915254134</v>
      </c>
      <c r="AK141" s="204">
        <f t="shared" si="15"/>
        <v>14399.221580740639</v>
      </c>
      <c r="AL141" s="204">
        <f t="shared" si="15"/>
        <v>14363.568573496013</v>
      </c>
      <c r="AM141" s="204">
        <f t="shared" si="15"/>
        <v>14547.075350191364</v>
      </c>
      <c r="AN141" s="204">
        <f t="shared" si="15"/>
        <v>14544.201071027052</v>
      </c>
      <c r="AO141" s="204">
        <f t="shared" si="15"/>
        <v>14571.358836662128</v>
      </c>
      <c r="AP141" s="204">
        <f t="shared" si="15"/>
        <v>14520.493778451362</v>
      </c>
      <c r="AQ141" s="204">
        <f t="shared" si="15"/>
        <v>14576.160248001255</v>
      </c>
      <c r="AR141" s="204">
        <f t="shared" si="15"/>
        <v>14606.704910569237</v>
      </c>
      <c r="AS141" s="204">
        <f t="shared" si="15"/>
        <v>14496.329006916749</v>
      </c>
      <c r="AT141" s="204">
        <f t="shared" si="15"/>
        <v>14638.736918080909</v>
      </c>
      <c r="AU141" s="204">
        <f t="shared" si="15"/>
        <v>14537.015822389065</v>
      </c>
      <c r="AV141" s="204">
        <f t="shared" si="15"/>
        <v>14487.192736489777</v>
      </c>
      <c r="AW141" s="204">
        <f t="shared" si="15"/>
        <v>14542.032318170895</v>
      </c>
      <c r="AX141" s="204">
        <f t="shared" si="15"/>
        <v>14506.904795516764</v>
      </c>
      <c r="AY141" s="204">
        <f t="shared" si="15"/>
        <v>14693.203530121262</v>
      </c>
      <c r="AZ141" s="204">
        <f t="shared" si="15"/>
        <v>14690.906753452637</v>
      </c>
      <c r="BA141" s="204">
        <f t="shared" si="15"/>
        <v>14718.595565022972</v>
      </c>
      <c r="BB141" s="204">
        <f t="shared" si="15"/>
        <v>14666.872675952782</v>
      </c>
      <c r="BC141" s="204">
        <f t="shared" si="15"/>
        <v>14722.83372969722</v>
      </c>
      <c r="BD141" s="204">
        <f t="shared" si="15"/>
        <v>14753.623310732191</v>
      </c>
      <c r="BE141" s="204">
        <f t="shared" si="15"/>
        <v>14641.610100611426</v>
      </c>
      <c r="BF141" s="204">
        <f t="shared" si="15"/>
        <v>14785.331809442499</v>
      </c>
      <c r="BG141" s="204">
        <f t="shared" si="15"/>
        <v>14682.224097161112</v>
      </c>
      <c r="BH141" s="204">
        <f t="shared" si="15"/>
        <v>14631.630732838297</v>
      </c>
      <c r="BI141" s="204">
        <f t="shared" si="15"/>
        <v>14687.080018507364</v>
      </c>
      <c r="BJ141" s="204">
        <f t="shared" si="15"/>
        <v>14651.584108198402</v>
      </c>
      <c r="BK141" s="204">
        <f t="shared" si="15"/>
        <v>14839.792862655919</v>
      </c>
      <c r="BL141" s="204">
        <f t="shared" si="15"/>
        <v>14837.162728087242</v>
      </c>
      <c r="BM141" s="204">
        <f t="shared" si="15"/>
        <v>14865.051424663889</v>
      </c>
      <c r="BN141" s="204">
        <f t="shared" si="15"/>
        <v>14812.708068979182</v>
      </c>
      <c r="BO141" s="204">
        <f t="shared" si="15"/>
        <v>14869.196991916055</v>
      </c>
      <c r="BP141" s="204">
        <f t="shared" si="15"/>
        <v>14900.459505659446</v>
      </c>
      <c r="BQ141" s="204">
        <f t="shared" si="15"/>
        <v>14787.047241772403</v>
      </c>
      <c r="BR141" s="204">
        <f t="shared" si="15"/>
        <v>14932.309322077337</v>
      </c>
      <c r="BS141" s="204">
        <f t="shared" si="15"/>
        <v>14828.051912232122</v>
      </c>
      <c r="BT141" s="204">
        <f t="shared" si="15"/>
        <v>14776.9180232242</v>
      </c>
      <c r="BU141" s="204">
        <f t="shared" si="15"/>
        <v>14833.214121598119</v>
      </c>
      <c r="BV141" s="204">
        <f t="shared" si="15"/>
        <v>14797.582092793078</v>
      </c>
      <c r="BW141" s="204">
        <f t="shared" si="15"/>
        <v>14987.958030073018</v>
      </c>
      <c r="BX141" s="204">
        <f t="shared" si="15"/>
        <v>14985.220367296477</v>
      </c>
      <c r="BY141" s="204">
        <f t="shared" si="15"/>
        <v>15013.273052282952</v>
      </c>
      <c r="BZ141" s="204">
        <f t="shared" si="15"/>
        <v>14959.98310212144</v>
      </c>
      <c r="CA141" s="204">
        <f t="shared" si="15"/>
        <v>15016.686836037727</v>
      </c>
      <c r="CB141" s="204">
        <f t="shared" si="15"/>
        <v>15048.101534900839</v>
      </c>
      <c r="CC141" s="204">
        <f t="shared" si="15"/>
        <v>14932.972046672106</v>
      </c>
      <c r="CD141" s="204">
        <f t="shared" si="15"/>
        <v>15079.453857536268</v>
      </c>
      <c r="CE141" s="204">
        <f t="shared" si="15"/>
        <v>14973.737765375172</v>
      </c>
      <c r="CF141" s="204">
        <f t="shared" si="15"/>
        <v>14921.752519308888</v>
      </c>
      <c r="CG141" s="204">
        <f t="shared" si="15"/>
        <v>14978.579172212892</v>
      </c>
      <c r="CH141" s="204">
        <f t="shared" si="15"/>
        <v>14942.500546998173</v>
      </c>
      <c r="CI141" s="204">
        <f t="shared" si="15"/>
        <v>15134.713452862577</v>
      </c>
      <c r="CJ141" s="204">
        <f t="shared" si="15"/>
        <v>15131.548817283367</v>
      </c>
      <c r="CK141" s="204">
        <f t="shared" si="15"/>
        <v>15159.824464315814</v>
      </c>
      <c r="CL141" s="204">
        <f t="shared" si="15"/>
        <v>15106.028325929361</v>
      </c>
      <c r="CM141" s="204">
        <f t="shared" si="15"/>
        <v>15163.376853972666</v>
      </c>
      <c r="CN141" s="204">
        <f t="shared" si="15"/>
        <v>15195.370968978343</v>
      </c>
      <c r="CO141" s="204">
        <f t="shared" si="15"/>
        <v>15078.961673476737</v>
      </c>
    </row>
    <row r="142" spans="1:93" x14ac:dyDescent="0.2">
      <c r="A142" s="118">
        <f t="shared" si="14"/>
        <v>7</v>
      </c>
      <c r="B142" s="243"/>
      <c r="C142" s="223"/>
      <c r="D142" s="168"/>
      <c r="E142" s="225"/>
      <c r="F142" s="183"/>
      <c r="G142" s="233"/>
      <c r="H142" s="174"/>
      <c r="I142" s="229"/>
      <c r="J142" s="168"/>
      <c r="K142" s="225"/>
      <c r="L142" s="183"/>
      <c r="M142" s="233"/>
      <c r="N142" s="174"/>
      <c r="O142" s="227"/>
      <c r="P142" s="230"/>
      <c r="Q142" s="941"/>
      <c r="R142" s="227"/>
      <c r="S142" s="227"/>
      <c r="T142" s="227"/>
      <c r="U142" s="178"/>
      <c r="V142" s="179"/>
      <c r="W142" s="180"/>
      <c r="X142" s="227"/>
      <c r="Y142" s="178"/>
      <c r="Z142" s="181"/>
      <c r="AA142" s="227"/>
      <c r="AB142" s="193">
        <f>SUM(AH142:AS142)</f>
        <v>0</v>
      </c>
      <c r="AC142" s="193">
        <f>SUM(AT142:BE142)</f>
        <v>0</v>
      </c>
      <c r="AD142" s="193">
        <f>SUM(BF142:BQ142)</f>
        <v>0</v>
      </c>
      <c r="AE142" s="193">
        <f>SUM(BR142:CC142)</f>
        <v>0</v>
      </c>
      <c r="AF142" s="193">
        <f>SUM(CD142:CO142)</f>
        <v>0</v>
      </c>
      <c r="AH142" s="258">
        <v>0</v>
      </c>
      <c r="AI142" s="258">
        <v>0</v>
      </c>
      <c r="AJ142" s="258">
        <v>0</v>
      </c>
      <c r="AK142" s="258">
        <v>0</v>
      </c>
      <c r="AL142" s="258">
        <v>0</v>
      </c>
      <c r="AM142" s="258">
        <v>0</v>
      </c>
      <c r="AN142" s="258">
        <v>0</v>
      </c>
      <c r="AO142" s="258">
        <v>0</v>
      </c>
      <c r="AP142" s="258">
        <v>0</v>
      </c>
      <c r="AQ142" s="258">
        <v>0</v>
      </c>
      <c r="AR142" s="258">
        <v>0</v>
      </c>
      <c r="AS142" s="258">
        <v>0</v>
      </c>
      <c r="AT142" s="258">
        <v>0</v>
      </c>
      <c r="AU142" s="258">
        <v>0</v>
      </c>
      <c r="AV142" s="258">
        <v>0</v>
      </c>
      <c r="AW142" s="258">
        <v>0</v>
      </c>
      <c r="AX142" s="258">
        <v>0</v>
      </c>
      <c r="AY142" s="258">
        <v>0</v>
      </c>
      <c r="AZ142" s="258">
        <v>0</v>
      </c>
      <c r="BA142" s="258">
        <v>0</v>
      </c>
      <c r="BB142" s="258">
        <v>0</v>
      </c>
      <c r="BC142" s="258">
        <v>0</v>
      </c>
      <c r="BD142" s="258">
        <v>0</v>
      </c>
      <c r="BE142" s="258">
        <v>0</v>
      </c>
      <c r="BF142" s="258">
        <v>0</v>
      </c>
      <c r="BG142" s="258">
        <v>0</v>
      </c>
      <c r="BH142" s="258">
        <v>0</v>
      </c>
      <c r="BI142" s="258">
        <v>0</v>
      </c>
      <c r="BJ142" s="258">
        <v>0</v>
      </c>
      <c r="BK142" s="258">
        <v>0</v>
      </c>
      <c r="BL142" s="258">
        <v>0</v>
      </c>
      <c r="BM142" s="258">
        <v>0</v>
      </c>
      <c r="BN142" s="258">
        <v>0</v>
      </c>
      <c r="BO142" s="258">
        <v>0</v>
      </c>
      <c r="BP142" s="258">
        <v>0</v>
      </c>
      <c r="BQ142" s="258">
        <v>0</v>
      </c>
      <c r="BR142" s="258">
        <v>0</v>
      </c>
      <c r="BS142" s="258">
        <v>0</v>
      </c>
      <c r="BT142" s="258">
        <v>0</v>
      </c>
      <c r="BU142" s="258">
        <v>0</v>
      </c>
      <c r="BV142" s="258">
        <v>0</v>
      </c>
      <c r="BW142" s="258">
        <v>0</v>
      </c>
      <c r="BX142" s="258">
        <v>0</v>
      </c>
      <c r="BY142" s="258">
        <v>0</v>
      </c>
      <c r="BZ142" s="258">
        <v>0</v>
      </c>
      <c r="CA142" s="258">
        <v>0</v>
      </c>
      <c r="CB142" s="258">
        <v>0</v>
      </c>
      <c r="CC142" s="258">
        <v>0</v>
      </c>
      <c r="CD142" s="258">
        <v>0</v>
      </c>
      <c r="CE142" s="258">
        <v>0</v>
      </c>
      <c r="CF142" s="258">
        <v>0</v>
      </c>
      <c r="CG142" s="258">
        <v>0</v>
      </c>
      <c r="CH142" s="258">
        <v>0</v>
      </c>
      <c r="CI142" s="258">
        <v>0</v>
      </c>
      <c r="CJ142" s="258">
        <v>0</v>
      </c>
      <c r="CK142" s="258">
        <v>0</v>
      </c>
      <c r="CL142" s="258">
        <v>0</v>
      </c>
      <c r="CM142" s="258">
        <v>0</v>
      </c>
      <c r="CN142" s="258">
        <v>0</v>
      </c>
      <c r="CO142" s="258">
        <v>0</v>
      </c>
    </row>
    <row r="143" spans="1:93" x14ac:dyDescent="0.2">
      <c r="A143" s="118">
        <f t="shared" si="14"/>
        <v>8</v>
      </c>
      <c r="B143" s="239" t="s">
        <v>551</v>
      </c>
      <c r="C143" s="223"/>
      <c r="D143" s="168"/>
      <c r="E143" s="225"/>
      <c r="F143" s="183"/>
      <c r="G143" s="233"/>
      <c r="H143" s="174"/>
      <c r="I143" s="229"/>
      <c r="J143" s="168"/>
      <c r="K143" s="225"/>
      <c r="L143" s="183"/>
      <c r="M143" s="233"/>
      <c r="N143" s="174"/>
      <c r="O143" s="227"/>
      <c r="P143" s="230"/>
      <c r="Q143" s="941"/>
      <c r="R143" s="230"/>
      <c r="S143" s="230"/>
      <c r="T143" s="227"/>
      <c r="U143" s="184"/>
      <c r="V143" s="179"/>
      <c r="W143" s="180"/>
      <c r="X143" s="227"/>
      <c r="Y143" s="184"/>
      <c r="Z143" s="181"/>
      <c r="AA143" s="227"/>
      <c r="AB143" s="227"/>
      <c r="AC143" s="227"/>
    </row>
    <row r="144" spans="1:93" x14ac:dyDescent="0.2">
      <c r="A144" s="118">
        <f t="shared" si="14"/>
        <v>9</v>
      </c>
      <c r="B144" s="228" t="s">
        <v>543</v>
      </c>
      <c r="C144" s="223"/>
      <c r="D144" s="168"/>
      <c r="E144" s="225"/>
      <c r="F144" s="183"/>
      <c r="G144" s="233"/>
      <c r="H144" s="174"/>
      <c r="I144" s="229"/>
      <c r="J144" s="168"/>
      <c r="K144" s="225"/>
      <c r="L144" s="857">
        <v>0</v>
      </c>
      <c r="M144" s="233"/>
      <c r="N144" s="174"/>
      <c r="O144" s="227"/>
      <c r="P144" s="230"/>
      <c r="Q144" s="941"/>
      <c r="R144" s="259"/>
      <c r="S144" s="259"/>
      <c r="T144" s="227"/>
      <c r="U144" s="178"/>
      <c r="V144" s="179"/>
      <c r="W144" s="180"/>
      <c r="X144" s="227"/>
      <c r="Y144" s="178"/>
      <c r="Z144" s="181"/>
      <c r="AA144" s="227"/>
      <c r="AB144" s="227"/>
      <c r="AC144" s="227"/>
    </row>
    <row r="145" spans="1:94" x14ac:dyDescent="0.2">
      <c r="A145" s="118">
        <f t="shared" si="14"/>
        <v>10</v>
      </c>
      <c r="B145" s="234" t="s">
        <v>149</v>
      </c>
      <c r="C145" s="223"/>
      <c r="D145" s="172">
        <f>SUMIF($AH$6:$CP$6,1,$AH145:$CP145)</f>
        <v>208924.4911548431</v>
      </c>
      <c r="E145" s="225" t="s">
        <v>555</v>
      </c>
      <c r="F145" s="173">
        <f>'Exhibit MJC-3 - E-13c cal yr'!F147</f>
        <v>37.369999999999997</v>
      </c>
      <c r="G145" s="233" t="s">
        <v>375</v>
      </c>
      <c r="H145" s="174">
        <f>ROUND(D145*F145,2)</f>
        <v>7807508.2300000004</v>
      </c>
      <c r="I145" s="229"/>
      <c r="J145" s="168">
        <f>D145</f>
        <v>208924.4911548431</v>
      </c>
      <c r="K145" s="225" t="s">
        <v>555</v>
      </c>
      <c r="L145" s="173">
        <f>ROUND(F145*(1+'Exhibit MJC-2 - Old E-8a'!$V$21)+L144,2)</f>
        <v>38.880000000000003</v>
      </c>
      <c r="M145" s="233" t="s">
        <v>375</v>
      </c>
      <c r="N145" s="174">
        <f>ROUND(J145*L145,2)</f>
        <v>8122984.2199999997</v>
      </c>
      <c r="O145" s="227"/>
      <c r="P145" s="230"/>
      <c r="Q145" s="1022"/>
      <c r="R145" s="227"/>
      <c r="S145" s="227"/>
      <c r="T145" s="227"/>
      <c r="U145" s="178" t="s">
        <v>137</v>
      </c>
      <c r="V145" s="179">
        <v>243</v>
      </c>
      <c r="W145" s="180">
        <v>217</v>
      </c>
      <c r="X145" s="227"/>
      <c r="Y145" s="178" t="s">
        <v>137</v>
      </c>
      <c r="Z145" s="181" t="s">
        <v>141</v>
      </c>
      <c r="AA145" s="227"/>
      <c r="AB145" s="182">
        <f>SUM(AH145:AS145)</f>
        <v>207091.11871676077</v>
      </c>
      <c r="AC145" s="182">
        <f>SUM(AT145:BE145)</f>
        <v>208021.93172298439</v>
      </c>
      <c r="AD145" s="182">
        <f>SUM(BF145:BQ145)</f>
        <v>208403.52389238146</v>
      </c>
      <c r="AE145" s="182">
        <f>SUM(BR145:CC145)</f>
        <v>208924.4911548431</v>
      </c>
      <c r="AF145" s="182">
        <f>SUM(CD145:CO145)</f>
        <v>209825.98007780476</v>
      </c>
      <c r="AH145" s="168">
        <v>20281.105336934685</v>
      </c>
      <c r="AI145" s="168">
        <v>16598.46037892883</v>
      </c>
      <c r="AJ145" s="168">
        <v>14203.829541062916</v>
      </c>
      <c r="AK145" s="168">
        <v>18225.808902171986</v>
      </c>
      <c r="AL145" s="168">
        <v>17301.212017398015</v>
      </c>
      <c r="AM145" s="168">
        <v>17809.625573317862</v>
      </c>
      <c r="AN145" s="168">
        <v>17030.474484203107</v>
      </c>
      <c r="AO145" s="168">
        <v>17472.48629911368</v>
      </c>
      <c r="AP145" s="168">
        <v>17128.74202919169</v>
      </c>
      <c r="AQ145" s="168">
        <v>17890.841976548883</v>
      </c>
      <c r="AR145" s="168">
        <v>16966.58908295607</v>
      </c>
      <c r="AS145" s="168">
        <v>16181.943094933027</v>
      </c>
      <c r="AT145" s="168">
        <v>19933.600488934568</v>
      </c>
      <c r="AU145" s="168">
        <v>16443.418339268999</v>
      </c>
      <c r="AV145" s="168">
        <v>13794.442217934526</v>
      </c>
      <c r="AW145" s="168">
        <v>18349.703595538842</v>
      </c>
      <c r="AX145" s="168">
        <v>17329.182431565721</v>
      </c>
      <c r="AY145" s="168">
        <v>17513.091819610883</v>
      </c>
      <c r="AZ145" s="168">
        <v>17730.872352424511</v>
      </c>
      <c r="BA145" s="168">
        <v>17613.004562141145</v>
      </c>
      <c r="BB145" s="168">
        <v>17502.252780583356</v>
      </c>
      <c r="BC145" s="168">
        <v>18468.096064581267</v>
      </c>
      <c r="BD145" s="168">
        <v>17169.091283228332</v>
      </c>
      <c r="BE145" s="168">
        <v>16175.175787172218</v>
      </c>
      <c r="BF145" s="168">
        <v>19495.224901935973</v>
      </c>
      <c r="BG145" s="168">
        <v>16580.116383911576</v>
      </c>
      <c r="BH145" s="168">
        <v>13961.327812883177</v>
      </c>
      <c r="BI145" s="168">
        <v>18065.730064148207</v>
      </c>
      <c r="BJ145" s="168">
        <v>17381.344127900018</v>
      </c>
      <c r="BK145" s="168">
        <v>17842.86604053609</v>
      </c>
      <c r="BL145" s="168">
        <v>17858.007269095076</v>
      </c>
      <c r="BM145" s="168">
        <v>17802.66782401111</v>
      </c>
      <c r="BN145" s="168">
        <v>17559.613525888777</v>
      </c>
      <c r="BO145" s="168">
        <v>18228.597613187871</v>
      </c>
      <c r="BP145" s="168">
        <v>17059.699248610341</v>
      </c>
      <c r="BQ145" s="168">
        <v>16568.329080273212</v>
      </c>
      <c r="BR145" s="168">
        <v>19395.012165316293</v>
      </c>
      <c r="BS145" s="168">
        <v>16299.352549359028</v>
      </c>
      <c r="BT145" s="168">
        <v>14131.01317016997</v>
      </c>
      <c r="BU145" s="168">
        <v>18395.584502268495</v>
      </c>
      <c r="BV145" s="168">
        <v>16923.404348854521</v>
      </c>
      <c r="BW145" s="168">
        <v>18189.73749181924</v>
      </c>
      <c r="BX145" s="168">
        <v>18193.177992706431</v>
      </c>
      <c r="BY145" s="168">
        <v>17967.429681887676</v>
      </c>
      <c r="BZ145" s="168">
        <v>17625.180518568581</v>
      </c>
      <c r="CA145" s="168">
        <v>18424.967030692645</v>
      </c>
      <c r="CB145" s="168">
        <v>17114.054590472177</v>
      </c>
      <c r="CC145" s="168">
        <v>16265.577112728053</v>
      </c>
      <c r="CD145" s="168">
        <v>19490.746253895231</v>
      </c>
      <c r="CE145" s="168">
        <v>16056.201592017729</v>
      </c>
      <c r="CF145" s="168">
        <v>13699.438530415162</v>
      </c>
      <c r="CG145" s="168">
        <v>18780.494681411197</v>
      </c>
      <c r="CH145" s="168">
        <v>17383.819734269684</v>
      </c>
      <c r="CI145" s="168">
        <v>17911.732712443601</v>
      </c>
      <c r="CJ145" s="168">
        <v>18191.110880364366</v>
      </c>
      <c r="CK145" s="168">
        <v>18047.663799022204</v>
      </c>
      <c r="CL145" s="168">
        <v>18100.194949675722</v>
      </c>
      <c r="CM145" s="168">
        <v>18524.561387008525</v>
      </c>
      <c r="CN145" s="168">
        <v>17400.380586589832</v>
      </c>
      <c r="CO145" s="168">
        <v>16239.634970691513</v>
      </c>
    </row>
    <row r="146" spans="1:94" x14ac:dyDescent="0.2">
      <c r="A146" s="118">
        <f t="shared" si="14"/>
        <v>11</v>
      </c>
      <c r="B146" s="223"/>
      <c r="C146" s="223"/>
      <c r="D146" s="168"/>
      <c r="E146" s="225"/>
      <c r="F146" s="183"/>
      <c r="G146" s="223"/>
      <c r="H146" s="174"/>
      <c r="I146" s="229"/>
      <c r="J146" s="223"/>
      <c r="K146" s="225"/>
      <c r="L146" s="183"/>
      <c r="M146" s="223"/>
      <c r="N146" s="174"/>
      <c r="O146" s="227"/>
      <c r="P146" s="230"/>
      <c r="Q146" s="227"/>
      <c r="R146" s="227"/>
      <c r="S146" s="227"/>
      <c r="T146" s="227"/>
      <c r="U146" s="178"/>
      <c r="V146" s="179"/>
      <c r="W146" s="180"/>
      <c r="X146" s="227"/>
      <c r="Y146" s="178"/>
      <c r="Z146" s="181"/>
      <c r="AA146" s="227"/>
      <c r="AB146" s="193">
        <f>SUM(AH146:AS146)</f>
        <v>0</v>
      </c>
      <c r="AC146" s="193">
        <f>SUM(AT146:BE146)</f>
        <v>0</v>
      </c>
      <c r="AD146" s="193">
        <f>SUM(BF146:BQ146)</f>
        <v>0</v>
      </c>
      <c r="AE146" s="193">
        <f>SUM(BR146:CC146)</f>
        <v>0</v>
      </c>
      <c r="AF146" s="193">
        <f>SUM(CD146:CO146)</f>
        <v>0</v>
      </c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  <c r="AW146" s="193"/>
      <c r="AX146" s="193"/>
      <c r="AY146" s="193"/>
      <c r="AZ146" s="193"/>
      <c r="BA146" s="193"/>
      <c r="BB146" s="193"/>
      <c r="BC146" s="193"/>
      <c r="BD146" s="193"/>
      <c r="BE146" s="193"/>
      <c r="BF146" s="193"/>
      <c r="BG146" s="193"/>
      <c r="BH146" s="193"/>
      <c r="BI146" s="193"/>
      <c r="BJ146" s="193"/>
      <c r="BK146" s="193"/>
      <c r="BL146" s="193"/>
      <c r="BM146" s="193"/>
      <c r="BN146" s="193"/>
      <c r="BO146" s="193"/>
      <c r="BP146" s="193"/>
      <c r="BQ146" s="193"/>
      <c r="BR146" s="193"/>
      <c r="BS146" s="193"/>
      <c r="BT146" s="193"/>
      <c r="BU146" s="193"/>
      <c r="BV146" s="193"/>
      <c r="BW146" s="193"/>
      <c r="BX146" s="193"/>
      <c r="BY146" s="193"/>
      <c r="BZ146" s="193"/>
      <c r="CA146" s="193"/>
      <c r="CB146" s="193"/>
      <c r="CC146" s="193"/>
      <c r="CD146" s="193"/>
      <c r="CE146" s="193"/>
      <c r="CF146" s="193"/>
      <c r="CG146" s="193"/>
      <c r="CH146" s="193"/>
      <c r="CI146" s="193"/>
      <c r="CJ146" s="193"/>
      <c r="CK146" s="193"/>
      <c r="CL146" s="193"/>
      <c r="CM146" s="193"/>
      <c r="CN146" s="193"/>
      <c r="CO146" s="193"/>
    </row>
    <row r="147" spans="1:94" x14ac:dyDescent="0.2">
      <c r="A147" s="118">
        <f t="shared" si="14"/>
        <v>12</v>
      </c>
      <c r="B147" s="246" t="s">
        <v>563</v>
      </c>
      <c r="C147" s="223"/>
      <c r="D147" s="168"/>
      <c r="E147" s="225"/>
      <c r="F147" s="183"/>
      <c r="G147" s="223"/>
      <c r="H147" s="174"/>
      <c r="I147" s="229"/>
      <c r="J147" s="223"/>
      <c r="K147" s="225"/>
      <c r="L147" s="183"/>
      <c r="M147" s="223"/>
      <c r="N147" s="174"/>
      <c r="O147" s="227"/>
      <c r="P147" s="230"/>
      <c r="Q147" s="227"/>
      <c r="R147" s="227"/>
      <c r="S147" s="227"/>
      <c r="T147" s="227"/>
      <c r="U147" s="178"/>
      <c r="V147" s="179"/>
      <c r="W147" s="180"/>
      <c r="X147" s="227"/>
      <c r="Y147" s="178"/>
      <c r="Z147" s="181"/>
      <c r="AA147" s="227"/>
      <c r="AB147" s="227"/>
      <c r="AC147" s="227"/>
      <c r="AE147" s="260"/>
      <c r="AF147" s="260"/>
      <c r="AG147" s="260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</row>
    <row r="148" spans="1:94" x14ac:dyDescent="0.2">
      <c r="A148" s="118">
        <f t="shared" si="14"/>
        <v>13</v>
      </c>
      <c r="B148" s="223"/>
      <c r="C148" s="223"/>
      <c r="D148" s="168"/>
      <c r="E148" s="225"/>
      <c r="F148" s="223"/>
      <c r="G148" s="223"/>
      <c r="H148" s="174"/>
      <c r="I148" s="229"/>
      <c r="J148" s="223"/>
      <c r="K148" s="225"/>
      <c r="L148" s="223"/>
      <c r="M148" s="223"/>
      <c r="N148" s="174"/>
      <c r="O148" s="227"/>
      <c r="P148" s="103"/>
      <c r="Q148" s="227"/>
      <c r="R148" s="227"/>
      <c r="S148" s="227"/>
      <c r="T148" s="227"/>
      <c r="U148" s="178"/>
      <c r="V148" s="179"/>
      <c r="W148" s="180"/>
      <c r="X148" s="227"/>
      <c r="Y148" s="178"/>
      <c r="Z148" s="181"/>
      <c r="AA148" s="227"/>
      <c r="AB148" s="227"/>
      <c r="AC148" s="227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</row>
    <row r="149" spans="1:94" x14ac:dyDescent="0.2">
      <c r="A149" s="118">
        <f t="shared" si="14"/>
        <v>14</v>
      </c>
      <c r="B149" s="171" t="s">
        <v>564</v>
      </c>
      <c r="C149" s="223"/>
      <c r="D149" s="168"/>
      <c r="E149" s="225"/>
      <c r="F149" s="166"/>
      <c r="G149" s="223"/>
      <c r="H149" s="174">
        <f>'MFR E-5 Yr4'!L22*1000</f>
        <v>287440.734</v>
      </c>
      <c r="I149" s="162"/>
      <c r="J149" s="208"/>
      <c r="K149" s="166"/>
      <c r="L149" s="166"/>
      <c r="M149" s="143"/>
      <c r="N149" s="174">
        <f>H149</f>
        <v>287440.734</v>
      </c>
      <c r="O149" s="227"/>
      <c r="P149" s="103"/>
      <c r="Q149" s="227"/>
      <c r="R149" s="227"/>
      <c r="S149" s="227"/>
      <c r="T149" s="227"/>
      <c r="U149" s="184"/>
      <c r="V149" s="179"/>
      <c r="W149" s="180"/>
      <c r="X149" s="227"/>
      <c r="Y149" s="184" t="s">
        <v>137</v>
      </c>
      <c r="Z149" s="181" t="s">
        <v>565</v>
      </c>
      <c r="AA149" s="227"/>
      <c r="AB149" s="227"/>
      <c r="AC149" s="227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</row>
    <row r="150" spans="1:94" x14ac:dyDescent="0.2">
      <c r="A150" s="118">
        <f t="shared" si="14"/>
        <v>15</v>
      </c>
      <c r="B150" s="171" t="s">
        <v>566</v>
      </c>
      <c r="C150" s="223"/>
      <c r="D150" s="168"/>
      <c r="E150" s="225"/>
      <c r="F150" s="166"/>
      <c r="G150" s="223"/>
      <c r="H150" s="174">
        <f>'MFR E-5 Yr4'!L23*1000</f>
        <v>122162.31194999962</v>
      </c>
      <c r="I150" s="162"/>
      <c r="J150" s="208"/>
      <c r="K150" s="166"/>
      <c r="L150" s="166"/>
      <c r="M150" s="143"/>
      <c r="N150" s="174">
        <f>H150</f>
        <v>122162.31194999962</v>
      </c>
      <c r="O150" s="227"/>
      <c r="P150" s="103"/>
      <c r="Q150" s="227"/>
      <c r="R150" s="227"/>
      <c r="S150" s="227"/>
      <c r="T150" s="227"/>
      <c r="U150" s="184"/>
      <c r="V150" s="179"/>
      <c r="W150" s="180"/>
      <c r="X150" s="227"/>
      <c r="Y150" s="184" t="s">
        <v>137</v>
      </c>
      <c r="Z150" s="181" t="s">
        <v>565</v>
      </c>
      <c r="AA150" s="227"/>
      <c r="AB150" s="227"/>
      <c r="AC150" s="227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</row>
    <row r="151" spans="1:94" x14ac:dyDescent="0.2">
      <c r="A151" s="118">
        <f>+A149+1</f>
        <v>15</v>
      </c>
      <c r="B151" s="223"/>
      <c r="C151" s="223"/>
      <c r="D151" s="168"/>
      <c r="E151" s="225"/>
      <c r="F151" s="223"/>
      <c r="G151" s="223"/>
      <c r="H151" s="174"/>
      <c r="I151" s="229"/>
      <c r="J151" s="223"/>
      <c r="K151" s="225"/>
      <c r="L151" s="223"/>
      <c r="M151" s="223"/>
      <c r="N151" s="174"/>
      <c r="O151" s="227"/>
      <c r="P151" s="103"/>
      <c r="Q151" s="227"/>
      <c r="R151" s="227"/>
      <c r="S151" s="227"/>
      <c r="T151" s="227"/>
      <c r="U151" s="184"/>
      <c r="V151" s="179"/>
      <c r="W151" s="180"/>
      <c r="X151" s="227"/>
      <c r="Y151" s="184"/>
      <c r="Z151" s="181"/>
      <c r="AA151" s="227"/>
      <c r="AB151" s="227"/>
      <c r="AC151" s="227"/>
      <c r="AE151" s="114"/>
      <c r="AF151" s="114"/>
      <c r="AG151" s="238"/>
      <c r="AH151" s="227"/>
      <c r="AI151" s="227"/>
      <c r="AJ151" s="227"/>
      <c r="AK151" s="227"/>
      <c r="AL151" s="227"/>
      <c r="AM151" s="227"/>
      <c r="AN151" s="227"/>
      <c r="AO151" s="227"/>
      <c r="AP151" s="227"/>
      <c r="AQ151" s="227"/>
      <c r="AR151" s="227"/>
      <c r="AS151" s="227"/>
      <c r="AT151" s="227"/>
      <c r="AU151" s="227"/>
      <c r="AV151" s="227"/>
      <c r="AW151" s="227"/>
      <c r="AX151" s="227"/>
      <c r="AY151" s="227"/>
      <c r="AZ151" s="227"/>
      <c r="BA151" s="227"/>
      <c r="BB151" s="227"/>
      <c r="BC151" s="227"/>
      <c r="BD151" s="227"/>
      <c r="BE151" s="227"/>
      <c r="BF151" s="227"/>
      <c r="BG151" s="227"/>
      <c r="BH151" s="2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  <c r="CL151" s="227"/>
      <c r="CM151" s="227"/>
      <c r="CN151" s="227"/>
      <c r="CO151" s="227"/>
      <c r="CP151" s="227"/>
    </row>
    <row r="152" spans="1:94" ht="10.8" thickBot="1" x14ac:dyDescent="0.25">
      <c r="A152" s="118">
        <f t="shared" si="14"/>
        <v>16</v>
      </c>
      <c r="B152" s="246" t="s">
        <v>588</v>
      </c>
      <c r="C152" s="223"/>
      <c r="D152" s="168"/>
      <c r="E152" s="225"/>
      <c r="F152" s="261"/>
      <c r="G152" s="223"/>
      <c r="H152" s="210">
        <f>H141+H145+H149+H150</f>
        <v>11984554.49595</v>
      </c>
      <c r="I152" s="229"/>
      <c r="J152" s="223"/>
      <c r="K152" s="225"/>
      <c r="L152" s="261"/>
      <c r="M152" s="223"/>
      <c r="N152" s="210">
        <f>N141+N145+N149+N150</f>
        <v>12432034.985949999</v>
      </c>
      <c r="O152" s="251"/>
      <c r="P152" s="103"/>
      <c r="Q152" s="939">
        <f>(N152-H152)/H152</f>
        <v>3.7338099647443522E-2</v>
      </c>
      <c r="R152" s="227"/>
      <c r="S152" s="227"/>
      <c r="T152" s="227"/>
      <c r="U152" s="184"/>
      <c r="V152" s="179"/>
      <c r="W152" s="180"/>
      <c r="X152" s="227"/>
      <c r="Y152" s="184" t="s">
        <v>137</v>
      </c>
      <c r="Z152" s="181" t="s">
        <v>121</v>
      </c>
      <c r="AA152" s="227"/>
      <c r="AB152" s="227"/>
      <c r="AC152" s="227"/>
      <c r="AE152" s="114"/>
      <c r="AF152" s="114"/>
      <c r="AG152" s="114"/>
      <c r="AH152" s="227"/>
      <c r="AI152" s="227"/>
      <c r="AJ152" s="227"/>
      <c r="AK152" s="227"/>
      <c r="AL152" s="227"/>
      <c r="AM152" s="227"/>
      <c r="AN152" s="227"/>
      <c r="AO152" s="227"/>
      <c r="AP152" s="227"/>
      <c r="AQ152" s="227"/>
      <c r="AR152" s="227"/>
      <c r="AS152" s="227"/>
      <c r="AT152" s="227"/>
      <c r="AU152" s="227"/>
      <c r="AV152" s="227"/>
      <c r="AW152" s="227"/>
      <c r="AX152" s="227"/>
      <c r="AY152" s="227"/>
      <c r="AZ152" s="227"/>
      <c r="BA152" s="227"/>
      <c r="BB152" s="227"/>
      <c r="BC152" s="227"/>
      <c r="BD152" s="227"/>
      <c r="BE152" s="227"/>
      <c r="BF152" s="227"/>
      <c r="BG152" s="227"/>
      <c r="BH152" s="2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  <c r="CL152" s="227"/>
      <c r="CM152" s="227"/>
      <c r="CN152" s="227"/>
      <c r="CO152" s="227"/>
      <c r="CP152" s="227"/>
    </row>
    <row r="153" spans="1:94" ht="10.8" thickTop="1" x14ac:dyDescent="0.2">
      <c r="A153" s="118">
        <f t="shared" si="14"/>
        <v>17</v>
      </c>
      <c r="B153" s="223"/>
      <c r="C153" s="223"/>
      <c r="D153" s="168"/>
      <c r="E153" s="225"/>
      <c r="F153" s="223"/>
      <c r="G153" s="223"/>
      <c r="H153" s="174"/>
      <c r="I153" s="229"/>
      <c r="J153" s="223"/>
      <c r="K153" s="225"/>
      <c r="L153" s="223"/>
      <c r="M153" s="223"/>
      <c r="N153" s="174"/>
      <c r="O153" s="227"/>
      <c r="P153" s="262"/>
      <c r="Q153" s="227"/>
      <c r="R153" s="227"/>
      <c r="S153" s="227"/>
      <c r="T153" s="227"/>
      <c r="U153" s="178"/>
      <c r="V153" s="179"/>
      <c r="W153" s="180"/>
      <c r="X153" s="227"/>
      <c r="Y153" s="178"/>
      <c r="Z153" s="181"/>
      <c r="AA153" s="227"/>
      <c r="AB153" s="227"/>
      <c r="AC153" s="227"/>
      <c r="AE153" s="114"/>
      <c r="AF153" s="114"/>
      <c r="AG153" s="238"/>
      <c r="AH153" s="227"/>
      <c r="AI153" s="227"/>
      <c r="AJ153" s="227"/>
      <c r="AK153" s="227"/>
      <c r="AL153" s="227"/>
      <c r="AM153" s="227"/>
      <c r="AN153" s="227"/>
      <c r="AO153" s="227"/>
      <c r="AP153" s="227"/>
      <c r="AQ153" s="227"/>
      <c r="AR153" s="227"/>
      <c r="AS153" s="227"/>
      <c r="AT153" s="227"/>
      <c r="AU153" s="227"/>
      <c r="AV153" s="227"/>
      <c r="AW153" s="227"/>
      <c r="AX153" s="227"/>
      <c r="AY153" s="227"/>
      <c r="AZ153" s="227"/>
      <c r="BA153" s="227"/>
      <c r="BB153" s="227"/>
      <c r="BC153" s="227"/>
      <c r="BD153" s="227"/>
      <c r="BE153" s="227"/>
      <c r="BF153" s="227"/>
      <c r="BG153" s="227"/>
      <c r="BH153" s="2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  <c r="CL153" s="227"/>
      <c r="CM153" s="227"/>
      <c r="CN153" s="227"/>
      <c r="CO153" s="227"/>
      <c r="CP153" s="227"/>
    </row>
    <row r="154" spans="1:94" x14ac:dyDescent="0.2">
      <c r="A154" s="118">
        <f t="shared" si="14"/>
        <v>18</v>
      </c>
      <c r="B154" s="102"/>
      <c r="C154" s="143"/>
      <c r="D154" s="143"/>
      <c r="E154" s="166"/>
      <c r="F154" s="166"/>
      <c r="G154" s="143"/>
      <c r="H154" s="211"/>
      <c r="I154" s="162"/>
      <c r="J154" s="171" t="s">
        <v>573</v>
      </c>
      <c r="K154" s="166"/>
      <c r="L154" s="166"/>
      <c r="M154" s="143"/>
      <c r="N154" s="174">
        <f>N152-H152</f>
        <v>447480.48999999836</v>
      </c>
      <c r="U154" s="184"/>
      <c r="V154" s="139"/>
      <c r="W154" s="140"/>
      <c r="Y154" s="184"/>
      <c r="Z154" s="141"/>
    </row>
    <row r="155" spans="1:94" x14ac:dyDescent="0.2">
      <c r="A155" s="118">
        <f t="shared" si="14"/>
        <v>19</v>
      </c>
      <c r="B155" s="143"/>
      <c r="C155" s="143"/>
      <c r="D155" s="143"/>
      <c r="E155" s="166"/>
      <c r="F155" s="166"/>
      <c r="G155" s="143"/>
      <c r="H155" s="211"/>
      <c r="I155" s="162"/>
      <c r="J155" s="171"/>
      <c r="K155" s="166"/>
      <c r="L155" s="166"/>
      <c r="M155" s="143"/>
      <c r="N155" s="212"/>
      <c r="U155" s="184"/>
      <c r="V155" s="139"/>
      <c r="W155" s="140"/>
      <c r="Y155" s="184"/>
      <c r="Z155" s="141"/>
    </row>
    <row r="156" spans="1:94" x14ac:dyDescent="0.2">
      <c r="A156" s="118">
        <f t="shared" si="14"/>
        <v>20</v>
      </c>
      <c r="B156" s="143"/>
      <c r="C156" s="143"/>
      <c r="D156" s="143"/>
      <c r="E156" s="166"/>
      <c r="G156" s="143"/>
      <c r="H156" s="211"/>
      <c r="I156" s="162"/>
      <c r="J156" s="171" t="s">
        <v>589</v>
      </c>
      <c r="N156" s="211">
        <f>'Exhibit MJC-2 - Old E-8a'!U21*1000</f>
        <v>485948.92709006782</v>
      </c>
      <c r="P156" s="101" t="s">
        <v>672</v>
      </c>
      <c r="Q156" s="939">
        <f>N156/H152</f>
        <v>4.0547934197661409E-2</v>
      </c>
      <c r="U156" s="184"/>
      <c r="V156" s="139"/>
      <c r="W156" s="140"/>
      <c r="Y156" s="184"/>
      <c r="Z156" s="141"/>
    </row>
    <row r="157" spans="1:94" x14ac:dyDescent="0.2">
      <c r="A157" s="118">
        <f t="shared" si="14"/>
        <v>21</v>
      </c>
      <c r="I157" s="162"/>
      <c r="U157" s="184"/>
      <c r="V157" s="139"/>
      <c r="W157" s="140"/>
      <c r="Y157" s="184"/>
      <c r="Z157" s="141"/>
    </row>
    <row r="158" spans="1:94" x14ac:dyDescent="0.2">
      <c r="A158" s="118">
        <f t="shared" si="14"/>
        <v>22</v>
      </c>
      <c r="I158" s="162"/>
      <c r="J158" s="171" t="s">
        <v>575</v>
      </c>
      <c r="N158" s="214">
        <f>N154-N156</f>
        <v>-38468.437090069463</v>
      </c>
      <c r="U158" s="184"/>
      <c r="V158" s="139"/>
      <c r="W158" s="140"/>
      <c r="Y158" s="184"/>
      <c r="Z158" s="141"/>
    </row>
    <row r="159" spans="1:94" x14ac:dyDescent="0.2">
      <c r="A159" s="118">
        <f t="shared" si="14"/>
        <v>23</v>
      </c>
      <c r="B159" s="243"/>
      <c r="C159" s="223"/>
      <c r="D159" s="168"/>
      <c r="E159" s="225"/>
      <c r="F159" s="197"/>
      <c r="G159" s="233"/>
      <c r="H159" s="174"/>
      <c r="I159" s="229"/>
      <c r="J159" s="168"/>
      <c r="K159" s="225"/>
      <c r="L159" s="197"/>
      <c r="M159" s="233"/>
      <c r="N159" s="174"/>
      <c r="O159" s="227"/>
      <c r="Q159" s="176"/>
      <c r="T159" s="265"/>
      <c r="U159" s="178"/>
      <c r="V159" s="179"/>
      <c r="W159" s="180"/>
      <c r="X159" s="265"/>
      <c r="Y159" s="178"/>
      <c r="Z159" s="181"/>
      <c r="AA159" s="265"/>
      <c r="AB159" s="264"/>
      <c r="AC159" s="264"/>
      <c r="AD159" s="264"/>
      <c r="AE159" s="242"/>
    </row>
    <row r="160" spans="1:94" x14ac:dyDescent="0.2">
      <c r="A160" s="118">
        <f t="shared" si="14"/>
        <v>24</v>
      </c>
      <c r="B160" s="234"/>
      <c r="C160" s="223"/>
      <c r="D160" s="168"/>
      <c r="E160" s="225"/>
      <c r="F160" s="183"/>
      <c r="G160" s="233"/>
      <c r="H160" s="174"/>
      <c r="I160" s="229"/>
      <c r="J160" s="168"/>
      <c r="K160" s="225"/>
      <c r="L160" s="183"/>
      <c r="M160" s="233"/>
      <c r="N160" s="174"/>
      <c r="O160" s="227"/>
      <c r="Q160" s="176"/>
      <c r="T160" s="265"/>
      <c r="U160" s="178"/>
      <c r="V160" s="179"/>
      <c r="W160" s="180"/>
      <c r="X160" s="265"/>
      <c r="Y160" s="178"/>
      <c r="Z160" s="181"/>
      <c r="AA160" s="265"/>
      <c r="AB160" s="227"/>
      <c r="AC160" s="264"/>
      <c r="AD160" s="264"/>
      <c r="AE160" s="242"/>
    </row>
    <row r="161" spans="1:93" x14ac:dyDescent="0.2">
      <c r="A161" s="215"/>
      <c r="B161" s="215" t="s">
        <v>98</v>
      </c>
      <c r="C161" s="215"/>
      <c r="D161" s="215"/>
      <c r="E161" s="215"/>
      <c r="F161" s="215"/>
      <c r="G161" s="215"/>
      <c r="H161" s="215"/>
      <c r="I161" s="215"/>
      <c r="J161" s="215"/>
      <c r="K161" s="215"/>
      <c r="L161" s="215"/>
      <c r="M161" s="215"/>
      <c r="N161" s="215" t="s">
        <v>99</v>
      </c>
      <c r="O161" s="215"/>
      <c r="P161" s="215"/>
      <c r="Q161" s="215"/>
      <c r="Y161" s="101"/>
    </row>
    <row r="162" spans="1:93" x14ac:dyDescent="0.2">
      <c r="A162" s="216"/>
      <c r="B162" s="216"/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7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</row>
    <row r="163" spans="1:93" x14ac:dyDescent="0.2">
      <c r="A163" s="100" t="s">
        <v>505</v>
      </c>
      <c r="C163" s="102"/>
      <c r="D163" s="103"/>
      <c r="F163" s="268"/>
      <c r="G163" s="104"/>
      <c r="H163" s="269" t="s">
        <v>506</v>
      </c>
      <c r="I163" s="104"/>
      <c r="J163" s="104"/>
      <c r="K163" s="104"/>
      <c r="L163" s="268"/>
      <c r="N163" s="270"/>
      <c r="Q163" s="106" t="s">
        <v>590</v>
      </c>
      <c r="R163" s="105"/>
      <c r="S163" s="105"/>
      <c r="U163" s="114"/>
      <c r="V163" s="114"/>
      <c r="W163" s="114"/>
      <c r="Y163" s="114"/>
      <c r="Z163" s="218"/>
    </row>
    <row r="164" spans="1:93" ht="10.8" thickBot="1" x14ac:dyDescent="0.25">
      <c r="A164" s="108"/>
      <c r="B164" s="109"/>
      <c r="C164" s="109"/>
      <c r="D164" s="109"/>
      <c r="E164" s="110" t="s">
        <v>416</v>
      </c>
      <c r="F164" s="271" t="s">
        <v>416</v>
      </c>
      <c r="G164" s="109" t="s">
        <v>416</v>
      </c>
      <c r="H164" s="272" t="s">
        <v>416</v>
      </c>
      <c r="I164" s="109" t="s">
        <v>416</v>
      </c>
      <c r="J164" s="109"/>
      <c r="K164" s="109"/>
      <c r="L164" s="271" t="s">
        <v>416</v>
      </c>
      <c r="M164" s="111"/>
      <c r="N164" s="273"/>
      <c r="O164" s="109"/>
      <c r="P164" s="112"/>
      <c r="Q164" s="109"/>
      <c r="U164" s="114"/>
      <c r="V164" s="114"/>
      <c r="W164" s="114"/>
      <c r="Y164" s="114"/>
      <c r="Z164" s="218"/>
    </row>
    <row r="165" spans="1:93" x14ac:dyDescent="0.2">
      <c r="A165" s="113"/>
      <c r="F165" s="197"/>
      <c r="H165" s="203"/>
      <c r="L165" s="197"/>
      <c r="M165" s="105"/>
      <c r="N165" s="270"/>
      <c r="P165" s="114"/>
      <c r="U165" s="114"/>
      <c r="V165" s="114"/>
      <c r="W165" s="114"/>
      <c r="Y165" s="114"/>
      <c r="Z165" s="218"/>
    </row>
    <row r="166" spans="1:93" x14ac:dyDescent="0.2">
      <c r="A166" s="100" t="s">
        <v>3</v>
      </c>
      <c r="D166" s="106" t="s">
        <v>4</v>
      </c>
      <c r="E166" s="101" t="s">
        <v>508</v>
      </c>
      <c r="F166" s="197"/>
      <c r="H166" s="203"/>
      <c r="L166" s="197"/>
      <c r="N166" s="203"/>
      <c r="O166" s="100" t="s">
        <v>6</v>
      </c>
      <c r="U166" s="114"/>
      <c r="V166" s="114"/>
      <c r="W166" s="114"/>
      <c r="Y166" s="114"/>
      <c r="Z166" s="218"/>
    </row>
    <row r="167" spans="1:93" x14ac:dyDescent="0.2">
      <c r="E167" s="101" t="s">
        <v>509</v>
      </c>
      <c r="F167" s="197"/>
      <c r="H167" s="203"/>
      <c r="L167" s="197"/>
      <c r="N167" s="203"/>
      <c r="U167" s="114"/>
      <c r="V167" s="114"/>
      <c r="W167" s="114"/>
      <c r="Y167" s="114"/>
      <c r="Z167" s="218"/>
    </row>
    <row r="168" spans="1:93" x14ac:dyDescent="0.2">
      <c r="A168" s="100" t="s">
        <v>9</v>
      </c>
      <c r="E168" s="101" t="s">
        <v>510</v>
      </c>
      <c r="F168" s="197"/>
      <c r="H168" s="203"/>
      <c r="L168" s="197"/>
      <c r="N168" s="203"/>
      <c r="O168" s="107" t="str">
        <f>O128</f>
        <v>__X__  Projected Test Year Ended 12/31/26</v>
      </c>
      <c r="U168" s="114"/>
      <c r="V168" s="114"/>
      <c r="W168" s="114"/>
      <c r="Y168" s="114"/>
      <c r="Z168" s="218"/>
    </row>
    <row r="169" spans="1:93" x14ac:dyDescent="0.2">
      <c r="E169" s="101" t="s">
        <v>512</v>
      </c>
      <c r="F169" s="197"/>
      <c r="H169" s="203"/>
      <c r="L169" s="197"/>
      <c r="N169" s="203"/>
      <c r="U169" s="114"/>
      <c r="V169" s="114"/>
      <c r="W169" s="114"/>
      <c r="Y169" s="114"/>
      <c r="Z169" s="218"/>
    </row>
    <row r="170" spans="1:93" x14ac:dyDescent="0.2">
      <c r="A170" s="100" t="s">
        <v>491</v>
      </c>
      <c r="C170" s="119" t="str">
        <f>C130</f>
        <v>20240025-EI</v>
      </c>
      <c r="F170" s="197"/>
      <c r="H170" s="203"/>
      <c r="L170" s="197"/>
      <c r="N170" s="203"/>
      <c r="O170" s="100" t="s">
        <v>493</v>
      </c>
      <c r="U170" s="114"/>
      <c r="V170" s="114"/>
      <c r="W170" s="114"/>
      <c r="Y170" s="114"/>
      <c r="Z170" s="218"/>
    </row>
    <row r="171" spans="1:93" ht="10.8" thickBot="1" x14ac:dyDescent="0.25">
      <c r="A171" s="123"/>
      <c r="B171" s="109"/>
      <c r="C171" s="109"/>
      <c r="D171" s="109"/>
      <c r="E171" s="109"/>
      <c r="F171" s="274"/>
      <c r="G171" s="109"/>
      <c r="H171" s="272"/>
      <c r="I171" s="109"/>
      <c r="J171" s="109"/>
      <c r="K171" s="109"/>
      <c r="L171" s="274"/>
      <c r="M171" s="109"/>
      <c r="N171" s="275"/>
      <c r="O171" s="109"/>
      <c r="P171" s="109"/>
      <c r="Q171" s="109"/>
      <c r="U171" s="114"/>
      <c r="V171" s="114"/>
      <c r="W171" s="114"/>
      <c r="Y171" s="114"/>
      <c r="Z171" s="218"/>
    </row>
    <row r="172" spans="1:93" ht="15.6" x14ac:dyDescent="0.2">
      <c r="B172" s="124"/>
      <c r="C172" s="125"/>
      <c r="D172" s="125"/>
      <c r="E172" s="125"/>
      <c r="F172" s="276"/>
      <c r="G172" s="125"/>
      <c r="H172" s="277"/>
      <c r="I172" s="126" t="s">
        <v>591</v>
      </c>
      <c r="J172" s="125"/>
      <c r="K172" s="125"/>
      <c r="L172" s="276"/>
      <c r="M172" s="125"/>
      <c r="N172" s="277"/>
      <c r="U172" s="127" t="s">
        <v>530</v>
      </c>
      <c r="V172" s="128"/>
      <c r="W172" s="129"/>
      <c r="Y172" s="130" t="s">
        <v>531</v>
      </c>
      <c r="Z172" s="131"/>
    </row>
    <row r="173" spans="1:93" x14ac:dyDescent="0.2">
      <c r="A173" s="101" t="s">
        <v>30</v>
      </c>
      <c r="B173" s="101" t="s">
        <v>532</v>
      </c>
      <c r="C173" s="132"/>
      <c r="D173" s="133" t="s">
        <v>533</v>
      </c>
      <c r="E173" s="134"/>
      <c r="F173" s="278"/>
      <c r="G173" s="133"/>
      <c r="H173" s="279"/>
      <c r="I173" s="135"/>
      <c r="J173" s="136" t="s">
        <v>534</v>
      </c>
      <c r="K173" s="133"/>
      <c r="L173" s="278"/>
      <c r="M173" s="134"/>
      <c r="N173" s="280"/>
      <c r="O173" s="137"/>
      <c r="Q173" s="118" t="s">
        <v>332</v>
      </c>
      <c r="U173" s="138"/>
      <c r="V173" s="139"/>
      <c r="W173" s="140"/>
      <c r="Y173" s="138"/>
      <c r="Z173" s="141"/>
    </row>
    <row r="174" spans="1:93" x14ac:dyDescent="0.2">
      <c r="A174" s="101" t="s">
        <v>39</v>
      </c>
      <c r="B174" s="102" t="s">
        <v>535</v>
      </c>
      <c r="C174" s="104"/>
      <c r="D174" s="142" t="s">
        <v>536</v>
      </c>
      <c r="E174" s="143"/>
      <c r="F174" s="281" t="s">
        <v>537</v>
      </c>
      <c r="G174" s="142"/>
      <c r="H174" s="282" t="s">
        <v>538</v>
      </c>
      <c r="I174" s="144"/>
      <c r="J174" s="142" t="s">
        <v>536</v>
      </c>
      <c r="K174" s="143"/>
      <c r="L174" s="281" t="s">
        <v>537</v>
      </c>
      <c r="M174" s="142"/>
      <c r="N174" s="282" t="s">
        <v>538</v>
      </c>
      <c r="O174" s="132"/>
      <c r="Q174" s="145" t="s">
        <v>539</v>
      </c>
      <c r="R174" s="132"/>
      <c r="S174" s="132"/>
      <c r="U174" s="138" t="s">
        <v>128</v>
      </c>
      <c r="V174" s="146" t="s">
        <v>343</v>
      </c>
      <c r="W174" s="147" t="s">
        <v>344</v>
      </c>
      <c r="Y174" s="148" t="s">
        <v>128</v>
      </c>
      <c r="Z174" s="149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116"/>
      <c r="AY174" s="116"/>
      <c r="AZ174" s="116"/>
      <c r="BA174" s="116"/>
      <c r="BB174" s="116"/>
      <c r="BC174" s="116"/>
      <c r="BD174" s="116"/>
      <c r="BE174" s="116"/>
      <c r="BF174" s="116"/>
      <c r="BG174" s="116"/>
      <c r="BH174" s="116"/>
      <c r="BI174" s="116"/>
      <c r="BJ174" s="116"/>
      <c r="BK174" s="116"/>
      <c r="BL174" s="116"/>
      <c r="BM174" s="116"/>
      <c r="BN174" s="116"/>
      <c r="BO174" s="116"/>
      <c r="BP174" s="116"/>
      <c r="BQ174" s="116"/>
      <c r="BR174" s="116"/>
      <c r="BS174" s="116"/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</row>
    <row r="175" spans="1:93" ht="10.8" thickBot="1" x14ac:dyDescent="0.25">
      <c r="A175" s="109"/>
      <c r="B175" s="110" t="s">
        <v>272</v>
      </c>
      <c r="C175" s="150"/>
      <c r="D175" s="220" t="str">
        <f>+$D$13</f>
        <v>Jan '26-Dec '26</v>
      </c>
      <c r="E175" s="221"/>
      <c r="F175" s="152">
        <f>+$L$13</f>
        <v>46023</v>
      </c>
      <c r="G175" s="153"/>
      <c r="H175" s="153"/>
      <c r="I175" s="153"/>
      <c r="J175" s="153"/>
      <c r="K175" s="151"/>
      <c r="L175" s="152">
        <f>+$L$13</f>
        <v>46023</v>
      </c>
      <c r="M175" s="154"/>
      <c r="N175" s="283"/>
      <c r="O175" s="155"/>
      <c r="P175" s="109"/>
      <c r="Q175" s="156"/>
      <c r="R175" s="132"/>
      <c r="S175" s="132"/>
      <c r="U175" s="157" t="s">
        <v>144</v>
      </c>
      <c r="V175" s="158" t="s">
        <v>540</v>
      </c>
      <c r="W175" s="159" t="s">
        <v>540</v>
      </c>
      <c r="Y175" s="160" t="s">
        <v>144</v>
      </c>
      <c r="Z175" s="159" t="s">
        <v>541</v>
      </c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116"/>
      <c r="AY175" s="116"/>
      <c r="AZ175" s="116"/>
      <c r="BA175" s="116"/>
      <c r="BB175" s="116"/>
      <c r="BC175" s="116"/>
      <c r="BD175" s="116"/>
      <c r="BE175" s="116"/>
      <c r="BF175" s="116"/>
      <c r="BG175" s="116"/>
      <c r="BH175" s="116"/>
      <c r="BI175" s="116"/>
      <c r="BJ175" s="116"/>
      <c r="BK175" s="116"/>
      <c r="BL175" s="116"/>
      <c r="BM175" s="116"/>
      <c r="BN175" s="116"/>
      <c r="BO175" s="116"/>
      <c r="BP175" s="116"/>
      <c r="BQ175" s="116"/>
      <c r="BR175" s="116"/>
      <c r="BS175" s="116"/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</row>
    <row r="176" spans="1:93" x14ac:dyDescent="0.2">
      <c r="A176" s="118">
        <v>1</v>
      </c>
      <c r="B176" s="222" t="s">
        <v>542</v>
      </c>
      <c r="C176" s="223"/>
      <c r="E176" s="225"/>
      <c r="F176" s="284"/>
      <c r="G176" s="227"/>
      <c r="H176" s="285"/>
      <c r="I176" s="229"/>
      <c r="J176" s="226"/>
      <c r="K176" s="225"/>
      <c r="L176" s="284"/>
      <c r="M176" s="227"/>
      <c r="N176" s="285"/>
      <c r="O176" s="228"/>
      <c r="P176" s="227"/>
      <c r="Q176" s="286"/>
      <c r="R176" s="227"/>
      <c r="S176" s="227"/>
      <c r="U176" s="163"/>
      <c r="V176" s="139"/>
      <c r="W176" s="140"/>
      <c r="Y176" s="163"/>
      <c r="Z176" s="141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116"/>
      <c r="AZ176" s="116"/>
      <c r="BA176" s="116"/>
      <c r="BB176" s="116"/>
      <c r="BC176" s="116"/>
      <c r="BD176" s="116"/>
      <c r="BE176" s="116"/>
      <c r="BF176" s="116"/>
      <c r="BG176" s="116"/>
      <c r="BH176" s="116"/>
      <c r="BI176" s="116"/>
      <c r="BJ176" s="116"/>
      <c r="BK176" s="116"/>
      <c r="BL176" s="116"/>
      <c r="BM176" s="116"/>
      <c r="BN176" s="116"/>
      <c r="BO176" s="116"/>
      <c r="BP176" s="116"/>
      <c r="BQ176" s="116"/>
      <c r="BR176" s="116"/>
      <c r="BS176" s="116"/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</row>
    <row r="177" spans="1:93" x14ac:dyDescent="0.2">
      <c r="A177" s="118">
        <f t="shared" ref="A177:A217" si="16">+A176+1</f>
        <v>2</v>
      </c>
      <c r="B177" s="228" t="s">
        <v>543</v>
      </c>
      <c r="C177" s="223"/>
      <c r="D177" s="168"/>
      <c r="E177" s="225"/>
      <c r="F177" s="183"/>
      <c r="G177" s="223"/>
      <c r="H177" s="174"/>
      <c r="I177" s="229"/>
      <c r="J177" s="168"/>
      <c r="K177" s="225"/>
      <c r="L177" s="857">
        <v>0</v>
      </c>
      <c r="M177" s="223"/>
      <c r="N177" s="174"/>
      <c r="O177" s="227"/>
      <c r="P177" s="227"/>
      <c r="Q177" s="287"/>
      <c r="R177" s="227"/>
      <c r="S177" s="227"/>
      <c r="U177" s="163"/>
      <c r="V177" s="139"/>
      <c r="W177" s="140"/>
      <c r="Y177" s="163"/>
      <c r="Z177" s="141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</row>
    <row r="178" spans="1:93" x14ac:dyDescent="0.2">
      <c r="A178" s="118">
        <f t="shared" si="16"/>
        <v>3</v>
      </c>
      <c r="B178" s="234" t="s">
        <v>149</v>
      </c>
      <c r="C178" s="223"/>
      <c r="D178" s="172">
        <f>SUMIF($AH$6:$CP$6,1,$AH178:$CP178)</f>
        <v>402564.554752575</v>
      </c>
      <c r="E178" s="225" t="s">
        <v>545</v>
      </c>
      <c r="F178" s="173">
        <f>'Exhibit MJC-3 - E-13c cal yr'!F180</f>
        <v>21.56</v>
      </c>
      <c r="G178" s="233" t="s">
        <v>375</v>
      </c>
      <c r="H178" s="174">
        <f>ROUND(D178*F178,2)</f>
        <v>8679291.8000000007</v>
      </c>
      <c r="I178" s="229"/>
      <c r="J178" s="172">
        <f>SUMIF($AH$6:$CP$6,1,$AH178:$CP178)</f>
        <v>402564.554752575</v>
      </c>
      <c r="K178" s="225" t="s">
        <v>545</v>
      </c>
      <c r="L178" s="173">
        <f>ROUND(F178*(1+'Exhibit MJC-2 - Old E-8a'!$V$24)+L177,2)</f>
        <v>22.16</v>
      </c>
      <c r="M178" s="233" t="s">
        <v>375</v>
      </c>
      <c r="N178" s="174">
        <f>ROUND(J178*L178,2)</f>
        <v>8920830.5299999993</v>
      </c>
      <c r="O178" s="227"/>
      <c r="Q178" s="1022"/>
      <c r="R178" s="186"/>
      <c r="S178" s="263"/>
      <c r="T178" s="197"/>
      <c r="U178" s="184" t="s">
        <v>122</v>
      </c>
      <c r="V178" s="179">
        <v>244</v>
      </c>
      <c r="W178" s="180">
        <v>218</v>
      </c>
      <c r="Y178" s="184"/>
      <c r="Z178" s="181"/>
      <c r="AB178" s="182">
        <f>SUM(AH178:AS178)</f>
        <v>388603.90223949461</v>
      </c>
      <c r="AC178" s="182">
        <f>SUM(AT178:BE178)</f>
        <v>393258.94718897447</v>
      </c>
      <c r="AD178" s="182">
        <f>SUM(BF178:BQ178)</f>
        <v>397868.84237897175</v>
      </c>
      <c r="AE178" s="182">
        <f>SUM(BR178:CC178)</f>
        <v>402564.554752575</v>
      </c>
      <c r="AF178" s="182">
        <f>SUM(CD178:CO178)</f>
        <v>407288.27473931282</v>
      </c>
      <c r="AH178" s="168">
        <v>30810.599569688333</v>
      </c>
      <c r="AI178" s="168">
        <v>31461.353092178797</v>
      </c>
      <c r="AJ178" s="168">
        <v>32231.352444960619</v>
      </c>
      <c r="AK178" s="168">
        <v>32093.535226559863</v>
      </c>
      <c r="AL178" s="168">
        <v>32583.211447918027</v>
      </c>
      <c r="AM178" s="168">
        <v>32462.228360614481</v>
      </c>
      <c r="AN178" s="168">
        <v>32362.231937225508</v>
      </c>
      <c r="AO178" s="168">
        <v>32684.522455521677</v>
      </c>
      <c r="AP178" s="168">
        <v>33091.708554890531</v>
      </c>
      <c r="AQ178" s="168">
        <v>33012.879077396989</v>
      </c>
      <c r="AR178" s="168">
        <v>32563.48558603528</v>
      </c>
      <c r="AS178" s="168">
        <v>33246.794486504434</v>
      </c>
      <c r="AT178" s="168">
        <v>31170.199276335399</v>
      </c>
      <c r="AU178" s="168">
        <v>31840.46555611349</v>
      </c>
      <c r="AV178" s="168">
        <v>32619.739519376206</v>
      </c>
      <c r="AW178" s="168">
        <v>32480.348145576227</v>
      </c>
      <c r="AX178" s="168">
        <v>32975.319956706357</v>
      </c>
      <c r="AY178" s="168">
        <v>32853.175150695119</v>
      </c>
      <c r="AZ178" s="168">
        <v>32752.919890893711</v>
      </c>
      <c r="BA178" s="168">
        <v>33078.266389738426</v>
      </c>
      <c r="BB178" s="168">
        <v>33488.585824379727</v>
      </c>
      <c r="BC178" s="168">
        <v>33406.805216385845</v>
      </c>
      <c r="BD178" s="168">
        <v>32951.515694492518</v>
      </c>
      <c r="BE178" s="168">
        <v>33641.606568281401</v>
      </c>
      <c r="BF178" s="168">
        <v>31539.929098155586</v>
      </c>
      <c r="BG178" s="168">
        <v>32216.18012190278</v>
      </c>
      <c r="BH178" s="168">
        <v>33003.833948922693</v>
      </c>
      <c r="BI178" s="168">
        <v>32862.418085286772</v>
      </c>
      <c r="BJ178" s="168">
        <v>33361.973328631313</v>
      </c>
      <c r="BK178" s="168">
        <v>33237.722475995244</v>
      </c>
      <c r="BL178" s="168">
        <v>33135.96243601614</v>
      </c>
      <c r="BM178" s="168">
        <v>33464.339434669011</v>
      </c>
      <c r="BN178" s="168">
        <v>33879.27899574508</v>
      </c>
      <c r="BO178" s="168">
        <v>33796.04292705757</v>
      </c>
      <c r="BP178" s="168">
        <v>33336.431408607416</v>
      </c>
      <c r="BQ178" s="168">
        <v>34034.730117982137</v>
      </c>
      <c r="BR178" s="168">
        <v>31909.581265560708</v>
      </c>
      <c r="BS178" s="168">
        <v>32593.362285934814</v>
      </c>
      <c r="BT178" s="168">
        <v>33391.11626568417</v>
      </c>
      <c r="BU178" s="168">
        <v>33249.386465026539</v>
      </c>
      <c r="BV178" s="168">
        <v>33755.186289857076</v>
      </c>
      <c r="BW178" s="168">
        <v>33630.206762292641</v>
      </c>
      <c r="BX178" s="168">
        <v>33528.295244350855</v>
      </c>
      <c r="BY178" s="168">
        <v>33860.637574168024</v>
      </c>
      <c r="BZ178" s="168">
        <v>34280.621104672035</v>
      </c>
      <c r="CA178" s="168">
        <v>34196.229135039204</v>
      </c>
      <c r="CB178" s="168">
        <v>33732.018080827373</v>
      </c>
      <c r="CC178" s="168">
        <v>34437.91427916153</v>
      </c>
      <c r="CD178" s="168">
        <v>32287.483046219262</v>
      </c>
      <c r="CE178" s="168">
        <v>32977.435009121298</v>
      </c>
      <c r="CF178" s="168">
        <v>33783.700360408438</v>
      </c>
      <c r="CG178" s="168">
        <v>33640.045409274469</v>
      </c>
      <c r="CH178" s="168">
        <v>34150.7774966203</v>
      </c>
      <c r="CI178" s="168">
        <v>34023.908479004298</v>
      </c>
      <c r="CJ178" s="168">
        <v>33920.680469916813</v>
      </c>
      <c r="CK178" s="168">
        <v>34256.540359379913</v>
      </c>
      <c r="CL178" s="168">
        <v>34681.660679863009</v>
      </c>
      <c r="CM178" s="168">
        <v>34596.130809072201</v>
      </c>
      <c r="CN178" s="168">
        <v>34127.694824685706</v>
      </c>
      <c r="CO178" s="168">
        <v>34842.217795747107</v>
      </c>
    </row>
    <row r="179" spans="1:93" x14ac:dyDescent="0.2">
      <c r="A179" s="118">
        <f t="shared" si="16"/>
        <v>4</v>
      </c>
      <c r="B179" s="234" t="s">
        <v>148</v>
      </c>
      <c r="C179" s="223"/>
      <c r="D179" s="172">
        <f>SUMIF($AH$6:$CP$6,1,$AH179:$CP179)</f>
        <v>1588.4280385472864</v>
      </c>
      <c r="E179" s="225" t="s">
        <v>545</v>
      </c>
      <c r="F179" s="173">
        <f>'Exhibit MJC-3 - E-13c cal yr'!F181</f>
        <v>272.61</v>
      </c>
      <c r="G179" s="233" t="s">
        <v>375</v>
      </c>
      <c r="H179" s="174">
        <f>ROUND(D179*F179,2)</f>
        <v>433021.37</v>
      </c>
      <c r="I179" s="229"/>
      <c r="J179" s="172">
        <f>SUMIF($AH$6:$CP$6,1,$AH179:$CP179)</f>
        <v>1588.4280385472864</v>
      </c>
      <c r="K179" s="225" t="s">
        <v>545</v>
      </c>
      <c r="L179" s="173">
        <f>ROUND(F179*(1+'Exhibit MJC-2 - Old E-8a'!$V$24)+L177,2)</f>
        <v>280.16000000000003</v>
      </c>
      <c r="M179" s="233" t="s">
        <v>375</v>
      </c>
      <c r="N179" s="174">
        <f>ROUND(J179*L179,2)</f>
        <v>445014</v>
      </c>
      <c r="O179" s="227"/>
      <c r="Q179" s="1219"/>
      <c r="R179" s="186"/>
      <c r="S179" s="263"/>
      <c r="T179" s="197"/>
      <c r="U179" s="184" t="s">
        <v>122</v>
      </c>
      <c r="V179" s="179">
        <v>244</v>
      </c>
      <c r="W179" s="180">
        <v>218</v>
      </c>
      <c r="Y179" s="184"/>
      <c r="Z179" s="181"/>
      <c r="AB179" s="182">
        <f>SUM(AH179:AS179)</f>
        <v>1533.3424836309525</v>
      </c>
      <c r="AC179" s="182">
        <f>SUM(AT179:BE179)</f>
        <v>1551.7102306945169</v>
      </c>
      <c r="AD179" s="182">
        <f>SUM(BF179:BQ179)</f>
        <v>1569.8998270911907</v>
      </c>
      <c r="AE179" s="182">
        <f>SUM(BR179:CC179)</f>
        <v>1588.4280385472864</v>
      </c>
      <c r="AF179" s="182">
        <f>SUM(CD179:CO179)</f>
        <v>1607.0667616653525</v>
      </c>
      <c r="AH179" s="168">
        <v>121.57160798974408</v>
      </c>
      <c r="AI179" s="168">
        <v>124.13933316351797</v>
      </c>
      <c r="AJ179" s="168">
        <v>127.17757522229449</v>
      </c>
      <c r="AK179" s="168">
        <v>126.63377986992695</v>
      </c>
      <c r="AL179" s="168">
        <v>128.56593070296108</v>
      </c>
      <c r="AM179" s="168">
        <v>128.08855899749364</v>
      </c>
      <c r="AN179" s="168">
        <v>127.69399588757673</v>
      </c>
      <c r="AO179" s="168">
        <v>128.96568086275846</v>
      </c>
      <c r="AP179" s="168">
        <v>130.57234446368506</v>
      </c>
      <c r="AQ179" s="168">
        <v>130.26130130095126</v>
      </c>
      <c r="AR179" s="168">
        <v>128.4880969450478</v>
      </c>
      <c r="AS179" s="168">
        <v>131.18427822499487</v>
      </c>
      <c r="AT179" s="168">
        <v>122.99050652402425</v>
      </c>
      <c r="AU179" s="168">
        <v>125.63522459351913</v>
      </c>
      <c r="AV179" s="168">
        <v>128.71006215272044</v>
      </c>
      <c r="AW179" s="168">
        <v>128.16005554170223</v>
      </c>
      <c r="AX179" s="168">
        <v>130.11310156576877</v>
      </c>
      <c r="AY179" s="168">
        <v>129.63114598289235</v>
      </c>
      <c r="AZ179" s="168">
        <v>129.23556156344867</v>
      </c>
      <c r="BA179" s="168">
        <v>130.51930474179622</v>
      </c>
      <c r="BB179" s="168">
        <v>132.13833177000964</v>
      </c>
      <c r="BC179" s="168">
        <v>131.81564411851789</v>
      </c>
      <c r="BD179" s="168">
        <v>130.0191753691104</v>
      </c>
      <c r="BE179" s="168">
        <v>132.74211677100698</v>
      </c>
      <c r="BF179" s="168">
        <v>124.4493761853814</v>
      </c>
      <c r="BG179" s="168">
        <v>127.11770869139788</v>
      </c>
      <c r="BH179" s="168">
        <v>130.22561128425403</v>
      </c>
      <c r="BI179" s="168">
        <v>129.6676164974732</v>
      </c>
      <c r="BJ179" s="168">
        <v>131.63874770106236</v>
      </c>
      <c r="BK179" s="168">
        <v>131.14848213791106</v>
      </c>
      <c r="BL179" s="168">
        <v>130.74696019863885</v>
      </c>
      <c r="BM179" s="168">
        <v>132.04266103895455</v>
      </c>
      <c r="BN179" s="168">
        <v>133.67991803372604</v>
      </c>
      <c r="BO179" s="168">
        <v>133.35148746585611</v>
      </c>
      <c r="BP179" s="168">
        <v>131.53796510248205</v>
      </c>
      <c r="BQ179" s="168">
        <v>134.2932927540532</v>
      </c>
      <c r="BR179" s="168">
        <v>125.90793944010449</v>
      </c>
      <c r="BS179" s="168">
        <v>128.60598359765896</v>
      </c>
      <c r="BT179" s="168">
        <v>131.75373909261404</v>
      </c>
      <c r="BU179" s="168">
        <v>131.19450558185284</v>
      </c>
      <c r="BV179" s="168">
        <v>133.19027648162054</v>
      </c>
      <c r="BW179" s="168">
        <v>132.69713573317648</v>
      </c>
      <c r="BX179" s="168">
        <v>132.29501609636657</v>
      </c>
      <c r="BY179" s="168">
        <v>133.60636323024968</v>
      </c>
      <c r="BZ179" s="168">
        <v>135.26352257948912</v>
      </c>
      <c r="CA179" s="168">
        <v>134.93053108977537</v>
      </c>
      <c r="CB179" s="168">
        <v>133.09886000594915</v>
      </c>
      <c r="CC179" s="168">
        <v>135.88416561842931</v>
      </c>
      <c r="CD179" s="168">
        <v>127.39905378966252</v>
      </c>
      <c r="CE179" s="168">
        <v>130.12144708084017</v>
      </c>
      <c r="CF179" s="168">
        <v>133.30278650919794</v>
      </c>
      <c r="CG179" s="168">
        <v>132.73595679316003</v>
      </c>
      <c r="CH179" s="168">
        <v>134.75118927736253</v>
      </c>
      <c r="CI179" s="168">
        <v>134.25059303155527</v>
      </c>
      <c r="CJ179" s="168">
        <v>133.84327882054941</v>
      </c>
      <c r="CK179" s="168">
        <v>135.16850544358005</v>
      </c>
      <c r="CL179" s="168">
        <v>136.84593339603992</v>
      </c>
      <c r="CM179" s="168">
        <v>136.5084520075433</v>
      </c>
      <c r="CN179" s="168">
        <v>134.66011031158516</v>
      </c>
      <c r="CO179" s="168">
        <v>137.47945520427601</v>
      </c>
    </row>
    <row r="180" spans="1:93" x14ac:dyDescent="0.2">
      <c r="A180" s="118">
        <f t="shared" si="16"/>
        <v>5</v>
      </c>
      <c r="B180" s="234" t="s">
        <v>216</v>
      </c>
      <c r="C180" s="223"/>
      <c r="D180" s="172">
        <f>SUMIF($AH$6:$CP$6,1,$AH180:$CP180)</f>
        <v>37.722617090019</v>
      </c>
      <c r="E180" s="225" t="s">
        <v>545</v>
      </c>
      <c r="F180" s="173">
        <f>'Exhibit MJC-3 - E-13c cal yr'!F182</f>
        <v>1344.66</v>
      </c>
      <c r="G180" s="233" t="s">
        <v>375</v>
      </c>
      <c r="H180" s="174">
        <f>ROUND(D180*F180,2)</f>
        <v>50724.09</v>
      </c>
      <c r="I180" s="229"/>
      <c r="J180" s="172">
        <f>SUMIF($AH$6:$CP$6,1,$AH180:$CP180)</f>
        <v>37.722617090019</v>
      </c>
      <c r="K180" s="225" t="s">
        <v>545</v>
      </c>
      <c r="L180" s="173">
        <f>ROUND(F180*(1+'Exhibit MJC-2 - Old E-8a'!$V$24)+L177,2)</f>
        <v>1381.92</v>
      </c>
      <c r="M180" s="233"/>
      <c r="N180" s="174">
        <f>ROUND(J180*L180,2)</f>
        <v>52129.64</v>
      </c>
      <c r="O180" s="227"/>
      <c r="Q180" s="1219"/>
      <c r="R180" s="288"/>
      <c r="S180" s="263"/>
      <c r="T180" s="927"/>
      <c r="U180" s="184" t="s">
        <v>122</v>
      </c>
      <c r="V180" s="179">
        <v>244</v>
      </c>
      <c r="W180" s="180">
        <v>218</v>
      </c>
      <c r="Y180" s="184"/>
      <c r="Z180" s="181"/>
      <c r="AB180" s="182">
        <f>SUM(AH180:AS180)</f>
        <v>36.414423552211318</v>
      </c>
      <c r="AC180" s="182">
        <f>SUM(AT180:BE180)</f>
        <v>36.85062807169264</v>
      </c>
      <c r="AD180" s="182">
        <f>SUM(BF180:BQ180)</f>
        <v>37.282601798699652</v>
      </c>
      <c r="AE180" s="182">
        <f>SUM(BR180:CC180)</f>
        <v>37.722617090019</v>
      </c>
      <c r="AF180" s="182">
        <f>SUM(CD180:CO180)</f>
        <v>38.165256855980772</v>
      </c>
      <c r="AH180" s="168">
        <v>2.8871306133636274</v>
      </c>
      <c r="AI180" s="168">
        <v>2.9481099660142269</v>
      </c>
      <c r="AJ180" s="168">
        <v>3.0202633396822183</v>
      </c>
      <c r="AK180" s="168">
        <v>3.0073490726490997</v>
      </c>
      <c r="AL180" s="168">
        <v>3.0532345545632604</v>
      </c>
      <c r="AM180" s="168">
        <v>3.04189774255922</v>
      </c>
      <c r="AN180" s="168">
        <v>3.0325275018230675</v>
      </c>
      <c r="AO180" s="168">
        <v>3.0627279794108238</v>
      </c>
      <c r="AP180" s="168">
        <v>3.1008836618461793</v>
      </c>
      <c r="AQ180" s="168">
        <v>3.0934968858377383</v>
      </c>
      <c r="AR180" s="168">
        <v>3.0513861277065271</v>
      </c>
      <c r="AS180" s="168">
        <v>3.1154161067553341</v>
      </c>
      <c r="AT180" s="168">
        <v>2.9208271767579577</v>
      </c>
      <c r="AU180" s="168">
        <v>2.9836349871374894</v>
      </c>
      <c r="AV180" s="168">
        <v>3.0566574452186499</v>
      </c>
      <c r="AW180" s="168">
        <v>3.0435956707592959</v>
      </c>
      <c r="AX180" s="168">
        <v>3.0899773799316081</v>
      </c>
      <c r="AY180" s="168">
        <v>3.078531708194491</v>
      </c>
      <c r="AZ180" s="168">
        <v>3.0691372129958929</v>
      </c>
      <c r="BA180" s="168">
        <v>3.0996240535599875</v>
      </c>
      <c r="BB180" s="168">
        <v>3.1380733475547862</v>
      </c>
      <c r="BC180" s="168">
        <v>3.1304100336233391</v>
      </c>
      <c r="BD180" s="168">
        <v>3.0877467834769479</v>
      </c>
      <c r="BE180" s="168">
        <v>3.1524122724821941</v>
      </c>
      <c r="BF180" s="168">
        <v>2.9554729902818435</v>
      </c>
      <c r="BG180" s="168">
        <v>3.0188416056365348</v>
      </c>
      <c r="BH180" s="168">
        <v>3.0926493052101405</v>
      </c>
      <c r="BI180" s="168">
        <v>3.0793978243944218</v>
      </c>
      <c r="BJ180" s="168">
        <v>3.1262090275605314</v>
      </c>
      <c r="BK180" s="168">
        <v>3.1145660071262578</v>
      </c>
      <c r="BL180" s="168">
        <v>3.1050305053592027</v>
      </c>
      <c r="BM180" s="168">
        <v>3.1358013212075209</v>
      </c>
      <c r="BN180" s="168">
        <v>3.1746835476558815</v>
      </c>
      <c r="BO180" s="168">
        <v>3.1668838486756585</v>
      </c>
      <c r="BP180" s="168">
        <v>3.1238156025621544</v>
      </c>
      <c r="BQ180" s="168">
        <v>3.1892502130295046</v>
      </c>
      <c r="BR180" s="168">
        <v>2.9901115271398369</v>
      </c>
      <c r="BS180" s="168">
        <v>3.0541857465426077</v>
      </c>
      <c r="BT180" s="168">
        <v>3.1289398885922464</v>
      </c>
      <c r="BU180" s="168">
        <v>3.1156589900696758</v>
      </c>
      <c r="BV180" s="168">
        <v>3.1630553464826447</v>
      </c>
      <c r="BW180" s="168">
        <v>3.1513440450112515</v>
      </c>
      <c r="BX180" s="168">
        <v>3.1417943488867541</v>
      </c>
      <c r="BY180" s="168">
        <v>3.1729367391009236</v>
      </c>
      <c r="BZ180" s="168">
        <v>3.2122916145321554</v>
      </c>
      <c r="CA180" s="168">
        <v>3.2043836009766942</v>
      </c>
      <c r="CB180" s="168">
        <v>3.160884351874274</v>
      </c>
      <c r="CC180" s="168">
        <v>3.2270308908099388</v>
      </c>
      <c r="CD180" s="168">
        <v>3.0255231002679803</v>
      </c>
      <c r="CE180" s="168">
        <v>3.0901755725231621</v>
      </c>
      <c r="CF180" s="168">
        <v>3.16572727910162</v>
      </c>
      <c r="CG180" s="168">
        <v>3.1522659828927613</v>
      </c>
      <c r="CH180" s="168">
        <v>3.2001245207075826</v>
      </c>
      <c r="CI180" s="168">
        <v>3.1882361631370641</v>
      </c>
      <c r="CJ180" s="168">
        <v>3.178563104210737</v>
      </c>
      <c r="CK180" s="168">
        <v>3.2100351100208355</v>
      </c>
      <c r="CL180" s="168">
        <v>3.2498713322551209</v>
      </c>
      <c r="CM180" s="168">
        <v>3.2418566908081532</v>
      </c>
      <c r="CN180" s="168">
        <v>3.197961541417619</v>
      </c>
      <c r="CO180" s="168">
        <v>3.2649164586381332</v>
      </c>
    </row>
    <row r="181" spans="1:93" x14ac:dyDescent="0.2">
      <c r="A181" s="118">
        <f t="shared" si="16"/>
        <v>6</v>
      </c>
      <c r="B181" s="226" t="s">
        <v>546</v>
      </c>
      <c r="C181" s="223"/>
      <c r="D181" s="172"/>
      <c r="E181" s="225"/>
      <c r="F181" s="183"/>
      <c r="G181" s="233"/>
      <c r="H181" s="174"/>
      <c r="I181" s="229"/>
      <c r="J181" s="172"/>
      <c r="K181" s="225"/>
      <c r="L181" s="183"/>
      <c r="M181" s="233"/>
      <c r="N181" s="174"/>
      <c r="O181" s="227"/>
      <c r="Q181" s="1219"/>
      <c r="R181" s="227"/>
      <c r="S181" s="263"/>
      <c r="T181" s="227"/>
      <c r="U181" s="178"/>
      <c r="V181" s="179"/>
      <c r="W181" s="180"/>
      <c r="Y181" s="178"/>
      <c r="Z181" s="181"/>
    </row>
    <row r="182" spans="1:93" x14ac:dyDescent="0.2">
      <c r="A182" s="118">
        <f t="shared" si="16"/>
        <v>7</v>
      </c>
      <c r="B182" s="234" t="s">
        <v>149</v>
      </c>
      <c r="C182" s="223"/>
      <c r="D182" s="172">
        <f>SUMIF($AH$6:$CP$6,1,$AH182:$CP182)</f>
        <v>182347.05289238534</v>
      </c>
      <c r="E182" s="225" t="s">
        <v>545</v>
      </c>
      <c r="F182" s="183">
        <f>F178</f>
        <v>21.56</v>
      </c>
      <c r="G182" s="233" t="s">
        <v>375</v>
      </c>
      <c r="H182" s="174">
        <f>ROUND(D182*F182,2)</f>
        <v>3931402.46</v>
      </c>
      <c r="I182" s="229"/>
      <c r="J182" s="172">
        <f>SUMIF($AH$6:$CP$6,1,$AH182:$CP182)</f>
        <v>182347.05289238534</v>
      </c>
      <c r="K182" s="225" t="s">
        <v>545</v>
      </c>
      <c r="L182" s="183">
        <f>L178</f>
        <v>22.16</v>
      </c>
      <c r="M182" s="233" t="s">
        <v>375</v>
      </c>
      <c r="N182" s="174">
        <f>ROUND(J182*L182,2)</f>
        <v>4040810.69</v>
      </c>
      <c r="O182" s="227"/>
      <c r="Q182" s="1219"/>
      <c r="R182" s="289"/>
      <c r="S182" s="263"/>
      <c r="T182" s="197"/>
      <c r="U182" s="178" t="s">
        <v>592</v>
      </c>
      <c r="V182" s="179">
        <v>245</v>
      </c>
      <c r="W182" s="180">
        <v>219</v>
      </c>
      <c r="Y182" s="178"/>
      <c r="Z182" s="181"/>
      <c r="AB182" s="182">
        <f>SUM(AH182:AS182)</f>
        <v>176023.38675695148</v>
      </c>
      <c r="AC182" s="182">
        <f>SUM(AT182:BE182)</f>
        <v>178131.95224687879</v>
      </c>
      <c r="AD182" s="182">
        <f>SUM(BF182:BQ182)</f>
        <v>180220.06654336833</v>
      </c>
      <c r="AE182" s="182">
        <f>SUM(BR182:CC182)</f>
        <v>182347.05289238534</v>
      </c>
      <c r="AF182" s="182">
        <f>SUM(CD182:CO182)</f>
        <v>184486.72566809686</v>
      </c>
      <c r="AH182" s="168">
        <v>13956.077262771303</v>
      </c>
      <c r="AI182" s="168">
        <v>14250.844861121852</v>
      </c>
      <c r="AJ182" s="168">
        <v>14599.6264690682</v>
      </c>
      <c r="AK182" s="168">
        <v>14537.200298367083</v>
      </c>
      <c r="AL182" s="168">
        <v>14759.005757347495</v>
      </c>
      <c r="AM182" s="168">
        <v>14704.204833721264</v>
      </c>
      <c r="AN182" s="168">
        <v>14658.910103001699</v>
      </c>
      <c r="AO182" s="168">
        <v>14804.895946744418</v>
      </c>
      <c r="AP182" s="168">
        <v>14989.336390698287</v>
      </c>
      <c r="AQ182" s="168">
        <v>14953.629514043861</v>
      </c>
      <c r="AR182" s="168">
        <v>14750.070661751979</v>
      </c>
      <c r="AS182" s="168">
        <v>15059.584658314016</v>
      </c>
      <c r="AT182" s="168">
        <v>14118.962807347774</v>
      </c>
      <c r="AU182" s="168">
        <v>14422.568972688878</v>
      </c>
      <c r="AV182" s="168">
        <v>14775.551640733414</v>
      </c>
      <c r="AW182" s="168">
        <v>14712.412435080625</v>
      </c>
      <c r="AX182" s="168">
        <v>14936.61660298075</v>
      </c>
      <c r="AY182" s="168">
        <v>14881.289463173445</v>
      </c>
      <c r="AZ182" s="168">
        <v>14835.877489004522</v>
      </c>
      <c r="BA182" s="168">
        <v>14983.247580416701</v>
      </c>
      <c r="BB182" s="168">
        <v>15169.107310907128</v>
      </c>
      <c r="BC182" s="168">
        <v>15132.063679828883</v>
      </c>
      <c r="BD182" s="168">
        <v>14925.834140864486</v>
      </c>
      <c r="BE182" s="168">
        <v>15238.420123852171</v>
      </c>
      <c r="BF182" s="168">
        <v>14286.436924428886</v>
      </c>
      <c r="BG182" s="168">
        <v>14592.753960392345</v>
      </c>
      <c r="BH182" s="168">
        <v>14949.532400920392</v>
      </c>
      <c r="BI182" s="168">
        <v>14885.476175249727</v>
      </c>
      <c r="BJ182" s="168">
        <v>15111.756470684089</v>
      </c>
      <c r="BK182" s="168">
        <v>15055.475368609719</v>
      </c>
      <c r="BL182" s="168">
        <v>15009.381783932833</v>
      </c>
      <c r="BM182" s="168">
        <v>15158.124581168917</v>
      </c>
      <c r="BN182" s="168">
        <v>15346.077060336351</v>
      </c>
      <c r="BO182" s="168">
        <v>15308.374158676655</v>
      </c>
      <c r="BP182" s="168">
        <v>15100.186912990581</v>
      </c>
      <c r="BQ182" s="168">
        <v>15416.49074597781</v>
      </c>
      <c r="BR182" s="168">
        <v>14453.875866893741</v>
      </c>
      <c r="BS182" s="168">
        <v>14763.603716544092</v>
      </c>
      <c r="BT182" s="168">
        <v>15124.957157683179</v>
      </c>
      <c r="BU182" s="168">
        <v>15060.758729997888</v>
      </c>
      <c r="BV182" s="168">
        <v>15289.867592967754</v>
      </c>
      <c r="BW182" s="168">
        <v>15233.256427741686</v>
      </c>
      <c r="BX182" s="168">
        <v>15187.094229075448</v>
      </c>
      <c r="BY182" s="168">
        <v>15337.633176625854</v>
      </c>
      <c r="BZ182" s="168">
        <v>15527.870389879297</v>
      </c>
      <c r="CA182" s="168">
        <v>15489.643907272583</v>
      </c>
      <c r="CB182" s="168">
        <v>15279.37323973301</v>
      </c>
      <c r="CC182" s="168">
        <v>15599.118457970832</v>
      </c>
      <c r="CD182" s="168">
        <v>14625.051583117009</v>
      </c>
      <c r="CE182" s="168">
        <v>14937.574644542095</v>
      </c>
      <c r="CF182" s="168">
        <v>15302.783426390301</v>
      </c>
      <c r="CG182" s="168">
        <v>15237.712975791941</v>
      </c>
      <c r="CH182" s="168">
        <v>15469.05597369281</v>
      </c>
      <c r="CI182" s="168">
        <v>15411.588938424768</v>
      </c>
      <c r="CJ182" s="168">
        <v>15364.830417311003</v>
      </c>
      <c r="CK182" s="168">
        <v>15516.962691018012</v>
      </c>
      <c r="CL182" s="168">
        <v>15709.526682679927</v>
      </c>
      <c r="CM182" s="168">
        <v>15670.78477237301</v>
      </c>
      <c r="CN182" s="168">
        <v>15458.600365640725</v>
      </c>
      <c r="CO182" s="168">
        <v>15782.253197115262</v>
      </c>
    </row>
    <row r="183" spans="1:93" x14ac:dyDescent="0.2">
      <c r="A183" s="118">
        <f t="shared" si="16"/>
        <v>8</v>
      </c>
      <c r="B183" s="234" t="s">
        <v>148</v>
      </c>
      <c r="C183" s="223"/>
      <c r="D183" s="172">
        <f>SUMIF($AH$6:$CP$6,1,$AH183:$CP183)</f>
        <v>2959.6961462790582</v>
      </c>
      <c r="E183" s="225" t="s">
        <v>545</v>
      </c>
      <c r="F183" s="183">
        <f>F179</f>
        <v>272.61</v>
      </c>
      <c r="G183" s="233" t="s">
        <v>375</v>
      </c>
      <c r="H183" s="174">
        <f>ROUND(D183*F183,2)</f>
        <v>806842.77</v>
      </c>
      <c r="I183" s="229"/>
      <c r="J183" s="172">
        <f>SUMIF($AH$6:$CP$6,1,$AH183:$CP183)</f>
        <v>2959.6961462790582</v>
      </c>
      <c r="K183" s="225" t="s">
        <v>545</v>
      </c>
      <c r="L183" s="183">
        <f>L179</f>
        <v>280.16000000000003</v>
      </c>
      <c r="M183" s="233" t="s">
        <v>375</v>
      </c>
      <c r="N183" s="174">
        <f>ROUND(J183*L183,2)</f>
        <v>829188.47</v>
      </c>
      <c r="O183" s="227"/>
      <c r="Q183" s="1219"/>
      <c r="R183" s="288"/>
      <c r="S183" s="263"/>
      <c r="T183" s="197"/>
      <c r="U183" s="178" t="s">
        <v>592</v>
      </c>
      <c r="V183" s="179">
        <v>245</v>
      </c>
      <c r="W183" s="180">
        <v>219</v>
      </c>
      <c r="Y183" s="178"/>
      <c r="Z183" s="181"/>
      <c r="AB183" s="182">
        <f>SUM(AH183:AS183)</f>
        <v>2857.0559884343106</v>
      </c>
      <c r="AC183" s="182">
        <f>SUM(AT183:BE183)</f>
        <v>2891.2803592465871</v>
      </c>
      <c r="AD183" s="182">
        <f>SUM(BF183:BQ183)</f>
        <v>2925.1727843682456</v>
      </c>
      <c r="AE183" s="182">
        <f>SUM(BR183:CC183)</f>
        <v>2959.6961462790582</v>
      </c>
      <c r="AF183" s="182">
        <f>SUM(CD183:CO183)</f>
        <v>2994.4254230516804</v>
      </c>
      <c r="AH183" s="168">
        <v>226.52270731336785</v>
      </c>
      <c r="AI183" s="168">
        <v>231.30711436052164</v>
      </c>
      <c r="AJ183" s="168">
        <v>236.96822905668864</v>
      </c>
      <c r="AK183" s="168">
        <v>235.95498264595503</v>
      </c>
      <c r="AL183" s="168">
        <v>239.55513275397689</v>
      </c>
      <c r="AM183" s="168">
        <v>238.66565261214637</v>
      </c>
      <c r="AN183" s="168">
        <v>237.93046858898282</v>
      </c>
      <c r="AO183" s="168">
        <v>240.29998173593572</v>
      </c>
      <c r="AP183" s="168">
        <v>243.2936559551205</v>
      </c>
      <c r="AQ183" s="168">
        <v>242.71409350235012</v>
      </c>
      <c r="AR183" s="168">
        <v>239.41010618194721</v>
      </c>
      <c r="AS183" s="168">
        <v>244.43386372731717</v>
      </c>
      <c r="AT183" s="168">
        <v>229.16652146292839</v>
      </c>
      <c r="AU183" s="168">
        <v>234.09438831513864</v>
      </c>
      <c r="AV183" s="168">
        <v>239.82369090458758</v>
      </c>
      <c r="AW183" s="168">
        <v>238.79887114092531</v>
      </c>
      <c r="AX183" s="168">
        <v>242.43795497139072</v>
      </c>
      <c r="AY183" s="168">
        <v>241.53993375374614</v>
      </c>
      <c r="AZ183" s="168">
        <v>240.80284673856963</v>
      </c>
      <c r="BA183" s="168">
        <v>243.19482776985521</v>
      </c>
      <c r="BB183" s="168">
        <v>246.21153859328498</v>
      </c>
      <c r="BC183" s="168">
        <v>245.61027912455549</v>
      </c>
      <c r="BD183" s="168">
        <v>242.26294357928592</v>
      </c>
      <c r="BE183" s="168">
        <v>247.33656289231914</v>
      </c>
      <c r="BF183" s="168">
        <v>231.8848132645457</v>
      </c>
      <c r="BG183" s="168">
        <v>236.85668057196921</v>
      </c>
      <c r="BH183" s="168">
        <v>242.6475927844605</v>
      </c>
      <c r="BI183" s="168">
        <v>241.60788876262177</v>
      </c>
      <c r="BJ183" s="168">
        <v>245.28067045968169</v>
      </c>
      <c r="BK183" s="168">
        <v>244.36716536993313</v>
      </c>
      <c r="BL183" s="168">
        <v>243.61901505561528</v>
      </c>
      <c r="BM183" s="168">
        <v>246.03327663420092</v>
      </c>
      <c r="BN183" s="168">
        <v>249.08395510391955</v>
      </c>
      <c r="BO183" s="168">
        <v>248.47199493798476</v>
      </c>
      <c r="BP183" s="168">
        <v>245.09288362805225</v>
      </c>
      <c r="BQ183" s="168">
        <v>250.22684779526088</v>
      </c>
      <c r="BR183" s="168">
        <v>234.60253414289045</v>
      </c>
      <c r="BS183" s="168">
        <v>239.62976276251862</v>
      </c>
      <c r="BT183" s="168">
        <v>245.49493234008892</v>
      </c>
      <c r="BU183" s="168">
        <v>244.45292022087216</v>
      </c>
      <c r="BV183" s="168">
        <v>248.17161272538155</v>
      </c>
      <c r="BW183" s="168">
        <v>247.25275034236924</v>
      </c>
      <c r="BX183" s="168">
        <v>246.50348634643913</v>
      </c>
      <c r="BY183" s="168">
        <v>248.9469014489184</v>
      </c>
      <c r="BZ183" s="168">
        <v>252.03466370234722</v>
      </c>
      <c r="CA183" s="168">
        <v>251.41420523338766</v>
      </c>
      <c r="CB183" s="168">
        <v>248.00127766191937</v>
      </c>
      <c r="CC183" s="168">
        <v>253.19109935192574</v>
      </c>
      <c r="CD183" s="168">
        <v>237.38090702913371</v>
      </c>
      <c r="CE183" s="168">
        <v>242.45350505499295</v>
      </c>
      <c r="CF183" s="168">
        <v>248.38125111437847</v>
      </c>
      <c r="CG183" s="168">
        <v>247.32508509020769</v>
      </c>
      <c r="CH183" s="168">
        <v>251.08004009767873</v>
      </c>
      <c r="CI183" s="168">
        <v>250.14728598883505</v>
      </c>
      <c r="CJ183" s="168">
        <v>249.38834301415594</v>
      </c>
      <c r="CK183" s="168">
        <v>251.85761957812119</v>
      </c>
      <c r="CL183" s="168">
        <v>254.98314804153011</v>
      </c>
      <c r="CM183" s="168">
        <v>254.35432360583968</v>
      </c>
      <c r="CN183" s="168">
        <v>250.91033391176617</v>
      </c>
      <c r="CO183" s="168">
        <v>256.16358052504057</v>
      </c>
    </row>
    <row r="184" spans="1:93" x14ac:dyDescent="0.2">
      <c r="A184" s="118">
        <f t="shared" si="16"/>
        <v>9</v>
      </c>
      <c r="B184" s="234" t="s">
        <v>216</v>
      </c>
      <c r="C184" s="223"/>
      <c r="D184" s="172">
        <f>SUMIF($AH$6:$CP$6,1,$AH184:$CP184)</f>
        <v>21.410134024064838</v>
      </c>
      <c r="E184" s="225" t="s">
        <v>545</v>
      </c>
      <c r="F184" s="183">
        <f>F180</f>
        <v>1344.66</v>
      </c>
      <c r="G184" s="233" t="s">
        <v>375</v>
      </c>
      <c r="H184" s="187">
        <f>ROUND(D184*F184,2)</f>
        <v>28789.35</v>
      </c>
      <c r="I184" s="229"/>
      <c r="J184" s="172">
        <f>SUMIF($AH$6:$CP$6,1,$AH184:$CP184)</f>
        <v>21.410134024064838</v>
      </c>
      <c r="K184" s="225" t="s">
        <v>545</v>
      </c>
      <c r="L184" s="183">
        <f>L180</f>
        <v>1381.92</v>
      </c>
      <c r="M184" s="233" t="s">
        <v>375</v>
      </c>
      <c r="N184" s="187">
        <f>ROUND(J184*L184,2)</f>
        <v>29587.09</v>
      </c>
      <c r="O184" s="227"/>
      <c r="P184" s="1226"/>
      <c r="Q184" s="1219"/>
      <c r="R184" s="186"/>
      <c r="S184" s="227"/>
      <c r="T184" s="927"/>
      <c r="U184" s="178" t="s">
        <v>592</v>
      </c>
      <c r="V184" s="179">
        <v>245</v>
      </c>
      <c r="W184" s="180">
        <v>219</v>
      </c>
      <c r="X184" s="260"/>
      <c r="Y184" s="178"/>
      <c r="Z184" s="181"/>
      <c r="AA184" s="260"/>
      <c r="AB184" s="182">
        <f>SUM(AH184:AS184)</f>
        <v>20.667645799903724</v>
      </c>
      <c r="AC184" s="182">
        <f>SUM(AT184:BE184)</f>
        <v>20.915221337987717</v>
      </c>
      <c r="AD184" s="182">
        <f>SUM(BF184:BQ184)</f>
        <v>21.16039561547818</v>
      </c>
      <c r="AE184" s="182">
        <f>SUM(BR184:CC184)</f>
        <v>21.410134024064838</v>
      </c>
      <c r="AF184" s="182">
        <f>SUM(CD184:CO184)</f>
        <v>21.661361999340436</v>
      </c>
      <c r="AH184" s="168">
        <v>1.6386416994766533</v>
      </c>
      <c r="AI184" s="168">
        <v>1.6732516023323989</v>
      </c>
      <c r="AJ184" s="168">
        <v>1.7142035171169345</v>
      </c>
      <c r="AK184" s="168">
        <v>1.7068737979900295</v>
      </c>
      <c r="AL184" s="168">
        <v>1.7329169093467152</v>
      </c>
      <c r="AM184" s="168">
        <v>1.7264825025336112</v>
      </c>
      <c r="AN184" s="168">
        <v>1.7211642577914708</v>
      </c>
      <c r="AO184" s="168">
        <v>1.7383050693953321</v>
      </c>
      <c r="AP184" s="168">
        <v>1.7599609972640478</v>
      </c>
      <c r="AQ184" s="168">
        <v>1.7557685027727705</v>
      </c>
      <c r="AR184" s="168">
        <v>1.7318678022118126</v>
      </c>
      <c r="AS184" s="168">
        <v>1.7682091416719463</v>
      </c>
      <c r="AT184" s="168">
        <v>1.6577667759977595</v>
      </c>
      <c r="AU184" s="168">
        <v>1.6934144521591155</v>
      </c>
      <c r="AV184" s="168">
        <v>1.7348596310700442</v>
      </c>
      <c r="AW184" s="168">
        <v>1.7274461915120327</v>
      </c>
      <c r="AX184" s="168">
        <v>1.7537709453665882</v>
      </c>
      <c r="AY184" s="168">
        <v>1.7472747532995758</v>
      </c>
      <c r="AZ184" s="168">
        <v>1.7419427425111824</v>
      </c>
      <c r="BA184" s="168">
        <v>1.7592460844529658</v>
      </c>
      <c r="BB184" s="168">
        <v>1.781068656720284</v>
      </c>
      <c r="BC184" s="168">
        <v>1.7767192082727059</v>
      </c>
      <c r="BD184" s="168">
        <v>1.7525049311625918</v>
      </c>
      <c r="BE184" s="168">
        <v>1.7892069654628666</v>
      </c>
      <c r="BF184" s="168">
        <v>1.6774306161059109</v>
      </c>
      <c r="BG184" s="168">
        <v>1.7133965869828982</v>
      </c>
      <c r="BH184" s="168">
        <v>1.7552874434976473</v>
      </c>
      <c r="BI184" s="168">
        <v>1.7477663327644013</v>
      </c>
      <c r="BJ184" s="168">
        <v>1.7743348534803014</v>
      </c>
      <c r="BK184" s="168">
        <v>1.7677266526932811</v>
      </c>
      <c r="BL184" s="168">
        <v>1.7623146111498178</v>
      </c>
      <c r="BM184" s="168">
        <v>1.7797791282529172</v>
      </c>
      <c r="BN184" s="168">
        <v>1.8018474189398246</v>
      </c>
      <c r="BO184" s="168">
        <v>1.7974205627618602</v>
      </c>
      <c r="BP184" s="168">
        <v>1.7729764230758172</v>
      </c>
      <c r="BQ184" s="168">
        <v>1.8101149857735026</v>
      </c>
      <c r="BR184" s="168">
        <v>1.6970903262145018</v>
      </c>
      <c r="BS184" s="168">
        <v>1.733456775064723</v>
      </c>
      <c r="BT184" s="168">
        <v>1.775884801633437</v>
      </c>
      <c r="BU184" s="168">
        <v>1.7683469943638701</v>
      </c>
      <c r="BV184" s="168">
        <v>1.7952476290847441</v>
      </c>
      <c r="BW184" s="168">
        <v>1.7886006741955749</v>
      </c>
      <c r="BX184" s="168">
        <v>1.7831805763951849</v>
      </c>
      <c r="BY184" s="168">
        <v>1.8008559870572807</v>
      </c>
      <c r="BZ184" s="168">
        <v>1.8231925379777096</v>
      </c>
      <c r="CA184" s="168">
        <v>1.8187042059597451</v>
      </c>
      <c r="CB184" s="168">
        <v>1.7940154429556689</v>
      </c>
      <c r="CC184" s="168">
        <v>1.8315580731623975</v>
      </c>
      <c r="CD184" s="168">
        <v>1.7171887866385831</v>
      </c>
      <c r="CE184" s="168">
        <v>1.7538834330536865</v>
      </c>
      <c r="CF184" s="168">
        <v>1.7967641313820004</v>
      </c>
      <c r="CG184" s="168">
        <v>1.7891239362364317</v>
      </c>
      <c r="CH184" s="168">
        <v>1.8162868901313307</v>
      </c>
      <c r="CI184" s="168">
        <v>1.809539443942658</v>
      </c>
      <c r="CJ184" s="168">
        <v>1.8040493294169047</v>
      </c>
      <c r="CK184" s="168">
        <v>1.8219118192010144</v>
      </c>
      <c r="CL184" s="168">
        <v>1.844521566955609</v>
      </c>
      <c r="CM184" s="168">
        <v>1.8399727164046271</v>
      </c>
      <c r="CN184" s="168">
        <v>1.8150592532370269</v>
      </c>
      <c r="CO184" s="168">
        <v>1.853060692740562</v>
      </c>
    </row>
    <row r="185" spans="1:93" x14ac:dyDescent="0.2">
      <c r="A185" s="118">
        <f t="shared" si="16"/>
        <v>10</v>
      </c>
      <c r="B185" s="226"/>
      <c r="C185" s="223" t="s">
        <v>374</v>
      </c>
      <c r="D185" s="206">
        <f>SUM(D178:D184)</f>
        <v>589518.86458090087</v>
      </c>
      <c r="E185" s="235" t="s">
        <v>593</v>
      </c>
      <c r="F185" s="183"/>
      <c r="G185" s="233"/>
      <c r="H185" s="206">
        <f>SUM(H178:H184)</f>
        <v>13930071.839999998</v>
      </c>
      <c r="I185" s="229"/>
      <c r="J185" s="206">
        <f>SUM(J178:J184)</f>
        <v>589518.86458090087</v>
      </c>
      <c r="K185" s="235" t="s">
        <v>593</v>
      </c>
      <c r="L185" s="183"/>
      <c r="M185" s="233"/>
      <c r="N185" s="206">
        <f>SUM(N178:N184)</f>
        <v>14317560.42</v>
      </c>
      <c r="O185" s="227"/>
      <c r="Q185" s="1022"/>
      <c r="R185" s="227"/>
      <c r="S185" s="227"/>
      <c r="T185" s="176"/>
      <c r="U185" s="178"/>
      <c r="V185" s="179"/>
      <c r="W185" s="180"/>
      <c r="X185" s="114"/>
      <c r="Y185" s="178" t="s">
        <v>122</v>
      </c>
      <c r="Z185" s="181" t="s">
        <v>451</v>
      </c>
      <c r="AA185" s="114"/>
      <c r="AB185" s="206">
        <f>SUM(AB178:AB184)</f>
        <v>569074.76953786355</v>
      </c>
      <c r="AC185" s="206">
        <f>SUM(AC178:AC184)</f>
        <v>575891.65587520401</v>
      </c>
      <c r="AD185" s="206">
        <f>SUM(AD178:AD184)</f>
        <v>582642.42453121371</v>
      </c>
      <c r="AE185" s="206">
        <f>SUM(AE178:AE184)</f>
        <v>589518.86458090087</v>
      </c>
      <c r="AF185" s="206">
        <f>SUM(AF178:AF184)</f>
        <v>596436.31921098207</v>
      </c>
      <c r="AH185" s="206">
        <f t="shared" ref="AH185:CO185" si="17">SUM(AH178:AH184)</f>
        <v>45119.296920075583</v>
      </c>
      <c r="AI185" s="206">
        <f t="shared" si="17"/>
        <v>46072.265762393035</v>
      </c>
      <c r="AJ185" s="206">
        <f t="shared" si="17"/>
        <v>47199.859185164598</v>
      </c>
      <c r="AK185" s="206">
        <f t="shared" si="17"/>
        <v>46998.038510313469</v>
      </c>
      <c r="AL185" s="206">
        <f t="shared" si="17"/>
        <v>47715.124420186374</v>
      </c>
      <c r="AM185" s="206">
        <f t="shared" si="17"/>
        <v>47537.955786190476</v>
      </c>
      <c r="AN185" s="206">
        <f t="shared" si="17"/>
        <v>47391.520196463374</v>
      </c>
      <c r="AO185" s="206">
        <f t="shared" si="17"/>
        <v>47863.485097913603</v>
      </c>
      <c r="AP185" s="206">
        <f t="shared" si="17"/>
        <v>48459.771790666739</v>
      </c>
      <c r="AQ185" s="206">
        <f t="shared" si="17"/>
        <v>48344.333251632757</v>
      </c>
      <c r="AR185" s="206">
        <f t="shared" si="17"/>
        <v>47686.237704844178</v>
      </c>
      <c r="AS185" s="206">
        <f t="shared" si="17"/>
        <v>48686.880912019187</v>
      </c>
      <c r="AT185" s="206">
        <f t="shared" si="17"/>
        <v>45645.897705622883</v>
      </c>
      <c r="AU185" s="206">
        <f t="shared" si="17"/>
        <v>46627.441191150327</v>
      </c>
      <c r="AV185" s="206">
        <f t="shared" si="17"/>
        <v>47768.616430243215</v>
      </c>
      <c r="AW185" s="206">
        <f t="shared" si="17"/>
        <v>47564.490549201757</v>
      </c>
      <c r="AX185" s="206">
        <f t="shared" si="17"/>
        <v>48289.331364549565</v>
      </c>
      <c r="AY185" s="206">
        <f t="shared" si="17"/>
        <v>48110.461500066704</v>
      </c>
      <c r="AZ185" s="206">
        <f t="shared" si="17"/>
        <v>47963.64686815576</v>
      </c>
      <c r="BA185" s="206">
        <f t="shared" si="17"/>
        <v>48440.086972804791</v>
      </c>
      <c r="BB185" s="206">
        <f t="shared" si="17"/>
        <v>49040.96214765442</v>
      </c>
      <c r="BC185" s="206">
        <f t="shared" si="17"/>
        <v>48921.201948699701</v>
      </c>
      <c r="BD185" s="206">
        <f t="shared" si="17"/>
        <v>48254.472206020044</v>
      </c>
      <c r="BE185" s="206">
        <f t="shared" si="17"/>
        <v>49265.04699103484</v>
      </c>
      <c r="BF185" s="206">
        <f t="shared" si="17"/>
        <v>46187.33311564078</v>
      </c>
      <c r="BG185" s="206">
        <f t="shared" si="17"/>
        <v>47177.640709751111</v>
      </c>
      <c r="BH185" s="206">
        <f t="shared" si="17"/>
        <v>48331.087490660502</v>
      </c>
      <c r="BI185" s="206">
        <f t="shared" si="17"/>
        <v>48123.996929953755</v>
      </c>
      <c r="BJ185" s="206">
        <f t="shared" si="17"/>
        <v>48855.549761357193</v>
      </c>
      <c r="BK185" s="206">
        <f t="shared" si="17"/>
        <v>48673.595784772631</v>
      </c>
      <c r="BL185" s="206">
        <f t="shared" si="17"/>
        <v>48524.577540319733</v>
      </c>
      <c r="BM185" s="206">
        <f t="shared" si="17"/>
        <v>49005.455533960543</v>
      </c>
      <c r="BN185" s="206">
        <f t="shared" si="17"/>
        <v>49613.096460185669</v>
      </c>
      <c r="BO185" s="206">
        <f t="shared" si="17"/>
        <v>49491.204872549504</v>
      </c>
      <c r="BP185" s="206">
        <f t="shared" si="17"/>
        <v>48818.145962354174</v>
      </c>
      <c r="BQ185" s="206">
        <f t="shared" si="17"/>
        <v>49840.740369708066</v>
      </c>
      <c r="BR185" s="206">
        <f t="shared" si="17"/>
        <v>46728.654807890794</v>
      </c>
      <c r="BS185" s="206">
        <f t="shared" si="17"/>
        <v>47729.989391360694</v>
      </c>
      <c r="BT185" s="206">
        <f t="shared" si="17"/>
        <v>48898.226919490276</v>
      </c>
      <c r="BU185" s="206">
        <f t="shared" si="17"/>
        <v>48690.67662681159</v>
      </c>
      <c r="BV185" s="206">
        <f t="shared" si="17"/>
        <v>49431.374075007399</v>
      </c>
      <c r="BW185" s="206">
        <f t="shared" si="17"/>
        <v>49248.35302082909</v>
      </c>
      <c r="BX185" s="206">
        <f t="shared" si="17"/>
        <v>49099.112950794384</v>
      </c>
      <c r="BY185" s="206">
        <f t="shared" si="17"/>
        <v>49585.797808199197</v>
      </c>
      <c r="BZ185" s="206">
        <f t="shared" si="17"/>
        <v>50200.825164985676</v>
      </c>
      <c r="CA185" s="206">
        <f t="shared" si="17"/>
        <v>50077.240866441884</v>
      </c>
      <c r="CB185" s="206">
        <f t="shared" si="17"/>
        <v>49397.44635802308</v>
      </c>
      <c r="CC185" s="206">
        <f t="shared" si="17"/>
        <v>50431.1665910667</v>
      </c>
      <c r="CD185" s="206">
        <f t="shared" si="17"/>
        <v>47282.057302041969</v>
      </c>
      <c r="CE185" s="206">
        <f t="shared" si="17"/>
        <v>48292.4286648048</v>
      </c>
      <c r="CF185" s="206">
        <f t="shared" si="17"/>
        <v>49473.130315832794</v>
      </c>
      <c r="CG185" s="206">
        <f t="shared" si="17"/>
        <v>49262.760816868904</v>
      </c>
      <c r="CH185" s="206">
        <f t="shared" si="17"/>
        <v>50010.681111098995</v>
      </c>
      <c r="CI185" s="206">
        <f t="shared" si="17"/>
        <v>49824.893072056533</v>
      </c>
      <c r="CJ185" s="206">
        <f t="shared" si="17"/>
        <v>49673.725121496143</v>
      </c>
      <c r="CK185" s="206">
        <f t="shared" si="17"/>
        <v>50165.561122348845</v>
      </c>
      <c r="CL185" s="206">
        <f t="shared" si="17"/>
        <v>50788.110836879721</v>
      </c>
      <c r="CM185" s="206">
        <f t="shared" si="17"/>
        <v>50662.860186465805</v>
      </c>
      <c r="CN185" s="206">
        <f t="shared" si="17"/>
        <v>49976.878655344437</v>
      </c>
      <c r="CO185" s="206">
        <f t="shared" si="17"/>
        <v>51023.232005743062</v>
      </c>
    </row>
    <row r="186" spans="1:93" x14ac:dyDescent="0.2">
      <c r="A186" s="118">
        <f t="shared" si="16"/>
        <v>11</v>
      </c>
      <c r="B186" s="226"/>
      <c r="C186" s="223"/>
      <c r="D186" s="168"/>
      <c r="E186" s="237"/>
      <c r="F186" s="183"/>
      <c r="G186" s="233"/>
      <c r="H186" s="203"/>
      <c r="I186" s="229"/>
      <c r="J186" s="168"/>
      <c r="K186" s="237"/>
      <c r="L186" s="183"/>
      <c r="M186" s="233"/>
      <c r="N186" s="203"/>
      <c r="O186" s="227"/>
      <c r="Q186" s="1219"/>
      <c r="R186" s="227"/>
      <c r="S186" s="227"/>
      <c r="T186" s="227"/>
      <c r="U186" s="178"/>
      <c r="V186" s="179"/>
      <c r="W186" s="180"/>
      <c r="X186" s="114"/>
      <c r="Y186" s="178"/>
      <c r="Z186" s="181"/>
      <c r="AA186" s="114"/>
      <c r="AB186" s="193">
        <f>SUM(AH186:AS186)</f>
        <v>0</v>
      </c>
      <c r="AC186" s="193">
        <f>SUM(AT186:BE186)</f>
        <v>0</v>
      </c>
      <c r="AD186" s="193">
        <f>SUM(BF186:BQ186)</f>
        <v>0</v>
      </c>
      <c r="AE186" s="193">
        <f>SUM(BR186:CC186)</f>
        <v>0</v>
      </c>
      <c r="AF186" s="193">
        <f>SUM(CD186:CO186)</f>
        <v>0</v>
      </c>
      <c r="AH186" s="193">
        <v>0</v>
      </c>
      <c r="AI186" s="193">
        <v>0</v>
      </c>
      <c r="AJ186" s="193">
        <v>0</v>
      </c>
      <c r="AK186" s="193">
        <v>0</v>
      </c>
      <c r="AL186" s="193">
        <v>0</v>
      </c>
      <c r="AM186" s="193">
        <v>0</v>
      </c>
      <c r="AN186" s="193">
        <v>0</v>
      </c>
      <c r="AO186" s="193">
        <v>0</v>
      </c>
      <c r="AP186" s="193">
        <v>0</v>
      </c>
      <c r="AQ186" s="193">
        <v>0</v>
      </c>
      <c r="AR186" s="193">
        <v>0</v>
      </c>
      <c r="AS186" s="193">
        <v>0</v>
      </c>
      <c r="AT186" s="193">
        <v>0</v>
      </c>
      <c r="AU186" s="193">
        <v>0</v>
      </c>
      <c r="AV186" s="193">
        <v>0</v>
      </c>
      <c r="AW186" s="193">
        <v>0</v>
      </c>
      <c r="AX186" s="193">
        <v>0</v>
      </c>
      <c r="AY186" s="193">
        <v>0</v>
      </c>
      <c r="AZ186" s="193">
        <v>0</v>
      </c>
      <c r="BA186" s="193">
        <v>0</v>
      </c>
      <c r="BB186" s="193">
        <v>0</v>
      </c>
      <c r="BC186" s="193">
        <v>0</v>
      </c>
      <c r="BD186" s="193">
        <v>0</v>
      </c>
      <c r="BE186" s="193">
        <v>0</v>
      </c>
      <c r="BF186" s="193">
        <v>0</v>
      </c>
      <c r="BG186" s="193">
        <v>0</v>
      </c>
      <c r="BH186" s="193">
        <v>0</v>
      </c>
      <c r="BI186" s="193">
        <v>0</v>
      </c>
      <c r="BJ186" s="193">
        <v>0</v>
      </c>
      <c r="BK186" s="193">
        <v>0</v>
      </c>
      <c r="BL186" s="193">
        <v>0</v>
      </c>
      <c r="BM186" s="193">
        <v>0</v>
      </c>
      <c r="BN186" s="193">
        <v>0</v>
      </c>
      <c r="BO186" s="193">
        <v>0</v>
      </c>
      <c r="BP186" s="193">
        <v>0</v>
      </c>
      <c r="BQ186" s="193">
        <v>0</v>
      </c>
      <c r="BR186" s="193">
        <v>0</v>
      </c>
      <c r="BS186" s="193">
        <v>0</v>
      </c>
      <c r="BT186" s="193">
        <v>0</v>
      </c>
      <c r="BU186" s="193">
        <v>0</v>
      </c>
      <c r="BV186" s="193">
        <v>0</v>
      </c>
      <c r="BW186" s="193">
        <v>0</v>
      </c>
      <c r="BX186" s="193">
        <v>0</v>
      </c>
      <c r="BY186" s="193">
        <v>0</v>
      </c>
      <c r="BZ186" s="193">
        <v>0</v>
      </c>
      <c r="CA186" s="193">
        <v>0</v>
      </c>
      <c r="CB186" s="193">
        <v>0</v>
      </c>
      <c r="CC186" s="193">
        <v>0</v>
      </c>
      <c r="CD186" s="193">
        <v>0</v>
      </c>
      <c r="CE186" s="193">
        <v>0</v>
      </c>
      <c r="CF186" s="193">
        <v>0</v>
      </c>
      <c r="CG186" s="193">
        <v>0</v>
      </c>
      <c r="CH186" s="193">
        <v>0</v>
      </c>
      <c r="CI186" s="193">
        <v>0</v>
      </c>
      <c r="CJ186" s="193">
        <v>0</v>
      </c>
      <c r="CK186" s="193">
        <v>0</v>
      </c>
      <c r="CL186" s="193">
        <v>0</v>
      </c>
      <c r="CM186" s="193">
        <v>0</v>
      </c>
      <c r="CN186" s="193">
        <v>0</v>
      </c>
      <c r="CO186" s="193">
        <v>0</v>
      </c>
    </row>
    <row r="187" spans="1:93" x14ac:dyDescent="0.2">
      <c r="A187" s="118">
        <f t="shared" si="16"/>
        <v>12</v>
      </c>
      <c r="B187" s="239" t="s">
        <v>594</v>
      </c>
      <c r="C187" s="223"/>
      <c r="D187" s="168"/>
      <c r="E187" s="225"/>
      <c r="F187" s="183"/>
      <c r="G187" s="233"/>
      <c r="H187" s="174"/>
      <c r="I187" s="229"/>
      <c r="J187" s="168"/>
      <c r="K187" s="225"/>
      <c r="L187" s="183"/>
      <c r="M187" s="233"/>
      <c r="N187" s="174"/>
      <c r="O187" s="227"/>
      <c r="R187" s="227"/>
      <c r="S187" s="227"/>
      <c r="T187" s="227"/>
      <c r="U187" s="184"/>
      <c r="V187" s="179"/>
      <c r="W187" s="180"/>
      <c r="X187" s="114"/>
      <c r="Y187" s="184"/>
      <c r="Z187" s="181"/>
      <c r="AA187" s="114"/>
      <c r="AB187" s="238"/>
      <c r="AC187" s="114"/>
    </row>
    <row r="188" spans="1:93" x14ac:dyDescent="0.2">
      <c r="A188" s="118">
        <f t="shared" si="16"/>
        <v>13</v>
      </c>
      <c r="B188" s="228" t="s">
        <v>595</v>
      </c>
      <c r="C188" s="223"/>
      <c r="D188" s="168"/>
      <c r="E188" s="225"/>
      <c r="F188" s="183"/>
      <c r="G188" s="233"/>
      <c r="H188" s="174"/>
      <c r="I188" s="229"/>
      <c r="J188" s="168"/>
      <c r="K188" s="225"/>
      <c r="L188" s="857">
        <v>0</v>
      </c>
      <c r="M188" s="233"/>
      <c r="N188" s="174"/>
      <c r="O188" s="227"/>
      <c r="R188" s="227"/>
      <c r="S188" s="227"/>
      <c r="T188" s="227"/>
      <c r="U188" s="184"/>
      <c r="V188" s="179"/>
      <c r="W188" s="180"/>
      <c r="X188" s="245"/>
      <c r="Y188" s="184"/>
      <c r="Z188" s="181"/>
      <c r="AA188" s="245"/>
      <c r="AB188" s="241"/>
      <c r="AC188" s="114"/>
    </row>
    <row r="189" spans="1:93" x14ac:dyDescent="0.2">
      <c r="A189" s="118">
        <f t="shared" si="16"/>
        <v>14</v>
      </c>
      <c r="B189" s="234" t="s">
        <v>149</v>
      </c>
      <c r="C189" s="223"/>
      <c r="D189" s="172">
        <f>SUMIF($AH$6:$CP$6,1,$AH189:$CP189)</f>
        <v>10725376.603371939</v>
      </c>
      <c r="E189" s="225" t="s">
        <v>596</v>
      </c>
      <c r="F189" s="173">
        <f>'Exhibit MJC-3 - E-13c cal yr'!F191</f>
        <v>9.3800000000000008</v>
      </c>
      <c r="G189" s="233" t="s">
        <v>375</v>
      </c>
      <c r="H189" s="174">
        <f>ROUND(D189*F189,2)</f>
        <v>100604032.54000001</v>
      </c>
      <c r="I189" s="229"/>
      <c r="J189" s="172">
        <f>SUMIF($AH$6:$CP$6,1,$AH189:$CP189)</f>
        <v>10725376.603371939</v>
      </c>
      <c r="K189" s="225" t="s">
        <v>596</v>
      </c>
      <c r="L189" s="173">
        <f>ROUND(F189*(1+'Exhibit MJC-2 - Old E-8a'!$V$24)+L188,2)</f>
        <v>9.64</v>
      </c>
      <c r="M189" s="233" t="s">
        <v>375</v>
      </c>
      <c r="N189" s="174">
        <f>ROUND(J189*L189,2)</f>
        <v>103392630.45999999</v>
      </c>
      <c r="O189" s="227"/>
      <c r="Q189" s="1022"/>
      <c r="R189" s="227"/>
      <c r="S189" s="262"/>
      <c r="T189" s="247"/>
      <c r="U189" s="184" t="s">
        <v>122</v>
      </c>
      <c r="V189" s="179">
        <v>244</v>
      </c>
      <c r="W189" s="180">
        <v>218</v>
      </c>
      <c r="X189" s="245"/>
      <c r="Y189" s="184"/>
      <c r="Z189" s="181"/>
      <c r="AA189" s="245"/>
      <c r="AB189" s="182">
        <f>SUM(AH189:AS189)</f>
        <v>10569565.465304464</v>
      </c>
      <c r="AC189" s="182">
        <f>SUM(AT189:BE189)</f>
        <v>10624955.856831726</v>
      </c>
      <c r="AD189" s="182">
        <f>SUM(BF189:BQ189)</f>
        <v>10672219.183253082</v>
      </c>
      <c r="AE189" s="182">
        <f>SUM(BR189:CC189)</f>
        <v>10725376.603371939</v>
      </c>
      <c r="AF189" s="182">
        <f>SUM(CD189:CO189)</f>
        <v>10789885.821678326</v>
      </c>
      <c r="AH189" s="175">
        <v>886486.95234748791</v>
      </c>
      <c r="AI189" s="175">
        <v>732295.96487570426</v>
      </c>
      <c r="AJ189" s="175">
        <v>672912.35025174508</v>
      </c>
      <c r="AK189" s="175">
        <v>781416.57583195565</v>
      </c>
      <c r="AL189" s="175">
        <v>909585.30621138331</v>
      </c>
      <c r="AM189" s="175">
        <v>1003129.3177020162</v>
      </c>
      <c r="AN189" s="175">
        <v>966724.24312810635</v>
      </c>
      <c r="AO189" s="175">
        <v>1065931.9696008386</v>
      </c>
      <c r="AP189" s="175">
        <v>1021750.3762418146</v>
      </c>
      <c r="AQ189" s="175">
        <v>935981.17816602823</v>
      </c>
      <c r="AR189" s="175">
        <v>852743.68894200458</v>
      </c>
      <c r="AS189" s="175">
        <v>740607.54200538131</v>
      </c>
      <c r="AT189" s="175">
        <v>872819.34681715234</v>
      </c>
      <c r="AU189" s="175">
        <v>726715.13998778816</v>
      </c>
      <c r="AV189" s="175">
        <v>656685.07943511708</v>
      </c>
      <c r="AW189" s="175">
        <v>784319.32571831264</v>
      </c>
      <c r="AX189" s="175">
        <v>903362.92385796958</v>
      </c>
      <c r="AY189" s="175">
        <v>981147.18579723989</v>
      </c>
      <c r="AZ189" s="175">
        <v>999900.03479244129</v>
      </c>
      <c r="BA189" s="175">
        <v>1077587.8358458332</v>
      </c>
      <c r="BB189" s="175">
        <v>1041653.4420400891</v>
      </c>
      <c r="BC189" s="175">
        <v>962540.53229694802</v>
      </c>
      <c r="BD189" s="175">
        <v>875122.77483851975</v>
      </c>
      <c r="BE189" s="175">
        <v>743102.23540431459</v>
      </c>
      <c r="BF189" s="175">
        <v>859352.80312262196</v>
      </c>
      <c r="BG189" s="175">
        <v>734783.77511191252</v>
      </c>
      <c r="BH189" s="175">
        <v>666142.20437387761</v>
      </c>
      <c r="BI189" s="175">
        <v>776788.28329428285</v>
      </c>
      <c r="BJ189" s="175">
        <v>907974.3165809632</v>
      </c>
      <c r="BK189" s="175">
        <v>1000025.8340771872</v>
      </c>
      <c r="BL189" s="175">
        <v>1008092.5536922147</v>
      </c>
      <c r="BM189" s="175">
        <v>1089439.9717561859</v>
      </c>
      <c r="BN189" s="175">
        <v>1045859.7735670512</v>
      </c>
      <c r="BO189" s="175">
        <v>952658.25900793239</v>
      </c>
      <c r="BP189" s="175">
        <v>871847.12019228644</v>
      </c>
      <c r="BQ189" s="175">
        <v>759254.28847656562</v>
      </c>
      <c r="BR189" s="175">
        <v>857661.79949135787</v>
      </c>
      <c r="BS189" s="175">
        <v>726257.93356297549</v>
      </c>
      <c r="BT189" s="175">
        <v>674605.35598806513</v>
      </c>
      <c r="BU189" s="175">
        <v>790638.82398596162</v>
      </c>
      <c r="BV189" s="175">
        <v>888466.99832873011</v>
      </c>
      <c r="BW189" s="175">
        <v>1019182.2019078535</v>
      </c>
      <c r="BX189" s="175">
        <v>1026874.1000884171</v>
      </c>
      <c r="BY189" s="175">
        <v>1100153.7995565927</v>
      </c>
      <c r="BZ189" s="175">
        <v>1051037.1986901013</v>
      </c>
      <c r="CA189" s="175">
        <v>963741.80911492952</v>
      </c>
      <c r="CB189" s="175">
        <v>876728.00342086621</v>
      </c>
      <c r="CC189" s="175">
        <v>750028.57923608879</v>
      </c>
      <c r="CD189" s="175">
        <v>863239.34257729631</v>
      </c>
      <c r="CE189" s="175">
        <v>718983.37377175898</v>
      </c>
      <c r="CF189" s="175">
        <v>659453.93073652021</v>
      </c>
      <c r="CG189" s="175">
        <v>806752.95137692511</v>
      </c>
      <c r="CH189" s="175">
        <v>912187.06310658308</v>
      </c>
      <c r="CI189" s="175">
        <v>1007457.488517588</v>
      </c>
      <c r="CJ189" s="175">
        <v>1028594.0314669365</v>
      </c>
      <c r="CK189" s="175">
        <v>1106367.7868163963</v>
      </c>
      <c r="CL189" s="175">
        <v>1078048.9759564649</v>
      </c>
      <c r="CM189" s="175">
        <v>969380.36313716893</v>
      </c>
      <c r="CN189" s="175">
        <v>889617.478684325</v>
      </c>
      <c r="CO189" s="175">
        <v>749803.03553036321</v>
      </c>
    </row>
    <row r="190" spans="1:93" x14ac:dyDescent="0.2">
      <c r="A190" s="118">
        <f t="shared" si="16"/>
        <v>15</v>
      </c>
      <c r="B190" s="234" t="s">
        <v>148</v>
      </c>
      <c r="C190" s="223"/>
      <c r="D190" s="172">
        <f>SUMIF($AH$6:$CP$6,1,$AH190:$CP190)</f>
        <v>271955.06287337415</v>
      </c>
      <c r="E190" s="225" t="s">
        <v>596</v>
      </c>
      <c r="F190" s="173">
        <f>'Exhibit MJC-3 - E-13c cal yr'!F192</f>
        <v>8.08</v>
      </c>
      <c r="G190" s="233" t="s">
        <v>375</v>
      </c>
      <c r="H190" s="174">
        <f>ROUND(D190*F190,2)</f>
        <v>2197396.91</v>
      </c>
      <c r="I190" s="229"/>
      <c r="J190" s="172">
        <f>SUMIF($AH$6:$CP$6,1,$AH190:$CP190)</f>
        <v>271955.06287337415</v>
      </c>
      <c r="K190" s="225" t="s">
        <v>596</v>
      </c>
      <c r="L190" s="310">
        <f>ROUND(L189-DVC!G29,2)</f>
        <v>8.3000000000000007</v>
      </c>
      <c r="M190" s="233" t="s">
        <v>375</v>
      </c>
      <c r="N190" s="174">
        <f>ROUND(J190*L190,2)</f>
        <v>2257227.02</v>
      </c>
      <c r="O190" s="227"/>
      <c r="R190" s="227"/>
      <c r="S190" s="262"/>
      <c r="T190" s="247"/>
      <c r="U190" s="184" t="s">
        <v>122</v>
      </c>
      <c r="V190" s="179">
        <v>244</v>
      </c>
      <c r="W190" s="180">
        <v>218</v>
      </c>
      <c r="X190" s="245"/>
      <c r="Y190" s="184"/>
      <c r="Z190" s="181"/>
      <c r="AA190" s="245"/>
      <c r="AB190" s="182">
        <f>SUM(AH190:AS190)</f>
        <v>268004.28059164144</v>
      </c>
      <c r="AC190" s="182">
        <f>SUM(AT190:BE190)</f>
        <v>269408.77182467101</v>
      </c>
      <c r="AD190" s="182">
        <f>SUM(BF190:BQ190)</f>
        <v>270607.19136590033</v>
      </c>
      <c r="AE190" s="182">
        <f>SUM(BR190:CC190)</f>
        <v>271955.06287337415</v>
      </c>
      <c r="AF190" s="182">
        <f>SUM(CD190:CO190)</f>
        <v>273590.77313038352</v>
      </c>
      <c r="AH190" s="175">
        <v>15003.608016747909</v>
      </c>
      <c r="AI190" s="175">
        <v>22995.43964124348</v>
      </c>
      <c r="AJ190" s="175">
        <v>21269.902815692578</v>
      </c>
      <c r="AK190" s="175">
        <v>18019.71032236372</v>
      </c>
      <c r="AL190" s="175">
        <v>28954.339184735003</v>
      </c>
      <c r="AM190" s="175">
        <v>23113.793272261093</v>
      </c>
      <c r="AN190" s="175">
        <v>21372.597279986196</v>
      </c>
      <c r="AO190" s="175">
        <v>26961.233222185449</v>
      </c>
      <c r="AP190" s="175">
        <v>25843.321190588598</v>
      </c>
      <c r="AQ190" s="175">
        <v>26366.373847046812</v>
      </c>
      <c r="AR190" s="175">
        <v>20871.726453338357</v>
      </c>
      <c r="AS190" s="175">
        <v>17232.235345452242</v>
      </c>
      <c r="AT190" s="175">
        <v>14794.653400287145</v>
      </c>
      <c r="AU190" s="175">
        <v>22851.175065267009</v>
      </c>
      <c r="AV190" s="175">
        <v>20754.512877910347</v>
      </c>
      <c r="AW190" s="175">
        <v>18101.347220874479</v>
      </c>
      <c r="AX190" s="175">
        <v>28768.313792430497</v>
      </c>
      <c r="AY190" s="175">
        <v>22592.134241625754</v>
      </c>
      <c r="AZ190" s="175">
        <v>22107.981940556485</v>
      </c>
      <c r="BA190" s="175">
        <v>27258.067010073144</v>
      </c>
      <c r="BB190" s="175">
        <v>26349.160866621667</v>
      </c>
      <c r="BC190" s="175">
        <v>27117.193847550498</v>
      </c>
      <c r="BD190" s="175">
        <v>21422.157458769674</v>
      </c>
      <c r="BE190" s="175">
        <v>17292.0741027043</v>
      </c>
      <c r="BF190" s="175">
        <v>14598.108674898725</v>
      </c>
      <c r="BG190" s="175">
        <v>23144.627919290782</v>
      </c>
      <c r="BH190" s="175">
        <v>21025.558408862395</v>
      </c>
      <c r="BI190" s="175">
        <v>17936.705753871389</v>
      </c>
      <c r="BJ190" s="175">
        <v>28907.056182257973</v>
      </c>
      <c r="BK190" s="175">
        <v>22971.196762390653</v>
      </c>
      <c r="BL190" s="175">
        <v>22268.842751741464</v>
      </c>
      <c r="BM190" s="175">
        <v>27532.05300133552</v>
      </c>
      <c r="BN190" s="175">
        <v>26431.635145612308</v>
      </c>
      <c r="BO190" s="175">
        <v>26814.882245073833</v>
      </c>
      <c r="BP190" s="175">
        <v>21324.080597077958</v>
      </c>
      <c r="BQ190" s="175">
        <v>17652.443923487328</v>
      </c>
      <c r="BR190" s="175">
        <v>14633.017854799622</v>
      </c>
      <c r="BS190" s="175">
        <v>22961.053392532143</v>
      </c>
      <c r="BT190" s="175">
        <v>21286.205436328521</v>
      </c>
      <c r="BU190" s="175">
        <v>18294.6625468083</v>
      </c>
      <c r="BV190" s="175">
        <v>28315.703087071408</v>
      </c>
      <c r="BW190" s="175">
        <v>23370.542125750726</v>
      </c>
      <c r="BX190" s="175">
        <v>22689.131733827333</v>
      </c>
      <c r="BY190" s="175">
        <v>27808.432772096232</v>
      </c>
      <c r="BZ190" s="175">
        <v>26568.94551792906</v>
      </c>
      <c r="CA190" s="175">
        <v>27133.976059877921</v>
      </c>
      <c r="CB190" s="175">
        <v>21450.536350709823</v>
      </c>
      <c r="CC190" s="175">
        <v>17442.855995643018</v>
      </c>
      <c r="CD190" s="175">
        <v>14711.496406484108</v>
      </c>
      <c r="CE190" s="175">
        <v>22711.509149418955</v>
      </c>
      <c r="CF190" s="175">
        <v>20818.841691592213</v>
      </c>
      <c r="CG190" s="175">
        <v>18662.425752250318</v>
      </c>
      <c r="CH190" s="175">
        <v>29073.853513528196</v>
      </c>
      <c r="CI190" s="175">
        <v>23124.597117082838</v>
      </c>
      <c r="CJ190" s="175">
        <v>22734.708192978953</v>
      </c>
      <c r="CK190" s="175">
        <v>27975.167808714439</v>
      </c>
      <c r="CL190" s="175">
        <v>27260.855337574929</v>
      </c>
      <c r="CM190" s="175">
        <v>27301.624045430344</v>
      </c>
      <c r="CN190" s="175">
        <v>21772.52278427246</v>
      </c>
      <c r="CO190" s="175">
        <v>17443.171331055779</v>
      </c>
    </row>
    <row r="191" spans="1:93" x14ac:dyDescent="0.2">
      <c r="A191" s="118">
        <f t="shared" si="16"/>
        <v>16</v>
      </c>
      <c r="B191" s="234" t="s">
        <v>597</v>
      </c>
      <c r="C191" s="223"/>
      <c r="D191" s="172">
        <f>SUMIF($AH$6:$CP$6,1,$AH191:$CP191)</f>
        <v>388.67626969648086</v>
      </c>
      <c r="E191" s="225" t="s">
        <v>596</v>
      </c>
      <c r="F191" s="173">
        <f>'Exhibit MJC-3 - E-13c cal yr'!F193</f>
        <v>3.2</v>
      </c>
      <c r="G191" s="233" t="s">
        <v>375</v>
      </c>
      <c r="H191" s="174">
        <f>ROUND(D191*F191,2)</f>
        <v>1243.76</v>
      </c>
      <c r="I191" s="229"/>
      <c r="J191" s="172">
        <f>SUMIF($AH$6:$CP$6,1,$AH191:$CP191)</f>
        <v>388.67626969648086</v>
      </c>
      <c r="K191" s="225" t="s">
        <v>596</v>
      </c>
      <c r="L191" s="310">
        <f>ROUND(L189-DVC!G30,2)</f>
        <v>3.17</v>
      </c>
      <c r="M191" s="233" t="s">
        <v>375</v>
      </c>
      <c r="N191" s="174">
        <f>ROUND(J191*L191,2)</f>
        <v>1232.0999999999999</v>
      </c>
      <c r="O191" s="227"/>
      <c r="P191" s="182"/>
      <c r="S191" s="262"/>
      <c r="T191" s="247"/>
      <c r="U191" s="184" t="s">
        <v>122</v>
      </c>
      <c r="V191" s="179">
        <v>244</v>
      </c>
      <c r="W191" s="180">
        <v>218</v>
      </c>
      <c r="Y191" s="184"/>
      <c r="Z191" s="181"/>
      <c r="AB191" s="182"/>
      <c r="AC191" s="114"/>
      <c r="AH191" s="175">
        <v>2.427901766741468</v>
      </c>
      <c r="AI191" s="175">
        <v>1.6817819949236843</v>
      </c>
      <c r="AJ191" s="175">
        <v>0</v>
      </c>
      <c r="AK191" s="175">
        <v>0.39458153506233701</v>
      </c>
      <c r="AL191" s="175">
        <v>6.4134206154617068</v>
      </c>
      <c r="AM191" s="175">
        <v>279.97128128175484</v>
      </c>
      <c r="AN191" s="175">
        <v>-270.11997191299622</v>
      </c>
      <c r="AO191" s="175">
        <v>64.719987376083722</v>
      </c>
      <c r="AP191" s="175">
        <v>69.138008691938794</v>
      </c>
      <c r="AQ191" s="175">
        <v>71.643726839552016</v>
      </c>
      <c r="AR191" s="175">
        <v>72.74214679376918</v>
      </c>
      <c r="AS191" s="175">
        <v>84.016974368592997</v>
      </c>
      <c r="AT191" s="175">
        <v>2.36190462628785</v>
      </c>
      <c r="AU191" s="175">
        <v>1.649230409521762</v>
      </c>
      <c r="AV191" s="175">
        <v>0</v>
      </c>
      <c r="AW191" s="175">
        <v>0.52983079476337747</v>
      </c>
      <c r="AX191" s="175">
        <v>9.7754887364760989</v>
      </c>
      <c r="AY191" s="175">
        <v>366.33947688243893</v>
      </c>
      <c r="AZ191" s="175">
        <v>-373.76487827903895</v>
      </c>
      <c r="BA191" s="175">
        <v>67.474811966951549</v>
      </c>
      <c r="BB191" s="175">
        <v>72.670066730043459</v>
      </c>
      <c r="BC191" s="175">
        <v>75.330422389021479</v>
      </c>
      <c r="BD191" s="175">
        <v>76.878177046139029</v>
      </c>
      <c r="BE191" s="175">
        <v>85.792597074296381</v>
      </c>
      <c r="BF191" s="175">
        <v>2.3241317242206128</v>
      </c>
      <c r="BG191" s="175">
        <v>1.6667490947281016</v>
      </c>
      <c r="BH191" s="175">
        <v>0</v>
      </c>
      <c r="BI191" s="175">
        <v>0.49182176703550073</v>
      </c>
      <c r="BJ191" s="175">
        <v>8.9868034345466938</v>
      </c>
      <c r="BK191" s="175">
        <v>349.96432868005735</v>
      </c>
      <c r="BL191" s="175">
        <v>-353.18424350450971</v>
      </c>
      <c r="BM191" s="175">
        <v>67.511481530410009</v>
      </c>
      <c r="BN191" s="175">
        <v>72.213769302981888</v>
      </c>
      <c r="BO191" s="175">
        <v>73.933479466997127</v>
      </c>
      <c r="BP191" s="175">
        <v>75.823264460992391</v>
      </c>
      <c r="BQ191" s="175">
        <v>87.018315227915082</v>
      </c>
      <c r="BR191" s="175">
        <v>2.3230573679277242</v>
      </c>
      <c r="BS191" s="175">
        <v>1.6500057692224561</v>
      </c>
      <c r="BT191" s="175">
        <v>0</v>
      </c>
      <c r="BU191" s="175">
        <v>0.50245807096222961</v>
      </c>
      <c r="BV191" s="175">
        <v>8.8338840074959197</v>
      </c>
      <c r="BW191" s="175">
        <v>357.99958802652071</v>
      </c>
      <c r="BX191" s="175">
        <v>-361.10498517042856</v>
      </c>
      <c r="BY191" s="175">
        <v>68.308450605536876</v>
      </c>
      <c r="BZ191" s="175">
        <v>72.712839837107396</v>
      </c>
      <c r="CA191" s="175">
        <v>74.934884945608559</v>
      </c>
      <c r="CB191" s="175">
        <v>76.395832231893053</v>
      </c>
      <c r="CC191" s="175">
        <v>86.120254004634518</v>
      </c>
      <c r="CD191" s="175">
        <v>2.3297822156195651</v>
      </c>
      <c r="CE191" s="175">
        <v>1.6276820548464581</v>
      </c>
      <c r="CF191" s="175">
        <v>0</v>
      </c>
      <c r="CG191" s="175">
        <v>0.55075822308925215</v>
      </c>
      <c r="CH191" s="175">
        <v>10.021830712959494</v>
      </c>
      <c r="CI191" s="175">
        <v>380.1517479895698</v>
      </c>
      <c r="CJ191" s="175">
        <v>-388.56022868909923</v>
      </c>
      <c r="CK191" s="175">
        <v>69.261461822790935</v>
      </c>
      <c r="CL191" s="175">
        <v>75.191744957373999</v>
      </c>
      <c r="CM191" s="175">
        <v>75.817897300860622</v>
      </c>
      <c r="CN191" s="175">
        <v>78.12910652515032</v>
      </c>
      <c r="CO191" s="175">
        <v>86.492232217769384</v>
      </c>
    </row>
    <row r="192" spans="1:93" x14ac:dyDescent="0.2">
      <c r="A192" s="118">
        <f t="shared" si="16"/>
        <v>17</v>
      </c>
      <c r="B192" s="234" t="s">
        <v>598</v>
      </c>
      <c r="C192" s="223"/>
      <c r="D192" s="172">
        <f>SUMIF($AH$6:$CP$6,1,$AH192:$CP192)</f>
        <v>0</v>
      </c>
      <c r="E192" s="225" t="s">
        <v>596</v>
      </c>
      <c r="F192" s="173">
        <f>'Exhibit MJC-3 - E-13c cal yr'!F194</f>
        <v>0.77</v>
      </c>
      <c r="G192" s="233" t="s">
        <v>375</v>
      </c>
      <c r="H192" s="174">
        <f>ROUND(D192*F192,2)</f>
        <v>0</v>
      </c>
      <c r="I192" s="229"/>
      <c r="J192" s="172">
        <f>SUMIF($AH$6:$CP$6,1,$AH192:$CP192)</f>
        <v>0</v>
      </c>
      <c r="K192" s="225" t="s">
        <v>596</v>
      </c>
      <c r="L192" s="310">
        <f>ROUND(L189-DVC!G31,2)</f>
        <v>0.6</v>
      </c>
      <c r="M192" s="233" t="s">
        <v>375</v>
      </c>
      <c r="N192" s="174">
        <f>ROUND(J192*L192,2)</f>
        <v>0</v>
      </c>
      <c r="O192" s="227"/>
      <c r="S192" s="262"/>
      <c r="T192" s="247"/>
      <c r="U192" s="184" t="s">
        <v>122</v>
      </c>
      <c r="V192" s="179">
        <v>244</v>
      </c>
      <c r="W192" s="180">
        <v>218</v>
      </c>
      <c r="Y192" s="184"/>
      <c r="Z192" s="181"/>
      <c r="AB192" s="114"/>
      <c r="AC192" s="114"/>
    </row>
    <row r="193" spans="1:93" x14ac:dyDescent="0.2">
      <c r="A193" s="118">
        <f t="shared" si="16"/>
        <v>18</v>
      </c>
      <c r="B193" s="226" t="s">
        <v>546</v>
      </c>
      <c r="C193" s="223"/>
      <c r="D193" s="168"/>
      <c r="E193" s="225"/>
      <c r="F193" s="183"/>
      <c r="G193" s="233"/>
      <c r="H193" s="174"/>
      <c r="I193" s="229"/>
      <c r="J193" s="168"/>
      <c r="K193" s="225"/>
      <c r="L193" s="183"/>
      <c r="M193" s="233"/>
      <c r="N193" s="174"/>
      <c r="O193" s="227"/>
      <c r="S193" s="262"/>
      <c r="T193" s="247"/>
      <c r="U193" s="178"/>
      <c r="V193" s="179"/>
      <c r="W193" s="180"/>
      <c r="Y193" s="178"/>
      <c r="Z193" s="181"/>
    </row>
    <row r="194" spans="1:93" x14ac:dyDescent="0.2">
      <c r="A194" s="118">
        <f t="shared" si="16"/>
        <v>19</v>
      </c>
      <c r="B194" s="234" t="s">
        <v>149</v>
      </c>
      <c r="C194" s="223"/>
      <c r="D194" s="168"/>
      <c r="E194" s="225"/>
      <c r="F194" s="183"/>
      <c r="G194" s="233"/>
      <c r="H194" s="174"/>
      <c r="I194" s="229"/>
      <c r="J194" s="168"/>
      <c r="K194" s="225"/>
      <c r="L194" s="857">
        <v>0</v>
      </c>
      <c r="M194" s="233"/>
      <c r="N194" s="174"/>
      <c r="O194" s="227"/>
      <c r="R194" s="290"/>
      <c r="S194" s="262"/>
      <c r="T194" s="858" t="s">
        <v>558</v>
      </c>
      <c r="U194" s="178"/>
      <c r="V194" s="179"/>
      <c r="W194" s="180"/>
      <c r="Y194" s="178"/>
      <c r="Z194" s="181"/>
    </row>
    <row r="195" spans="1:93" x14ac:dyDescent="0.2">
      <c r="A195" s="118">
        <f t="shared" si="16"/>
        <v>20</v>
      </c>
      <c r="B195" s="243" t="s">
        <v>559</v>
      </c>
      <c r="C195" s="223"/>
      <c r="D195" s="172">
        <f>SUMIF($AH$6:$CP$6,1,$AH195:$CP195)</f>
        <v>15546306.845036916</v>
      </c>
      <c r="E195" s="225" t="s">
        <v>596</v>
      </c>
      <c r="F195" s="173">
        <f>'Exhibit MJC-3 - E-13c cal yr'!F197</f>
        <v>2.64</v>
      </c>
      <c r="G195" s="233" t="s">
        <v>375</v>
      </c>
      <c r="H195" s="174">
        <f>ROUND(D195*F195,2)</f>
        <v>41042250.07</v>
      </c>
      <c r="I195" s="229"/>
      <c r="J195" s="172">
        <f>SUMIF($AH$6:$CP$6,1,$AH195:$CP195)</f>
        <v>15546306.845036916</v>
      </c>
      <c r="K195" s="225" t="s">
        <v>596</v>
      </c>
      <c r="L195" s="173">
        <f>ROUND(F195*(1+'Exhibit MJC-2 - Old E-8a'!$V$24)+L194,2)</f>
        <v>2.71</v>
      </c>
      <c r="M195" s="233" t="s">
        <v>375</v>
      </c>
      <c r="N195" s="174">
        <f>ROUND(J195*L195,2)</f>
        <v>42130491.549999997</v>
      </c>
      <c r="O195" s="227"/>
      <c r="Q195" s="1022"/>
      <c r="R195" s="291"/>
      <c r="S195" s="731"/>
      <c r="T195" s="859">
        <f>'MFR E-14C'!X161</f>
        <v>0.24980322606010869</v>
      </c>
      <c r="U195" s="184" t="s">
        <v>592</v>
      </c>
      <c r="V195" s="179">
        <v>245</v>
      </c>
      <c r="W195" s="180">
        <v>219</v>
      </c>
      <c r="Y195" s="184"/>
      <c r="Z195" s="181"/>
      <c r="AB195" s="182">
        <f>SUM(AH195:AS195)</f>
        <v>15320460.438719606</v>
      </c>
      <c r="AC195" s="182">
        <f>SUM(AT195:BE195)</f>
        <v>15400748.157724153</v>
      </c>
      <c r="AD195" s="182">
        <f>SUM(BF195:BQ195)</f>
        <v>15469255.791743504</v>
      </c>
      <c r="AE195" s="182">
        <f>SUM(BR195:CC195)</f>
        <v>15546306.845036916</v>
      </c>
      <c r="AF195" s="182">
        <f>SUM(CD195:CO195)</f>
        <v>15639812.195870869</v>
      </c>
      <c r="AH195" s="168">
        <v>2195687.0426314976</v>
      </c>
      <c r="AI195" s="168">
        <v>2294406.1410180298</v>
      </c>
      <c r="AJ195" s="168">
        <v>1461948.4369961491</v>
      </c>
      <c r="AK195" s="168">
        <v>941943.85344179778</v>
      </c>
      <c r="AL195" s="168">
        <v>973512.04146702378</v>
      </c>
      <c r="AM195" s="168">
        <v>1031260.025583101</v>
      </c>
      <c r="AN195" s="168">
        <v>1006575.1357610868</v>
      </c>
      <c r="AO195" s="168">
        <v>1082942.7477716033</v>
      </c>
      <c r="AP195" s="168">
        <v>1018008.3757316867</v>
      </c>
      <c r="AQ195" s="168">
        <v>997660.88614425191</v>
      </c>
      <c r="AR195" s="168">
        <v>923152.29170783341</v>
      </c>
      <c r="AS195" s="168">
        <v>1393363.4604655448</v>
      </c>
      <c r="AT195" s="168">
        <v>2171545.2954058405</v>
      </c>
      <c r="AU195" s="168">
        <v>2286986.0851193885</v>
      </c>
      <c r="AV195" s="168">
        <v>1433180.5815405042</v>
      </c>
      <c r="AW195" s="168">
        <v>949731.08452958474</v>
      </c>
      <c r="AX195" s="168">
        <v>971253.32125922432</v>
      </c>
      <c r="AY195" s="168">
        <v>1013237.0383380963</v>
      </c>
      <c r="AZ195" s="168">
        <v>1045833.8898911714</v>
      </c>
      <c r="BA195" s="168">
        <v>1099741.1598436148</v>
      </c>
      <c r="BB195" s="168">
        <v>1042546.3199251777</v>
      </c>
      <c r="BC195" s="168">
        <v>1030630.2047226416</v>
      </c>
      <c r="BD195" s="168">
        <v>951678.830970207</v>
      </c>
      <c r="BE195" s="168">
        <v>1404384.3461787011</v>
      </c>
      <c r="BF195" s="168">
        <v>2138108.1697965874</v>
      </c>
      <c r="BG195" s="168">
        <v>2312085.1828524256</v>
      </c>
      <c r="BH195" s="168">
        <v>1453788.1935990204</v>
      </c>
      <c r="BI195" s="168">
        <v>940577.26116829982</v>
      </c>
      <c r="BJ195" s="168">
        <v>976188.27617859724</v>
      </c>
      <c r="BK195" s="168">
        <v>1032692.4385231313</v>
      </c>
      <c r="BL195" s="168">
        <v>1054358.2877311104</v>
      </c>
      <c r="BM195" s="168">
        <v>1111786.744021843</v>
      </c>
      <c r="BN195" s="168">
        <v>1046719.3880260483</v>
      </c>
      <c r="BO195" s="168">
        <v>1020021.6926658623</v>
      </c>
      <c r="BP195" s="168">
        <v>948086.74379958189</v>
      </c>
      <c r="BQ195" s="168">
        <v>1434843.4133809973</v>
      </c>
      <c r="BR195" s="168">
        <v>2139077.6029281914</v>
      </c>
      <c r="BS195" s="168">
        <v>2290844.8944766037</v>
      </c>
      <c r="BT195" s="168">
        <v>1475949.1904682887</v>
      </c>
      <c r="BU195" s="168">
        <v>959745.904730913</v>
      </c>
      <c r="BV195" s="168">
        <v>957615.71611408517</v>
      </c>
      <c r="BW195" s="168">
        <v>1055112.7907521748</v>
      </c>
      <c r="BX195" s="168">
        <v>1076688.2055675127</v>
      </c>
      <c r="BY195" s="168">
        <v>1125528.6529100367</v>
      </c>
      <c r="BZ195" s="168">
        <v>1054535.2088169088</v>
      </c>
      <c r="CA195" s="168">
        <v>1034473.7015005419</v>
      </c>
      <c r="CB195" s="168">
        <v>955782.05537118181</v>
      </c>
      <c r="CC195" s="168">
        <v>1420952.9214004765</v>
      </c>
      <c r="CD195" s="168">
        <v>2159390.8409182616</v>
      </c>
      <c r="CE195" s="168">
        <v>2274818.1786718997</v>
      </c>
      <c r="CF195" s="168">
        <v>1447245.3389015025</v>
      </c>
      <c r="CG195" s="168">
        <v>982326.21203358273</v>
      </c>
      <c r="CH195" s="168">
        <v>986217.42450157087</v>
      </c>
      <c r="CI195" s="168">
        <v>1046194.0019256478</v>
      </c>
      <c r="CJ195" s="168">
        <v>1081815.5114497291</v>
      </c>
      <c r="CK195" s="168">
        <v>1135375.5991267669</v>
      </c>
      <c r="CL195" s="168">
        <v>1084971.0727731907</v>
      </c>
      <c r="CM195" s="168">
        <v>1043731.0874439765</v>
      </c>
      <c r="CN195" s="168">
        <v>972822.30406569433</v>
      </c>
      <c r="CO195" s="168">
        <v>1424904.6240590459</v>
      </c>
    </row>
    <row r="196" spans="1:93" x14ac:dyDescent="0.2">
      <c r="A196" s="118">
        <f t="shared" si="16"/>
        <v>21</v>
      </c>
      <c r="B196" s="243" t="s">
        <v>599</v>
      </c>
      <c r="C196" s="223"/>
      <c r="D196" s="172">
        <f>SUMIF($AH$6:$CP$6,1,$AH196:$CP196)</f>
        <v>17486022.908084743</v>
      </c>
      <c r="E196" s="225" t="s">
        <v>596</v>
      </c>
      <c r="F196" s="173">
        <f>'Exhibit MJC-3 - E-13c cal yr'!F198</f>
        <v>4.72</v>
      </c>
      <c r="G196" s="233"/>
      <c r="H196" s="174">
        <f>ROUND(D196*F196,2)</f>
        <v>82534028.129999995</v>
      </c>
      <c r="I196" s="229"/>
      <c r="J196" s="172">
        <f>SUMIF($AH$6:$CP$6,1,$AH196:$CP196)</f>
        <v>17486022.908084743</v>
      </c>
      <c r="K196" s="225" t="s">
        <v>596</v>
      </c>
      <c r="L196" s="173">
        <f>ROUND(F196*(1+'Exhibit MJC-2 - Old E-8a'!$V$24)+L194,2)</f>
        <v>4.8499999999999996</v>
      </c>
      <c r="M196" s="233" t="s">
        <v>375</v>
      </c>
      <c r="N196" s="174">
        <f>ROUND(J196*L196,2)</f>
        <v>84807211.099999994</v>
      </c>
      <c r="O196" s="227"/>
      <c r="Q196" s="1022"/>
      <c r="R196" s="291"/>
      <c r="S196" s="732"/>
      <c r="T196" s="859">
        <f>'MFR E-14C'!X162</f>
        <v>0.44614303104462216</v>
      </c>
      <c r="U196" s="184" t="s">
        <v>592</v>
      </c>
      <c r="V196" s="179">
        <v>245</v>
      </c>
      <c r="W196" s="180">
        <v>219</v>
      </c>
      <c r="Y196" s="184"/>
      <c r="Z196" s="181"/>
      <c r="AB196" s="182"/>
      <c r="AC196" s="182"/>
      <c r="AD196" s="182"/>
      <c r="AE196" s="182"/>
      <c r="AF196" s="182"/>
      <c r="AH196" s="168">
        <v>1450160.3105787768</v>
      </c>
      <c r="AI196" s="168">
        <v>1381252.0840970599</v>
      </c>
      <c r="AJ196" s="168">
        <v>1242207.9150687174</v>
      </c>
      <c r="AK196" s="168">
        <v>1408356.7450202969</v>
      </c>
      <c r="AL196" s="168">
        <v>1268154.2494031708</v>
      </c>
      <c r="AM196" s="168">
        <v>1575121.7099936542</v>
      </c>
      <c r="AN196" s="168">
        <v>1526445.1311738421</v>
      </c>
      <c r="AO196" s="168">
        <v>1615528.7798174601</v>
      </c>
      <c r="AP196" s="168">
        <v>1581081.6798441501</v>
      </c>
      <c r="AQ196" s="168">
        <v>1507093.7248740769</v>
      </c>
      <c r="AR196" s="168">
        <v>1363784.0887693237</v>
      </c>
      <c r="AS196" s="168">
        <v>1312811.1782280074</v>
      </c>
      <c r="AT196" s="168">
        <v>1428102.2283267402</v>
      </c>
      <c r="AU196" s="168">
        <v>1371186.7818885739</v>
      </c>
      <c r="AV196" s="168">
        <v>1212798.0327848531</v>
      </c>
      <c r="AW196" s="168">
        <v>1414223.4727843127</v>
      </c>
      <c r="AX196" s="168">
        <v>1260063.3289102314</v>
      </c>
      <c r="AY196" s="168">
        <v>1541307.9201277993</v>
      </c>
      <c r="AZ196" s="168">
        <v>1579530.0475066318</v>
      </c>
      <c r="BA196" s="168">
        <v>1633921.7120476214</v>
      </c>
      <c r="BB196" s="168">
        <v>1612602.2316359067</v>
      </c>
      <c r="BC196" s="168">
        <v>1550549.1582415383</v>
      </c>
      <c r="BD196" s="168">
        <v>1400200.0218099093</v>
      </c>
      <c r="BE196" s="168">
        <v>1317817.8958512607</v>
      </c>
      <c r="BF196" s="168">
        <v>1405756.1405441232</v>
      </c>
      <c r="BG196" s="168">
        <v>1386238.0725313209</v>
      </c>
      <c r="BH196" s="168">
        <v>1230220.0904758603</v>
      </c>
      <c r="BI196" s="168">
        <v>1400593.2235418309</v>
      </c>
      <c r="BJ196" s="168">
        <v>1266463.9435754486</v>
      </c>
      <c r="BK196" s="168">
        <v>1570915.8716198951</v>
      </c>
      <c r="BL196" s="168">
        <v>1592407.2568381256</v>
      </c>
      <c r="BM196" s="168">
        <v>1651827.4899467949</v>
      </c>
      <c r="BN196" s="168">
        <v>1619053.5387351532</v>
      </c>
      <c r="BO196" s="168">
        <v>1534569.5422674909</v>
      </c>
      <c r="BP196" s="168">
        <v>1394905.727730914</v>
      </c>
      <c r="BQ196" s="168">
        <v>1346407.2804219751</v>
      </c>
      <c r="BR196" s="168">
        <v>1402735.8024536774</v>
      </c>
      <c r="BS196" s="168">
        <v>1369997.4339548051</v>
      </c>
      <c r="BT196" s="168">
        <v>1245783.6946914215</v>
      </c>
      <c r="BU196" s="168">
        <v>1425490.1732290601</v>
      </c>
      <c r="BV196" s="168">
        <v>1239198.0510819901</v>
      </c>
      <c r="BW196" s="168">
        <v>1600928.2669390698</v>
      </c>
      <c r="BX196" s="168">
        <v>1621983.4736291249</v>
      </c>
      <c r="BY196" s="168">
        <v>1667979.1197231889</v>
      </c>
      <c r="BZ196" s="168">
        <v>1626980.226523906</v>
      </c>
      <c r="CA196" s="168">
        <v>1552336.8472277285</v>
      </c>
      <c r="CB196" s="168">
        <v>1402637.8666227439</v>
      </c>
      <c r="CC196" s="168">
        <v>1329971.9520080276</v>
      </c>
      <c r="CD196" s="168">
        <v>1412637.4472418199</v>
      </c>
      <c r="CE196" s="168">
        <v>1357073.3076016344</v>
      </c>
      <c r="CF196" s="168">
        <v>1218560.6295501764</v>
      </c>
      <c r="CG196" s="168">
        <v>1455446.7589768008</v>
      </c>
      <c r="CH196" s="168">
        <v>1273077.5526848848</v>
      </c>
      <c r="CI196" s="168">
        <v>1583497.2974234258</v>
      </c>
      <c r="CJ196" s="168">
        <v>1625706.7490524261</v>
      </c>
      <c r="CK196" s="168">
        <v>1678440.388796045</v>
      </c>
      <c r="CL196" s="168">
        <v>1669829.7573863955</v>
      </c>
      <c r="CM196" s="168">
        <v>1562387.1485556331</v>
      </c>
      <c r="CN196" s="168">
        <v>1424142.1374578765</v>
      </c>
      <c r="CO196" s="168">
        <v>1330395.7670122234</v>
      </c>
    </row>
    <row r="197" spans="1:93" x14ac:dyDescent="0.2">
      <c r="A197" s="118">
        <f t="shared" si="16"/>
        <v>22</v>
      </c>
      <c r="B197" s="243" t="s">
        <v>145</v>
      </c>
      <c r="C197" s="223"/>
      <c r="D197" s="172">
        <f>SUMIF($AH$6:$CP$6,1,$AH197:$CP197)</f>
        <v>20917952.449712753</v>
      </c>
      <c r="E197" s="225" t="s">
        <v>596</v>
      </c>
      <c r="F197" s="173">
        <f>'Exhibit MJC-3 - E-13c cal yr'!F199</f>
        <v>3.2</v>
      </c>
      <c r="G197" s="233" t="s">
        <v>375</v>
      </c>
      <c r="H197" s="174">
        <f>ROUND(D197*F197,2)</f>
        <v>66937447.840000004</v>
      </c>
      <c r="I197" s="229"/>
      <c r="J197" s="172">
        <f>SUMIF($AH$6:$CP$6,1,$AH197:$CP197)</f>
        <v>20917952.449712753</v>
      </c>
      <c r="K197" s="225" t="s">
        <v>596</v>
      </c>
      <c r="L197" s="173">
        <f>ROUND(F197*(1+'Exhibit MJC-2 - Old E-8a'!$V$24)+L194,2)</f>
        <v>3.29</v>
      </c>
      <c r="M197" s="233" t="s">
        <v>375</v>
      </c>
      <c r="N197" s="174">
        <f>ROUND(J197*L197,2)</f>
        <v>68820063.560000002</v>
      </c>
      <c r="O197" s="227"/>
      <c r="Q197" s="1022"/>
      <c r="R197" s="291"/>
      <c r="S197" s="731"/>
      <c r="T197" s="859">
        <f>'MFR E-14C'!X163</f>
        <v>0.30405374289526921</v>
      </c>
      <c r="U197" s="184" t="s">
        <v>592</v>
      </c>
      <c r="V197" s="179">
        <v>245</v>
      </c>
      <c r="W197" s="180">
        <v>219</v>
      </c>
      <c r="X197" s="244"/>
      <c r="Y197" s="184"/>
      <c r="Z197" s="181"/>
      <c r="AA197" s="244"/>
      <c r="AB197" s="182">
        <f>SUM(AH197:AS197)</f>
        <v>20614070.348621182</v>
      </c>
      <c r="AC197" s="182">
        <f>SUM(AT197:BE197)</f>
        <v>20722099.522699218</v>
      </c>
      <c r="AD197" s="182">
        <f>SUM(BF197:BQ197)</f>
        <v>20814278.291917108</v>
      </c>
      <c r="AE197" s="182">
        <f>SUM(BR197:CC197)</f>
        <v>20917952.449712753</v>
      </c>
      <c r="AF197" s="182">
        <f>SUM(CD197:CO197)</f>
        <v>21043766.284601945</v>
      </c>
      <c r="AH197" s="168">
        <v>1774946.7777502278</v>
      </c>
      <c r="AI197" s="168">
        <v>1650096.1031833312</v>
      </c>
      <c r="AJ197" s="168">
        <v>1485865.9092469413</v>
      </c>
      <c r="AK197" s="168">
        <v>1680665.1796535579</v>
      </c>
      <c r="AL197" s="168">
        <v>1513807.4031939798</v>
      </c>
      <c r="AM197" s="168">
        <v>1879186.4897823103</v>
      </c>
      <c r="AN197" s="168">
        <v>1821168.0777270086</v>
      </c>
      <c r="AO197" s="168">
        <v>1927804.5243964577</v>
      </c>
      <c r="AP197" s="168">
        <v>1886424.2147282162</v>
      </c>
      <c r="AQ197" s="168">
        <v>1799097.2579338874</v>
      </c>
      <c r="AR197" s="168">
        <v>1627415.5393927421</v>
      </c>
      <c r="AS197" s="168">
        <v>1567592.8716325192</v>
      </c>
      <c r="AT197" s="168">
        <v>1748577.979400527</v>
      </c>
      <c r="AU197" s="168">
        <v>1638122.4599766391</v>
      </c>
      <c r="AV197" s="168">
        <v>1450758.5245136076</v>
      </c>
      <c r="AW197" s="168">
        <v>1687694.9782199182</v>
      </c>
      <c r="AX197" s="168">
        <v>1504180.9705549872</v>
      </c>
      <c r="AY197" s="168">
        <v>1838869.7596880235</v>
      </c>
      <c r="AZ197" s="168">
        <v>1884528.6857959847</v>
      </c>
      <c r="BA197" s="168">
        <v>1949784.4457865441</v>
      </c>
      <c r="BB197" s="168">
        <v>1924059.6339981719</v>
      </c>
      <c r="BC197" s="168">
        <v>1851012.372578955</v>
      </c>
      <c r="BD197" s="168">
        <v>1670898.6716128846</v>
      </c>
      <c r="BE197" s="168">
        <v>1573611.0405729748</v>
      </c>
      <c r="BF197" s="168">
        <v>1721731.1450088657</v>
      </c>
      <c r="BG197" s="168">
        <v>1656146.4033674006</v>
      </c>
      <c r="BH197" s="168">
        <v>1471658.6722147616</v>
      </c>
      <c r="BI197" s="168">
        <v>1671452.4106562042</v>
      </c>
      <c r="BJ197" s="168">
        <v>1511847.9083300736</v>
      </c>
      <c r="BK197" s="168">
        <v>1874214.3113415069</v>
      </c>
      <c r="BL197" s="168">
        <v>1899914.055047703</v>
      </c>
      <c r="BM197" s="168">
        <v>1971178.0678758544</v>
      </c>
      <c r="BN197" s="168">
        <v>1931779.6587218256</v>
      </c>
      <c r="BO197" s="168">
        <v>1831968.9142044606</v>
      </c>
      <c r="BP197" s="168">
        <v>1664603.4969676416</v>
      </c>
      <c r="BQ197" s="168">
        <v>1607783.2481808069</v>
      </c>
      <c r="BR197" s="168">
        <v>1718247.2096561305</v>
      </c>
      <c r="BS197" s="168">
        <v>1636761.2747926011</v>
      </c>
      <c r="BT197" s="168">
        <v>1490302.2564421161</v>
      </c>
      <c r="BU197" s="168">
        <v>1701174.3007332047</v>
      </c>
      <c r="BV197" s="168">
        <v>1479310.0424702419</v>
      </c>
      <c r="BW197" s="168">
        <v>1910030.1723026901</v>
      </c>
      <c r="BX197" s="168">
        <v>1935211.1090871023</v>
      </c>
      <c r="BY197" s="168">
        <v>1990463.652334658</v>
      </c>
      <c r="BZ197" s="168">
        <v>1941247.1566042532</v>
      </c>
      <c r="CA197" s="168">
        <v>1853193.5599602784</v>
      </c>
      <c r="CB197" s="168">
        <v>1673840.325263805</v>
      </c>
      <c r="CC197" s="168">
        <v>1588171.3900656688</v>
      </c>
      <c r="CD197" s="168">
        <v>1730421.0131358486</v>
      </c>
      <c r="CE197" s="168">
        <v>1621324.2133886432</v>
      </c>
      <c r="CF197" s="168">
        <v>1457741.1987581537</v>
      </c>
      <c r="CG197" s="168">
        <v>1736926.6289313259</v>
      </c>
      <c r="CH197" s="168">
        <v>1519756.5971419255</v>
      </c>
      <c r="CI197" s="168">
        <v>1889235.6269316631</v>
      </c>
      <c r="CJ197" s="168">
        <v>1939655.4848613099</v>
      </c>
      <c r="CK197" s="168">
        <v>2002949.9606218901</v>
      </c>
      <c r="CL197" s="168">
        <v>1992375.6765108204</v>
      </c>
      <c r="CM197" s="168">
        <v>1865194.7496874225</v>
      </c>
      <c r="CN197" s="168">
        <v>1699504.6428491478</v>
      </c>
      <c r="CO197" s="168">
        <v>1588680.4917837947</v>
      </c>
    </row>
    <row r="198" spans="1:93" x14ac:dyDescent="0.2">
      <c r="A198" s="118">
        <f t="shared" si="16"/>
        <v>23</v>
      </c>
      <c r="B198" s="847" t="s">
        <v>600</v>
      </c>
      <c r="C198" s="848"/>
      <c r="D198" s="185">
        <f>'MFR E-13c'!D185</f>
        <v>8617.9500763369797</v>
      </c>
      <c r="E198" s="849" t="s">
        <v>596</v>
      </c>
      <c r="F198" s="173">
        <f>'Exhibit MJC-3 - E-13c cal yr'!F200</f>
        <v>-1.3</v>
      </c>
      <c r="G198" s="850" t="s">
        <v>375</v>
      </c>
      <c r="H198" s="174">
        <f>ROUND(D198*F198,0)</f>
        <v>-11203</v>
      </c>
      <c r="I198" s="1154"/>
      <c r="J198" s="185">
        <f>+D198</f>
        <v>8617.9500763369797</v>
      </c>
      <c r="K198" s="849" t="s">
        <v>596</v>
      </c>
      <c r="L198" s="173">
        <f>ROUND(-DVC!G29,2)</f>
        <v>-1.34</v>
      </c>
      <c r="M198" s="850" t="s">
        <v>375</v>
      </c>
      <c r="N198" s="174">
        <f>ROUND(J198*L198,0)</f>
        <v>-11548</v>
      </c>
      <c r="O198" s="852"/>
      <c r="P198" s="1155"/>
      <c r="Q198" s="854"/>
      <c r="R198" s="288"/>
      <c r="T198" s="245"/>
      <c r="U198" s="184" t="s">
        <v>592</v>
      </c>
      <c r="V198" s="179">
        <v>219</v>
      </c>
      <c r="W198" s="180">
        <v>219</v>
      </c>
      <c r="X198" s="245"/>
      <c r="Y198" s="184"/>
      <c r="Z198" s="181"/>
      <c r="AA198" s="245"/>
      <c r="AB198" s="182"/>
      <c r="AC198" s="182"/>
      <c r="AD198" s="182"/>
      <c r="AE198" s="182"/>
      <c r="AF198" s="182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  <c r="AU198" s="168"/>
      <c r="AV198" s="168"/>
      <c r="AW198" s="168"/>
      <c r="AX198" s="168"/>
      <c r="AY198" s="168"/>
      <c r="AZ198" s="168"/>
      <c r="BA198" s="168"/>
      <c r="BB198" s="168"/>
      <c r="BC198" s="168"/>
      <c r="BD198" s="168"/>
      <c r="BE198" s="168"/>
      <c r="BF198" s="168"/>
      <c r="BG198" s="168"/>
      <c r="BH198" s="168"/>
      <c r="BI198" s="168"/>
      <c r="BJ198" s="168"/>
      <c r="BK198" s="168"/>
      <c r="BL198" s="168"/>
      <c r="BM198" s="168"/>
      <c r="BN198" s="168"/>
      <c r="BO198" s="168"/>
      <c r="BP198" s="168"/>
      <c r="BQ198" s="168"/>
      <c r="BR198" s="168"/>
      <c r="BS198" s="168"/>
      <c r="BT198" s="168"/>
      <c r="BU198" s="168"/>
      <c r="BV198" s="168"/>
      <c r="BW198" s="168"/>
      <c r="BX198" s="168"/>
      <c r="BY198" s="168"/>
      <c r="BZ198" s="168"/>
      <c r="CA198" s="168"/>
      <c r="CB198" s="168"/>
      <c r="CC198" s="168"/>
      <c r="CD198" s="168"/>
      <c r="CE198" s="168"/>
      <c r="CF198" s="168"/>
      <c r="CG198" s="168"/>
      <c r="CH198" s="168"/>
      <c r="CI198" s="168"/>
      <c r="CJ198" s="168"/>
      <c r="CK198" s="168"/>
      <c r="CL198" s="168"/>
      <c r="CM198" s="168"/>
      <c r="CN198" s="168"/>
      <c r="CO198" s="168"/>
    </row>
    <row r="199" spans="1:93" x14ac:dyDescent="0.2">
      <c r="A199" s="118">
        <f>+A197+1</f>
        <v>23</v>
      </c>
      <c r="B199" s="234" t="s">
        <v>148</v>
      </c>
      <c r="C199" s="223"/>
      <c r="D199" s="168"/>
      <c r="E199" s="225"/>
      <c r="F199" s="183"/>
      <c r="G199" s="233"/>
      <c r="H199" s="174"/>
      <c r="I199" s="229"/>
      <c r="J199" s="168"/>
      <c r="K199" s="225"/>
      <c r="L199" s="183"/>
      <c r="M199" s="233"/>
      <c r="N199" s="174"/>
      <c r="O199" s="227"/>
      <c r="S199" s="262"/>
      <c r="T199" s="247"/>
      <c r="U199" s="184"/>
      <c r="V199" s="179"/>
      <c r="W199" s="180"/>
      <c r="X199" s="245"/>
      <c r="Y199" s="184"/>
      <c r="Z199" s="181"/>
      <c r="AA199" s="245"/>
      <c r="AH199" s="168" t="s">
        <v>416</v>
      </c>
      <c r="AI199" s="168" t="s">
        <v>416</v>
      </c>
      <c r="AJ199" s="168" t="s">
        <v>416</v>
      </c>
      <c r="AK199" s="168" t="s">
        <v>416</v>
      </c>
      <c r="AL199" s="168" t="s">
        <v>416</v>
      </c>
      <c r="AM199" s="168" t="s">
        <v>416</v>
      </c>
      <c r="AN199" s="168" t="s">
        <v>416</v>
      </c>
      <c r="AO199" s="168" t="s">
        <v>416</v>
      </c>
      <c r="AP199" s="168" t="s">
        <v>416</v>
      </c>
      <c r="AQ199" s="168" t="s">
        <v>416</v>
      </c>
      <c r="AR199" s="168" t="s">
        <v>416</v>
      </c>
      <c r="AS199" s="168" t="s">
        <v>416</v>
      </c>
      <c r="AT199" s="168" t="s">
        <v>416</v>
      </c>
      <c r="AU199" s="168" t="s">
        <v>416</v>
      </c>
      <c r="AV199" s="168" t="s">
        <v>416</v>
      </c>
      <c r="AW199" s="168" t="s">
        <v>416</v>
      </c>
      <c r="AX199" s="168" t="s">
        <v>416</v>
      </c>
      <c r="AY199" s="168" t="s">
        <v>416</v>
      </c>
      <c r="AZ199" s="168" t="s">
        <v>416</v>
      </c>
      <c r="BA199" s="168" t="s">
        <v>416</v>
      </c>
      <c r="BB199" s="168" t="s">
        <v>416</v>
      </c>
      <c r="BC199" s="168" t="s">
        <v>416</v>
      </c>
      <c r="BD199" s="168" t="s">
        <v>416</v>
      </c>
      <c r="BE199" s="168" t="s">
        <v>416</v>
      </c>
      <c r="BF199" s="168" t="s">
        <v>416</v>
      </c>
      <c r="BG199" s="168" t="s">
        <v>416</v>
      </c>
      <c r="BH199" s="168" t="s">
        <v>416</v>
      </c>
      <c r="BI199" s="168" t="s">
        <v>416</v>
      </c>
      <c r="BJ199" s="168" t="s">
        <v>416</v>
      </c>
      <c r="BK199" s="168" t="s">
        <v>416</v>
      </c>
      <c r="BL199" s="168" t="s">
        <v>416</v>
      </c>
      <c r="BM199" s="168" t="s">
        <v>416</v>
      </c>
      <c r="BN199" s="168" t="s">
        <v>416</v>
      </c>
      <c r="BO199" s="168" t="s">
        <v>416</v>
      </c>
      <c r="BP199" s="168" t="s">
        <v>416</v>
      </c>
      <c r="BQ199" s="168" t="s">
        <v>416</v>
      </c>
      <c r="BR199" s="168" t="s">
        <v>416</v>
      </c>
      <c r="BS199" s="168" t="s">
        <v>416</v>
      </c>
      <c r="BT199" s="168" t="s">
        <v>416</v>
      </c>
      <c r="BU199" s="168" t="s">
        <v>416</v>
      </c>
      <c r="BV199" s="168" t="s">
        <v>416</v>
      </c>
      <c r="BW199" s="168" t="s">
        <v>416</v>
      </c>
      <c r="BX199" s="168" t="s">
        <v>416</v>
      </c>
      <c r="BY199" s="168" t="s">
        <v>416</v>
      </c>
      <c r="BZ199" s="168" t="s">
        <v>416</v>
      </c>
      <c r="CA199" s="168" t="s">
        <v>416</v>
      </c>
      <c r="CB199" s="168" t="s">
        <v>416</v>
      </c>
      <c r="CC199" s="168" t="s">
        <v>416</v>
      </c>
      <c r="CD199" s="168" t="s">
        <v>416</v>
      </c>
      <c r="CE199" s="168" t="s">
        <v>416</v>
      </c>
      <c r="CF199" s="168" t="s">
        <v>416</v>
      </c>
      <c r="CG199" s="168" t="s">
        <v>416</v>
      </c>
      <c r="CH199" s="168" t="s">
        <v>416</v>
      </c>
      <c r="CI199" s="168" t="s">
        <v>416</v>
      </c>
      <c r="CJ199" s="168" t="s">
        <v>416</v>
      </c>
      <c r="CK199" s="168" t="s">
        <v>416</v>
      </c>
      <c r="CL199" s="168" t="s">
        <v>416</v>
      </c>
      <c r="CM199" s="168" t="s">
        <v>416</v>
      </c>
      <c r="CN199" s="168" t="s">
        <v>416</v>
      </c>
      <c r="CO199" s="168" t="s">
        <v>416</v>
      </c>
    </row>
    <row r="200" spans="1:93" x14ac:dyDescent="0.2">
      <c r="A200" s="118">
        <f t="shared" si="16"/>
        <v>24</v>
      </c>
      <c r="B200" s="243" t="s">
        <v>559</v>
      </c>
      <c r="C200" s="223"/>
      <c r="D200" s="172">
        <f>SUMIF($AH$6:$CP$6,1,$AH200:$CP200)</f>
        <v>3150671.7437989893</v>
      </c>
      <c r="E200" s="225" t="s">
        <v>596</v>
      </c>
      <c r="F200" s="173">
        <f>'Exhibit MJC-3 - E-13c cal yr'!F202</f>
        <v>2.64</v>
      </c>
      <c r="G200" s="233" t="s">
        <v>375</v>
      </c>
      <c r="H200" s="174">
        <f>ROUND(D200*F200,2)</f>
        <v>8317773.4000000004</v>
      </c>
      <c r="I200" s="229"/>
      <c r="J200" s="172">
        <f>SUMIF($AH$6:$CP$6,1,$AH200:$CP200)</f>
        <v>3150671.7437989893</v>
      </c>
      <c r="K200" s="225" t="s">
        <v>596</v>
      </c>
      <c r="L200" s="183">
        <f>L195</f>
        <v>2.71</v>
      </c>
      <c r="M200" s="233" t="s">
        <v>375</v>
      </c>
      <c r="N200" s="174">
        <f>ROUND(J200*L200,2)</f>
        <v>8538320.4299999997</v>
      </c>
      <c r="O200" s="227"/>
      <c r="S200" s="263"/>
      <c r="T200" s="247"/>
      <c r="U200" s="184" t="s">
        <v>592</v>
      </c>
      <c r="V200" s="179">
        <v>245</v>
      </c>
      <c r="W200" s="180">
        <v>219</v>
      </c>
      <c r="X200" s="245"/>
      <c r="Y200" s="184"/>
      <c r="Z200" s="181"/>
      <c r="AA200" s="245"/>
      <c r="AB200" s="182">
        <f>SUM(AH200:AS200)</f>
        <v>3104900.8801517384</v>
      </c>
      <c r="AC200" s="182">
        <f>SUM(AT200:BE200)</f>
        <v>3121172.2846829356</v>
      </c>
      <c r="AD200" s="182">
        <f>SUM(BF200:BQ200)</f>
        <v>3135056.2938492801</v>
      </c>
      <c r="AE200" s="182">
        <f>SUM(BR200:CC200)</f>
        <v>3150671.7437989893</v>
      </c>
      <c r="AF200" s="182">
        <f>SUM(CD200:CO200)</f>
        <v>3169621.8822275638</v>
      </c>
      <c r="AH200" s="168">
        <v>207644.98354020825</v>
      </c>
      <c r="AI200" s="168">
        <v>383028.07047386223</v>
      </c>
      <c r="AJ200" s="168">
        <v>556324.9828608915</v>
      </c>
      <c r="AK200" s="168">
        <v>224463.60804475832</v>
      </c>
      <c r="AL200" s="168">
        <v>173132.51192454118</v>
      </c>
      <c r="AM200" s="168">
        <v>196051.0194941636</v>
      </c>
      <c r="AN200" s="168">
        <v>278674.79259007057</v>
      </c>
      <c r="AO200" s="168">
        <v>198014.54055030469</v>
      </c>
      <c r="AP200" s="168">
        <v>224864.23569309074</v>
      </c>
      <c r="AQ200" s="168">
        <v>205223.10563979595</v>
      </c>
      <c r="AR200" s="168">
        <v>191734.87577689291</v>
      </c>
      <c r="AS200" s="168">
        <v>265744.15356315853</v>
      </c>
      <c r="AT200" s="168">
        <v>206053.71387678204</v>
      </c>
      <c r="AU200" s="168">
        <v>381624.00795561116</v>
      </c>
      <c r="AV200" s="168">
        <v>544929.98135594907</v>
      </c>
      <c r="AW200" s="168">
        <v>226185.33074081322</v>
      </c>
      <c r="AX200" s="168">
        <v>172593.48094199036</v>
      </c>
      <c r="AY200" s="168">
        <v>192474.4326212694</v>
      </c>
      <c r="AZ200" s="168">
        <v>289311.98577064427</v>
      </c>
      <c r="BA200" s="168">
        <v>200926.71038668414</v>
      </c>
      <c r="BB200" s="168">
        <v>230101.8840489586</v>
      </c>
      <c r="BC200" s="168">
        <v>211835.42327792922</v>
      </c>
      <c r="BD200" s="168">
        <v>197502.22572925672</v>
      </c>
      <c r="BE200" s="168">
        <v>267633.10797704681</v>
      </c>
      <c r="BF200" s="168">
        <v>203479.54768881496</v>
      </c>
      <c r="BG200" s="168">
        <v>385129.78474281303</v>
      </c>
      <c r="BH200" s="168">
        <v>551518.02602536534</v>
      </c>
      <c r="BI200" s="168">
        <v>223564.11220911902</v>
      </c>
      <c r="BJ200" s="168">
        <v>173084.7602500105</v>
      </c>
      <c r="BK200" s="168">
        <v>195737.77768809651</v>
      </c>
      <c r="BL200" s="168">
        <v>291019.66788199975</v>
      </c>
      <c r="BM200" s="168">
        <v>202676.53424241353</v>
      </c>
      <c r="BN200" s="168">
        <v>230510.06732364767</v>
      </c>
      <c r="BO200" s="168">
        <v>209187.41708069874</v>
      </c>
      <c r="BP200" s="168">
        <v>196318.79208018151</v>
      </c>
      <c r="BQ200" s="168">
        <v>272829.80663611903</v>
      </c>
      <c r="BR200" s="168">
        <v>203507.46062913901</v>
      </c>
      <c r="BS200" s="168">
        <v>380732.00468155212</v>
      </c>
      <c r="BT200" s="168">
        <v>558557.440563777</v>
      </c>
      <c r="BU200" s="168">
        <v>227588.55415502196</v>
      </c>
      <c r="BV200" s="168">
        <v>169378.70478171672</v>
      </c>
      <c r="BW200" s="168">
        <v>199502.01139316233</v>
      </c>
      <c r="BX200" s="168">
        <v>296459.23616613791</v>
      </c>
      <c r="BY200" s="168">
        <v>204682.52005630647</v>
      </c>
      <c r="BZ200" s="168">
        <v>231666.76451837455</v>
      </c>
      <c r="CA200" s="168">
        <v>211635.16554721622</v>
      </c>
      <c r="CB200" s="168">
        <v>197430.90687886009</v>
      </c>
      <c r="CC200" s="168">
        <v>269530.97442772461</v>
      </c>
      <c r="CD200" s="168">
        <v>205595.55090068333</v>
      </c>
      <c r="CE200" s="168">
        <v>378752.92226910708</v>
      </c>
      <c r="CF200" s="168">
        <v>548745.80461251293</v>
      </c>
      <c r="CG200" s="168">
        <v>233375.45369181549</v>
      </c>
      <c r="CH200" s="168">
        <v>174771.17665531501</v>
      </c>
      <c r="CI200" s="168">
        <v>198193.14854170909</v>
      </c>
      <c r="CJ200" s="168">
        <v>298441.08421410719</v>
      </c>
      <c r="CK200" s="168">
        <v>206867.9579301246</v>
      </c>
      <c r="CL200" s="168">
        <v>238808.67221226924</v>
      </c>
      <c r="CM200" s="168">
        <v>213937.52698327837</v>
      </c>
      <c r="CN200" s="168">
        <v>201335.13447656177</v>
      </c>
      <c r="CO200" s="168">
        <v>270797.44974007952</v>
      </c>
    </row>
    <row r="201" spans="1:93" x14ac:dyDescent="0.2">
      <c r="A201" s="118">
        <f t="shared" si="16"/>
        <v>25</v>
      </c>
      <c r="B201" s="243" t="s">
        <v>599</v>
      </c>
      <c r="C201" s="223"/>
      <c r="D201" s="172">
        <f>SUMIF($AH$6:$CP$6,1,$AH201:$CP201)</f>
        <v>3370903.6067370013</v>
      </c>
      <c r="E201" s="225" t="s">
        <v>596</v>
      </c>
      <c r="F201" s="173">
        <f>'Exhibit MJC-3 - E-13c cal yr'!F203</f>
        <v>4.72</v>
      </c>
      <c r="G201" s="233"/>
      <c r="H201" s="174">
        <f>ROUND(D201*F201,2)</f>
        <v>15910665.02</v>
      </c>
      <c r="I201" s="229"/>
      <c r="J201" s="172">
        <f>SUMIF($AH$6:$CP$6,1,$AH201:$CP201)</f>
        <v>3370903.6067370013</v>
      </c>
      <c r="K201" s="225" t="s">
        <v>596</v>
      </c>
      <c r="L201" s="183">
        <f>L196</f>
        <v>4.8499999999999996</v>
      </c>
      <c r="M201" s="233" t="s">
        <v>375</v>
      </c>
      <c r="N201" s="174">
        <f>ROUND(J201*L201,2)</f>
        <v>16348882.49</v>
      </c>
      <c r="O201" s="227"/>
      <c r="R201" s="292"/>
      <c r="S201" s="263"/>
      <c r="T201" s="197"/>
      <c r="U201" s="184" t="s">
        <v>592</v>
      </c>
      <c r="V201" s="179">
        <v>245</v>
      </c>
      <c r="W201" s="180">
        <v>219</v>
      </c>
      <c r="X201" s="245"/>
      <c r="Y201" s="184"/>
      <c r="Z201" s="181"/>
      <c r="AA201" s="245"/>
      <c r="AB201" s="182"/>
      <c r="AC201" s="182"/>
      <c r="AD201" s="182"/>
      <c r="AE201" s="182"/>
      <c r="AF201" s="182"/>
      <c r="AH201" s="168">
        <v>93889.823327817561</v>
      </c>
      <c r="AI201" s="168">
        <v>232226.99555137623</v>
      </c>
      <c r="AJ201" s="168">
        <v>399641.80351284792</v>
      </c>
      <c r="AK201" s="168">
        <v>282326.93274535018</v>
      </c>
      <c r="AL201" s="168">
        <v>226594.96833318146</v>
      </c>
      <c r="AM201" s="168">
        <v>284212.78798628523</v>
      </c>
      <c r="AN201" s="168">
        <v>375149.46667315566</v>
      </c>
      <c r="AO201" s="168">
        <v>286425.88923385937</v>
      </c>
      <c r="AP201" s="168">
        <v>325615.24391300074</v>
      </c>
      <c r="AQ201" s="168">
        <v>295670.27349796036</v>
      </c>
      <c r="AR201" s="168">
        <v>266083.49479008908</v>
      </c>
      <c r="AS201" s="168">
        <v>254095.68149172328</v>
      </c>
      <c r="AT201" s="168">
        <v>92377.484888941544</v>
      </c>
      <c r="AU201" s="168">
        <v>230324.80126686525</v>
      </c>
      <c r="AV201" s="168">
        <v>389825.6375195398</v>
      </c>
      <c r="AW201" s="168">
        <v>283245.54512881517</v>
      </c>
      <c r="AX201" s="168">
        <v>224944.79497130113</v>
      </c>
      <c r="AY201" s="168">
        <v>277858.82214830251</v>
      </c>
      <c r="AZ201" s="168">
        <v>387843.45446891111</v>
      </c>
      <c r="BA201" s="168">
        <v>289423.68852375826</v>
      </c>
      <c r="BB201" s="168">
        <v>331805.0632540661</v>
      </c>
      <c r="BC201" s="168">
        <v>303919.36053101934</v>
      </c>
      <c r="BD201" s="168">
        <v>272940.4249894449</v>
      </c>
      <c r="BE201" s="168">
        <v>254833.05859872326</v>
      </c>
      <c r="BF201" s="168">
        <v>90807.33656256691</v>
      </c>
      <c r="BG201" s="168">
        <v>232533.76370471669</v>
      </c>
      <c r="BH201" s="168">
        <v>394883.55521184375</v>
      </c>
      <c r="BI201" s="168">
        <v>280131.15514677844</v>
      </c>
      <c r="BJ201" s="168">
        <v>225777.54474968914</v>
      </c>
      <c r="BK201" s="168">
        <v>282808.21723049326</v>
      </c>
      <c r="BL201" s="168">
        <v>390469.46035331493</v>
      </c>
      <c r="BM201" s="168">
        <v>292194.36127582419</v>
      </c>
      <c r="BN201" s="168">
        <v>332675.86064877722</v>
      </c>
      <c r="BO201" s="168">
        <v>300374.97540634818</v>
      </c>
      <c r="BP201" s="168">
        <v>271535.73768637434</v>
      </c>
      <c r="BQ201" s="168">
        <v>260004.6693148232</v>
      </c>
      <c r="BR201" s="168">
        <v>90492.975002285486</v>
      </c>
      <c r="BS201" s="168">
        <v>229507.02748900902</v>
      </c>
      <c r="BT201" s="168">
        <v>399353.44659638335</v>
      </c>
      <c r="BU201" s="168">
        <v>284735.91204516531</v>
      </c>
      <c r="BV201" s="168">
        <v>220626.28562288644</v>
      </c>
      <c r="BW201" s="168">
        <v>287832.29727123119</v>
      </c>
      <c r="BX201" s="168">
        <v>397198.85562322132</v>
      </c>
      <c r="BY201" s="168">
        <v>294663.46581423236</v>
      </c>
      <c r="BZ201" s="168">
        <v>333865.03149126226</v>
      </c>
      <c r="CA201" s="168">
        <v>303453.23565739166</v>
      </c>
      <c r="CB201" s="168">
        <v>272681.92596130399</v>
      </c>
      <c r="CC201" s="168">
        <v>256493.14816262887</v>
      </c>
      <c r="CD201" s="168">
        <v>91235.68389188539</v>
      </c>
      <c r="CE201" s="168">
        <v>227601.21475432819</v>
      </c>
      <c r="CF201" s="168">
        <v>391072.59582504036</v>
      </c>
      <c r="CG201" s="168">
        <v>291051.49827762146</v>
      </c>
      <c r="CH201" s="168">
        <v>226916.9209599547</v>
      </c>
      <c r="CI201" s="168">
        <v>285023.33614618034</v>
      </c>
      <c r="CJ201" s="168">
        <v>398565.11235814355</v>
      </c>
      <c r="CK201" s="168">
        <v>296849.98814245133</v>
      </c>
      <c r="CL201" s="168">
        <v>343049.12618885463</v>
      </c>
      <c r="CM201" s="168">
        <v>305766.54581370496</v>
      </c>
      <c r="CN201" s="168">
        <v>277178.57031448896</v>
      </c>
      <c r="CO201" s="168">
        <v>256867.76661601212</v>
      </c>
    </row>
    <row r="202" spans="1:93" x14ac:dyDescent="0.2">
      <c r="A202" s="118">
        <f t="shared" si="16"/>
        <v>26</v>
      </c>
      <c r="B202" s="243" t="s">
        <v>145</v>
      </c>
      <c r="C202" s="223"/>
      <c r="D202" s="172">
        <f>SUMIF($AH$6:$CP$6,1,$AH202:$CP202)</f>
        <v>4139436.2154810955</v>
      </c>
      <c r="E202" s="225" t="s">
        <v>596</v>
      </c>
      <c r="F202" s="173">
        <f>'Exhibit MJC-3 - E-13c cal yr'!F204</f>
        <v>3.2</v>
      </c>
      <c r="G202" s="233" t="s">
        <v>375</v>
      </c>
      <c r="H202" s="174">
        <f>ROUND(D202*F202,2)</f>
        <v>13246195.890000001</v>
      </c>
      <c r="I202" s="229"/>
      <c r="J202" s="172">
        <f>SUMIF($AH$6:$CP$6,1,$AH202:$CP202)</f>
        <v>4139436.2154810955</v>
      </c>
      <c r="K202" s="225" t="s">
        <v>596</v>
      </c>
      <c r="L202" s="183">
        <f>L197</f>
        <v>3.29</v>
      </c>
      <c r="M202" s="233" t="s">
        <v>375</v>
      </c>
      <c r="N202" s="174">
        <f>ROUND(J202*L202,2)</f>
        <v>13618745.15</v>
      </c>
      <c r="O202" s="227"/>
      <c r="R202" s="292"/>
      <c r="S202" s="263"/>
      <c r="T202" s="197"/>
      <c r="U202" s="184" t="s">
        <v>592</v>
      </c>
      <c r="V202" s="179">
        <v>245</v>
      </c>
      <c r="W202" s="180">
        <v>219</v>
      </c>
      <c r="X202" s="245"/>
      <c r="Y202" s="184"/>
      <c r="Z202" s="181"/>
      <c r="AA202" s="245"/>
      <c r="AB202" s="182">
        <f>SUM(AH202:AS202)</f>
        <v>4079301.2391960626</v>
      </c>
      <c r="AC202" s="182">
        <f>SUM(AT202:BE202)</f>
        <v>4100679.0426202836</v>
      </c>
      <c r="AD202" s="182">
        <f>SUM(BF202:BQ202)</f>
        <v>4118920.2226074883</v>
      </c>
      <c r="AE202" s="182">
        <f>SUM(BR202:CC202)</f>
        <v>4139436.2154810955</v>
      </c>
      <c r="AF202" s="182">
        <f>SUM(CD202:CO202)</f>
        <v>4164333.4106440037</v>
      </c>
      <c r="AH202" s="168">
        <v>178213.57804333823</v>
      </c>
      <c r="AI202" s="168">
        <v>290714.68174440472</v>
      </c>
      <c r="AJ202" s="168">
        <v>480980.69790856878</v>
      </c>
      <c r="AK202" s="168">
        <v>343171.57081624388</v>
      </c>
      <c r="AL202" s="168">
        <v>272725.32343463431</v>
      </c>
      <c r="AM202" s="168">
        <v>342389.0431233517</v>
      </c>
      <c r="AN202" s="168">
        <v>451593.89439434418</v>
      </c>
      <c r="AO202" s="168">
        <v>344919.60440006264</v>
      </c>
      <c r="AP202" s="168">
        <v>392125.40516237204</v>
      </c>
      <c r="AQ202" s="168">
        <v>356056.78406674683</v>
      </c>
      <c r="AR202" s="168">
        <v>320428.58387054247</v>
      </c>
      <c r="AS202" s="168">
        <v>305982.07223145262</v>
      </c>
      <c r="AT202" s="168">
        <v>176583.21004222953</v>
      </c>
      <c r="AU202" s="168">
        <v>288548.21036262839</v>
      </c>
      <c r="AV202" s="168">
        <v>469166.02709760953</v>
      </c>
      <c r="AW202" s="168">
        <v>344353.30624106515</v>
      </c>
      <c r="AX202" s="168">
        <v>270739.06825831765</v>
      </c>
      <c r="AY202" s="168">
        <v>334740.26910616743</v>
      </c>
      <c r="AZ202" s="168">
        <v>466875.72883038135</v>
      </c>
      <c r="BA202" s="168">
        <v>348533.0077818748</v>
      </c>
      <c r="BB202" s="168">
        <v>399583.70987770689</v>
      </c>
      <c r="BC202" s="168">
        <v>365994.29463099351</v>
      </c>
      <c r="BD202" s="168">
        <v>328689.29330533836</v>
      </c>
      <c r="BE202" s="168">
        <v>306872.91708597075</v>
      </c>
      <c r="BF202" s="168">
        <v>174697.71857998995</v>
      </c>
      <c r="BG202" s="168">
        <v>291514.07082960312</v>
      </c>
      <c r="BH202" s="168">
        <v>475252.79213325825</v>
      </c>
      <c r="BI202" s="168">
        <v>340625.99287828873</v>
      </c>
      <c r="BJ202" s="168">
        <v>271741.22211406799</v>
      </c>
      <c r="BK202" s="168">
        <v>340708.27703833312</v>
      </c>
      <c r="BL202" s="168">
        <v>470037.9377582561</v>
      </c>
      <c r="BM202" s="168">
        <v>351872.67573072418</v>
      </c>
      <c r="BN202" s="168">
        <v>400636.19857123843</v>
      </c>
      <c r="BO202" s="168">
        <v>361729.28959223384</v>
      </c>
      <c r="BP202" s="168">
        <v>327000.71303205355</v>
      </c>
      <c r="BQ202" s="168">
        <v>313103.33434944082</v>
      </c>
      <c r="BR202" s="168">
        <v>174668.08827808843</v>
      </c>
      <c r="BS202" s="168">
        <v>287820.95395641954</v>
      </c>
      <c r="BT202" s="168">
        <v>480632.12115965399</v>
      </c>
      <c r="BU202" s="168">
        <v>346256.16077664751</v>
      </c>
      <c r="BV202" s="168">
        <v>265541.2080128052</v>
      </c>
      <c r="BW202" s="168">
        <v>346763.79510311142</v>
      </c>
      <c r="BX202" s="168">
        <v>478139.19990035769</v>
      </c>
      <c r="BY202" s="168">
        <v>354847.71122127026</v>
      </c>
      <c r="BZ202" s="168">
        <v>402070.27619210415</v>
      </c>
      <c r="CA202" s="168">
        <v>365438.04388593335</v>
      </c>
      <c r="CB202" s="168">
        <v>328382.5940355662</v>
      </c>
      <c r="CC202" s="168">
        <v>308876.06295913813</v>
      </c>
      <c r="CD202" s="168">
        <v>176071.45514073817</v>
      </c>
      <c r="CE202" s="168">
        <v>285425.67285114055</v>
      </c>
      <c r="CF202" s="168">
        <v>470665.92022409826</v>
      </c>
      <c r="CG202" s="168">
        <v>353934.64669046539</v>
      </c>
      <c r="CH202" s="168">
        <v>273112.48929212074</v>
      </c>
      <c r="CI202" s="168">
        <v>343379.57359796949</v>
      </c>
      <c r="CJ202" s="168">
        <v>479783.83951950597</v>
      </c>
      <c r="CK202" s="168">
        <v>357480.7391834695</v>
      </c>
      <c r="CL202" s="168">
        <v>413130.48256751365</v>
      </c>
      <c r="CM202" s="168">
        <v>368223.79097408912</v>
      </c>
      <c r="CN202" s="168">
        <v>333797.68380454282</v>
      </c>
      <c r="CO202" s="168">
        <v>309327.1167983496</v>
      </c>
    </row>
    <row r="203" spans="1:93" x14ac:dyDescent="0.2">
      <c r="A203" s="118">
        <f t="shared" si="16"/>
        <v>27</v>
      </c>
      <c r="B203" s="243" t="s">
        <v>601</v>
      </c>
      <c r="C203" s="223"/>
      <c r="D203" s="172">
        <f>D201</f>
        <v>3370903.6067370013</v>
      </c>
      <c r="E203" s="225" t="s">
        <v>596</v>
      </c>
      <c r="F203" s="173">
        <f>'Exhibit MJC-3 - E-13c cal yr'!F205</f>
        <v>-1.3</v>
      </c>
      <c r="G203" s="233" t="s">
        <v>375</v>
      </c>
      <c r="H203" s="174">
        <f>ROUND(D203*F203,2)</f>
        <v>-4382174.6900000004</v>
      </c>
      <c r="I203" s="229"/>
      <c r="J203" s="172">
        <f>J201</f>
        <v>3370903.6067370013</v>
      </c>
      <c r="K203" s="225" t="s">
        <v>596</v>
      </c>
      <c r="L203" s="173">
        <f>ROUND(-DVC!G29,2)</f>
        <v>-1.34</v>
      </c>
      <c r="M203" s="233" t="s">
        <v>375</v>
      </c>
      <c r="N203" s="174">
        <f>ROUND(J203*L203,2)</f>
        <v>-4517010.83</v>
      </c>
      <c r="O203" s="227"/>
      <c r="R203" s="288"/>
      <c r="S203" s="263"/>
      <c r="T203" s="927"/>
      <c r="U203" s="184" t="s">
        <v>592</v>
      </c>
      <c r="V203" s="179">
        <v>245</v>
      </c>
      <c r="W203" s="180">
        <v>219</v>
      </c>
      <c r="X203" s="245"/>
      <c r="Y203" s="184"/>
      <c r="Z203" s="181"/>
      <c r="AA203" s="245"/>
      <c r="AB203" s="182"/>
      <c r="AC203" s="182"/>
      <c r="AD203" s="182"/>
      <c r="AE203" s="182"/>
      <c r="AF203" s="182"/>
      <c r="AH203" s="168"/>
      <c r="AI203" s="168"/>
      <c r="AJ203" s="168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  <c r="AU203" s="168"/>
      <c r="AV203" s="168"/>
      <c r="AW203" s="168"/>
      <c r="AX203" s="168"/>
      <c r="AY203" s="168"/>
      <c r="AZ203" s="168"/>
      <c r="BA203" s="168"/>
      <c r="BB203" s="168"/>
      <c r="BC203" s="168"/>
      <c r="BD203" s="168"/>
      <c r="BE203" s="168"/>
      <c r="BF203" s="168"/>
      <c r="BG203" s="168"/>
      <c r="BH203" s="168"/>
      <c r="BI203" s="168"/>
      <c r="BJ203" s="168"/>
      <c r="BK203" s="168"/>
      <c r="BL203" s="168"/>
      <c r="BM203" s="168"/>
      <c r="BN203" s="168"/>
      <c r="BO203" s="168"/>
      <c r="BP203" s="168"/>
      <c r="BQ203" s="168"/>
      <c r="BR203" s="168"/>
      <c r="BS203" s="168"/>
      <c r="BT203" s="168"/>
      <c r="BU203" s="168"/>
      <c r="BV203" s="168"/>
      <c r="BW203" s="168"/>
      <c r="BX203" s="168"/>
      <c r="BY203" s="168"/>
      <c r="BZ203" s="168"/>
      <c r="CA203" s="168"/>
      <c r="CB203" s="168"/>
      <c r="CC203" s="168"/>
      <c r="CD203" s="168"/>
      <c r="CE203" s="168"/>
      <c r="CF203" s="168"/>
      <c r="CG203" s="168"/>
      <c r="CH203" s="168"/>
      <c r="CI203" s="168"/>
      <c r="CJ203" s="168"/>
      <c r="CK203" s="168"/>
      <c r="CL203" s="168"/>
      <c r="CM203" s="168"/>
      <c r="CN203" s="168"/>
      <c r="CO203" s="168"/>
    </row>
    <row r="204" spans="1:93" x14ac:dyDescent="0.2">
      <c r="A204" s="118">
        <f t="shared" si="16"/>
        <v>28</v>
      </c>
      <c r="B204" s="234" t="s">
        <v>216</v>
      </c>
      <c r="C204" s="223"/>
      <c r="D204" s="168"/>
      <c r="E204" s="225"/>
      <c r="F204" s="183"/>
      <c r="G204" s="233"/>
      <c r="H204" s="174"/>
      <c r="I204" s="229"/>
      <c r="J204" s="168"/>
      <c r="K204" s="225"/>
      <c r="L204" s="183"/>
      <c r="M204" s="233"/>
      <c r="N204" s="174"/>
      <c r="O204" s="227"/>
      <c r="R204" s="293"/>
      <c r="S204" s="263"/>
      <c r="T204" s="247"/>
      <c r="U204" s="184"/>
      <c r="V204" s="179"/>
      <c r="W204" s="180"/>
      <c r="X204" s="245"/>
      <c r="Y204" s="184"/>
      <c r="Z204" s="181"/>
      <c r="AA204" s="245"/>
    </row>
    <row r="205" spans="1:93" x14ac:dyDescent="0.2">
      <c r="A205" s="118">
        <f t="shared" si="16"/>
        <v>29</v>
      </c>
      <c r="B205" s="243" t="s">
        <v>559</v>
      </c>
      <c r="C205" s="223"/>
      <c r="D205" s="172">
        <f>SUMIF($AH$6:$CP$6,1,$AH205:$CP205)</f>
        <v>834623.55341443862</v>
      </c>
      <c r="E205" s="225" t="s">
        <v>596</v>
      </c>
      <c r="F205" s="173">
        <f>'Exhibit MJC-3 - E-13c cal yr'!F207</f>
        <v>2.64</v>
      </c>
      <c r="G205" s="233" t="s">
        <v>375</v>
      </c>
      <c r="H205" s="174">
        <f>ROUND(D205*F205,2)</f>
        <v>2203406.1800000002</v>
      </c>
      <c r="I205" s="229"/>
      <c r="J205" s="172">
        <f>SUMIF($AH$6:$CP$6,1,$AH205:$CP205)</f>
        <v>834623.55341443862</v>
      </c>
      <c r="K205" s="225" t="s">
        <v>596</v>
      </c>
      <c r="L205" s="183">
        <f>L195</f>
        <v>2.71</v>
      </c>
      <c r="M205" s="233" t="s">
        <v>375</v>
      </c>
      <c r="N205" s="174">
        <f>ROUND(J205*L205,2)</f>
        <v>2261829.83</v>
      </c>
      <c r="O205" s="227"/>
      <c r="S205" s="263"/>
      <c r="T205" s="197"/>
      <c r="U205" s="184" t="s">
        <v>592</v>
      </c>
      <c r="V205" s="179">
        <v>245</v>
      </c>
      <c r="W205" s="180">
        <v>219</v>
      </c>
      <c r="X205" s="245"/>
      <c r="Y205" s="184"/>
      <c r="Z205" s="181"/>
      <c r="AA205" s="245"/>
      <c r="AB205" s="182">
        <f>SUM(AH205:AS205)</f>
        <v>822498.69752130983</v>
      </c>
      <c r="AC205" s="182">
        <f>SUM(AT205:BE205)</f>
        <v>826809.04736832238</v>
      </c>
      <c r="AD205" s="182">
        <f>SUM(BF205:BQ205)</f>
        <v>830486.96814469644</v>
      </c>
      <c r="AE205" s="182">
        <f>SUM(BR205:CC205)</f>
        <v>834623.55341443862</v>
      </c>
      <c r="AF205" s="182">
        <f>SUM(CD205:CO205)</f>
        <v>839643.50889030844</v>
      </c>
      <c r="AH205" s="168">
        <v>0</v>
      </c>
      <c r="AI205" s="168">
        <v>0</v>
      </c>
      <c r="AJ205" s="168">
        <v>249785.38660222309</v>
      </c>
      <c r="AK205" s="168">
        <v>64760.021055618548</v>
      </c>
      <c r="AL205" s="168">
        <v>54635.042240392075</v>
      </c>
      <c r="AM205" s="168">
        <v>62749.391565444566</v>
      </c>
      <c r="AN205" s="168">
        <v>65502.34892473495</v>
      </c>
      <c r="AO205" s="168">
        <v>60508.292979346508</v>
      </c>
      <c r="AP205" s="168">
        <v>68685.628274439034</v>
      </c>
      <c r="AQ205" s="168">
        <v>68375.170533753917</v>
      </c>
      <c r="AR205" s="168">
        <v>66690.191132925203</v>
      </c>
      <c r="AS205" s="168">
        <v>60807.224212431916</v>
      </c>
      <c r="AT205" s="168">
        <v>0</v>
      </c>
      <c r="AU205" s="168">
        <v>0</v>
      </c>
      <c r="AV205" s="168">
        <v>244857.75204009391</v>
      </c>
      <c r="AW205" s="168">
        <v>65292.771402282247</v>
      </c>
      <c r="AX205" s="168">
        <v>54506.00017384973</v>
      </c>
      <c r="AY205" s="168">
        <v>61650.618540910364</v>
      </c>
      <c r="AZ205" s="168">
        <v>68054.422140791052</v>
      </c>
      <c r="BA205" s="168">
        <v>61444.646298482221</v>
      </c>
      <c r="BB205" s="168">
        <v>70338.240310576104</v>
      </c>
      <c r="BC205" s="168">
        <v>70631.181291433444</v>
      </c>
      <c r="BD205" s="168">
        <v>68747.573954144915</v>
      </c>
      <c r="BE205" s="168">
        <v>61285.841215758381</v>
      </c>
      <c r="BF205" s="168">
        <v>0</v>
      </c>
      <c r="BG205" s="168">
        <v>0</v>
      </c>
      <c r="BH205" s="168">
        <v>247622.97601794041</v>
      </c>
      <c r="BI205" s="168">
        <v>64467.652687679125</v>
      </c>
      <c r="BJ205" s="168">
        <v>54616.962234074039</v>
      </c>
      <c r="BK205" s="168">
        <v>62644.60892791822</v>
      </c>
      <c r="BL205" s="168">
        <v>68401.462419333489</v>
      </c>
      <c r="BM205" s="168">
        <v>61929.879609397671</v>
      </c>
      <c r="BN205" s="168">
        <v>70405.763060310928</v>
      </c>
      <c r="BO205" s="168">
        <v>69691.575362206437</v>
      </c>
      <c r="BP205" s="168">
        <v>68280.284671858593</v>
      </c>
      <c r="BQ205" s="168">
        <v>62425.803153977489</v>
      </c>
      <c r="BR205" s="168">
        <v>0</v>
      </c>
      <c r="BS205" s="168">
        <v>0</v>
      </c>
      <c r="BT205" s="168">
        <v>249915.05667464939</v>
      </c>
      <c r="BU205" s="168">
        <v>65393.681125261588</v>
      </c>
      <c r="BV205" s="168">
        <v>53261.959867566664</v>
      </c>
      <c r="BW205" s="168">
        <v>63627.417498544732</v>
      </c>
      <c r="BX205" s="168">
        <v>69438.350811787357</v>
      </c>
      <c r="BY205" s="168">
        <v>62325.789992033104</v>
      </c>
      <c r="BZ205" s="168">
        <v>70513.285229887551</v>
      </c>
      <c r="CA205" s="168">
        <v>70262.144414987677</v>
      </c>
      <c r="CB205" s="168">
        <v>68428.745224826052</v>
      </c>
      <c r="CC205" s="168">
        <v>61457.122574894536</v>
      </c>
      <c r="CD205" s="168">
        <v>0</v>
      </c>
      <c r="CE205" s="168">
        <v>0</v>
      </c>
      <c r="CF205" s="168">
        <v>245745.37555022811</v>
      </c>
      <c r="CG205" s="168">
        <v>67120.682503587741</v>
      </c>
      <c r="CH205" s="168">
        <v>55007.227563363587</v>
      </c>
      <c r="CI205" s="168">
        <v>63267.136219249231</v>
      </c>
      <c r="CJ205" s="168">
        <v>69965.456944547317</v>
      </c>
      <c r="CK205" s="168">
        <v>63048.029851247469</v>
      </c>
      <c r="CL205" s="168">
        <v>72752.733800624454</v>
      </c>
      <c r="CM205" s="168">
        <v>71090.665504017074</v>
      </c>
      <c r="CN205" s="168">
        <v>69844.762558219867</v>
      </c>
      <c r="CO205" s="168">
        <v>61801.438395223631</v>
      </c>
    </row>
    <row r="206" spans="1:93" x14ac:dyDescent="0.2">
      <c r="A206" s="118">
        <f t="shared" si="16"/>
        <v>30</v>
      </c>
      <c r="B206" s="243" t="s">
        <v>599</v>
      </c>
      <c r="C206" s="223"/>
      <c r="D206" s="172">
        <f>SUMIF($AH$6:$CP$6,1,$AH206:$CP206)</f>
        <v>894292.77862042398</v>
      </c>
      <c r="E206" s="225" t="s">
        <v>596</v>
      </c>
      <c r="F206" s="173">
        <f>'Exhibit MJC-3 - E-13c cal yr'!F208</f>
        <v>4.72</v>
      </c>
      <c r="G206" s="233"/>
      <c r="H206" s="174">
        <f>ROUND(D206*F206,2)</f>
        <v>4221061.92</v>
      </c>
      <c r="I206" s="229"/>
      <c r="J206" s="172">
        <f>SUMIF($AH$6:$CP$6,1,$AH206:$CP206)</f>
        <v>894292.77862042398</v>
      </c>
      <c r="K206" s="225" t="s">
        <v>596</v>
      </c>
      <c r="L206" s="183">
        <f>L196</f>
        <v>4.8499999999999996</v>
      </c>
      <c r="M206" s="233" t="s">
        <v>375</v>
      </c>
      <c r="N206" s="174">
        <f>ROUND(J206*L206,2)</f>
        <v>4337319.9800000004</v>
      </c>
      <c r="O206" s="227"/>
      <c r="S206" s="263"/>
      <c r="T206" s="197"/>
      <c r="U206" s="184" t="s">
        <v>592</v>
      </c>
      <c r="V206" s="179">
        <v>245</v>
      </c>
      <c r="W206" s="180">
        <v>219</v>
      </c>
      <c r="X206" s="245"/>
      <c r="Y206" s="184"/>
      <c r="Z206" s="181"/>
      <c r="AA206" s="245"/>
      <c r="AB206" s="182">
        <f>SUM(AH206:AS206)</f>
        <v>881301.087908271</v>
      </c>
      <c r="AC206" s="182">
        <f>SUM(AT206:BE206)</f>
        <v>885919.59492948011</v>
      </c>
      <c r="AD206" s="182">
        <f>SUM(BF206:BQ206)</f>
        <v>889860.45901987585</v>
      </c>
      <c r="AE206" s="182">
        <f>SUM(BR206:CC206)</f>
        <v>894292.77862042398</v>
      </c>
      <c r="AF206" s="182">
        <f>SUM(CD206:CO206)</f>
        <v>899671.622666582</v>
      </c>
      <c r="AH206" s="168">
        <v>0</v>
      </c>
      <c r="AI206" s="168">
        <v>0</v>
      </c>
      <c r="AJ206" s="168">
        <v>147025.0014345682</v>
      </c>
      <c r="AK206" s="168">
        <v>78711.794007207398</v>
      </c>
      <c r="AL206" s="168">
        <v>68931.726388902534</v>
      </c>
      <c r="AM206" s="168">
        <v>81915.737990446869</v>
      </c>
      <c r="AN206" s="168">
        <v>84309.74314919833</v>
      </c>
      <c r="AO206" s="168">
        <v>85646.427957080246</v>
      </c>
      <c r="AP206" s="168">
        <v>86828.529196040719</v>
      </c>
      <c r="AQ206" s="168">
        <v>95964.195060860031</v>
      </c>
      <c r="AR206" s="168">
        <v>85940.906522390927</v>
      </c>
      <c r="AS206" s="168">
        <v>66027.026201575893</v>
      </c>
      <c r="AT206" s="168">
        <v>0</v>
      </c>
      <c r="AU206" s="168">
        <v>0</v>
      </c>
      <c r="AV206" s="168">
        <v>143385.16165183045</v>
      </c>
      <c r="AW206" s="168">
        <v>78952.178797482164</v>
      </c>
      <c r="AX206" s="168">
        <v>68416.109202662978</v>
      </c>
      <c r="AY206" s="168">
        <v>80068.456048484004</v>
      </c>
      <c r="AZ206" s="168">
        <v>87145.191697265007</v>
      </c>
      <c r="BA206" s="168">
        <v>86525.59390677698</v>
      </c>
      <c r="BB206" s="168">
        <v>88461.491054913786</v>
      </c>
      <c r="BC206" s="168">
        <v>98621.921289551159</v>
      </c>
      <c r="BD206" s="168">
        <v>88138.039935662731</v>
      </c>
      <c r="BE206" s="168">
        <v>66205.451344850866</v>
      </c>
      <c r="BF206" s="168">
        <v>0</v>
      </c>
      <c r="BG206" s="168">
        <v>0</v>
      </c>
      <c r="BH206" s="168">
        <v>145225.76649672521</v>
      </c>
      <c r="BI206" s="168">
        <v>78073.4301326001</v>
      </c>
      <c r="BJ206" s="168">
        <v>68660.029661167966</v>
      </c>
      <c r="BK206" s="168">
        <v>81483.580574095817</v>
      </c>
      <c r="BL206" s="168">
        <v>87723.278084588004</v>
      </c>
      <c r="BM206" s="168">
        <v>87342.006044149253</v>
      </c>
      <c r="BN206" s="168">
        <v>88681.565727554829</v>
      </c>
      <c r="BO206" s="168">
        <v>97458.485283305781</v>
      </c>
      <c r="BP206" s="168">
        <v>87672.489378481623</v>
      </c>
      <c r="BQ206" s="168">
        <v>67539.827637207272</v>
      </c>
      <c r="BR206" s="168">
        <v>0</v>
      </c>
      <c r="BS206" s="168">
        <v>0</v>
      </c>
      <c r="BT206" s="168">
        <v>146640.16856575059</v>
      </c>
      <c r="BU206" s="168">
        <v>79232.795459920948</v>
      </c>
      <c r="BV206" s="168">
        <v>66988.673676538048</v>
      </c>
      <c r="BW206" s="168">
        <v>82801.554350697465</v>
      </c>
      <c r="BX206" s="168">
        <v>89095.681379219823</v>
      </c>
      <c r="BY206" s="168">
        <v>87942.439644069469</v>
      </c>
      <c r="BZ206" s="168">
        <v>88859.503484004279</v>
      </c>
      <c r="CA206" s="168">
        <v>98303.406253746303</v>
      </c>
      <c r="CB206" s="168">
        <v>87905.000206931931</v>
      </c>
      <c r="CC206" s="168">
        <v>66523.5555995451</v>
      </c>
      <c r="CD206" s="168">
        <v>0</v>
      </c>
      <c r="CE206" s="168">
        <v>0</v>
      </c>
      <c r="CF206" s="168">
        <v>143577.23947973485</v>
      </c>
      <c r="CG206" s="168">
        <v>80977.669382771288</v>
      </c>
      <c r="CH206" s="168">
        <v>68888.020966163167</v>
      </c>
      <c r="CI206" s="168">
        <v>81980.787405625568</v>
      </c>
      <c r="CJ206" s="168">
        <v>89388.293548180038</v>
      </c>
      <c r="CK206" s="168">
        <v>88581.280351023801</v>
      </c>
      <c r="CL206" s="168">
        <v>91289.739170503133</v>
      </c>
      <c r="CM206" s="168">
        <v>99037.452751761055</v>
      </c>
      <c r="CN206" s="168">
        <v>89340.746618059988</v>
      </c>
      <c r="CO206" s="168">
        <v>66610.392992759167</v>
      </c>
    </row>
    <row r="207" spans="1:93" x14ac:dyDescent="0.2">
      <c r="A207" s="118">
        <f t="shared" si="16"/>
        <v>31</v>
      </c>
      <c r="B207" s="243" t="s">
        <v>145</v>
      </c>
      <c r="C207" s="223"/>
      <c r="D207" s="172">
        <f>SUMIF($AH$6:$CP$6,1,$AH207:$CP207)</f>
        <v>979622.41945506213</v>
      </c>
      <c r="E207" s="225" t="s">
        <v>596</v>
      </c>
      <c r="F207" s="173">
        <f>'Exhibit MJC-3 - E-13c cal yr'!F209</f>
        <v>3.2</v>
      </c>
      <c r="G207" s="233" t="s">
        <v>375</v>
      </c>
      <c r="H207" s="174">
        <f>ROUND(D207*F207,2)</f>
        <v>3134791.74</v>
      </c>
      <c r="I207" s="229"/>
      <c r="J207" s="172">
        <f>SUMIF($AH$6:$CP$6,1,$AH207:$CP207)</f>
        <v>979622.41945506213</v>
      </c>
      <c r="K207" s="225" t="s">
        <v>596</v>
      </c>
      <c r="L207" s="183">
        <f>L197</f>
        <v>3.29</v>
      </c>
      <c r="M207" s="233" t="s">
        <v>375</v>
      </c>
      <c r="N207" s="174">
        <f>ROUND(J207*L207,2)</f>
        <v>3222957.76</v>
      </c>
      <c r="O207" s="227"/>
      <c r="S207" s="263"/>
      <c r="T207" s="927"/>
      <c r="U207" s="184" t="s">
        <v>592</v>
      </c>
      <c r="V207" s="179">
        <v>245</v>
      </c>
      <c r="W207" s="180">
        <v>219</v>
      </c>
      <c r="Y207" s="184"/>
      <c r="Z207" s="181"/>
      <c r="AB207" s="182">
        <f>SUM(AH207:AS207)</f>
        <v>965391.11647184426</v>
      </c>
      <c r="AC207" s="182">
        <f>SUM(AT207:BE207)</f>
        <v>970450.30193162896</v>
      </c>
      <c r="AD207" s="182">
        <f>SUM(BF207:BQ207)</f>
        <v>974767.18663345161</v>
      </c>
      <c r="AE207" s="182">
        <f>SUM(BR207:CC207)</f>
        <v>979622.41945506213</v>
      </c>
      <c r="AF207" s="182">
        <f>SUM(CD207:CO207)</f>
        <v>985514.49008823594</v>
      </c>
      <c r="AH207" s="168">
        <v>0</v>
      </c>
      <c r="AI207" s="168">
        <v>0</v>
      </c>
      <c r="AJ207" s="168">
        <v>161049.51650653163</v>
      </c>
      <c r="AK207" s="168">
        <v>86220.00506399585</v>
      </c>
      <c r="AL207" s="168">
        <v>75507.030087218474</v>
      </c>
      <c r="AM207" s="168">
        <v>89729.568909464433</v>
      </c>
      <c r="AN207" s="168">
        <v>92351.934966727524</v>
      </c>
      <c r="AO207" s="168">
        <v>93816.124321806783</v>
      </c>
      <c r="AP207" s="168">
        <v>95110.984591412547</v>
      </c>
      <c r="AQ207" s="168">
        <v>105118.08920721599</v>
      </c>
      <c r="AR207" s="168">
        <v>94154.612577608277</v>
      </c>
      <c r="AS207" s="168">
        <v>72333.250239862653</v>
      </c>
      <c r="AT207" s="168">
        <v>0</v>
      </c>
      <c r="AU207" s="168">
        <v>0</v>
      </c>
      <c r="AV207" s="168">
        <v>157062.47735365646</v>
      </c>
      <c r="AW207" s="168">
        <v>86483.319832719077</v>
      </c>
      <c r="AX207" s="168">
        <v>74942.228878335023</v>
      </c>
      <c r="AY207" s="168">
        <v>87706.077253613199</v>
      </c>
      <c r="AZ207" s="168">
        <v>95457.853098267282</v>
      </c>
      <c r="BA207" s="168">
        <v>94779.152716611323</v>
      </c>
      <c r="BB207" s="168">
        <v>96899.712462720607</v>
      </c>
      <c r="BC207" s="168">
        <v>108029.33232886919</v>
      </c>
      <c r="BD207" s="168">
        <v>96561.531163785708</v>
      </c>
      <c r="BE207" s="168">
        <v>72528.61684305119</v>
      </c>
      <c r="BF207" s="168">
        <v>0</v>
      </c>
      <c r="BG207" s="168">
        <v>0</v>
      </c>
      <c r="BH207" s="168">
        <v>159078.6549932248</v>
      </c>
      <c r="BI207" s="168">
        <v>85520.748526960582</v>
      </c>
      <c r="BJ207" s="168">
        <v>75209.416577875774</v>
      </c>
      <c r="BK207" s="168">
        <v>89256.188584492818</v>
      </c>
      <c r="BL207" s="168">
        <v>96091.082360426546</v>
      </c>
      <c r="BM207" s="168">
        <v>95673.441298219535</v>
      </c>
      <c r="BN207" s="168">
        <v>97140.779759291545</v>
      </c>
      <c r="BO207" s="168">
        <v>106754.91774316013</v>
      </c>
      <c r="BP207" s="168">
        <v>96051.508840933151</v>
      </c>
      <c r="BQ207" s="168">
        <v>73990.447948866757</v>
      </c>
      <c r="BR207" s="168">
        <v>0</v>
      </c>
      <c r="BS207" s="168">
        <v>0</v>
      </c>
      <c r="BT207" s="168">
        <v>160627.97495336609</v>
      </c>
      <c r="BU207" s="168">
        <v>86790.70413721478</v>
      </c>
      <c r="BV207" s="168">
        <v>73378.632217334656</v>
      </c>
      <c r="BW207" s="168">
        <v>90699.882088447295</v>
      </c>
      <c r="BX207" s="168">
        <v>97594.397340163428</v>
      </c>
      <c r="BY207" s="168">
        <v>96331.149443214599</v>
      </c>
      <c r="BZ207" s="168">
        <v>97335.690756501746</v>
      </c>
      <c r="CA207" s="168">
        <v>107680.43457667794</v>
      </c>
      <c r="CB207" s="168">
        <v>96306.374546031904</v>
      </c>
      <c r="CC207" s="168">
        <v>72877.179396109597</v>
      </c>
      <c r="CD207" s="168">
        <v>0</v>
      </c>
      <c r="CE207" s="168">
        <v>0</v>
      </c>
      <c r="CF207" s="168">
        <v>157272.87722452061</v>
      </c>
      <c r="CG207" s="168">
        <v>88702.019212188345</v>
      </c>
      <c r="CH207" s="168">
        <v>75459.155663602025</v>
      </c>
      <c r="CI207" s="168">
        <v>89800.823299951386</v>
      </c>
      <c r="CJ207" s="168">
        <v>97914.9213862451</v>
      </c>
      <c r="CK207" s="168">
        <v>97030.928296986458</v>
      </c>
      <c r="CL207" s="168">
        <v>99997.743322314796</v>
      </c>
      <c r="CM207" s="168">
        <v>108484.50077252967</v>
      </c>
      <c r="CN207" s="168">
        <v>97879.252836049665</v>
      </c>
      <c r="CO207" s="168">
        <v>72972.268073847881</v>
      </c>
    </row>
    <row r="208" spans="1:93" x14ac:dyDescent="0.2">
      <c r="A208" s="118">
        <f t="shared" si="16"/>
        <v>32</v>
      </c>
      <c r="B208" s="243" t="s">
        <v>601</v>
      </c>
      <c r="C208" s="223"/>
      <c r="D208" s="172">
        <f>D206</f>
        <v>894292.77862042398</v>
      </c>
      <c r="E208" s="225" t="s">
        <v>596</v>
      </c>
      <c r="F208" s="173">
        <f>'Exhibit MJC-3 - E-13c cal yr'!F210</f>
        <v>-6.18</v>
      </c>
      <c r="G208" s="233" t="s">
        <v>375</v>
      </c>
      <c r="H208" s="174">
        <f>ROUND(D208*F208,2)</f>
        <v>-5526729.3700000001</v>
      </c>
      <c r="I208" s="229"/>
      <c r="J208" s="172">
        <f>J206</f>
        <v>894292.77862042398</v>
      </c>
      <c r="K208" s="225" t="s">
        <v>596</v>
      </c>
      <c r="L208" s="173">
        <f>ROUND(-DVC!G30,2)</f>
        <v>-6.47</v>
      </c>
      <c r="M208" s="233" t="s">
        <v>375</v>
      </c>
      <c r="N208" s="174">
        <f>ROUND(J208*L208,2)</f>
        <v>-5786074.2800000003</v>
      </c>
      <c r="O208" s="227"/>
      <c r="P208" s="182"/>
      <c r="S208" s="262"/>
      <c r="T208" s="247"/>
      <c r="U208" s="184"/>
      <c r="V208" s="179"/>
      <c r="W208" s="180"/>
      <c r="X208" s="245"/>
      <c r="Y208" s="184"/>
      <c r="Z208" s="181"/>
      <c r="AA208" s="245"/>
      <c r="AB208" s="182"/>
      <c r="AC208" s="182"/>
      <c r="AD208" s="182"/>
      <c r="AE208" s="182"/>
      <c r="AF208" s="182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  <c r="AU208" s="168"/>
      <c r="AV208" s="168"/>
      <c r="AW208" s="168"/>
      <c r="AX208" s="168"/>
      <c r="AY208" s="168"/>
      <c r="AZ208" s="168"/>
      <c r="BA208" s="168"/>
      <c r="BB208" s="168"/>
      <c r="BC208" s="168"/>
      <c r="BD208" s="168"/>
      <c r="BE208" s="168"/>
      <c r="BF208" s="168"/>
      <c r="BG208" s="168"/>
      <c r="BH208" s="168"/>
      <c r="BI208" s="168"/>
      <c r="BJ208" s="168"/>
      <c r="BK208" s="168"/>
      <c r="BL208" s="168"/>
      <c r="BM208" s="168"/>
      <c r="BN208" s="168"/>
      <c r="BO208" s="168"/>
      <c r="BP208" s="168"/>
      <c r="BQ208" s="168"/>
      <c r="BR208" s="168"/>
      <c r="BS208" s="168"/>
      <c r="BT208" s="168"/>
      <c r="BU208" s="168"/>
      <c r="BV208" s="168"/>
      <c r="BW208" s="168"/>
      <c r="BX208" s="168"/>
      <c r="BY208" s="168"/>
      <c r="BZ208" s="168"/>
      <c r="CA208" s="168"/>
      <c r="CB208" s="168"/>
      <c r="CC208" s="168"/>
      <c r="CD208" s="168"/>
      <c r="CE208" s="168"/>
      <c r="CF208" s="168"/>
      <c r="CG208" s="168"/>
      <c r="CH208" s="168"/>
      <c r="CI208" s="168"/>
      <c r="CJ208" s="168"/>
      <c r="CK208" s="168"/>
      <c r="CL208" s="168"/>
      <c r="CM208" s="168"/>
      <c r="CN208" s="168"/>
      <c r="CO208" s="168"/>
    </row>
    <row r="209" spans="1:93" x14ac:dyDescent="0.2">
      <c r="A209" s="118">
        <f t="shared" si="16"/>
        <v>33</v>
      </c>
      <c r="B209" s="243"/>
      <c r="C209" s="223"/>
      <c r="D209" s="168"/>
      <c r="E209" s="225"/>
      <c r="F209" s="183"/>
      <c r="G209" s="233"/>
      <c r="H209" s="174"/>
      <c r="I209" s="229"/>
      <c r="J209" s="168"/>
      <c r="K209" s="225"/>
      <c r="L209" s="183"/>
      <c r="M209" s="233"/>
      <c r="N209" s="174"/>
      <c r="O209" s="227"/>
      <c r="S209" s="262"/>
      <c r="T209" s="247"/>
      <c r="U209" s="184"/>
      <c r="V209" s="179"/>
      <c r="W209" s="180"/>
      <c r="Y209" s="184"/>
      <c r="Z209" s="181"/>
    </row>
    <row r="210" spans="1:93" x14ac:dyDescent="0.2">
      <c r="A210" s="118">
        <f t="shared" si="16"/>
        <v>34</v>
      </c>
      <c r="B210" s="223" t="s">
        <v>602</v>
      </c>
      <c r="C210" s="223"/>
      <c r="D210" s="172">
        <f>SUMIF($AH$6:$CP$6,1,$AH210:$CP210)</f>
        <v>0</v>
      </c>
      <c r="E210" s="225" t="s">
        <v>596</v>
      </c>
      <c r="F210" s="173">
        <f>'Exhibit MJC-3 - E-13c cal yr'!F212</f>
        <v>2.5099999999999998</v>
      </c>
      <c r="G210" s="233" t="s">
        <v>375</v>
      </c>
      <c r="H210" s="187">
        <f>ROUND(D210*F210,2)</f>
        <v>0</v>
      </c>
      <c r="I210" s="229"/>
      <c r="J210" s="172">
        <f>SUMIF($AH$6:$CP$6,1,$AH210:$CP210)</f>
        <v>0</v>
      </c>
      <c r="K210" s="225" t="s">
        <v>596</v>
      </c>
      <c r="L210" s="310">
        <f>ROUND('MFR E-14G'!G22,2)</f>
        <v>2.64</v>
      </c>
      <c r="M210" s="233" t="s">
        <v>375</v>
      </c>
      <c r="N210" s="187">
        <f>ROUND(J210*L210,2)</f>
        <v>0</v>
      </c>
      <c r="O210" s="227"/>
      <c r="P210" s="182"/>
      <c r="S210" s="262"/>
      <c r="T210" s="247"/>
      <c r="U210" s="184" t="s">
        <v>122</v>
      </c>
      <c r="V210" s="179">
        <v>244</v>
      </c>
      <c r="W210" s="180">
        <v>218</v>
      </c>
      <c r="Y210" s="184"/>
      <c r="Z210" s="181"/>
      <c r="AB210" s="182">
        <f>SUM(AH210:AS210)</f>
        <v>0</v>
      </c>
      <c r="AC210" s="182">
        <f>SUM(AT210:BE210)</f>
        <v>0</v>
      </c>
      <c r="AD210" s="182">
        <f>SUM(BF210:BQ210)</f>
        <v>0</v>
      </c>
      <c r="AE210" s="182">
        <f>SUM(BR210:CC210)</f>
        <v>0</v>
      </c>
      <c r="AF210" s="182">
        <f>SUM(CD210:CO210)</f>
        <v>0</v>
      </c>
      <c r="AH210" s="175">
        <v>0</v>
      </c>
      <c r="AI210" s="175">
        <v>0</v>
      </c>
      <c r="AJ210" s="175">
        <v>0</v>
      </c>
      <c r="AK210" s="175">
        <v>0</v>
      </c>
      <c r="AL210" s="175">
        <v>0</v>
      </c>
      <c r="AM210" s="175">
        <v>0</v>
      </c>
      <c r="AN210" s="175">
        <v>0</v>
      </c>
      <c r="AO210" s="175">
        <v>0</v>
      </c>
      <c r="AP210" s="175">
        <v>0</v>
      </c>
      <c r="AQ210" s="175">
        <v>0</v>
      </c>
      <c r="AR210" s="175">
        <v>0</v>
      </c>
      <c r="AS210" s="175">
        <v>0</v>
      </c>
      <c r="AT210" s="175">
        <v>0</v>
      </c>
      <c r="AU210" s="175">
        <v>0</v>
      </c>
      <c r="AV210" s="175">
        <v>0</v>
      </c>
      <c r="AW210" s="175">
        <v>0</v>
      </c>
      <c r="AX210" s="175">
        <v>0</v>
      </c>
      <c r="AY210" s="175">
        <v>0</v>
      </c>
      <c r="AZ210" s="175">
        <v>0</v>
      </c>
      <c r="BA210" s="175">
        <v>0</v>
      </c>
      <c r="BB210" s="175">
        <v>0</v>
      </c>
      <c r="BC210" s="175">
        <v>0</v>
      </c>
      <c r="BD210" s="175">
        <v>0</v>
      </c>
      <c r="BE210" s="175">
        <v>0</v>
      </c>
      <c r="BF210" s="175">
        <v>0</v>
      </c>
      <c r="BG210" s="175">
        <v>0</v>
      </c>
      <c r="BH210" s="175">
        <v>0</v>
      </c>
      <c r="BI210" s="175">
        <v>0</v>
      </c>
      <c r="BJ210" s="175">
        <v>0</v>
      </c>
      <c r="BK210" s="175">
        <v>0</v>
      </c>
      <c r="BL210" s="175">
        <v>0</v>
      </c>
      <c r="BM210" s="175">
        <v>0</v>
      </c>
      <c r="BN210" s="175">
        <v>0</v>
      </c>
      <c r="BO210" s="175">
        <v>0</v>
      </c>
      <c r="BP210" s="175">
        <v>0</v>
      </c>
      <c r="BQ210" s="175">
        <v>0</v>
      </c>
      <c r="BR210" s="175">
        <v>0</v>
      </c>
      <c r="BS210" s="175">
        <v>0</v>
      </c>
      <c r="BT210" s="175">
        <v>0</v>
      </c>
      <c r="BU210" s="175">
        <v>0</v>
      </c>
      <c r="BV210" s="175">
        <v>0</v>
      </c>
      <c r="BW210" s="175">
        <v>0</v>
      </c>
      <c r="BX210" s="175">
        <v>0</v>
      </c>
      <c r="BY210" s="175">
        <v>0</v>
      </c>
      <c r="BZ210" s="175">
        <v>0</v>
      </c>
      <c r="CA210" s="175">
        <v>0</v>
      </c>
      <c r="CB210" s="175">
        <v>0</v>
      </c>
      <c r="CC210" s="175">
        <v>0</v>
      </c>
      <c r="CD210" s="175">
        <v>0</v>
      </c>
      <c r="CE210" s="175">
        <v>0</v>
      </c>
      <c r="CF210" s="175">
        <v>0</v>
      </c>
      <c r="CG210" s="175">
        <v>0</v>
      </c>
      <c r="CH210" s="175">
        <v>0</v>
      </c>
      <c r="CI210" s="175">
        <v>0</v>
      </c>
      <c r="CJ210" s="175">
        <v>0</v>
      </c>
      <c r="CK210" s="175">
        <v>0</v>
      </c>
      <c r="CL210" s="175">
        <v>0</v>
      </c>
      <c r="CM210" s="175">
        <v>0</v>
      </c>
      <c r="CN210" s="175">
        <v>0</v>
      </c>
      <c r="CO210" s="175">
        <v>0</v>
      </c>
    </row>
    <row r="211" spans="1:93" x14ac:dyDescent="0.2">
      <c r="A211" s="118">
        <f t="shared" si="16"/>
        <v>35</v>
      </c>
      <c r="B211" s="243"/>
      <c r="C211" s="223" t="s">
        <v>603</v>
      </c>
      <c r="D211" s="204">
        <f>SUM(D189:D192,D197,D202,D207)</f>
        <v>37034731.427163921</v>
      </c>
      <c r="E211" s="233"/>
      <c r="F211" s="205"/>
      <c r="G211" s="233"/>
      <c r="H211" s="206">
        <f>SUM(H189:H210)</f>
        <v>330430186.33999997</v>
      </c>
      <c r="I211" s="229"/>
      <c r="J211" s="204">
        <f>SUM(J189:J192,J197,J202,J207)</f>
        <v>37034731.427163921</v>
      </c>
      <c r="K211" s="233"/>
      <c r="L211" s="205"/>
      <c r="M211" s="233"/>
      <c r="N211" s="206">
        <f>SUM(N189:N210)</f>
        <v>339422278.31999999</v>
      </c>
      <c r="O211" s="227"/>
      <c r="Q211" s="1022"/>
      <c r="S211" s="262"/>
      <c r="T211" s="247"/>
      <c r="U211" s="178"/>
      <c r="V211" s="179"/>
      <c r="W211" s="180"/>
      <c r="Y211" s="178" t="s">
        <v>122</v>
      </c>
      <c r="Z211" s="181" t="s">
        <v>146</v>
      </c>
      <c r="AB211" s="204">
        <f>AB189+AB190+AB197+AB202+AB207+AB191</f>
        <v>36496332.450185195</v>
      </c>
      <c r="AC211" s="204">
        <f>AC189+AC190+AC197+AC202+AC207+AC191</f>
        <v>36687593.49590753</v>
      </c>
      <c r="AD211" s="204">
        <f>AD189+AD190+AD197+AD202+AD207+AD191</f>
        <v>36850792.075777031</v>
      </c>
      <c r="AE211" s="204">
        <f>AE189+AE190+AE197+AE202+AE207+AE191</f>
        <v>37034342.750894219</v>
      </c>
      <c r="AF211" s="204">
        <f>AF189+AF190+AF197+AF202+AF207+AF191</f>
        <v>37257090.780142896</v>
      </c>
      <c r="AH211" s="204">
        <f t="shared" ref="AH211:CO211" si="18">AH189+AH190+AH197+AH202+AH207+AH191</f>
        <v>2854653.3440595688</v>
      </c>
      <c r="AI211" s="204">
        <f t="shared" si="18"/>
        <v>2696103.8712266786</v>
      </c>
      <c r="AJ211" s="204">
        <f t="shared" si="18"/>
        <v>2822078.3767294795</v>
      </c>
      <c r="AK211" s="204">
        <f t="shared" si="18"/>
        <v>2909493.4362696521</v>
      </c>
      <c r="AL211" s="204">
        <f t="shared" si="18"/>
        <v>2800585.815532566</v>
      </c>
      <c r="AM211" s="204">
        <f t="shared" si="18"/>
        <v>3337828.1840706854</v>
      </c>
      <c r="AN211" s="204">
        <f t="shared" si="18"/>
        <v>3352940.62752426</v>
      </c>
      <c r="AO211" s="204">
        <f t="shared" si="18"/>
        <v>3459498.1759287273</v>
      </c>
      <c r="AP211" s="204">
        <f t="shared" si="18"/>
        <v>3421323.4399230955</v>
      </c>
      <c r="AQ211" s="204">
        <f t="shared" si="18"/>
        <v>3222691.3269477654</v>
      </c>
      <c r="AR211" s="204">
        <f t="shared" si="18"/>
        <v>2915686.8933830294</v>
      </c>
      <c r="AS211" s="204">
        <f t="shared" si="18"/>
        <v>2703831.9884290365</v>
      </c>
      <c r="AT211" s="204">
        <f t="shared" si="18"/>
        <v>2812777.551564822</v>
      </c>
      <c r="AU211" s="204">
        <f t="shared" si="18"/>
        <v>2676238.6346227322</v>
      </c>
      <c r="AV211" s="204">
        <f t="shared" si="18"/>
        <v>2754426.6212779009</v>
      </c>
      <c r="AW211" s="204">
        <f t="shared" si="18"/>
        <v>2920952.8070636843</v>
      </c>
      <c r="AX211" s="204">
        <f t="shared" si="18"/>
        <v>2782003.2808307763</v>
      </c>
      <c r="AY211" s="204">
        <f t="shared" si="18"/>
        <v>3265421.7655635523</v>
      </c>
      <c r="AZ211" s="204">
        <f t="shared" si="18"/>
        <v>3468496.5195793519</v>
      </c>
      <c r="BA211" s="204">
        <f t="shared" si="18"/>
        <v>3498009.9839529041</v>
      </c>
      <c r="BB211" s="204">
        <f t="shared" si="18"/>
        <v>3488618.3293120405</v>
      </c>
      <c r="BC211" s="204">
        <f t="shared" si="18"/>
        <v>3314769.056105705</v>
      </c>
      <c r="BD211" s="204">
        <f t="shared" si="18"/>
        <v>2992771.3065563445</v>
      </c>
      <c r="BE211" s="204">
        <f t="shared" si="18"/>
        <v>2713492.6766060903</v>
      </c>
      <c r="BF211" s="204">
        <f t="shared" si="18"/>
        <v>2770382.0995181007</v>
      </c>
      <c r="BG211" s="204">
        <f t="shared" si="18"/>
        <v>2705590.5439773016</v>
      </c>
      <c r="BH211" s="204">
        <f t="shared" si="18"/>
        <v>2793157.8821239849</v>
      </c>
      <c r="BI211" s="204">
        <f t="shared" si="18"/>
        <v>2892324.6329313749</v>
      </c>
      <c r="BJ211" s="204">
        <f t="shared" si="18"/>
        <v>2795688.9065886727</v>
      </c>
      <c r="BK211" s="204">
        <f t="shared" si="18"/>
        <v>3327525.7721325909</v>
      </c>
      <c r="BL211" s="204">
        <f t="shared" si="18"/>
        <v>3496051.2873668373</v>
      </c>
      <c r="BM211" s="204">
        <f t="shared" si="18"/>
        <v>3535763.7211438501</v>
      </c>
      <c r="BN211" s="204">
        <f t="shared" si="18"/>
        <v>3501920.2595343222</v>
      </c>
      <c r="BO211" s="204">
        <f t="shared" si="18"/>
        <v>3280000.1962723276</v>
      </c>
      <c r="BP211" s="204">
        <f t="shared" si="18"/>
        <v>2980902.7428944535</v>
      </c>
      <c r="BQ211" s="204">
        <f t="shared" si="18"/>
        <v>2771870.7811943954</v>
      </c>
      <c r="BR211" s="204">
        <f t="shared" si="18"/>
        <v>2765212.4383377442</v>
      </c>
      <c r="BS211" s="204">
        <f t="shared" si="18"/>
        <v>2673802.8657102981</v>
      </c>
      <c r="BT211" s="204">
        <f t="shared" si="18"/>
        <v>2827453.9139795299</v>
      </c>
      <c r="BU211" s="204">
        <f t="shared" si="18"/>
        <v>2943155.1546379076</v>
      </c>
      <c r="BV211" s="204">
        <f t="shared" si="18"/>
        <v>2735021.4180001905</v>
      </c>
      <c r="BW211" s="204">
        <f t="shared" si="18"/>
        <v>3390404.5931158797</v>
      </c>
      <c r="BX211" s="204">
        <f t="shared" si="18"/>
        <v>3560146.8331646975</v>
      </c>
      <c r="BY211" s="204">
        <f t="shared" si="18"/>
        <v>3569673.0537784379</v>
      </c>
      <c r="BZ211" s="204">
        <f t="shared" si="18"/>
        <v>3518331.9806007263</v>
      </c>
      <c r="CA211" s="204">
        <f t="shared" si="18"/>
        <v>3317262.7584826425</v>
      </c>
      <c r="CB211" s="204">
        <f t="shared" si="18"/>
        <v>2996784.2294492112</v>
      </c>
      <c r="CC211" s="204">
        <f t="shared" si="18"/>
        <v>2737482.1879066536</v>
      </c>
      <c r="CD211" s="204">
        <f t="shared" si="18"/>
        <v>2784445.637042583</v>
      </c>
      <c r="CE211" s="204">
        <f t="shared" si="18"/>
        <v>2648446.3968430166</v>
      </c>
      <c r="CF211" s="204">
        <f t="shared" si="18"/>
        <v>2765952.7686348855</v>
      </c>
      <c r="CG211" s="204">
        <f t="shared" si="18"/>
        <v>3004979.2227213783</v>
      </c>
      <c r="CH211" s="204">
        <f t="shared" si="18"/>
        <v>2809599.1805484723</v>
      </c>
      <c r="CI211" s="204">
        <f t="shared" si="18"/>
        <v>3353378.2612122442</v>
      </c>
      <c r="CJ211" s="204">
        <f t="shared" si="18"/>
        <v>3568294.4251982872</v>
      </c>
      <c r="CK211" s="204">
        <f t="shared" si="18"/>
        <v>3591873.8441892797</v>
      </c>
      <c r="CL211" s="204">
        <f t="shared" si="18"/>
        <v>3610888.9254396465</v>
      </c>
      <c r="CM211" s="204">
        <f t="shared" si="18"/>
        <v>3338660.846513941</v>
      </c>
      <c r="CN211" s="204">
        <f t="shared" si="18"/>
        <v>3042649.7100648629</v>
      </c>
      <c r="CO211" s="204">
        <f t="shared" si="18"/>
        <v>2738312.5757496292</v>
      </c>
    </row>
    <row r="212" spans="1:93" x14ac:dyDescent="0.2">
      <c r="A212" s="118">
        <f t="shared" si="16"/>
        <v>36</v>
      </c>
      <c r="B212" s="243"/>
      <c r="C212" s="223"/>
      <c r="D212" s="943"/>
      <c r="E212" s="233"/>
      <c r="F212" s="205"/>
      <c r="G212" s="233"/>
      <c r="H212" s="174"/>
      <c r="I212" s="229"/>
      <c r="J212" s="168"/>
      <c r="K212" s="233"/>
      <c r="L212" s="205"/>
      <c r="M212" s="233"/>
      <c r="N212" s="174"/>
      <c r="O212" s="227"/>
      <c r="R212" s="227"/>
      <c r="S212" s="262"/>
      <c r="T212" s="247"/>
      <c r="U212" s="178"/>
      <c r="V212" s="179"/>
      <c r="W212" s="180"/>
      <c r="Y212" s="178"/>
      <c r="Z212" s="181"/>
      <c r="AB212" s="193">
        <f>SUM(AH212:AS212)</f>
        <v>0</v>
      </c>
      <c r="AC212" s="193">
        <f>SUM(AT212:BE212)</f>
        <v>0</v>
      </c>
      <c r="AD212" s="193">
        <f>SUM(BF212:BQ212)</f>
        <v>0</v>
      </c>
      <c r="AE212" s="193">
        <f>SUM(BR212:CC212)</f>
        <v>0</v>
      </c>
      <c r="AF212" s="193">
        <f>SUM(CD212:CO212)</f>
        <v>0</v>
      </c>
      <c r="AH212" s="294">
        <v>0</v>
      </c>
      <c r="AI212" s="294">
        <v>0</v>
      </c>
      <c r="AJ212" s="294">
        <v>0</v>
      </c>
      <c r="AK212" s="294">
        <v>0</v>
      </c>
      <c r="AL212" s="294">
        <v>0</v>
      </c>
      <c r="AM212" s="294">
        <v>0</v>
      </c>
      <c r="AN212" s="294">
        <v>0</v>
      </c>
      <c r="AO212" s="294">
        <v>0</v>
      </c>
      <c r="AP212" s="294">
        <v>0</v>
      </c>
      <c r="AQ212" s="294">
        <v>0</v>
      </c>
      <c r="AR212" s="294">
        <v>0</v>
      </c>
      <c r="AS212" s="294">
        <v>0</v>
      </c>
      <c r="AT212" s="294">
        <v>0</v>
      </c>
      <c r="AU212" s="294">
        <v>0</v>
      </c>
      <c r="AV212" s="294">
        <v>0</v>
      </c>
      <c r="AW212" s="294">
        <v>0</v>
      </c>
      <c r="AX212" s="294">
        <v>0</v>
      </c>
      <c r="AY212" s="294">
        <v>0</v>
      </c>
      <c r="AZ212" s="294">
        <v>0</v>
      </c>
      <c r="BA212" s="294">
        <v>0</v>
      </c>
      <c r="BB212" s="294">
        <v>0</v>
      </c>
      <c r="BC212" s="294">
        <v>0</v>
      </c>
      <c r="BD212" s="294">
        <v>0</v>
      </c>
      <c r="BE212" s="294">
        <v>0</v>
      </c>
      <c r="BF212" s="294">
        <v>0</v>
      </c>
      <c r="BG212" s="294">
        <v>0</v>
      </c>
      <c r="BH212" s="294">
        <v>0</v>
      </c>
      <c r="BI212" s="294">
        <v>0</v>
      </c>
      <c r="BJ212" s="294">
        <v>0</v>
      </c>
      <c r="BK212" s="294">
        <v>0</v>
      </c>
      <c r="BL212" s="294">
        <v>0</v>
      </c>
      <c r="BM212" s="294">
        <v>0</v>
      </c>
      <c r="BN212" s="294">
        <v>0</v>
      </c>
      <c r="BO212" s="294">
        <v>0</v>
      </c>
      <c r="BP212" s="294">
        <v>0</v>
      </c>
      <c r="BQ212" s="294">
        <v>0</v>
      </c>
      <c r="BR212" s="294">
        <v>0</v>
      </c>
      <c r="BS212" s="294">
        <v>0</v>
      </c>
      <c r="BT212" s="294">
        <v>0</v>
      </c>
      <c r="BU212" s="294">
        <v>0</v>
      </c>
      <c r="BV212" s="294">
        <v>0</v>
      </c>
      <c r="BW212" s="294">
        <v>0</v>
      </c>
      <c r="BX212" s="294">
        <v>0</v>
      </c>
      <c r="BY212" s="294">
        <v>0</v>
      </c>
      <c r="BZ212" s="294">
        <v>0</v>
      </c>
      <c r="CA212" s="294">
        <v>0</v>
      </c>
      <c r="CB212" s="294">
        <v>0</v>
      </c>
      <c r="CC212" s="294">
        <v>0</v>
      </c>
      <c r="CD212" s="294">
        <v>0</v>
      </c>
      <c r="CE212" s="294">
        <v>0</v>
      </c>
      <c r="CF212" s="294">
        <v>0</v>
      </c>
      <c r="CG212" s="294">
        <v>0</v>
      </c>
      <c r="CH212" s="294">
        <v>0</v>
      </c>
      <c r="CI212" s="294">
        <v>0</v>
      </c>
      <c r="CJ212" s="294">
        <v>0</v>
      </c>
      <c r="CK212" s="294">
        <v>0</v>
      </c>
      <c r="CL212" s="294">
        <v>0</v>
      </c>
      <c r="CM212" s="294">
        <v>0</v>
      </c>
      <c r="CN212" s="294">
        <v>0</v>
      </c>
      <c r="CO212" s="294">
        <v>0</v>
      </c>
    </row>
    <row r="213" spans="1:93" x14ac:dyDescent="0.2">
      <c r="A213" s="118">
        <f t="shared" si="16"/>
        <v>37</v>
      </c>
      <c r="B213" s="295"/>
      <c r="C213" s="296"/>
      <c r="D213" s="943"/>
      <c r="E213" s="233"/>
      <c r="F213" s="205"/>
      <c r="G213" s="233"/>
      <c r="H213" s="940"/>
      <c r="I213" s="297"/>
      <c r="J213" s="168"/>
      <c r="K213" s="233"/>
      <c r="L213" s="205"/>
      <c r="M213" s="233"/>
      <c r="N213" s="940"/>
      <c r="O213" s="227"/>
      <c r="P213" s="941"/>
      <c r="R213" s="227"/>
      <c r="T213" s="247"/>
      <c r="U213" s="184"/>
      <c r="V213" s="179"/>
      <c r="W213" s="180"/>
      <c r="Y213" s="184"/>
      <c r="Z213" s="181"/>
      <c r="AB213" s="193">
        <f>SUM(AH213:AS213)</f>
        <v>0</v>
      </c>
      <c r="AC213" s="193">
        <f>SUM(AT213:BE213)</f>
        <v>0</v>
      </c>
      <c r="AD213" s="193">
        <f>SUM(BF213:BQ213)</f>
        <v>0</v>
      </c>
      <c r="AE213" s="193">
        <f>SUM(BR213:CC213)</f>
        <v>0</v>
      </c>
      <c r="AF213" s="193">
        <f>SUM(CD213:CO213)</f>
        <v>0</v>
      </c>
      <c r="AH213" s="193">
        <v>0</v>
      </c>
      <c r="AI213" s="193">
        <v>0</v>
      </c>
      <c r="AJ213" s="193">
        <v>0</v>
      </c>
      <c r="AK213" s="193">
        <v>0</v>
      </c>
      <c r="AL213" s="193">
        <v>0</v>
      </c>
      <c r="AM213" s="193">
        <v>0</v>
      </c>
      <c r="AN213" s="193">
        <v>0</v>
      </c>
      <c r="AO213" s="193">
        <v>0</v>
      </c>
      <c r="AP213" s="193">
        <v>0</v>
      </c>
      <c r="AQ213" s="193">
        <v>0</v>
      </c>
      <c r="AR213" s="193">
        <v>0</v>
      </c>
      <c r="AS213" s="193">
        <v>0</v>
      </c>
      <c r="AT213" s="193">
        <v>0</v>
      </c>
      <c r="AU213" s="193">
        <v>0</v>
      </c>
      <c r="AV213" s="193">
        <v>0</v>
      </c>
      <c r="AW213" s="193">
        <v>0</v>
      </c>
      <c r="AX213" s="193">
        <v>0</v>
      </c>
      <c r="AY213" s="193">
        <v>0</v>
      </c>
      <c r="AZ213" s="193">
        <v>0</v>
      </c>
      <c r="BA213" s="193">
        <v>0</v>
      </c>
      <c r="BB213" s="193">
        <v>0</v>
      </c>
      <c r="BC213" s="193">
        <v>0</v>
      </c>
      <c r="BD213" s="193">
        <v>0</v>
      </c>
      <c r="BE213" s="193">
        <v>0</v>
      </c>
      <c r="BF213" s="193">
        <v>0</v>
      </c>
      <c r="BG213" s="193">
        <v>0</v>
      </c>
      <c r="BH213" s="193">
        <v>0</v>
      </c>
      <c r="BI213" s="193">
        <v>0</v>
      </c>
      <c r="BJ213" s="193">
        <v>0</v>
      </c>
      <c r="BK213" s="193">
        <v>0</v>
      </c>
      <c r="BL213" s="193">
        <v>0</v>
      </c>
      <c r="BM213" s="193">
        <v>0</v>
      </c>
      <c r="BN213" s="193">
        <v>0</v>
      </c>
      <c r="BO213" s="193">
        <v>0</v>
      </c>
      <c r="BP213" s="193">
        <v>0</v>
      </c>
      <c r="BQ213" s="193">
        <v>0</v>
      </c>
      <c r="BR213" s="193">
        <v>0</v>
      </c>
      <c r="BS213" s="193">
        <v>0</v>
      </c>
      <c r="BT213" s="193">
        <v>0</v>
      </c>
      <c r="BU213" s="193">
        <v>0</v>
      </c>
      <c r="BV213" s="193">
        <v>0</v>
      </c>
      <c r="BW213" s="193">
        <v>0</v>
      </c>
      <c r="BX213" s="193">
        <v>0</v>
      </c>
      <c r="BY213" s="193">
        <v>0</v>
      </c>
      <c r="BZ213" s="193">
        <v>0</v>
      </c>
      <c r="CA213" s="193">
        <v>0</v>
      </c>
      <c r="CB213" s="193">
        <v>0</v>
      </c>
      <c r="CC213" s="193">
        <v>0</v>
      </c>
      <c r="CD213" s="193">
        <v>0</v>
      </c>
      <c r="CE213" s="193">
        <v>0</v>
      </c>
      <c r="CF213" s="193">
        <v>0</v>
      </c>
      <c r="CG213" s="193">
        <v>0</v>
      </c>
      <c r="CH213" s="193">
        <v>0</v>
      </c>
      <c r="CI213" s="193">
        <v>0</v>
      </c>
      <c r="CJ213" s="193">
        <v>0</v>
      </c>
      <c r="CK213" s="193">
        <v>0</v>
      </c>
      <c r="CL213" s="193">
        <v>0</v>
      </c>
      <c r="CM213" s="193">
        <v>0</v>
      </c>
      <c r="CN213" s="193">
        <v>0</v>
      </c>
      <c r="CO213" s="193">
        <v>0</v>
      </c>
    </row>
    <row r="214" spans="1:93" x14ac:dyDescent="0.2">
      <c r="A214" s="118">
        <f t="shared" si="16"/>
        <v>38</v>
      </c>
      <c r="B214" s="243"/>
      <c r="C214" s="296"/>
      <c r="D214" s="943"/>
      <c r="E214" s="233"/>
      <c r="F214" s="205"/>
      <c r="G214" s="233"/>
      <c r="H214" s="240"/>
      <c r="I214" s="229"/>
      <c r="J214" s="168"/>
      <c r="L214" s="205"/>
      <c r="M214" s="233"/>
      <c r="N214" s="174"/>
      <c r="O214" s="227"/>
      <c r="P214" s="227"/>
      <c r="Q214" s="227"/>
      <c r="R214" s="227"/>
      <c r="S214" s="227"/>
      <c r="U214" s="184"/>
      <c r="V214" s="179"/>
      <c r="W214" s="180"/>
      <c r="Y214" s="184"/>
      <c r="Z214" s="181"/>
    </row>
    <row r="215" spans="1:93" x14ac:dyDescent="0.2">
      <c r="A215" s="118">
        <f t="shared" si="16"/>
        <v>39</v>
      </c>
      <c r="B215" s="243"/>
      <c r="C215" s="296"/>
      <c r="D215" s="168"/>
      <c r="E215" s="233"/>
      <c r="F215" s="205"/>
      <c r="G215" s="233"/>
      <c r="H215" s="942"/>
      <c r="I215" s="229"/>
      <c r="J215" s="168"/>
      <c r="K215" s="168"/>
      <c r="L215" s="205"/>
      <c r="M215" s="233"/>
      <c r="N215" s="1234"/>
      <c r="O215" s="227"/>
      <c r="P215" s="941"/>
      <c r="Q215" s="227"/>
      <c r="R215" s="227"/>
      <c r="S215" s="227"/>
      <c r="U215" s="184"/>
      <c r="V215" s="179"/>
      <c r="W215" s="180"/>
      <c r="Y215" s="184"/>
      <c r="Z215" s="181"/>
    </row>
    <row r="216" spans="1:93" x14ac:dyDescent="0.2">
      <c r="A216" s="118">
        <f t="shared" si="16"/>
        <v>40</v>
      </c>
      <c r="B216" s="243"/>
      <c r="C216" s="296"/>
      <c r="D216" s="168"/>
      <c r="E216" s="233"/>
      <c r="F216" s="205"/>
      <c r="G216" s="233"/>
      <c r="H216" s="174"/>
      <c r="I216" s="229"/>
      <c r="J216" s="168"/>
      <c r="K216" s="168"/>
      <c r="L216" s="205"/>
      <c r="M216" s="233"/>
      <c r="N216" s="174"/>
      <c r="O216" s="227"/>
      <c r="P216" s="227"/>
      <c r="Q216" s="227"/>
      <c r="R216" s="227"/>
      <c r="S216" s="227"/>
      <c r="U216" s="184"/>
      <c r="V216" s="179"/>
      <c r="W216" s="180"/>
      <c r="Y216" s="184"/>
      <c r="Z216" s="181"/>
    </row>
    <row r="217" spans="1:93" x14ac:dyDescent="0.2">
      <c r="A217" s="118">
        <f t="shared" si="16"/>
        <v>41</v>
      </c>
      <c r="B217" s="243"/>
      <c r="C217" s="296"/>
      <c r="D217" s="168"/>
      <c r="E217" s="233"/>
      <c r="F217" s="205"/>
      <c r="G217" s="233"/>
      <c r="H217" s="174"/>
      <c r="I217" s="229"/>
      <c r="J217" s="168"/>
      <c r="K217" s="168"/>
      <c r="L217" s="205"/>
      <c r="M217" s="233"/>
      <c r="N217" s="174"/>
      <c r="O217" s="227"/>
      <c r="P217" s="227"/>
      <c r="Q217" s="227"/>
      <c r="U217" s="298"/>
      <c r="V217" s="253"/>
      <c r="W217" s="254"/>
      <c r="Y217" s="298"/>
      <c r="Z217" s="255"/>
    </row>
    <row r="218" spans="1:93" x14ac:dyDescent="0.2">
      <c r="A218" s="215"/>
      <c r="B218" s="215" t="s">
        <v>98</v>
      </c>
      <c r="C218" s="215"/>
      <c r="D218" s="215"/>
      <c r="E218" s="215"/>
      <c r="F218" s="299"/>
      <c r="G218" s="215"/>
      <c r="H218" s="300"/>
      <c r="I218" s="215"/>
      <c r="J218" s="215"/>
      <c r="K218" s="215"/>
      <c r="L218" s="299"/>
      <c r="M218" s="215"/>
      <c r="N218" s="300" t="s">
        <v>99</v>
      </c>
      <c r="O218" s="215"/>
      <c r="P218" s="215"/>
      <c r="Q218" s="215"/>
      <c r="Y218" s="101"/>
      <c r="AC218" s="301"/>
    </row>
    <row r="219" spans="1:93" x14ac:dyDescent="0.2">
      <c r="A219" s="216"/>
      <c r="B219" s="216"/>
      <c r="C219" s="216"/>
      <c r="D219" s="216"/>
      <c r="E219" s="216"/>
      <c r="F219" s="216"/>
      <c r="G219" s="216"/>
      <c r="H219" s="216"/>
      <c r="I219" s="216"/>
      <c r="J219" s="216"/>
      <c r="K219" s="216"/>
      <c r="L219" s="216"/>
      <c r="M219" s="216"/>
      <c r="N219" s="216"/>
      <c r="O219" s="216"/>
      <c r="P219" s="216"/>
      <c r="Q219" s="216"/>
      <c r="R219" s="216"/>
      <c r="S219" s="216"/>
      <c r="T219" s="216"/>
      <c r="U219" s="216"/>
      <c r="V219" s="216"/>
      <c r="W219" s="216"/>
      <c r="X219" s="216"/>
      <c r="Y219" s="216"/>
      <c r="Z219" s="217"/>
      <c r="AA219" s="216"/>
      <c r="AB219" s="216"/>
      <c r="AC219" s="216"/>
      <c r="AD219" s="216"/>
      <c r="AE219" s="216"/>
      <c r="AF219" s="216"/>
      <c r="AG219" s="216"/>
      <c r="AH219" s="216"/>
      <c r="AI219" s="216"/>
      <c r="AJ219" s="216"/>
      <c r="AK219" s="216"/>
      <c r="AL219" s="216"/>
      <c r="AM219" s="216"/>
      <c r="AN219" s="216"/>
      <c r="AO219" s="216"/>
      <c r="AP219" s="216"/>
      <c r="AQ219" s="216"/>
      <c r="AR219" s="216"/>
      <c r="AS219" s="216"/>
      <c r="AT219" s="216"/>
      <c r="AU219" s="216"/>
      <c r="AV219" s="216"/>
      <c r="AW219" s="216"/>
      <c r="AX219" s="216"/>
      <c r="AY219" s="216"/>
      <c r="AZ219" s="216"/>
      <c r="BA219" s="216"/>
      <c r="BB219" s="216"/>
      <c r="BC219" s="216"/>
      <c r="BD219" s="216"/>
      <c r="BE219" s="216"/>
      <c r="BF219" s="216"/>
      <c r="BG219" s="216"/>
      <c r="BH219" s="216"/>
      <c r="BI219" s="216"/>
      <c r="BJ219" s="216"/>
      <c r="BK219" s="216"/>
      <c r="BL219" s="216"/>
      <c r="BM219" s="216"/>
      <c r="BN219" s="216"/>
      <c r="BO219" s="216"/>
      <c r="BP219" s="216"/>
      <c r="BQ219" s="216"/>
      <c r="BR219" s="216"/>
      <c r="BS219" s="216"/>
      <c r="BT219" s="216"/>
      <c r="BU219" s="216"/>
      <c r="BV219" s="216"/>
      <c r="BW219" s="216"/>
      <c r="BX219" s="216"/>
      <c r="BY219" s="216"/>
      <c r="BZ219" s="216"/>
      <c r="CA219" s="216"/>
      <c r="CB219" s="216"/>
      <c r="CC219" s="216"/>
      <c r="CD219" s="216"/>
      <c r="CE219" s="216"/>
      <c r="CF219" s="216"/>
      <c r="CG219" s="216"/>
      <c r="CH219" s="216"/>
      <c r="CI219" s="216"/>
      <c r="CJ219" s="216"/>
      <c r="CK219" s="216"/>
      <c r="CL219" s="216"/>
      <c r="CM219" s="216"/>
      <c r="CN219" s="216"/>
      <c r="CO219" s="216"/>
    </row>
    <row r="220" spans="1:93" x14ac:dyDescent="0.2">
      <c r="A220" s="100" t="s">
        <v>505</v>
      </c>
      <c r="C220" s="102"/>
      <c r="D220" s="103"/>
      <c r="F220" s="268"/>
      <c r="G220" s="104"/>
      <c r="H220" s="269" t="s">
        <v>506</v>
      </c>
      <c r="I220" s="104"/>
      <c r="J220" s="104"/>
      <c r="K220" s="104"/>
      <c r="L220" s="268"/>
      <c r="N220" s="270"/>
      <c r="Q220" s="106" t="s">
        <v>604</v>
      </c>
      <c r="R220" s="105"/>
      <c r="S220" s="105"/>
      <c r="U220" s="114"/>
      <c r="V220" s="114"/>
      <c r="W220" s="114"/>
      <c r="Y220" s="114"/>
      <c r="Z220" s="218"/>
    </row>
    <row r="221" spans="1:93" ht="10.8" thickBot="1" x14ac:dyDescent="0.25">
      <c r="A221" s="108"/>
      <c r="B221" s="109"/>
      <c r="C221" s="109"/>
      <c r="D221" s="109"/>
      <c r="E221" s="110" t="s">
        <v>416</v>
      </c>
      <c r="F221" s="271" t="s">
        <v>416</v>
      </c>
      <c r="G221" s="109" t="s">
        <v>416</v>
      </c>
      <c r="H221" s="272" t="s">
        <v>416</v>
      </c>
      <c r="I221" s="109" t="s">
        <v>416</v>
      </c>
      <c r="J221" s="109"/>
      <c r="K221" s="109"/>
      <c r="L221" s="271" t="s">
        <v>416</v>
      </c>
      <c r="M221" s="111"/>
      <c r="N221" s="273"/>
      <c r="O221" s="109"/>
      <c r="P221" s="112"/>
      <c r="Q221" s="109"/>
      <c r="U221" s="114"/>
      <c r="V221" s="114"/>
      <c r="W221" s="114"/>
      <c r="Y221" s="114"/>
      <c r="Z221" s="218"/>
    </row>
    <row r="222" spans="1:93" x14ac:dyDescent="0.2">
      <c r="A222" s="113"/>
      <c r="F222" s="197"/>
      <c r="H222" s="203"/>
      <c r="L222" s="197"/>
      <c r="M222" s="105"/>
      <c r="N222" s="270"/>
      <c r="P222" s="114"/>
      <c r="U222" s="114"/>
      <c r="V222" s="114"/>
      <c r="W222" s="114"/>
      <c r="Y222" s="114"/>
      <c r="Z222" s="218"/>
    </row>
    <row r="223" spans="1:93" x14ac:dyDescent="0.2">
      <c r="A223" s="100" t="s">
        <v>3</v>
      </c>
      <c r="D223" s="106" t="s">
        <v>4</v>
      </c>
      <c r="E223" s="101" t="s">
        <v>508</v>
      </c>
      <c r="F223" s="197"/>
      <c r="H223" s="203"/>
      <c r="L223" s="197"/>
      <c r="N223" s="203"/>
      <c r="O223" s="100" t="s">
        <v>6</v>
      </c>
      <c r="U223" s="114"/>
      <c r="V223" s="114"/>
      <c r="W223" s="114"/>
      <c r="Y223" s="114"/>
      <c r="Z223" s="218"/>
    </row>
    <row r="224" spans="1:93" x14ac:dyDescent="0.2">
      <c r="E224" s="101" t="s">
        <v>509</v>
      </c>
      <c r="F224" s="197"/>
      <c r="H224" s="203"/>
      <c r="L224" s="197"/>
      <c r="N224" s="203"/>
      <c r="U224" s="114"/>
      <c r="V224" s="114"/>
      <c r="W224" s="114"/>
      <c r="Y224" s="114"/>
      <c r="Z224" s="218"/>
    </row>
    <row r="225" spans="1:93" x14ac:dyDescent="0.2">
      <c r="A225" s="100" t="s">
        <v>9</v>
      </c>
      <c r="E225" s="101" t="s">
        <v>510</v>
      </c>
      <c r="F225" s="197"/>
      <c r="H225" s="203"/>
      <c r="L225" s="197"/>
      <c r="N225" s="203"/>
      <c r="O225" s="107" t="str">
        <f>O168</f>
        <v>__X__  Projected Test Year Ended 12/31/26</v>
      </c>
      <c r="U225" s="114"/>
      <c r="V225" s="114"/>
      <c r="W225" s="114"/>
      <c r="Y225" s="114"/>
      <c r="Z225" s="218"/>
    </row>
    <row r="226" spans="1:93" x14ac:dyDescent="0.2">
      <c r="E226" s="101" t="s">
        <v>512</v>
      </c>
      <c r="F226" s="197"/>
      <c r="H226" s="203"/>
      <c r="L226" s="197"/>
      <c r="N226" s="203"/>
      <c r="U226" s="114"/>
      <c r="V226" s="114"/>
      <c r="W226" s="114"/>
      <c r="Y226" s="114"/>
      <c r="Z226" s="218"/>
    </row>
    <row r="227" spans="1:93" x14ac:dyDescent="0.2">
      <c r="A227" s="100" t="s">
        <v>491</v>
      </c>
      <c r="C227" s="119" t="s">
        <v>605</v>
      </c>
      <c r="F227" s="197"/>
      <c r="H227" s="203"/>
      <c r="L227" s="197"/>
      <c r="N227" s="203"/>
      <c r="O227" s="100" t="s">
        <v>493</v>
      </c>
      <c r="U227" s="114"/>
      <c r="V227" s="114"/>
      <c r="W227" s="114"/>
      <c r="Y227" s="114"/>
      <c r="Z227" s="218"/>
    </row>
    <row r="228" spans="1:93" ht="10.8" thickBot="1" x14ac:dyDescent="0.25">
      <c r="A228" s="123"/>
      <c r="B228" s="109"/>
      <c r="C228" s="109"/>
      <c r="D228" s="109"/>
      <c r="E228" s="109"/>
      <c r="F228" s="274"/>
      <c r="G228" s="109"/>
      <c r="H228" s="272"/>
      <c r="I228" s="109"/>
      <c r="J228" s="109"/>
      <c r="K228" s="109"/>
      <c r="L228" s="274"/>
      <c r="M228" s="109"/>
      <c r="N228" s="275"/>
      <c r="O228" s="109"/>
      <c r="P228" s="109"/>
      <c r="Q228" s="109"/>
      <c r="U228" s="114"/>
      <c r="V228" s="114"/>
      <c r="W228" s="114"/>
      <c r="Y228" s="114"/>
      <c r="Z228" s="218"/>
    </row>
    <row r="229" spans="1:93" ht="15.6" x14ac:dyDescent="0.2">
      <c r="B229" s="124"/>
      <c r="C229" s="125"/>
      <c r="D229" s="125"/>
      <c r="E229" s="125"/>
      <c r="F229" s="276"/>
      <c r="G229" s="125"/>
      <c r="H229" s="277"/>
      <c r="I229" s="126" t="s">
        <v>591</v>
      </c>
      <c r="J229" s="125"/>
      <c r="K229" s="125"/>
      <c r="L229" s="276"/>
      <c r="M229" s="125"/>
      <c r="N229" s="277"/>
      <c r="U229" s="127" t="s">
        <v>530</v>
      </c>
      <c r="V229" s="128"/>
      <c r="W229" s="129"/>
      <c r="Y229" s="130" t="s">
        <v>531</v>
      </c>
      <c r="Z229" s="131"/>
    </row>
    <row r="230" spans="1:93" x14ac:dyDescent="0.2">
      <c r="A230" s="101" t="s">
        <v>30</v>
      </c>
      <c r="B230" s="101" t="s">
        <v>532</v>
      </c>
      <c r="C230" s="132"/>
      <c r="D230" s="133" t="s">
        <v>533</v>
      </c>
      <c r="E230" s="134"/>
      <c r="F230" s="278"/>
      <c r="G230" s="133"/>
      <c r="H230" s="279"/>
      <c r="I230" s="135"/>
      <c r="J230" s="136" t="s">
        <v>534</v>
      </c>
      <c r="K230" s="133"/>
      <c r="L230" s="278"/>
      <c r="M230" s="134"/>
      <c r="N230" s="280"/>
      <c r="O230" s="137"/>
      <c r="Q230" s="118" t="s">
        <v>332</v>
      </c>
      <c r="U230" s="138"/>
      <c r="V230" s="139"/>
      <c r="W230" s="140"/>
      <c r="Y230" s="138"/>
      <c r="Z230" s="141"/>
    </row>
    <row r="231" spans="1:93" x14ac:dyDescent="0.2">
      <c r="A231" s="101" t="s">
        <v>39</v>
      </c>
      <c r="B231" s="102" t="s">
        <v>535</v>
      </c>
      <c r="C231" s="104"/>
      <c r="D231" s="142" t="s">
        <v>536</v>
      </c>
      <c r="E231" s="143"/>
      <c r="F231" s="281" t="s">
        <v>537</v>
      </c>
      <c r="G231" s="142"/>
      <c r="H231" s="282" t="s">
        <v>538</v>
      </c>
      <c r="I231" s="144"/>
      <c r="J231" s="142" t="s">
        <v>536</v>
      </c>
      <c r="K231" s="143"/>
      <c r="L231" s="281" t="s">
        <v>537</v>
      </c>
      <c r="M231" s="142"/>
      <c r="N231" s="282" t="s">
        <v>538</v>
      </c>
      <c r="O231" s="132"/>
      <c r="Q231" s="145" t="s">
        <v>539</v>
      </c>
      <c r="R231" s="132"/>
      <c r="S231" s="132"/>
      <c r="U231" s="138" t="s">
        <v>128</v>
      </c>
      <c r="V231" s="146" t="s">
        <v>343</v>
      </c>
      <c r="W231" s="147" t="s">
        <v>344</v>
      </c>
      <c r="Y231" s="148" t="s">
        <v>128</v>
      </c>
      <c r="Z231" s="149"/>
    </row>
    <row r="232" spans="1:93" ht="10.8" thickBot="1" x14ac:dyDescent="0.25">
      <c r="A232" s="109"/>
      <c r="B232" s="110" t="s">
        <v>272</v>
      </c>
      <c r="C232" s="150"/>
      <c r="D232" s="220" t="str">
        <f>+$D$13</f>
        <v>Jan '26-Dec '26</v>
      </c>
      <c r="E232" s="221"/>
      <c r="F232" s="152">
        <f>+$L$13</f>
        <v>46023</v>
      </c>
      <c r="G232" s="153"/>
      <c r="H232" s="153"/>
      <c r="I232" s="153"/>
      <c r="J232" s="153"/>
      <c r="K232" s="151"/>
      <c r="L232" s="152">
        <f>+$L$13</f>
        <v>46023</v>
      </c>
      <c r="M232" s="154"/>
      <c r="N232" s="283"/>
      <c r="O232" s="155"/>
      <c r="P232" s="109"/>
      <c r="Q232" s="156"/>
      <c r="R232" s="132"/>
      <c r="S232" s="132"/>
      <c r="U232" s="157" t="s">
        <v>144</v>
      </c>
      <c r="V232" s="158" t="s">
        <v>540</v>
      </c>
      <c r="W232" s="159" t="s">
        <v>540</v>
      </c>
      <c r="Y232" s="160" t="s">
        <v>144</v>
      </c>
      <c r="Z232" s="159" t="s">
        <v>541</v>
      </c>
      <c r="AH232" s="116"/>
      <c r="AI232" s="116"/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116"/>
      <c r="AY232" s="116"/>
      <c r="AZ232" s="116"/>
      <c r="BA232" s="116"/>
      <c r="BB232" s="116"/>
      <c r="BC232" s="116"/>
      <c r="BD232" s="116"/>
      <c r="BE232" s="116"/>
      <c r="BF232" s="116"/>
      <c r="BG232" s="116"/>
      <c r="BH232" s="116"/>
      <c r="BI232" s="116"/>
      <c r="BJ232" s="116"/>
      <c r="BK232" s="116"/>
      <c r="BL232" s="116"/>
      <c r="BM232" s="116"/>
      <c r="BN232" s="116"/>
      <c r="BO232" s="116"/>
      <c r="BP232" s="116"/>
      <c r="BQ232" s="116"/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</row>
    <row r="233" spans="1:93" x14ac:dyDescent="0.2">
      <c r="A233" s="118">
        <v>1</v>
      </c>
      <c r="B233" s="302"/>
      <c r="C233" s="223"/>
      <c r="D233" s="168"/>
      <c r="E233" s="225"/>
      <c r="F233" s="183"/>
      <c r="G233" s="233"/>
      <c r="H233" s="174"/>
      <c r="I233" s="229"/>
      <c r="J233" s="168"/>
      <c r="K233" s="225"/>
      <c r="L233" s="183"/>
      <c r="M233" s="233"/>
      <c r="N233" s="174"/>
      <c r="O233" s="227"/>
      <c r="P233" s="303"/>
      <c r="Q233" s="303"/>
      <c r="U233" s="184"/>
      <c r="V233" s="179"/>
      <c r="W233" s="180"/>
      <c r="Y233" s="184"/>
      <c r="Z233" s="181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  <c r="BF233" s="116"/>
      <c r="BG233" s="116"/>
      <c r="BH233" s="116"/>
      <c r="BI233" s="116"/>
      <c r="BJ233" s="116"/>
      <c r="BK233" s="116"/>
      <c r="BL233" s="116"/>
      <c r="BM233" s="116"/>
      <c r="BN233" s="116"/>
      <c r="BO233" s="116"/>
      <c r="BP233" s="116"/>
      <c r="BQ233" s="116"/>
      <c r="BR233" s="116"/>
      <c r="BS233" s="116"/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</row>
    <row r="234" spans="1:93" x14ac:dyDescent="0.2">
      <c r="A234" s="118">
        <f t="shared" ref="A234:A274" si="19">+A233+1</f>
        <v>2</v>
      </c>
      <c r="B234" s="239" t="s">
        <v>551</v>
      </c>
      <c r="C234" s="223"/>
      <c r="D234" s="168"/>
      <c r="E234" s="225"/>
      <c r="F234" s="183"/>
      <c r="G234" s="233"/>
      <c r="H234" s="174"/>
      <c r="I234" s="229"/>
      <c r="J234" s="168"/>
      <c r="K234" s="225"/>
      <c r="L234" s="183"/>
      <c r="M234" s="233"/>
      <c r="N234" s="174"/>
      <c r="O234" s="227"/>
      <c r="P234" s="227"/>
      <c r="Q234" s="227"/>
      <c r="U234" s="184"/>
      <c r="V234" s="179"/>
      <c r="W234" s="180"/>
      <c r="Y234" s="184"/>
      <c r="Z234" s="181"/>
      <c r="AH234" s="116"/>
      <c r="AI234" s="116"/>
      <c r="AJ234" s="116"/>
      <c r="AK234" s="116"/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116"/>
      <c r="AY234" s="116"/>
      <c r="AZ234" s="116"/>
      <c r="BA234" s="116"/>
      <c r="BB234" s="116"/>
      <c r="BC234" s="116"/>
      <c r="BD234" s="116"/>
      <c r="BE234" s="116"/>
      <c r="BF234" s="116"/>
      <c r="BG234" s="116"/>
      <c r="BH234" s="116"/>
      <c r="BI234" s="116"/>
      <c r="BJ234" s="116"/>
      <c r="BK234" s="116"/>
      <c r="BL234" s="116"/>
      <c r="BM234" s="116"/>
      <c r="BN234" s="116"/>
      <c r="BO234" s="116"/>
      <c r="BP234" s="116"/>
      <c r="BQ234" s="116"/>
      <c r="BR234" s="116"/>
      <c r="BS234" s="116"/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</row>
    <row r="235" spans="1:93" x14ac:dyDescent="0.2">
      <c r="A235" s="118">
        <f t="shared" si="19"/>
        <v>3</v>
      </c>
      <c r="B235" s="228" t="s">
        <v>543</v>
      </c>
      <c r="C235" s="223"/>
      <c r="D235" s="168"/>
      <c r="E235" s="225"/>
      <c r="F235" s="183"/>
      <c r="G235" s="233"/>
      <c r="H235" s="174"/>
      <c r="I235" s="229"/>
      <c r="J235" s="175"/>
      <c r="K235" s="225"/>
      <c r="L235" s="857">
        <v>0</v>
      </c>
      <c r="M235" s="233"/>
      <c r="N235" s="174"/>
      <c r="O235" s="227"/>
      <c r="P235" s="227"/>
      <c r="Q235" s="227"/>
      <c r="U235" s="184"/>
      <c r="V235" s="179"/>
      <c r="W235" s="180"/>
      <c r="Y235" s="184"/>
      <c r="Z235" s="181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16"/>
      <c r="BA235" s="116"/>
      <c r="BB235" s="116"/>
      <c r="BC235" s="116"/>
      <c r="BD235" s="116"/>
      <c r="BE235" s="116"/>
      <c r="BF235" s="116"/>
      <c r="BG235" s="116"/>
      <c r="BH235" s="116"/>
      <c r="BI235" s="116"/>
      <c r="BJ235" s="116"/>
      <c r="BK235" s="116"/>
      <c r="BL235" s="116"/>
      <c r="BM235" s="116"/>
      <c r="BN235" s="116"/>
      <c r="BO235" s="116"/>
      <c r="BP235" s="116"/>
      <c r="BQ235" s="116"/>
      <c r="BR235" s="116"/>
      <c r="BS235" s="116"/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</row>
    <row r="236" spans="1:93" x14ac:dyDescent="0.2">
      <c r="A236" s="118">
        <f t="shared" si="19"/>
        <v>4</v>
      </c>
      <c r="B236" s="234" t="s">
        <v>149</v>
      </c>
      <c r="C236" s="223"/>
      <c r="D236" s="172">
        <f>SUMIF($AH$6:$CP$6,1,$AH236:$CP236)</f>
        <v>3315163.126174266</v>
      </c>
      <c r="E236" s="225" t="s">
        <v>555</v>
      </c>
      <c r="F236" s="173">
        <f>'Exhibit MJC-3 - E-13c cal yr'!F238</f>
        <v>39.74</v>
      </c>
      <c r="G236" s="233" t="s">
        <v>375</v>
      </c>
      <c r="H236" s="174">
        <f>ROUND(D236*F236,2)</f>
        <v>131744582.63</v>
      </c>
      <c r="I236" s="229"/>
      <c r="J236" s="172">
        <f>SUMIF($AH$6:$CP$6,1,$AH236:$CP236)</f>
        <v>3315163.126174266</v>
      </c>
      <c r="K236" s="225" t="s">
        <v>555</v>
      </c>
      <c r="L236" s="173">
        <f>ROUND(F236*(1+'Exhibit MJC-2 - Old E-8a'!$V$24)+L235,2)</f>
        <v>40.840000000000003</v>
      </c>
      <c r="M236" s="233" t="s">
        <v>375</v>
      </c>
      <c r="N236" s="174">
        <f>ROUND(J236*L236,2)</f>
        <v>135391262.06999999</v>
      </c>
      <c r="O236" s="227"/>
      <c r="P236" s="227"/>
      <c r="Q236" s="1022"/>
      <c r="U236" s="184" t="s">
        <v>122</v>
      </c>
      <c r="V236" s="179">
        <v>244</v>
      </c>
      <c r="W236" s="180">
        <v>218</v>
      </c>
      <c r="Y236" s="184"/>
      <c r="Z236" s="181"/>
      <c r="AB236" s="182">
        <f>SUM(AH236:AS236)</f>
        <v>3268116.7261994653</v>
      </c>
      <c r="AC236" s="182">
        <f>SUM(AT236:BE236)</f>
        <v>3285373.9369279779</v>
      </c>
      <c r="AD236" s="182">
        <f>SUM(BF236:BQ236)</f>
        <v>3299204.3318910887</v>
      </c>
      <c r="AE236" s="182">
        <f>SUM(BR236:CC236)</f>
        <v>3315163.126174266</v>
      </c>
      <c r="AF236" s="182">
        <f>SUM(CD236:CO236)</f>
        <v>3336359.7507218462</v>
      </c>
      <c r="AH236" s="168">
        <v>275026.22858244093</v>
      </c>
      <c r="AI236" s="168">
        <v>226737.57853076211</v>
      </c>
      <c r="AJ236" s="168">
        <v>207969.1849025994</v>
      </c>
      <c r="AK236" s="168">
        <v>241506.45837077755</v>
      </c>
      <c r="AL236" s="168">
        <v>281053.29514892079</v>
      </c>
      <c r="AM236" s="168">
        <v>309997.29434977635</v>
      </c>
      <c r="AN236" s="168">
        <v>298803.34721291967</v>
      </c>
      <c r="AO236" s="168">
        <v>329461.89019602851</v>
      </c>
      <c r="AP236" s="168">
        <v>315792.0420500334</v>
      </c>
      <c r="AQ236" s="168">
        <v>289294.34803335043</v>
      </c>
      <c r="AR236" s="168">
        <v>263560.8348582153</v>
      </c>
      <c r="AS236" s="168">
        <v>228914.22396364048</v>
      </c>
      <c r="AT236" s="168">
        <v>270740.81883481942</v>
      </c>
      <c r="AU236" s="168">
        <v>225000.51831662361</v>
      </c>
      <c r="AV236" s="168">
        <v>202969.36360422801</v>
      </c>
      <c r="AW236" s="168">
        <v>242421.72656160392</v>
      </c>
      <c r="AX236" s="168">
        <v>279155.62331912271</v>
      </c>
      <c r="AY236" s="168">
        <v>303228.83097355958</v>
      </c>
      <c r="AZ236" s="168">
        <v>309079.07503699505</v>
      </c>
      <c r="BA236" s="168">
        <v>333088.01194969885</v>
      </c>
      <c r="BB236" s="168">
        <v>321967.0843734665</v>
      </c>
      <c r="BC236" s="168">
        <v>297524.45295417513</v>
      </c>
      <c r="BD236" s="168">
        <v>270497.22538860521</v>
      </c>
      <c r="BE236" s="168">
        <v>229701.20561508014</v>
      </c>
      <c r="BF236" s="168">
        <v>266457.67334011104</v>
      </c>
      <c r="BG236" s="168">
        <v>227430.40452010892</v>
      </c>
      <c r="BH236" s="168">
        <v>205849.03227433629</v>
      </c>
      <c r="BI236" s="168">
        <v>240043.28058647929</v>
      </c>
      <c r="BJ236" s="168">
        <v>280524.54562528053</v>
      </c>
      <c r="BK236" s="168">
        <v>308999.66933809291</v>
      </c>
      <c r="BL236" s="168">
        <v>311544.3640465393</v>
      </c>
      <c r="BM236" s="168">
        <v>336679.32554554509</v>
      </c>
      <c r="BN236" s="168">
        <v>323198.58022193337</v>
      </c>
      <c r="BO236" s="168">
        <v>294406.73180639825</v>
      </c>
      <c r="BP236" s="168">
        <v>269427.32373316371</v>
      </c>
      <c r="BQ236" s="168">
        <v>234643.40085309971</v>
      </c>
      <c r="BR236" s="168">
        <v>265865.78597687755</v>
      </c>
      <c r="BS236" s="168">
        <v>224749.52532835081</v>
      </c>
      <c r="BT236" s="168">
        <v>208438.29437500384</v>
      </c>
      <c r="BU236" s="168">
        <v>244292.80667342118</v>
      </c>
      <c r="BV236" s="168">
        <v>274465.44022569107</v>
      </c>
      <c r="BW236" s="168">
        <v>314880.52925550978</v>
      </c>
      <c r="BX236" s="168">
        <v>317308.06279983016</v>
      </c>
      <c r="BY236" s="168">
        <v>339946.99197856849</v>
      </c>
      <c r="BZ236" s="168">
        <v>324757.64356233407</v>
      </c>
      <c r="CA236" s="168">
        <v>297794.07510721218</v>
      </c>
      <c r="CB236" s="168">
        <v>270901.42256472871</v>
      </c>
      <c r="CC236" s="168">
        <v>231762.54832673754</v>
      </c>
      <c r="CD236" s="168">
        <v>267679.43239634659</v>
      </c>
      <c r="CE236" s="168">
        <v>222576.88274872472</v>
      </c>
      <c r="CF236" s="168">
        <v>203835.65014889784</v>
      </c>
      <c r="CG236" s="168">
        <v>249368.13535919093</v>
      </c>
      <c r="CH236" s="168">
        <v>281903.18385356845</v>
      </c>
      <c r="CI236" s="168">
        <v>311379.04829919984</v>
      </c>
      <c r="CJ236" s="168">
        <v>317961.90112085117</v>
      </c>
      <c r="CK236" s="168">
        <v>341998.83835510584</v>
      </c>
      <c r="CL236" s="168">
        <v>333232.57560930704</v>
      </c>
      <c r="CM236" s="168">
        <v>299651.82862602972</v>
      </c>
      <c r="CN236" s="168">
        <v>274990.23250717035</v>
      </c>
      <c r="CO236" s="168">
        <v>231782.04169745374</v>
      </c>
    </row>
    <row r="237" spans="1:93" x14ac:dyDescent="0.2">
      <c r="A237" s="118">
        <f t="shared" si="19"/>
        <v>5</v>
      </c>
      <c r="B237" s="234" t="s">
        <v>148</v>
      </c>
      <c r="C237" s="223"/>
      <c r="D237" s="172">
        <f>SUMIF($AH$6:$CP$6,1,$AH237:$CP237)</f>
        <v>81271.097926922128</v>
      </c>
      <c r="E237" s="225" t="s">
        <v>555</v>
      </c>
      <c r="F237" s="173">
        <f>'Exhibit MJC-3 - E-13c cal yr'!F239</f>
        <v>39.74</v>
      </c>
      <c r="G237" s="233" t="s">
        <v>375</v>
      </c>
      <c r="H237" s="174">
        <f>ROUND(D237*F237,2)</f>
        <v>3229713.43</v>
      </c>
      <c r="I237" s="229"/>
      <c r="J237" s="172">
        <f>SUMIF($AH$6:$CP$6,1,$AH237:$CP237)</f>
        <v>81271.097926922128</v>
      </c>
      <c r="K237" s="225" t="s">
        <v>555</v>
      </c>
      <c r="L237" s="310">
        <f>L236</f>
        <v>40.840000000000003</v>
      </c>
      <c r="M237" s="233" t="s">
        <v>375</v>
      </c>
      <c r="N237" s="174">
        <f>ROUND(J237*L237,2)</f>
        <v>3319111.64</v>
      </c>
      <c r="O237" s="227"/>
      <c r="P237" s="227"/>
      <c r="Q237" s="227"/>
      <c r="U237" s="184" t="s">
        <v>122</v>
      </c>
      <c r="V237" s="179">
        <v>244</v>
      </c>
      <c r="W237" s="180">
        <v>218</v>
      </c>
      <c r="Y237" s="184"/>
      <c r="Z237" s="181"/>
      <c r="AB237" s="182">
        <f>SUM(AH237:AS237)</f>
        <v>80179.589755324181</v>
      </c>
      <c r="AC237" s="182">
        <f>SUM(AT237:BE237)</f>
        <v>80576.999150569507</v>
      </c>
      <c r="AD237" s="182">
        <f>SUM(BF237:BQ237)</f>
        <v>80950.258670562398</v>
      </c>
      <c r="AE237" s="182">
        <f>SUM(BR237:CC237)</f>
        <v>81271.097926922128</v>
      </c>
      <c r="AF237" s="182">
        <f>SUM(CD237:CO237)</f>
        <v>81781.377009266769</v>
      </c>
      <c r="AH237" s="168">
        <v>4713.1636022757148</v>
      </c>
      <c r="AI237" s="168">
        <v>7156.5385074305195</v>
      </c>
      <c r="AJ237" s="168">
        <v>6269.8449684757798</v>
      </c>
      <c r="AK237" s="168">
        <v>5485.1746356589765</v>
      </c>
      <c r="AL237" s="168">
        <v>8691.6108599820254</v>
      </c>
      <c r="AM237" s="168">
        <v>6680.4423799355236</v>
      </c>
      <c r="AN237" s="168">
        <v>6346.905688373603</v>
      </c>
      <c r="AO237" s="168">
        <v>8002.5803538038945</v>
      </c>
      <c r="AP237" s="168">
        <v>7674.870575969092</v>
      </c>
      <c r="AQ237" s="168">
        <v>7832.3691709188497</v>
      </c>
      <c r="AR237" s="168">
        <v>6205.7252945710079</v>
      </c>
      <c r="AS237" s="168">
        <v>5120.36371792919</v>
      </c>
      <c r="AT237" s="168">
        <v>4639.7239258221925</v>
      </c>
      <c r="AU237" s="168">
        <v>7101.7115202466512</v>
      </c>
      <c r="AV237" s="168">
        <v>6119.1105968160873</v>
      </c>
      <c r="AW237" s="168">
        <v>5505.9625098177639</v>
      </c>
      <c r="AX237" s="168">
        <v>8632.9251040444724</v>
      </c>
      <c r="AY237" s="168">
        <v>6534.5819791847298</v>
      </c>
      <c r="AZ237" s="168">
        <v>6565.1732412210959</v>
      </c>
      <c r="BA237" s="168">
        <v>8090.6583123476175</v>
      </c>
      <c r="BB237" s="168">
        <v>7824.9460823872423</v>
      </c>
      <c r="BC237" s="168">
        <v>8055.1914296097248</v>
      </c>
      <c r="BD237" s="168">
        <v>6369.0474899594847</v>
      </c>
      <c r="BE237" s="168">
        <v>5137.9669591124366</v>
      </c>
      <c r="BF237" s="168">
        <v>4566.3230521929354</v>
      </c>
      <c r="BG237" s="168">
        <v>7178.4062362112472</v>
      </c>
      <c r="BH237" s="168">
        <v>6205.9267091675947</v>
      </c>
      <c r="BI237" s="168">
        <v>5451.9424574222739</v>
      </c>
      <c r="BJ237" s="168">
        <v>8675.2592100237962</v>
      </c>
      <c r="BK237" s="168">
        <v>6658.9435587238331</v>
      </c>
      <c r="BL237" s="168">
        <v>6617.5386413550204</v>
      </c>
      <c r="BM237" s="168">
        <v>8177.8907859103974</v>
      </c>
      <c r="BN237" s="168">
        <v>7854.8758145947713</v>
      </c>
      <c r="BO237" s="168">
        <v>7970.7820964603798</v>
      </c>
      <c r="BP237" s="168">
        <v>6343.8559027137962</v>
      </c>
      <c r="BQ237" s="168">
        <v>5248.5142057863586</v>
      </c>
      <c r="BR237" s="168">
        <v>4556.1797942519834</v>
      </c>
      <c r="BS237" s="168">
        <v>7093.7894060681874</v>
      </c>
      <c r="BT237" s="168">
        <v>6283.9876582526185</v>
      </c>
      <c r="BU237" s="168">
        <v>5548.4591007572471</v>
      </c>
      <c r="BV237" s="168">
        <v>8487.8805626219146</v>
      </c>
      <c r="BW237" s="168">
        <v>6785.6761029712943</v>
      </c>
      <c r="BX237" s="168">
        <v>6739.9658254697488</v>
      </c>
      <c r="BY237" s="168">
        <v>8257.2619179831781</v>
      </c>
      <c r="BZ237" s="168">
        <v>7892.7666027211471</v>
      </c>
      <c r="CA237" s="168">
        <v>8062.4911928218289</v>
      </c>
      <c r="CB237" s="168">
        <v>6378.5645968589715</v>
      </c>
      <c r="CC237" s="168">
        <v>5184.0751661440145</v>
      </c>
      <c r="CD237" s="168">
        <v>4587.2605109374344</v>
      </c>
      <c r="CE237" s="168">
        <v>7025.2140936531441</v>
      </c>
      <c r="CF237" s="168">
        <v>6145.2273618353856</v>
      </c>
      <c r="CG237" s="168">
        <v>5663.7316461070532</v>
      </c>
      <c r="CH237" s="168">
        <v>8717.8937821985292</v>
      </c>
      <c r="CI237" s="168">
        <v>6710.2191806064247</v>
      </c>
      <c r="CJ237" s="168">
        <v>6753.8540573040746</v>
      </c>
      <c r="CK237" s="168">
        <v>8307.1009615585426</v>
      </c>
      <c r="CL237" s="168">
        <v>8098.7376150949958</v>
      </c>
      <c r="CM237" s="168">
        <v>8112.7881014440291</v>
      </c>
      <c r="CN237" s="168">
        <v>6474.8385037850676</v>
      </c>
      <c r="CO237" s="168">
        <v>5184.5111947420928</v>
      </c>
    </row>
    <row r="238" spans="1:93" x14ac:dyDescent="0.2">
      <c r="A238" s="118">
        <f t="shared" si="19"/>
        <v>6</v>
      </c>
      <c r="B238" s="234" t="s">
        <v>216</v>
      </c>
      <c r="C238" s="223"/>
      <c r="D238" s="172">
        <f>SUMIF($AH$6:$CP$6,1,$AH238:$CP238)</f>
        <v>180.09584422264081</v>
      </c>
      <c r="E238" s="225" t="s">
        <v>555</v>
      </c>
      <c r="F238" s="173">
        <f>'Exhibit MJC-3 - E-13c cal yr'!F240</f>
        <v>39.74</v>
      </c>
      <c r="G238" s="233" t="s">
        <v>375</v>
      </c>
      <c r="H238" s="174">
        <f>ROUND(D238*F238,2)</f>
        <v>7157.01</v>
      </c>
      <c r="I238" s="229"/>
      <c r="J238" s="172">
        <f>SUMIF($AH$6:$CP$6,1,$AH238:$CP238)</f>
        <v>180.09584422264081</v>
      </c>
      <c r="K238" s="225" t="s">
        <v>555</v>
      </c>
      <c r="L238" s="310">
        <f>L237</f>
        <v>40.840000000000003</v>
      </c>
      <c r="M238" s="233" t="s">
        <v>375</v>
      </c>
      <c r="N238" s="174">
        <f>ROUND(J238*L238,2)</f>
        <v>7355.11</v>
      </c>
      <c r="O238" s="227"/>
      <c r="P238" s="247"/>
      <c r="Q238" s="227"/>
      <c r="U238" s="184" t="s">
        <v>122</v>
      </c>
      <c r="V238" s="179">
        <v>244</v>
      </c>
      <c r="W238" s="180">
        <v>218</v>
      </c>
      <c r="Y238" s="184"/>
      <c r="Z238" s="181"/>
      <c r="AB238" s="182">
        <f>SUM(AH238:AS238)</f>
        <v>179.30533029371068</v>
      </c>
      <c r="AC238" s="182">
        <f>SUM(AT238:BE238)</f>
        <v>177.87020417499377</v>
      </c>
      <c r="AD238" s="182">
        <f>SUM(BF238:BQ238)</f>
        <v>179.54774319095776</v>
      </c>
      <c r="AE238" s="182">
        <f>SUM(BR238:CC238)</f>
        <v>180.09584422264081</v>
      </c>
      <c r="AF238" s="182">
        <f>SUM(CD238:CO238)</f>
        <v>180.885393077147</v>
      </c>
      <c r="AH238" s="168">
        <v>1.2174780503610769</v>
      </c>
      <c r="AI238" s="168">
        <v>0.84333422890501919</v>
      </c>
      <c r="AJ238" s="168">
        <v>0</v>
      </c>
      <c r="AK238" s="168">
        <v>0.11307239854016378</v>
      </c>
      <c r="AL238" s="168">
        <v>1.0614171922974205</v>
      </c>
      <c r="AM238" s="168">
        <v>80.229360686859351</v>
      </c>
      <c r="AN238" s="168">
        <v>-77.406341665174153</v>
      </c>
      <c r="AO238" s="168">
        <v>30.742818629694607</v>
      </c>
      <c r="AP238" s="168">
        <v>32.853651776076752</v>
      </c>
      <c r="AQ238" s="168">
        <v>34.421203152336616</v>
      </c>
      <c r="AR238" s="168">
        <v>34.618654657044516</v>
      </c>
      <c r="AS238" s="168">
        <v>40.610681186769312</v>
      </c>
      <c r="AT238" s="168">
        <v>1.1985075240537337</v>
      </c>
      <c r="AU238" s="168">
        <v>0.83687335750582437</v>
      </c>
      <c r="AV238" s="168">
        <v>0</v>
      </c>
      <c r="AW238" s="168">
        <v>0.11350092360049722</v>
      </c>
      <c r="AX238" s="168">
        <v>1.0542505034869627</v>
      </c>
      <c r="AY238" s="168">
        <v>78.477637367321009</v>
      </c>
      <c r="AZ238" s="168">
        <v>-80.068314853318995</v>
      </c>
      <c r="BA238" s="168">
        <v>31.081180081260214</v>
      </c>
      <c r="BB238" s="168">
        <v>33.496076736755363</v>
      </c>
      <c r="BC238" s="168">
        <v>35.400448392938742</v>
      </c>
      <c r="BD238" s="168">
        <v>35.529747947772414</v>
      </c>
      <c r="BE238" s="168">
        <v>40.750296193618034</v>
      </c>
      <c r="BF238" s="168">
        <v>1.1795470210748431</v>
      </c>
      <c r="BG238" s="168">
        <v>0.8459111456881887</v>
      </c>
      <c r="BH238" s="168">
        <v>0</v>
      </c>
      <c r="BI238" s="168">
        <v>0.11238734430733956</v>
      </c>
      <c r="BJ238" s="168">
        <v>1.0594203331803145</v>
      </c>
      <c r="BK238" s="168">
        <v>79.971168701472948</v>
      </c>
      <c r="BL238" s="168">
        <v>-80.706958982162007</v>
      </c>
      <c r="BM238" s="168">
        <v>31.416293506530025</v>
      </c>
      <c r="BN238" s="168">
        <v>33.624196291341235</v>
      </c>
      <c r="BO238" s="168">
        <v>35.029491567375075</v>
      </c>
      <c r="BP238" s="168">
        <v>35.389216612960638</v>
      </c>
      <c r="BQ238" s="168">
        <v>41.62706964918916</v>
      </c>
      <c r="BR238" s="168">
        <v>1.1769268714377084</v>
      </c>
      <c r="BS238" s="168">
        <v>0.83593980701279558</v>
      </c>
      <c r="BT238" s="168">
        <v>0</v>
      </c>
      <c r="BU238" s="168">
        <v>0.11437695614029442</v>
      </c>
      <c r="BV238" s="168">
        <v>1.0365377029031688</v>
      </c>
      <c r="BW238" s="168">
        <v>81.493174344951171</v>
      </c>
      <c r="BX238" s="168">
        <v>-82.200070887078056</v>
      </c>
      <c r="BY238" s="168">
        <v>31.721206698259142</v>
      </c>
      <c r="BZ238" s="168">
        <v>33.786394565084485</v>
      </c>
      <c r="CA238" s="168">
        <v>35.432528932939427</v>
      </c>
      <c r="CB238" s="168">
        <v>35.58283915330415</v>
      </c>
      <c r="CC238" s="168">
        <v>41.115990077686526</v>
      </c>
      <c r="CD238" s="168">
        <v>1.1849554682671832</v>
      </c>
      <c r="CE238" s="168">
        <v>0.8278588181160802</v>
      </c>
      <c r="CF238" s="168">
        <v>0</v>
      </c>
      <c r="CG238" s="168">
        <v>0.11675320558617308</v>
      </c>
      <c r="CH238" s="168">
        <v>1.0646268557250433</v>
      </c>
      <c r="CI238" s="168">
        <v>80.58696779508044</v>
      </c>
      <c r="CJ238" s="168">
        <v>-82.36945062442976</v>
      </c>
      <c r="CK238" s="168">
        <v>31.912669027854687</v>
      </c>
      <c r="CL238" s="168">
        <v>34.668090204055176</v>
      </c>
      <c r="CM238" s="168">
        <v>35.653570621838298</v>
      </c>
      <c r="CN238" s="168">
        <v>36.119903392882172</v>
      </c>
      <c r="CO238" s="168">
        <v>41.119448312171492</v>
      </c>
    </row>
    <row r="239" spans="1:93" x14ac:dyDescent="0.2">
      <c r="A239" s="118">
        <f t="shared" si="19"/>
        <v>7</v>
      </c>
      <c r="B239" s="226" t="s">
        <v>546</v>
      </c>
      <c r="C239" s="296"/>
      <c r="D239" s="168"/>
      <c r="E239" s="225"/>
      <c r="F239" s="183"/>
      <c r="G239" s="233"/>
      <c r="H239" s="174"/>
      <c r="I239" s="229"/>
      <c r="J239" s="168"/>
      <c r="K239" s="225"/>
      <c r="L239" s="183"/>
      <c r="M239" s="233"/>
      <c r="N239" s="174"/>
      <c r="O239" s="227"/>
      <c r="S239" s="227"/>
      <c r="T239" s="227"/>
      <c r="U239" s="184"/>
      <c r="V239" s="179"/>
      <c r="W239" s="180"/>
      <c r="Y239" s="184"/>
      <c r="Z239" s="181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  <c r="AT239" s="168"/>
      <c r="AU239" s="168"/>
      <c r="AV239" s="168"/>
      <c r="AW239" s="168"/>
      <c r="AX239" s="168"/>
      <c r="AY239" s="168"/>
      <c r="AZ239" s="168"/>
      <c r="BA239" s="168"/>
      <c r="BB239" s="168"/>
      <c r="BC239" s="168"/>
      <c r="BD239" s="168"/>
      <c r="BE239" s="168"/>
      <c r="BF239" s="168"/>
      <c r="BG239" s="168"/>
      <c r="BH239" s="168"/>
      <c r="BI239" s="168"/>
      <c r="BJ239" s="168"/>
      <c r="BK239" s="168"/>
      <c r="BL239" s="168"/>
      <c r="BM239" s="168"/>
      <c r="BN239" s="168"/>
      <c r="BO239" s="168"/>
      <c r="BP239" s="168"/>
      <c r="BQ239" s="168"/>
      <c r="BR239" s="168"/>
      <c r="BS239" s="168"/>
      <c r="BT239" s="168"/>
      <c r="BU239" s="168"/>
      <c r="BV239" s="168"/>
      <c r="BW239" s="168"/>
      <c r="BX239" s="168"/>
      <c r="BY239" s="168"/>
      <c r="BZ239" s="168"/>
      <c r="CA239" s="168"/>
      <c r="CB239" s="168"/>
      <c r="CC239" s="168"/>
      <c r="CD239" s="168"/>
      <c r="CE239" s="168"/>
      <c r="CF239" s="168"/>
      <c r="CG239" s="168"/>
      <c r="CH239" s="168"/>
      <c r="CI239" s="168"/>
      <c r="CJ239" s="168"/>
      <c r="CK239" s="168"/>
      <c r="CL239" s="168"/>
      <c r="CM239" s="168"/>
      <c r="CN239" s="168"/>
      <c r="CO239" s="168"/>
    </row>
    <row r="240" spans="1:93" x14ac:dyDescent="0.2">
      <c r="A240" s="118">
        <f t="shared" si="19"/>
        <v>8</v>
      </c>
      <c r="B240" s="234" t="s">
        <v>149</v>
      </c>
      <c r="C240" s="223"/>
      <c r="D240" s="168"/>
      <c r="E240" s="225"/>
      <c r="F240" s="183"/>
      <c r="G240" s="233"/>
      <c r="H240" s="174"/>
      <c r="I240" s="229"/>
      <c r="J240" s="168"/>
      <c r="K240" s="225"/>
      <c r="L240" s="857">
        <v>0</v>
      </c>
      <c r="M240" s="233"/>
      <c r="N240" s="174"/>
      <c r="O240" s="227"/>
      <c r="S240" s="227"/>
      <c r="T240" s="858" t="s">
        <v>558</v>
      </c>
      <c r="U240" s="184"/>
      <c r="V240" s="179"/>
      <c r="W240" s="180"/>
      <c r="Y240" s="184"/>
      <c r="Z240" s="181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  <c r="AT240" s="168"/>
      <c r="AU240" s="168"/>
      <c r="AV240" s="168"/>
      <c r="AW240" s="168"/>
      <c r="AX240" s="168"/>
      <c r="AY240" s="168"/>
      <c r="AZ240" s="168"/>
      <c r="BA240" s="168"/>
      <c r="BB240" s="168"/>
      <c r="BC240" s="168"/>
      <c r="BD240" s="168"/>
      <c r="BE240" s="168"/>
      <c r="BF240" s="168"/>
      <c r="BG240" s="168"/>
      <c r="BH240" s="168"/>
      <c r="BI240" s="168"/>
      <c r="BJ240" s="168"/>
      <c r="BK240" s="168"/>
      <c r="BL240" s="168"/>
      <c r="BM240" s="168"/>
      <c r="BN240" s="168"/>
      <c r="BO240" s="168"/>
      <c r="BP240" s="168"/>
      <c r="BQ240" s="168"/>
      <c r="BR240" s="168"/>
      <c r="BS240" s="168"/>
      <c r="BT240" s="168"/>
      <c r="BU240" s="168"/>
      <c r="BV240" s="168"/>
      <c r="BW240" s="168"/>
      <c r="BX240" s="168"/>
      <c r="BY240" s="168"/>
      <c r="BZ240" s="168"/>
      <c r="CA240" s="168"/>
      <c r="CB240" s="168"/>
      <c r="CC240" s="168"/>
      <c r="CD240" s="168"/>
      <c r="CE240" s="168"/>
      <c r="CF240" s="168"/>
      <c r="CG240" s="168"/>
      <c r="CH240" s="168"/>
      <c r="CI240" s="168"/>
      <c r="CJ240" s="168"/>
      <c r="CK240" s="168"/>
      <c r="CL240" s="168"/>
      <c r="CM240" s="168"/>
      <c r="CN240" s="168"/>
      <c r="CO240" s="168"/>
    </row>
    <row r="241" spans="1:93" x14ac:dyDescent="0.2">
      <c r="A241" s="118">
        <f t="shared" si="19"/>
        <v>9</v>
      </c>
      <c r="B241" s="243" t="s">
        <v>559</v>
      </c>
      <c r="C241" s="223"/>
      <c r="D241" s="172">
        <f>SUMIF($AH$6:$CP$6,1,$AH241:$CP241)+(SUM($AE$241:$AE$243)*'TOU Split'!D20)</f>
        <v>968631.49881306151</v>
      </c>
      <c r="E241" s="225" t="s">
        <v>555</v>
      </c>
      <c r="F241" s="173">
        <f>'Exhibit MJC-3 - E-13c cal yr'!F243</f>
        <v>47.24</v>
      </c>
      <c r="G241" s="233" t="s">
        <v>375</v>
      </c>
      <c r="H241" s="174">
        <f>ROUND(D241*F241,2)</f>
        <v>45758152</v>
      </c>
      <c r="I241" s="229"/>
      <c r="J241" s="172">
        <f>D241</f>
        <v>968631.49881306151</v>
      </c>
      <c r="K241" s="225" t="s">
        <v>555</v>
      </c>
      <c r="L241" s="173">
        <f>ROUND(F241*(1+'Exhibit MJC-2 - Old E-8a'!$V$24)+L240,2)</f>
        <v>48.55</v>
      </c>
      <c r="M241" s="233" t="s">
        <v>375</v>
      </c>
      <c r="N241" s="174">
        <f>ROUND(J241*L241,2)</f>
        <v>47027059.270000003</v>
      </c>
      <c r="O241" s="227"/>
      <c r="Q241" s="1022"/>
      <c r="R241" s="288"/>
      <c r="S241" s="227"/>
      <c r="T241" s="859">
        <f>'MFR E-14C'!Z149</f>
        <v>1.4</v>
      </c>
      <c r="U241" s="184" t="s">
        <v>592</v>
      </c>
      <c r="V241" s="179">
        <v>245</v>
      </c>
      <c r="W241" s="180">
        <v>219</v>
      </c>
      <c r="Y241" s="184"/>
      <c r="Z241" s="181"/>
      <c r="AB241" s="182">
        <f>SUM(AH241:AS241)</f>
        <v>961682.83832756313</v>
      </c>
      <c r="AC241" s="182">
        <f t="shared" ref="AC241:AC251" si="20">SUM(AT241:BE241)</f>
        <v>962359.21891285363</v>
      </c>
      <c r="AD241" s="182">
        <f t="shared" ref="AD241:AD251" si="21">SUM(BF241:BQ241)</f>
        <v>966382.81407191593</v>
      </c>
      <c r="AE241" s="182">
        <f t="shared" ref="AE241:AE251" si="22">SUM(BR241:CC241)</f>
        <v>968631.49881306151</v>
      </c>
      <c r="AF241" s="182">
        <f t="shared" ref="AF241:AF251" si="23">SUM(CD241:CO241)</f>
        <v>971851.09730989323</v>
      </c>
      <c r="AH241" s="168">
        <v>140078.99197888665</v>
      </c>
      <c r="AI241" s="168">
        <v>143592.50251557078</v>
      </c>
      <c r="AJ241" s="168">
        <v>91606.431111558239</v>
      </c>
      <c r="AK241" s="168">
        <v>58959.302901261057</v>
      </c>
      <c r="AL241" s="168">
        <v>60943.259650931024</v>
      </c>
      <c r="AM241" s="168">
        <v>64511.351062360482</v>
      </c>
      <c r="AN241" s="168">
        <v>62998.276005269108</v>
      </c>
      <c r="AO241" s="168">
        <v>67758.035121268811</v>
      </c>
      <c r="AP241" s="168">
        <v>63733.012981917345</v>
      </c>
      <c r="AQ241" s="168">
        <v>62508.59983147883</v>
      </c>
      <c r="AR241" s="168">
        <v>57814.020985096693</v>
      </c>
      <c r="AS241" s="168">
        <v>87179.054181964122</v>
      </c>
      <c r="AT241" s="168">
        <v>137896.30605559345</v>
      </c>
      <c r="AU241" s="168">
        <v>142492.42539211974</v>
      </c>
      <c r="AV241" s="168">
        <v>89404.105870182393</v>
      </c>
      <c r="AW241" s="168">
        <v>59182.748579951665</v>
      </c>
      <c r="AX241" s="168">
        <v>60531.77076589816</v>
      </c>
      <c r="AY241" s="168">
        <v>63102.813875183689</v>
      </c>
      <c r="AZ241" s="168">
        <v>65164.761567276022</v>
      </c>
      <c r="BA241" s="168">
        <v>68503.793257340309</v>
      </c>
      <c r="BB241" s="168">
        <v>64979.25734579812</v>
      </c>
      <c r="BC241" s="168">
        <v>64286.900508848477</v>
      </c>
      <c r="BD241" s="168">
        <v>59335.56961693542</v>
      </c>
      <c r="BE241" s="168">
        <v>87478.766077726294</v>
      </c>
      <c r="BF241" s="168">
        <v>135714.77338327304</v>
      </c>
      <c r="BG241" s="168">
        <v>144031.26797413654</v>
      </c>
      <c r="BH241" s="168">
        <v>90672.544604391645</v>
      </c>
      <c r="BI241" s="168">
        <v>58602.095302073802</v>
      </c>
      <c r="BJ241" s="168">
        <v>60828.606237981585</v>
      </c>
      <c r="BK241" s="168">
        <v>64303.742355670656</v>
      </c>
      <c r="BL241" s="168">
        <v>65684.531372081285</v>
      </c>
      <c r="BM241" s="168">
        <v>69242.392652293274</v>
      </c>
      <c r="BN241" s="168">
        <v>65227.797303892046</v>
      </c>
      <c r="BO241" s="168">
        <v>63613.246201609625</v>
      </c>
      <c r="BP241" s="168">
        <v>59100.87876541735</v>
      </c>
      <c r="BQ241" s="168">
        <v>89360.937919095071</v>
      </c>
      <c r="BR241" s="168">
        <v>135413.30764440828</v>
      </c>
      <c r="BS241" s="168">
        <v>142333.47198204327</v>
      </c>
      <c r="BT241" s="168">
        <v>91813.06482312335</v>
      </c>
      <c r="BU241" s="168">
        <v>59639.537933782485</v>
      </c>
      <c r="BV241" s="168">
        <v>59514.757085549907</v>
      </c>
      <c r="BW241" s="168">
        <v>65527.566645740058</v>
      </c>
      <c r="BX241" s="168">
        <v>66899.722193261419</v>
      </c>
      <c r="BY241" s="168">
        <v>69914.429884889905</v>
      </c>
      <c r="BZ241" s="168">
        <v>65542.446791156981</v>
      </c>
      <c r="CA241" s="168">
        <v>64345.158485143082</v>
      </c>
      <c r="CB241" s="168">
        <v>59424.233260891058</v>
      </c>
      <c r="CC241" s="168">
        <v>88263.802083071758</v>
      </c>
      <c r="CD241" s="168">
        <v>136337.05140352101</v>
      </c>
      <c r="CE241" s="168">
        <v>140957.54132642824</v>
      </c>
      <c r="CF241" s="168">
        <v>89785.688452786315</v>
      </c>
      <c r="CG241" s="168">
        <v>60878.584886507633</v>
      </c>
      <c r="CH241" s="168">
        <v>61127.548498974204</v>
      </c>
      <c r="CI241" s="168">
        <v>64798.898133698742</v>
      </c>
      <c r="CJ241" s="168">
        <v>67037.574353870426</v>
      </c>
      <c r="CK241" s="168">
        <v>70336.418233108692</v>
      </c>
      <c r="CL241" s="168">
        <v>67252.853901685172</v>
      </c>
      <c r="CM241" s="168">
        <v>64746.568232975078</v>
      </c>
      <c r="CN241" s="168">
        <v>60321.144002365858</v>
      </c>
      <c r="CO241" s="168">
        <v>88271.225883971652</v>
      </c>
    </row>
    <row r="242" spans="1:93" x14ac:dyDescent="0.2">
      <c r="A242" s="118">
        <f t="shared" si="19"/>
        <v>10</v>
      </c>
      <c r="B242" s="243" t="s">
        <v>560</v>
      </c>
      <c r="C242" s="223"/>
      <c r="D242" s="172">
        <f>SUMIF($AH$6:$CP$6,1,$AH242:$CP242)+(SUM($AE$241:$AE$243)*'TOU Split'!D21)</f>
        <v>5309902.6463971417</v>
      </c>
      <c r="E242" s="225" t="s">
        <v>555</v>
      </c>
      <c r="F242" s="173">
        <f>'Exhibit MJC-3 - E-13c cal yr'!F244</f>
        <v>34.99</v>
      </c>
      <c r="G242" s="233" t="s">
        <v>375</v>
      </c>
      <c r="H242" s="174">
        <f>ROUND(D242*F242,2)</f>
        <v>185793493.59999999</v>
      </c>
      <c r="I242" s="229"/>
      <c r="J242" s="172">
        <f t="shared" ref="J242:J243" si="24">D242</f>
        <v>5309902.6463971417</v>
      </c>
      <c r="K242" s="225" t="s">
        <v>555</v>
      </c>
      <c r="L242" s="173">
        <f>ROUND(F242*(1+'Exhibit MJC-2 - Old E-8a'!$V$24)+L240,2)</f>
        <v>35.96</v>
      </c>
      <c r="M242" s="233" t="s">
        <v>375</v>
      </c>
      <c r="N242" s="174">
        <f>ROUND(J242*L242,2)</f>
        <v>190944099.16</v>
      </c>
      <c r="O242" s="227"/>
      <c r="Q242" s="1022"/>
      <c r="R242" s="288"/>
      <c r="S242" s="227"/>
      <c r="T242" s="859">
        <f>'MFR E-14C'!Z150</f>
        <v>1</v>
      </c>
      <c r="U242" s="184" t="s">
        <v>592</v>
      </c>
      <c r="V242" s="179">
        <v>245</v>
      </c>
      <c r="W242" s="180">
        <v>219</v>
      </c>
      <c r="Y242" s="184"/>
      <c r="Z242" s="181"/>
      <c r="AB242" s="182">
        <f>SUM(AH242:AS242)</f>
        <v>5412287.9990909193</v>
      </c>
      <c r="AC242" s="182">
        <f t="shared" si="20"/>
        <v>5438206.672975678</v>
      </c>
      <c r="AD242" s="182">
        <f t="shared" si="21"/>
        <v>5461111.3251428884</v>
      </c>
      <c r="AE242" s="182">
        <f t="shared" si="22"/>
        <v>5487781.8349836338</v>
      </c>
      <c r="AF242" s="182">
        <f t="shared" si="23"/>
        <v>5519465.5879296642</v>
      </c>
      <c r="AH242" s="168">
        <v>471354.02068064158</v>
      </c>
      <c r="AI242" s="168">
        <v>432885.76055620721</v>
      </c>
      <c r="AJ242" s="168">
        <v>390104.35625876556</v>
      </c>
      <c r="AK242" s="168">
        <v>440726.11199600081</v>
      </c>
      <c r="AL242" s="168">
        <v>397030.35537456605</v>
      </c>
      <c r="AM242" s="168">
        <v>492710.61193814571</v>
      </c>
      <c r="AN242" s="168">
        <v>477515.94696876931</v>
      </c>
      <c r="AO242" s="168">
        <v>505511.58909785026</v>
      </c>
      <c r="AP242" s="168">
        <v>494628.57191308064</v>
      </c>
      <c r="AQ242" s="168">
        <v>471864.85175609367</v>
      </c>
      <c r="AR242" s="168">
        <v>426757.34620875638</v>
      </c>
      <c r="AS242" s="168">
        <v>411198.47634204128</v>
      </c>
      <c r="AT242" s="168">
        <v>464009.46621681197</v>
      </c>
      <c r="AU242" s="168">
        <v>429569.37763987796</v>
      </c>
      <c r="AV242" s="168">
        <v>380725.79342060513</v>
      </c>
      <c r="AW242" s="168">
        <v>442396.38861674943</v>
      </c>
      <c r="AX242" s="168">
        <v>394349.60644198454</v>
      </c>
      <c r="AY242" s="168">
        <v>481952.79632891051</v>
      </c>
      <c r="AZ242" s="168">
        <v>493937.52975381853</v>
      </c>
      <c r="BA242" s="168">
        <v>511075.34813799144</v>
      </c>
      <c r="BB242" s="168">
        <v>504300.6090743547</v>
      </c>
      <c r="BC242" s="168">
        <v>485288.88601325237</v>
      </c>
      <c r="BD242" s="168">
        <v>437988.7403444185</v>
      </c>
      <c r="BE242" s="168">
        <v>412612.13098690304</v>
      </c>
      <c r="BF242" s="168">
        <v>456668.79234546219</v>
      </c>
      <c r="BG242" s="168">
        <v>434208.49897158111</v>
      </c>
      <c r="BH242" s="168">
        <v>386127.41719153657</v>
      </c>
      <c r="BI242" s="168">
        <v>438055.95294359693</v>
      </c>
      <c r="BJ242" s="168">
        <v>396283.41657363944</v>
      </c>
      <c r="BK242" s="168">
        <v>491124.98380864097</v>
      </c>
      <c r="BL242" s="168">
        <v>497877.29424081172</v>
      </c>
      <c r="BM242" s="168">
        <v>516585.69909756602</v>
      </c>
      <c r="BN242" s="168">
        <v>506229.51465693279</v>
      </c>
      <c r="BO242" s="168">
        <v>480203.60509707284</v>
      </c>
      <c r="BP242" s="168">
        <v>436256.35703554715</v>
      </c>
      <c r="BQ242" s="168">
        <v>421489.79318049981</v>
      </c>
      <c r="BR242" s="168">
        <v>455654.38550183811</v>
      </c>
      <c r="BS242" s="168">
        <v>429090.183624811</v>
      </c>
      <c r="BT242" s="168">
        <v>390984.30224130576</v>
      </c>
      <c r="BU242" s="168">
        <v>445810.93027529272</v>
      </c>
      <c r="BV242" s="168">
        <v>387724.01231980824</v>
      </c>
      <c r="BW242" s="168">
        <v>500472.03986830986</v>
      </c>
      <c r="BX242" s="168">
        <v>507088.22876979882</v>
      </c>
      <c r="BY242" s="168">
        <v>521599.46032565983</v>
      </c>
      <c r="BZ242" s="168">
        <v>508671.49282895483</v>
      </c>
      <c r="CA242" s="168">
        <v>485728.66376258561</v>
      </c>
      <c r="CB242" s="168">
        <v>438643.21586359164</v>
      </c>
      <c r="CC242" s="168">
        <v>416314.91960167664</v>
      </c>
      <c r="CD242" s="168">
        <v>458762.70552031772</v>
      </c>
      <c r="CE242" s="168">
        <v>424942.18997685611</v>
      </c>
      <c r="CF242" s="168">
        <v>382350.75605630671</v>
      </c>
      <c r="CG242" s="168">
        <v>455072.9181072989</v>
      </c>
      <c r="CH242" s="168">
        <v>398230.95191714104</v>
      </c>
      <c r="CI242" s="168">
        <v>494906.77573175676</v>
      </c>
      <c r="CJ242" s="168">
        <v>508133.1241096236</v>
      </c>
      <c r="CK242" s="168">
        <v>524747.7216367661</v>
      </c>
      <c r="CL242" s="168">
        <v>521945.87272859289</v>
      </c>
      <c r="CM242" s="168">
        <v>488758.82523900399</v>
      </c>
      <c r="CN242" s="168">
        <v>445263.81137478392</v>
      </c>
      <c r="CO242" s="168">
        <v>416349.93553121778</v>
      </c>
    </row>
    <row r="243" spans="1:93" x14ac:dyDescent="0.2">
      <c r="A243" s="118">
        <f t="shared" si="19"/>
        <v>11</v>
      </c>
      <c r="B243" s="243" t="s">
        <v>561</v>
      </c>
      <c r="C243" s="223"/>
      <c r="D243" s="172">
        <f>SUMIF($AH$6:$CP$6,1,$AH243:$CP243)+(SUM($AE$241:$AE$243)*'TOU Split'!D22)</f>
        <v>1377472.6196674642</v>
      </c>
      <c r="E243" s="225" t="s">
        <v>555</v>
      </c>
      <c r="F243" s="173">
        <f>'Exhibit MJC-3 - E-13c cal yr'!F245</f>
        <v>23.71</v>
      </c>
      <c r="G243" s="233" t="s">
        <v>375</v>
      </c>
      <c r="H243" s="174">
        <f>ROUND(D243*F243,2)</f>
        <v>32659875.809999999</v>
      </c>
      <c r="I243" s="229"/>
      <c r="J243" s="172">
        <f t="shared" si="24"/>
        <v>1377472.6196674642</v>
      </c>
      <c r="K243" s="225" t="s">
        <v>555</v>
      </c>
      <c r="L243" s="173">
        <f>ROUND(F243*(1+'Exhibit MJC-2 - Old E-8a'!$V$24)+L240,2)</f>
        <v>24.37</v>
      </c>
      <c r="M243" s="233" t="s">
        <v>375</v>
      </c>
      <c r="N243" s="174">
        <f>ROUND(J243*L243,2)</f>
        <v>33569007.740000002</v>
      </c>
      <c r="O243" s="227"/>
      <c r="Q243" s="1022"/>
      <c r="R243" s="293"/>
      <c r="S243" s="227"/>
      <c r="T243" s="859">
        <f>'MFR E-14C'!Z151</f>
        <v>0.67665476953530823</v>
      </c>
      <c r="U243" s="184" t="s">
        <v>592</v>
      </c>
      <c r="V243" s="179">
        <v>245</v>
      </c>
      <c r="W243" s="180">
        <v>219</v>
      </c>
      <c r="Y243" s="184"/>
      <c r="Z243" s="181"/>
      <c r="AB243" s="182">
        <f>SUM(AH243:AS243)</f>
        <v>1175056.9751415562</v>
      </c>
      <c r="AC243" s="182">
        <f t="shared" si="20"/>
        <v>1186687.2899356426</v>
      </c>
      <c r="AD243" s="182">
        <f t="shared" si="21"/>
        <v>1192558.7978362571</v>
      </c>
      <c r="AE243" s="182">
        <f t="shared" si="22"/>
        <v>1199593.4310809718</v>
      </c>
      <c r="AF243" s="182">
        <f t="shared" si="23"/>
        <v>1211230.2925500069</v>
      </c>
      <c r="AH243" s="168">
        <v>8.8848242787838469E-2</v>
      </c>
      <c r="AI243" s="168">
        <v>2.0212940281265532</v>
      </c>
      <c r="AJ243" s="168">
        <v>35091.5602869758</v>
      </c>
      <c r="AK243" s="168">
        <v>83147.24946622095</v>
      </c>
      <c r="AL243" s="168">
        <v>169479.66194628782</v>
      </c>
      <c r="AM243" s="168">
        <v>138875.36477186563</v>
      </c>
      <c r="AN243" s="168">
        <v>136377.53992411718</v>
      </c>
      <c r="AO243" s="168">
        <v>144584.16998472481</v>
      </c>
      <c r="AP243" s="168">
        <v>140832.9304652992</v>
      </c>
      <c r="AQ243" s="168">
        <v>135052.05230545369</v>
      </c>
      <c r="AR243" s="168">
        <v>122350.65214051661</v>
      </c>
      <c r="AS243" s="168">
        <v>69263.683707823831</v>
      </c>
      <c r="AT243" s="168">
        <v>8.746382528095363E-2</v>
      </c>
      <c r="AU243" s="168">
        <v>2.0058086839675218</v>
      </c>
      <c r="AV243" s="168">
        <v>34247.918328201595</v>
      </c>
      <c r="AW243" s="168">
        <v>83462.363327376137</v>
      </c>
      <c r="AX243" s="168">
        <v>168335.3352803124</v>
      </c>
      <c r="AY243" s="168">
        <v>135843.16791902302</v>
      </c>
      <c r="AZ243" s="168">
        <v>141067.50907823991</v>
      </c>
      <c r="BA243" s="168">
        <v>146175.49152939889</v>
      </c>
      <c r="BB243" s="168">
        <v>143586.79753715705</v>
      </c>
      <c r="BC243" s="168">
        <v>138894.13414287163</v>
      </c>
      <c r="BD243" s="168">
        <v>125570.67496883654</v>
      </c>
      <c r="BE243" s="168">
        <v>69501.804551716137</v>
      </c>
      <c r="BF243" s="168">
        <v>8.6080139249366958E-2</v>
      </c>
      <c r="BG243" s="168">
        <v>2.0274703533915233</v>
      </c>
      <c r="BH243" s="168">
        <v>34733.817557892493</v>
      </c>
      <c r="BI243" s="168">
        <v>82643.498100459517</v>
      </c>
      <c r="BJ243" s="168">
        <v>169160.81747064012</v>
      </c>
      <c r="BK243" s="168">
        <v>138428.43978275024</v>
      </c>
      <c r="BL243" s="168">
        <v>142192.69744530335</v>
      </c>
      <c r="BM243" s="168">
        <v>147751.53753308486</v>
      </c>
      <c r="BN243" s="168">
        <v>144136.00443948916</v>
      </c>
      <c r="BO243" s="168">
        <v>137438.68006163655</v>
      </c>
      <c r="BP243" s="168">
        <v>125074.00343059412</v>
      </c>
      <c r="BQ243" s="168">
        <v>70997.188463914063</v>
      </c>
      <c r="BR243" s="168">
        <v>8.5888927842285259E-2</v>
      </c>
      <c r="BS243" s="168">
        <v>2.0035711606086464</v>
      </c>
      <c r="BT243" s="168">
        <v>35170.715202834042</v>
      </c>
      <c r="BU243" s="168">
        <v>84106.549681141085</v>
      </c>
      <c r="BV243" s="168">
        <v>165507.07936280107</v>
      </c>
      <c r="BW243" s="168">
        <v>141063.00008727348</v>
      </c>
      <c r="BX243" s="168">
        <v>144823.32077723477</v>
      </c>
      <c r="BY243" s="168">
        <v>149185.55115670775</v>
      </c>
      <c r="BZ243" s="168">
        <v>144831.29573810546</v>
      </c>
      <c r="CA243" s="168">
        <v>139020.00257190311</v>
      </c>
      <c r="CB243" s="168">
        <v>125758.31205884149</v>
      </c>
      <c r="CC243" s="168">
        <v>70125.514984040972</v>
      </c>
      <c r="CD243" s="168">
        <v>8.6474833042086877E-2</v>
      </c>
      <c r="CE243" s="168">
        <v>1.9842027369891104</v>
      </c>
      <c r="CF243" s="168">
        <v>34394.090687930329</v>
      </c>
      <c r="CG243" s="168">
        <v>85853.913388122703</v>
      </c>
      <c r="CH243" s="168">
        <v>169992.15851843907</v>
      </c>
      <c r="CI243" s="168">
        <v>139494.37528340463</v>
      </c>
      <c r="CJ243" s="168">
        <v>145121.74066630457</v>
      </c>
      <c r="CK243" s="168">
        <v>150086.00281474713</v>
      </c>
      <c r="CL243" s="168">
        <v>148610.8384647723</v>
      </c>
      <c r="CM243" s="168">
        <v>139887.26260342321</v>
      </c>
      <c r="CN243" s="168">
        <v>127656.42625780996</v>
      </c>
      <c r="CO243" s="168">
        <v>70131.413187482889</v>
      </c>
    </row>
    <row r="244" spans="1:93" x14ac:dyDescent="0.2">
      <c r="A244" s="118">
        <f t="shared" si="19"/>
        <v>12</v>
      </c>
      <c r="B244" s="234" t="s">
        <v>148</v>
      </c>
      <c r="C244" s="223"/>
      <c r="D244" s="168"/>
      <c r="E244" s="225"/>
      <c r="F244" s="183"/>
      <c r="G244" s="233"/>
      <c r="H244" s="174"/>
      <c r="I244" s="229"/>
      <c r="J244" s="168"/>
      <c r="K244" s="225"/>
      <c r="L244" s="183"/>
      <c r="M244" s="233"/>
      <c r="N244" s="174"/>
      <c r="O244" s="227"/>
      <c r="S244" s="227"/>
      <c r="T244" s="227"/>
      <c r="U244" s="184"/>
      <c r="V244" s="179"/>
      <c r="W244" s="180"/>
      <c r="Y244" s="184"/>
      <c r="Z244" s="181"/>
      <c r="AB244" s="182"/>
      <c r="AC244" s="182">
        <f t="shared" si="20"/>
        <v>0</v>
      </c>
      <c r="AD244" s="182">
        <f t="shared" si="21"/>
        <v>0</v>
      </c>
      <c r="AE244" s="182">
        <f t="shared" si="22"/>
        <v>0</v>
      </c>
      <c r="AF244" s="182">
        <f t="shared" si="23"/>
        <v>0</v>
      </c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  <c r="AT244" s="168"/>
      <c r="AU244" s="168"/>
      <c r="AV244" s="168"/>
      <c r="AW244" s="168"/>
      <c r="AX244" s="168"/>
      <c r="AY244" s="168"/>
      <c r="AZ244" s="168"/>
      <c r="BA244" s="168"/>
      <c r="BB244" s="168"/>
      <c r="BC244" s="168"/>
      <c r="BD244" s="168"/>
      <c r="BE244" s="168"/>
      <c r="BF244" s="168"/>
      <c r="BG244" s="168"/>
      <c r="BH244" s="168"/>
      <c r="BI244" s="168"/>
      <c r="BJ244" s="168"/>
      <c r="BK244" s="168"/>
      <c r="BL244" s="168"/>
      <c r="BM244" s="168"/>
      <c r="BN244" s="168"/>
      <c r="BO244" s="168"/>
      <c r="BP244" s="168"/>
      <c r="BQ244" s="168"/>
      <c r="BR244" s="168"/>
      <c r="BS244" s="168"/>
      <c r="BT244" s="168"/>
      <c r="BU244" s="168"/>
      <c r="BV244" s="168"/>
      <c r="BW244" s="168"/>
      <c r="BX244" s="168"/>
      <c r="BY244" s="168"/>
      <c r="BZ244" s="168"/>
      <c r="CA244" s="168"/>
      <c r="CB244" s="168"/>
      <c r="CC244" s="168"/>
      <c r="CD244" s="168"/>
      <c r="CE244" s="168"/>
      <c r="CF244" s="168"/>
      <c r="CG244" s="168"/>
      <c r="CH244" s="168"/>
      <c r="CI244" s="168"/>
      <c r="CJ244" s="168"/>
      <c r="CK244" s="168"/>
      <c r="CL244" s="168"/>
      <c r="CM244" s="168"/>
      <c r="CN244" s="168"/>
      <c r="CO244" s="168"/>
    </row>
    <row r="245" spans="1:93" x14ac:dyDescent="0.2">
      <c r="A245" s="118">
        <f t="shared" si="19"/>
        <v>13</v>
      </c>
      <c r="B245" s="243" t="s">
        <v>559</v>
      </c>
      <c r="C245" s="223"/>
      <c r="D245" s="172">
        <f>SUMIF($AH$6:$CP$6,1,$AH245:$CP245)+(SUM($AE$245:$AE$247)*'TOU Split'!D20)</f>
        <v>209484.34243318421</v>
      </c>
      <c r="E245" s="225" t="s">
        <v>555</v>
      </c>
      <c r="F245" s="173">
        <f>'Exhibit MJC-3 - E-13c cal yr'!F247</f>
        <v>47.24</v>
      </c>
      <c r="G245" s="233" t="s">
        <v>375</v>
      </c>
      <c r="H245" s="174">
        <f>ROUND(D245*F245,2)</f>
        <v>9896040.3399999999</v>
      </c>
      <c r="I245" s="229"/>
      <c r="J245" s="172">
        <f t="shared" ref="J245:J247" si="25">D245</f>
        <v>209484.34243318421</v>
      </c>
      <c r="K245" s="225" t="s">
        <v>555</v>
      </c>
      <c r="L245" s="183">
        <f>L241</f>
        <v>48.55</v>
      </c>
      <c r="M245" s="233" t="s">
        <v>375</v>
      </c>
      <c r="N245" s="174">
        <f>ROUND(J245*L245,2)</f>
        <v>10170464.83</v>
      </c>
      <c r="O245" s="227"/>
      <c r="S245" s="227"/>
      <c r="T245" s="227"/>
      <c r="U245" s="184" t="s">
        <v>592</v>
      </c>
      <c r="V245" s="179">
        <v>245</v>
      </c>
      <c r="W245" s="180">
        <v>219</v>
      </c>
      <c r="Y245" s="184"/>
      <c r="Z245" s="181"/>
      <c r="AB245" s="182">
        <f>SUM(AH245:AS245)</f>
        <v>207289.39701007149</v>
      </c>
      <c r="AC245" s="182">
        <f t="shared" si="20"/>
        <v>207437.25831595281</v>
      </c>
      <c r="AD245" s="182">
        <f t="shared" si="21"/>
        <v>208570.77303261115</v>
      </c>
      <c r="AE245" s="182">
        <f t="shared" si="22"/>
        <v>209484.34243318421</v>
      </c>
      <c r="AF245" s="182">
        <f t="shared" si="23"/>
        <v>209823.4071783344</v>
      </c>
      <c r="AH245" s="168">
        <v>19367.159991962217</v>
      </c>
      <c r="AI245" s="168">
        <v>25606.830084347959</v>
      </c>
      <c r="AJ245" s="168">
        <v>35802.024868464483</v>
      </c>
      <c r="AK245" s="168">
        <v>14769.54198317378</v>
      </c>
      <c r="AL245" s="168">
        <v>11161.378123543114</v>
      </c>
      <c r="AM245" s="168">
        <v>12648.691752997085</v>
      </c>
      <c r="AN245" s="168">
        <v>17950.727815237457</v>
      </c>
      <c r="AO245" s="168">
        <v>12761.59162812425</v>
      </c>
      <c r="AP245" s="168">
        <v>14501.286973972123</v>
      </c>
      <c r="AQ245" s="168">
        <v>13235.018307148248</v>
      </c>
      <c r="AR245" s="168">
        <v>12363.182975708283</v>
      </c>
      <c r="AS245" s="168">
        <v>17121.962505392537</v>
      </c>
      <c r="AT245" s="168">
        <v>19065.384351722067</v>
      </c>
      <c r="AU245" s="168">
        <v>25410.653490957677</v>
      </c>
      <c r="AV245" s="168">
        <v>34941.302514111827</v>
      </c>
      <c r="AW245" s="168">
        <v>14825.516022383616</v>
      </c>
      <c r="AX245" s="168">
        <v>11086.016499209376</v>
      </c>
      <c r="AY245" s="168">
        <v>12372.520933291098</v>
      </c>
      <c r="AZ245" s="168">
        <v>18568.046178615765</v>
      </c>
      <c r="BA245" s="168">
        <v>12902.048191967386</v>
      </c>
      <c r="BB245" s="168">
        <v>14784.847193625603</v>
      </c>
      <c r="BC245" s="168">
        <v>13611.539971112141</v>
      </c>
      <c r="BD245" s="168">
        <v>12688.557060079787</v>
      </c>
      <c r="BE245" s="168">
        <v>17180.825908876464</v>
      </c>
      <c r="BF245" s="168">
        <v>18763.768158632309</v>
      </c>
      <c r="BG245" s="168">
        <v>25685.075064744167</v>
      </c>
      <c r="BH245" s="168">
        <v>35437.039271403235</v>
      </c>
      <c r="BI245" s="168">
        <v>14680.060046086768</v>
      </c>
      <c r="BJ245" s="168">
        <v>11140.38006563789</v>
      </c>
      <c r="BK245" s="168">
        <v>12607.986071083533</v>
      </c>
      <c r="BL245" s="168">
        <v>18716.149378961411</v>
      </c>
      <c r="BM245" s="168">
        <v>13041.156473934238</v>
      </c>
      <c r="BN245" s="168">
        <v>14841.397936924714</v>
      </c>
      <c r="BO245" s="168">
        <v>13468.906363688007</v>
      </c>
      <c r="BP245" s="168">
        <v>12638.36982365161</v>
      </c>
      <c r="BQ245" s="168">
        <v>17550.48437786326</v>
      </c>
      <c r="BR245" s="168">
        <v>18722.087853011832</v>
      </c>
      <c r="BS245" s="168">
        <v>25382.307352462642</v>
      </c>
      <c r="BT245" s="168">
        <v>35882.782356670832</v>
      </c>
      <c r="BU245" s="168">
        <v>14939.943588635027</v>
      </c>
      <c r="BV245" s="168">
        <v>10899.756783070125</v>
      </c>
      <c r="BW245" s="168">
        <v>12847.940372923449</v>
      </c>
      <c r="BX245" s="168">
        <v>19062.405833229383</v>
      </c>
      <c r="BY245" s="168">
        <v>13167.728395713601</v>
      </c>
      <c r="BZ245" s="168">
        <v>14912.990700196964</v>
      </c>
      <c r="CA245" s="168">
        <v>13623.874999970174</v>
      </c>
      <c r="CB245" s="168">
        <v>12707.517250615561</v>
      </c>
      <c r="CC245" s="168">
        <v>17335.006946684614</v>
      </c>
      <c r="CD245" s="168">
        <v>18849.80360054526</v>
      </c>
      <c r="CE245" s="168">
        <v>25136.937838811609</v>
      </c>
      <c r="CF245" s="168">
        <v>35090.434282984272</v>
      </c>
      <c r="CG245" s="168">
        <v>15250.329822645372</v>
      </c>
      <c r="CH245" s="168">
        <v>11195.12947732274</v>
      </c>
      <c r="CI245" s="168">
        <v>12705.070889535691</v>
      </c>
      <c r="CJ245" s="168">
        <v>19101.685425795178</v>
      </c>
      <c r="CK245" s="168">
        <v>13247.205950842772</v>
      </c>
      <c r="CL245" s="168">
        <v>15302.16270370995</v>
      </c>
      <c r="CM245" s="168">
        <v>13708.865951224034</v>
      </c>
      <c r="CN245" s="168">
        <v>12899.316254054353</v>
      </c>
      <c r="CO245" s="168">
        <v>17336.464980863209</v>
      </c>
    </row>
    <row r="246" spans="1:93" x14ac:dyDescent="0.2">
      <c r="A246" s="118">
        <f t="shared" si="19"/>
        <v>14</v>
      </c>
      <c r="B246" s="243" t="s">
        <v>560</v>
      </c>
      <c r="C246" s="223"/>
      <c r="D246" s="172">
        <f>SUMIF($AH$6:$CP$6,1,$AH246:$CP246)+(SUM($AE$245:$AE$247)*'TOU Split'!D21)</f>
        <v>1139084.8818034285</v>
      </c>
      <c r="E246" s="225" t="s">
        <v>555</v>
      </c>
      <c r="F246" s="173">
        <f>'Exhibit MJC-3 - E-13c cal yr'!F248</f>
        <v>34.99</v>
      </c>
      <c r="G246" s="233" t="s">
        <v>375</v>
      </c>
      <c r="H246" s="174">
        <f>ROUND(D246*F246,2)</f>
        <v>39856580.009999998</v>
      </c>
      <c r="I246" s="229"/>
      <c r="J246" s="172">
        <f t="shared" si="25"/>
        <v>1139084.8818034285</v>
      </c>
      <c r="K246" s="225" t="s">
        <v>555</v>
      </c>
      <c r="L246" s="183">
        <f>L242</f>
        <v>35.96</v>
      </c>
      <c r="M246" s="233" t="s">
        <v>375</v>
      </c>
      <c r="N246" s="174">
        <f>ROUND(J246*L246,2)</f>
        <v>40961492.350000001</v>
      </c>
      <c r="O246" s="227"/>
      <c r="S246" s="263"/>
      <c r="T246" s="247"/>
      <c r="U246" s="184" t="s">
        <v>592</v>
      </c>
      <c r="V246" s="179">
        <v>245</v>
      </c>
      <c r="W246" s="180">
        <v>219</v>
      </c>
      <c r="Y246" s="184"/>
      <c r="Z246" s="181"/>
      <c r="AB246" s="182">
        <f>SUM(AH246:AS246)</f>
        <v>1159329.5279140726</v>
      </c>
      <c r="AC246" s="182">
        <f t="shared" si="20"/>
        <v>1165288.2600201133</v>
      </c>
      <c r="AD246" s="182">
        <f t="shared" si="21"/>
        <v>1171216.8534050847</v>
      </c>
      <c r="AE246" s="182">
        <f t="shared" si="22"/>
        <v>1178182.9628710411</v>
      </c>
      <c r="AF246" s="182">
        <f t="shared" si="23"/>
        <v>1183657.5115180467</v>
      </c>
      <c r="AH246" s="168">
        <v>62891.141199747981</v>
      </c>
      <c r="AI246" s="168">
        <v>83699.014781979044</v>
      </c>
      <c r="AJ246" s="168">
        <v>134791.57326740847</v>
      </c>
      <c r="AK246" s="168">
        <v>96843.13572684463</v>
      </c>
      <c r="AL246" s="168">
        <v>76431.721518596445</v>
      </c>
      <c r="AM246" s="168">
        <v>96017.836497530603</v>
      </c>
      <c r="AN246" s="168">
        <v>126574.07886619237</v>
      </c>
      <c r="AO246" s="168">
        <v>96700.608303883535</v>
      </c>
      <c r="AP246" s="168">
        <v>109937.70602899311</v>
      </c>
      <c r="AQ246" s="168">
        <v>99823.968931401076</v>
      </c>
      <c r="AR246" s="168">
        <v>89835.508552176398</v>
      </c>
      <c r="AS246" s="168">
        <v>85783.234239318786</v>
      </c>
      <c r="AT246" s="168">
        <v>61911.182630248666</v>
      </c>
      <c r="AU246" s="168">
        <v>83057.787908681363</v>
      </c>
      <c r="AV246" s="168">
        <v>131551.02693753273</v>
      </c>
      <c r="AW246" s="168">
        <v>97210.154655566526</v>
      </c>
      <c r="AX246" s="168">
        <v>75915.654540082818</v>
      </c>
      <c r="AY246" s="168">
        <v>93921.38849091086</v>
      </c>
      <c r="AZ246" s="168">
        <v>130926.9109082152</v>
      </c>
      <c r="BA246" s="168">
        <v>97764.914039382187</v>
      </c>
      <c r="BB246" s="168">
        <v>112087.4435057932</v>
      </c>
      <c r="BC246" s="168">
        <v>102663.85067642524</v>
      </c>
      <c r="BD246" s="168">
        <v>92199.798265969803</v>
      </c>
      <c r="BE246" s="168">
        <v>86078.147461304572</v>
      </c>
      <c r="BF246" s="168">
        <v>60931.741834819135</v>
      </c>
      <c r="BG246" s="168">
        <v>83954.767944288702</v>
      </c>
      <c r="BH246" s="168">
        <v>133417.43359154995</v>
      </c>
      <c r="BI246" s="168">
        <v>96256.407215676794</v>
      </c>
      <c r="BJ246" s="168">
        <v>76287.929444134046</v>
      </c>
      <c r="BK246" s="168">
        <v>95708.834461049657</v>
      </c>
      <c r="BL246" s="168">
        <v>131971.21542632906</v>
      </c>
      <c r="BM246" s="168">
        <v>98819.003206179928</v>
      </c>
      <c r="BN246" s="168">
        <v>112516.16814269593</v>
      </c>
      <c r="BO246" s="168">
        <v>101588.04915763244</v>
      </c>
      <c r="BP246" s="168">
        <v>91835.119047340413</v>
      </c>
      <c r="BQ246" s="168">
        <v>87930.183933388616</v>
      </c>
      <c r="BR246" s="168">
        <v>60796.393028534992</v>
      </c>
      <c r="BS246" s="168">
        <v>82965.135133734468</v>
      </c>
      <c r="BT246" s="168">
        <v>135095.61832990008</v>
      </c>
      <c r="BU246" s="168">
        <v>97960.450388636847</v>
      </c>
      <c r="BV246" s="168">
        <v>74640.171298093221</v>
      </c>
      <c r="BW246" s="168">
        <v>97530.358249506637</v>
      </c>
      <c r="BX246" s="168">
        <v>134412.73714074332</v>
      </c>
      <c r="BY246" s="168">
        <v>99778.098449698184</v>
      </c>
      <c r="BZ246" s="168">
        <v>113058.92991112071</v>
      </c>
      <c r="CA246" s="168">
        <v>102756.88655358963</v>
      </c>
      <c r="CB246" s="168">
        <v>92337.570097250966</v>
      </c>
      <c r="CC246" s="168">
        <v>86850.614290232203</v>
      </c>
      <c r="CD246" s="168">
        <v>61211.125447479724</v>
      </c>
      <c r="CE246" s="168">
        <v>82163.115263157917</v>
      </c>
      <c r="CF246" s="168">
        <v>132112.49534118644</v>
      </c>
      <c r="CG246" s="168">
        <v>99995.637141364365</v>
      </c>
      <c r="CH246" s="168">
        <v>76662.846568245892</v>
      </c>
      <c r="CI246" s="168">
        <v>96445.817732250231</v>
      </c>
      <c r="CJ246" s="168">
        <v>134689.70520011277</v>
      </c>
      <c r="CK246" s="168">
        <v>100380.33742987046</v>
      </c>
      <c r="CL246" s="168">
        <v>116009.33544365843</v>
      </c>
      <c r="CM246" s="168">
        <v>103397.92337579282</v>
      </c>
      <c r="CN246" s="168">
        <v>93731.253345940218</v>
      </c>
      <c r="CO246" s="168">
        <v>86857.919228987448</v>
      </c>
    </row>
    <row r="247" spans="1:93" x14ac:dyDescent="0.2">
      <c r="A247" s="118">
        <f t="shared" si="19"/>
        <v>15</v>
      </c>
      <c r="B247" s="243" t="s">
        <v>561</v>
      </c>
      <c r="C247" s="223"/>
      <c r="D247" s="172">
        <f>SUMIF($AH$6:$CP$6,1,$AH247:$CP247)+(SUM($AE$245:$AE$247)*'TOU Split'!D22)</f>
        <v>334231.19511558855</v>
      </c>
      <c r="E247" s="225" t="s">
        <v>555</v>
      </c>
      <c r="F247" s="173">
        <f>'Exhibit MJC-3 - E-13c cal yr'!F249</f>
        <v>23.71</v>
      </c>
      <c r="G247" s="233" t="s">
        <v>375</v>
      </c>
      <c r="H247" s="174">
        <f>ROUND(D247*F247,2)</f>
        <v>7924621.6399999997</v>
      </c>
      <c r="I247" s="229"/>
      <c r="J247" s="172">
        <f t="shared" si="25"/>
        <v>334231.19511558855</v>
      </c>
      <c r="K247" s="225" t="s">
        <v>555</v>
      </c>
      <c r="L247" s="183">
        <f>L243</f>
        <v>24.37</v>
      </c>
      <c r="M247" s="233" t="s">
        <v>375</v>
      </c>
      <c r="N247" s="174">
        <f>ROUND(J247*L247,2)</f>
        <v>8145214.2199999997</v>
      </c>
      <c r="O247" s="227"/>
      <c r="R247" s="292"/>
      <c r="S247" s="263"/>
      <c r="T247" s="197"/>
      <c r="U247" s="184" t="s">
        <v>592</v>
      </c>
      <c r="V247" s="179">
        <v>245</v>
      </c>
      <c r="W247" s="180">
        <v>219</v>
      </c>
      <c r="Y247" s="184"/>
      <c r="Z247" s="181"/>
      <c r="AB247" s="182">
        <f>SUM(AH247:AS247)</f>
        <v>288684.25802575867</v>
      </c>
      <c r="AC247" s="182">
        <f t="shared" si="20"/>
        <v>291896.17196716357</v>
      </c>
      <c r="AD247" s="182">
        <f t="shared" si="21"/>
        <v>293336.13190090487</v>
      </c>
      <c r="AE247" s="182">
        <f t="shared" si="22"/>
        <v>295133.1140479758</v>
      </c>
      <c r="AF247" s="182">
        <f t="shared" si="23"/>
        <v>298018.06579560868</v>
      </c>
      <c r="AH247" s="168">
        <v>-2.7250766490196157E-3</v>
      </c>
      <c r="AI247" s="168">
        <v>0</v>
      </c>
      <c r="AJ247" s="168">
        <v>6328.6152555054023</v>
      </c>
      <c r="AK247" s="168">
        <v>18703.517231088848</v>
      </c>
      <c r="AL247" s="168">
        <v>39336.557279614906</v>
      </c>
      <c r="AM247" s="168">
        <v>32715.512637157342</v>
      </c>
      <c r="AN247" s="168">
        <v>40104.541684463227</v>
      </c>
      <c r="AO247" s="168">
        <v>32793.797424094118</v>
      </c>
      <c r="AP247" s="168">
        <v>36700.726258819996</v>
      </c>
      <c r="AQ247" s="168">
        <v>33948.534698971918</v>
      </c>
      <c r="AR247" s="168">
        <v>29909.158445507433</v>
      </c>
      <c r="AS247" s="168">
        <v>18143.299835612124</v>
      </c>
      <c r="AT247" s="168">
        <v>-2.6826149896538296E-3</v>
      </c>
      <c r="AU247" s="168">
        <v>0</v>
      </c>
      <c r="AV247" s="168">
        <v>6176.467977732048</v>
      </c>
      <c r="AW247" s="168">
        <v>18774.400363961038</v>
      </c>
      <c r="AX247" s="168">
        <v>39070.956847528854</v>
      </c>
      <c r="AY247" s="168">
        <v>32001.203986227934</v>
      </c>
      <c r="AZ247" s="168">
        <v>41483.720862684349</v>
      </c>
      <c r="BA247" s="168">
        <v>33154.73234787002</v>
      </c>
      <c r="BB247" s="168">
        <v>37418.377458887422</v>
      </c>
      <c r="BC247" s="168">
        <v>34914.333043738028</v>
      </c>
      <c r="BD247" s="168">
        <v>30696.307277863183</v>
      </c>
      <c r="BE247" s="168">
        <v>18205.674483285664</v>
      </c>
      <c r="BF247" s="168">
        <v>-2.6401757654673091E-3</v>
      </c>
      <c r="BG247" s="168">
        <v>0</v>
      </c>
      <c r="BH247" s="168">
        <v>6264.0978594618018</v>
      </c>
      <c r="BI247" s="168">
        <v>18590.201127306835</v>
      </c>
      <c r="BJ247" s="168">
        <v>39262.55286023167</v>
      </c>
      <c r="BK247" s="168">
        <v>32610.228448321664</v>
      </c>
      <c r="BL247" s="168">
        <v>41814.604993567453</v>
      </c>
      <c r="BM247" s="168">
        <v>33512.20255627107</v>
      </c>
      <c r="BN247" s="168">
        <v>37561.499469594368</v>
      </c>
      <c r="BO247" s="168">
        <v>34548.470159493838</v>
      </c>
      <c r="BP247" s="168">
        <v>30574.893722048164</v>
      </c>
      <c r="BQ247" s="168">
        <v>18597.38334478379</v>
      </c>
      <c r="BR247" s="168">
        <v>-2.634311094156828E-3</v>
      </c>
      <c r="BS247" s="168">
        <v>0</v>
      </c>
      <c r="BT247" s="168">
        <v>6342.8905115485095</v>
      </c>
      <c r="BU247" s="168">
        <v>18919.306547208504</v>
      </c>
      <c r="BV247" s="168">
        <v>38414.513179757952</v>
      </c>
      <c r="BW247" s="168">
        <v>33230.864016606727</v>
      </c>
      <c r="BX247" s="168">
        <v>42588.192368220698</v>
      </c>
      <c r="BY247" s="168">
        <v>33837.45775040087</v>
      </c>
      <c r="BZ247" s="168">
        <v>37742.69072604517</v>
      </c>
      <c r="CA247" s="168">
        <v>34945.973057033174</v>
      </c>
      <c r="CB247" s="168">
        <v>30742.175995005502</v>
      </c>
      <c r="CC247" s="168">
        <v>18369.052530459769</v>
      </c>
      <c r="CD247" s="168">
        <v>-2.6522814729557785E-3</v>
      </c>
      <c r="CE247" s="168">
        <v>0</v>
      </c>
      <c r="CF247" s="168">
        <v>6202.8295478117889</v>
      </c>
      <c r="CG247" s="168">
        <v>19312.36641884968</v>
      </c>
      <c r="CH247" s="168">
        <v>39455.508725083484</v>
      </c>
      <c r="CI247" s="168">
        <v>32861.335809222845</v>
      </c>
      <c r="CJ247" s="168">
        <v>42675.948701758687</v>
      </c>
      <c r="CK247" s="168">
        <v>34041.693312752228</v>
      </c>
      <c r="CL247" s="168">
        <v>38727.630558913967</v>
      </c>
      <c r="CM247" s="168">
        <v>35163.979423989382</v>
      </c>
      <c r="CN247" s="168">
        <v>31206.17841208633</v>
      </c>
      <c r="CO247" s="168">
        <v>18370.597537421712</v>
      </c>
    </row>
    <row r="248" spans="1:93" x14ac:dyDescent="0.2">
      <c r="A248" s="118">
        <f t="shared" si="19"/>
        <v>16</v>
      </c>
      <c r="B248" s="234" t="s">
        <v>216</v>
      </c>
      <c r="C248" s="223"/>
      <c r="D248" s="168"/>
      <c r="E248" s="225"/>
      <c r="F248" s="183"/>
      <c r="G248" s="233"/>
      <c r="H248" s="174"/>
      <c r="I248" s="229"/>
      <c r="J248" s="168"/>
      <c r="K248" s="225"/>
      <c r="L248" s="183"/>
      <c r="M248" s="233"/>
      <c r="N248" s="174"/>
      <c r="O248" s="227"/>
      <c r="R248" s="292"/>
      <c r="S248" s="263"/>
      <c r="T248" s="197"/>
      <c r="U248" s="184"/>
      <c r="V248" s="179"/>
      <c r="W248" s="180"/>
      <c r="Y248" s="184"/>
      <c r="Z248" s="181"/>
      <c r="AB248" s="182"/>
      <c r="AC248" s="182">
        <f t="shared" si="20"/>
        <v>0</v>
      </c>
      <c r="AD248" s="182">
        <f t="shared" si="21"/>
        <v>0</v>
      </c>
      <c r="AE248" s="182">
        <f t="shared" si="22"/>
        <v>0</v>
      </c>
      <c r="AF248" s="182">
        <f t="shared" si="23"/>
        <v>0</v>
      </c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  <c r="AT248" s="168"/>
      <c r="AU248" s="168"/>
      <c r="AV248" s="168"/>
      <c r="AW248" s="168"/>
      <c r="AX248" s="168"/>
      <c r="AY248" s="168"/>
      <c r="AZ248" s="168"/>
      <c r="BA248" s="168"/>
      <c r="BB248" s="168"/>
      <c r="BC248" s="168"/>
      <c r="BD248" s="168"/>
      <c r="BE248" s="168"/>
      <c r="BF248" s="168"/>
      <c r="BG248" s="168"/>
      <c r="BH248" s="168"/>
      <c r="BI248" s="168"/>
      <c r="BJ248" s="168"/>
      <c r="BK248" s="168"/>
      <c r="BL248" s="168"/>
      <c r="BM248" s="168"/>
      <c r="BN248" s="168"/>
      <c r="BO248" s="168"/>
      <c r="BP248" s="168"/>
      <c r="BQ248" s="168"/>
      <c r="BR248" s="168"/>
      <c r="BS248" s="168"/>
      <c r="BT248" s="168"/>
      <c r="BU248" s="168"/>
      <c r="BV248" s="168"/>
      <c r="BW248" s="168"/>
      <c r="BX248" s="168"/>
      <c r="BY248" s="168"/>
      <c r="BZ248" s="168"/>
      <c r="CA248" s="168"/>
      <c r="CB248" s="168"/>
      <c r="CC248" s="168"/>
      <c r="CD248" s="168"/>
      <c r="CE248" s="168"/>
      <c r="CF248" s="168"/>
      <c r="CG248" s="168"/>
      <c r="CH248" s="168"/>
      <c r="CI248" s="168"/>
      <c r="CJ248" s="168"/>
      <c r="CK248" s="168"/>
      <c r="CL248" s="168"/>
      <c r="CM248" s="168"/>
      <c r="CN248" s="168"/>
      <c r="CO248" s="168"/>
    </row>
    <row r="249" spans="1:93" x14ac:dyDescent="0.2">
      <c r="A249" s="118">
        <f t="shared" si="19"/>
        <v>17</v>
      </c>
      <c r="B249" s="243" t="s">
        <v>559</v>
      </c>
      <c r="C249" s="223"/>
      <c r="D249" s="172">
        <f>SUMIF($AH$6:$CP$6,1,$AH249:$CP249)+(SUM($AE$249:$AE$251)*'TOU Split'!D20)</f>
        <v>55195.566266313937</v>
      </c>
      <c r="E249" s="225" t="s">
        <v>555</v>
      </c>
      <c r="F249" s="173">
        <f>'Exhibit MJC-3 - E-13c cal yr'!F251</f>
        <v>47.24</v>
      </c>
      <c r="G249" s="233" t="s">
        <v>375</v>
      </c>
      <c r="H249" s="174">
        <f>ROUND(D249*F249,2)</f>
        <v>2607438.5499999998</v>
      </c>
      <c r="I249" s="229"/>
      <c r="J249" s="172">
        <f t="shared" ref="J249:J251" si="26">D249</f>
        <v>55195.566266313937</v>
      </c>
      <c r="K249" s="225" t="s">
        <v>555</v>
      </c>
      <c r="L249" s="183">
        <f>L241</f>
        <v>48.55</v>
      </c>
      <c r="M249" s="233" t="s">
        <v>375</v>
      </c>
      <c r="N249" s="174">
        <f>ROUND(J249*L249,2)</f>
        <v>2679744.7400000002</v>
      </c>
      <c r="O249" s="227"/>
      <c r="S249" s="263"/>
      <c r="T249" s="927"/>
      <c r="U249" s="184" t="s">
        <v>592</v>
      </c>
      <c r="V249" s="179">
        <v>245</v>
      </c>
      <c r="W249" s="180">
        <v>219</v>
      </c>
      <c r="Y249" s="184"/>
      <c r="Z249" s="181"/>
      <c r="AB249" s="182">
        <f>SUM(AH249:AS249)</f>
        <v>54299.468659302205</v>
      </c>
      <c r="AC249" s="182">
        <f t="shared" si="20"/>
        <v>54343.855362911927</v>
      </c>
      <c r="AD249" s="182">
        <f t="shared" si="21"/>
        <v>54741.82418155537</v>
      </c>
      <c r="AE249" s="182">
        <f t="shared" si="22"/>
        <v>55195.566266313937</v>
      </c>
      <c r="AF249" s="182">
        <f t="shared" si="23"/>
        <v>55222.784194779044</v>
      </c>
      <c r="AH249" s="168">
        <v>0</v>
      </c>
      <c r="AI249" s="168">
        <v>0</v>
      </c>
      <c r="AJ249" s="168">
        <v>16490.300877556881</v>
      </c>
      <c r="AK249" s="168">
        <v>4275.3190912032487</v>
      </c>
      <c r="AL249" s="168">
        <v>3606.8894872414294</v>
      </c>
      <c r="AM249" s="168">
        <v>4142.581601243287</v>
      </c>
      <c r="AN249" s="168">
        <v>4324.3260010070599</v>
      </c>
      <c r="AO249" s="168">
        <v>3994.6290309038682</v>
      </c>
      <c r="AP249" s="168">
        <v>4534.4793449155568</v>
      </c>
      <c r="AQ249" s="168">
        <v>4513.9835840413753</v>
      </c>
      <c r="AR249" s="168">
        <v>4402.6398236985669</v>
      </c>
      <c r="AS249" s="168">
        <v>4014.3198174909353</v>
      </c>
      <c r="AT249" s="168">
        <v>0</v>
      </c>
      <c r="AU249" s="168">
        <v>0</v>
      </c>
      <c r="AV249" s="168">
        <v>16093.854848387826</v>
      </c>
      <c r="AW249" s="168">
        <v>4291.5218196777132</v>
      </c>
      <c r="AX249" s="168">
        <v>3582.5357696680203</v>
      </c>
      <c r="AY249" s="168">
        <v>4052.1327090688669</v>
      </c>
      <c r="AZ249" s="168">
        <v>4473.0378458488021</v>
      </c>
      <c r="BA249" s="168">
        <v>4038.5946963050619</v>
      </c>
      <c r="BB249" s="168">
        <v>4623.1471963528984</v>
      </c>
      <c r="BC249" s="168">
        <v>4642.4014351335036</v>
      </c>
      <c r="BD249" s="168">
        <v>4518.5084397554592</v>
      </c>
      <c r="BE249" s="168">
        <v>4028.1206027137778</v>
      </c>
      <c r="BF249" s="168">
        <v>0</v>
      </c>
      <c r="BG249" s="168">
        <v>0</v>
      </c>
      <c r="BH249" s="168">
        <v>16322.189651065439</v>
      </c>
      <c r="BI249" s="168">
        <v>4249.416877418842</v>
      </c>
      <c r="BJ249" s="168">
        <v>3600.1037952352526</v>
      </c>
      <c r="BK249" s="168">
        <v>4129.2500557954199</v>
      </c>
      <c r="BL249" s="168">
        <v>4508.7158710898393</v>
      </c>
      <c r="BM249" s="168">
        <v>4082.1383229761518</v>
      </c>
      <c r="BN249" s="168">
        <v>4640.8303287458839</v>
      </c>
      <c r="BO249" s="168">
        <v>4593.7542971014091</v>
      </c>
      <c r="BP249" s="168">
        <v>4500.6363168422731</v>
      </c>
      <c r="BQ249" s="168">
        <v>4114.7886652848592</v>
      </c>
      <c r="BR249" s="168">
        <v>0</v>
      </c>
      <c r="BS249" s="168">
        <v>0</v>
      </c>
      <c r="BT249" s="168">
        <v>16527.497524493225</v>
      </c>
      <c r="BU249" s="168">
        <v>4324.6450105736767</v>
      </c>
      <c r="BV249" s="168">
        <v>3522.3444380418518</v>
      </c>
      <c r="BW249" s="168">
        <v>4207.8376516790559</v>
      </c>
      <c r="BX249" s="168">
        <v>4592.128967406552</v>
      </c>
      <c r="BY249" s="168">
        <v>4121.7578224845738</v>
      </c>
      <c r="BZ249" s="168">
        <v>4663.2170249671335</v>
      </c>
      <c r="CA249" s="168">
        <v>4646.608465035667</v>
      </c>
      <c r="CB249" s="168">
        <v>4525.2603328627374</v>
      </c>
      <c r="CC249" s="168">
        <v>4064.2690287694741</v>
      </c>
      <c r="CD249" s="168">
        <v>0</v>
      </c>
      <c r="CE249" s="168">
        <v>0</v>
      </c>
      <c r="CF249" s="168">
        <v>16162.544475528863</v>
      </c>
      <c r="CG249" s="168">
        <v>4414.4920886633618</v>
      </c>
      <c r="CH249" s="168">
        <v>3617.7965098134109</v>
      </c>
      <c r="CI249" s="168">
        <v>4161.0463704288795</v>
      </c>
      <c r="CJ249" s="168">
        <v>4601.5914117814864</v>
      </c>
      <c r="CK249" s="168">
        <v>4146.6358595097181</v>
      </c>
      <c r="CL249" s="168">
        <v>4784.9091488949207</v>
      </c>
      <c r="CM249" s="168">
        <v>4675.5957886531014</v>
      </c>
      <c r="CN249" s="168">
        <v>4593.561670175669</v>
      </c>
      <c r="CO249" s="168">
        <v>4064.6108713296289</v>
      </c>
    </row>
    <row r="250" spans="1:93" x14ac:dyDescent="0.2">
      <c r="A250" s="118">
        <f t="shared" si="19"/>
        <v>18</v>
      </c>
      <c r="B250" s="243" t="s">
        <v>560</v>
      </c>
      <c r="C250" s="223"/>
      <c r="D250" s="172">
        <f>SUMIF($AH$6:$CP$6,1,$AH250:$CP250)+(SUM($AE$249:$AE$251)*'TOU Split'!D21)</f>
        <v>329932.9873849827</v>
      </c>
      <c r="E250" s="225" t="s">
        <v>555</v>
      </c>
      <c r="F250" s="173">
        <f>'Exhibit MJC-3 - E-13c cal yr'!F252</f>
        <v>34.99</v>
      </c>
      <c r="G250" s="233" t="s">
        <v>375</v>
      </c>
      <c r="H250" s="174">
        <f>ROUND(D250*F250,2)</f>
        <v>11544355.23</v>
      </c>
      <c r="I250" s="229"/>
      <c r="J250" s="172">
        <f t="shared" si="26"/>
        <v>329932.9873849827</v>
      </c>
      <c r="K250" s="225" t="s">
        <v>555</v>
      </c>
      <c r="L250" s="183">
        <f>L242</f>
        <v>35.96</v>
      </c>
      <c r="M250" s="233" t="s">
        <v>375</v>
      </c>
      <c r="N250" s="174">
        <f>ROUND(J250*L250,2)</f>
        <v>11864390.23</v>
      </c>
      <c r="O250" s="227"/>
      <c r="S250" s="227"/>
      <c r="T250" s="227"/>
      <c r="U250" s="184" t="s">
        <v>592</v>
      </c>
      <c r="V250" s="179">
        <v>245</v>
      </c>
      <c r="W250" s="180">
        <v>219</v>
      </c>
      <c r="Y250" s="184"/>
      <c r="Z250" s="181"/>
      <c r="AB250" s="182">
        <f>SUM(AH250:AS250)</f>
        <v>334658.5972449134</v>
      </c>
      <c r="AC250" s="182">
        <f t="shared" si="20"/>
        <v>336659.24135069764</v>
      </c>
      <c r="AD250" s="182">
        <f t="shared" si="21"/>
        <v>338607.83822187834</v>
      </c>
      <c r="AE250" s="182">
        <f t="shared" si="22"/>
        <v>341251.19631391857</v>
      </c>
      <c r="AF250" s="182">
        <f t="shared" si="23"/>
        <v>342885.00655063661</v>
      </c>
      <c r="AH250" s="168">
        <v>0</v>
      </c>
      <c r="AI250" s="168">
        <v>0</v>
      </c>
      <c r="AJ250" s="168">
        <v>55829.443020369166</v>
      </c>
      <c r="AK250" s="168">
        <v>29889.036392984592</v>
      </c>
      <c r="AL250" s="168">
        <v>26175.275314910348</v>
      </c>
      <c r="AM250" s="168">
        <v>31105.662179805811</v>
      </c>
      <c r="AN250" s="168">
        <v>32014.7318842565</v>
      </c>
      <c r="AO250" s="168">
        <v>32522.307926356036</v>
      </c>
      <c r="AP250" s="168">
        <v>32971.184329150841</v>
      </c>
      <c r="AQ250" s="168">
        <v>36440.248310626463</v>
      </c>
      <c r="AR250" s="168">
        <v>32636.990385209156</v>
      </c>
      <c r="AS250" s="168">
        <v>25073.71750124446</v>
      </c>
      <c r="AT250" s="168">
        <v>0</v>
      </c>
      <c r="AU250" s="168">
        <v>0</v>
      </c>
      <c r="AV250" s="168">
        <v>54487.238220075393</v>
      </c>
      <c r="AW250" s="168">
        <v>30002.310731275582</v>
      </c>
      <c r="AX250" s="168">
        <v>25998.53985775802</v>
      </c>
      <c r="AY250" s="168">
        <v>30426.502912630294</v>
      </c>
      <c r="AZ250" s="168">
        <v>33115.705733016475</v>
      </c>
      <c r="BA250" s="168">
        <v>32880.254783824603</v>
      </c>
      <c r="BB250" s="168">
        <v>33615.907538021209</v>
      </c>
      <c r="BC250" s="168">
        <v>37476.933157655651</v>
      </c>
      <c r="BD250" s="168">
        <v>33495.930262107693</v>
      </c>
      <c r="BE250" s="168">
        <v>25159.918154332736</v>
      </c>
      <c r="BF250" s="168">
        <v>0</v>
      </c>
      <c r="BG250" s="168">
        <v>0</v>
      </c>
      <c r="BH250" s="168">
        <v>55260.286871540964</v>
      </c>
      <c r="BI250" s="168">
        <v>29707.952316230188</v>
      </c>
      <c r="BJ250" s="168">
        <v>26126.031400703338</v>
      </c>
      <c r="BK250" s="168">
        <v>31005.558768707855</v>
      </c>
      <c r="BL250" s="168">
        <v>33379.84456343433</v>
      </c>
      <c r="BM250" s="168">
        <v>33234.765609203307</v>
      </c>
      <c r="BN250" s="168">
        <v>33744.485434908012</v>
      </c>
      <c r="BO250" s="168">
        <v>37084.217110623918</v>
      </c>
      <c r="BP250" s="168">
        <v>33363.443316311859</v>
      </c>
      <c r="BQ250" s="168">
        <v>25701.252830214569</v>
      </c>
      <c r="BR250" s="168">
        <v>0</v>
      </c>
      <c r="BS250" s="168">
        <v>0</v>
      </c>
      <c r="BT250" s="168">
        <v>55955.375718389711</v>
      </c>
      <c r="BU250" s="168">
        <v>30233.877132992409</v>
      </c>
      <c r="BV250" s="168">
        <v>25561.73005738595</v>
      </c>
      <c r="BW250" s="168">
        <v>31595.654376805425</v>
      </c>
      <c r="BX250" s="168">
        <v>33997.385404155713</v>
      </c>
      <c r="BY250" s="168">
        <v>33557.328118245467</v>
      </c>
      <c r="BZ250" s="168">
        <v>33907.263966132152</v>
      </c>
      <c r="CA250" s="168">
        <v>37510.895446492286</v>
      </c>
      <c r="CB250" s="168">
        <v>33545.982385208488</v>
      </c>
      <c r="CC250" s="168">
        <v>25385.703708110977</v>
      </c>
      <c r="CD250" s="168">
        <v>0</v>
      </c>
      <c r="CE250" s="168">
        <v>0</v>
      </c>
      <c r="CF250" s="168">
        <v>54719.79332340767</v>
      </c>
      <c r="CG250" s="168">
        <v>30862.003953362713</v>
      </c>
      <c r="CH250" s="168">
        <v>26254.427814507973</v>
      </c>
      <c r="CI250" s="168">
        <v>31244.309749800032</v>
      </c>
      <c r="CJ250" s="168">
        <v>34067.439701533534</v>
      </c>
      <c r="CK250" s="168">
        <v>33759.87287884167</v>
      </c>
      <c r="CL250" s="168">
        <v>34792.113834050921</v>
      </c>
      <c r="CM250" s="168">
        <v>37744.902781878765</v>
      </c>
      <c r="CN250" s="168">
        <v>34052.303633015297</v>
      </c>
      <c r="CO250" s="168">
        <v>25387.838880237992</v>
      </c>
    </row>
    <row r="251" spans="1:93" x14ac:dyDescent="0.2">
      <c r="A251" s="118">
        <f t="shared" si="19"/>
        <v>19</v>
      </c>
      <c r="B251" s="243" t="s">
        <v>561</v>
      </c>
      <c r="C251" s="223"/>
      <c r="D251" s="172">
        <f>SUMIF($AH$6:$CP$6,1,$AH251:$CP251)+(SUM($AE$249:$AE$251)*'TOU Split'!D22)</f>
        <v>102012.66177030263</v>
      </c>
      <c r="E251" s="225" t="s">
        <v>555</v>
      </c>
      <c r="F251" s="173">
        <f>'Exhibit MJC-3 - E-13c cal yr'!F253</f>
        <v>23.71</v>
      </c>
      <c r="G251" s="233" t="s">
        <v>375</v>
      </c>
      <c r="H251" s="174">
        <f>ROUND(D251*F251,2)</f>
        <v>2418720.21</v>
      </c>
      <c r="I251" s="229"/>
      <c r="J251" s="172">
        <f t="shared" si="26"/>
        <v>102012.66177030263</v>
      </c>
      <c r="K251" s="225" t="s">
        <v>555</v>
      </c>
      <c r="L251" s="183">
        <f>L243</f>
        <v>24.37</v>
      </c>
      <c r="M251" s="233" t="s">
        <v>375</v>
      </c>
      <c r="N251" s="174">
        <f>ROUND(J251*L251,2)</f>
        <v>2486048.5699999998</v>
      </c>
      <c r="O251" s="227"/>
      <c r="P251" s="1226"/>
      <c r="Q251" s="1219"/>
      <c r="S251" s="263"/>
      <c r="T251" s="247"/>
      <c r="U251" s="184" t="s">
        <v>592</v>
      </c>
      <c r="V251" s="179">
        <v>245</v>
      </c>
      <c r="W251" s="180">
        <v>219</v>
      </c>
      <c r="Y251" s="184"/>
      <c r="Z251" s="181"/>
      <c r="AB251" s="182">
        <f>SUM(AH251:AS251)</f>
        <v>88709.439760522364</v>
      </c>
      <c r="AC251" s="182">
        <f t="shared" si="20"/>
        <v>89754.266585272213</v>
      </c>
      <c r="AD251" s="182">
        <f t="shared" si="21"/>
        <v>90168.177700249915</v>
      </c>
      <c r="AE251" s="182">
        <f t="shared" si="22"/>
        <v>90694.452841366772</v>
      </c>
      <c r="AF251" s="182">
        <f t="shared" si="23"/>
        <v>91615.833091779059</v>
      </c>
      <c r="AH251" s="168">
        <v>0</v>
      </c>
      <c r="AI251" s="168">
        <v>0</v>
      </c>
      <c r="AJ251" s="168">
        <v>171.45137619786962</v>
      </c>
      <c r="AK251" s="168">
        <v>6059.3206623408778</v>
      </c>
      <c r="AL251" s="168">
        <v>11222.817586080659</v>
      </c>
      <c r="AM251" s="168">
        <v>10106.349901664371</v>
      </c>
      <c r="AN251" s="168">
        <v>10536.46842672646</v>
      </c>
      <c r="AO251" s="168">
        <v>10592.658356899252</v>
      </c>
      <c r="AP251" s="168">
        <v>10694.622297198426</v>
      </c>
      <c r="AQ251" s="168">
        <v>11713.310981471352</v>
      </c>
      <c r="AR251" s="168">
        <v>10515.187393216207</v>
      </c>
      <c r="AS251" s="168">
        <v>7097.2527787268873</v>
      </c>
      <c r="AT251" s="168">
        <v>0</v>
      </c>
      <c r="AU251" s="168">
        <v>0</v>
      </c>
      <c r="AV251" s="168">
        <v>167.32948553050628</v>
      </c>
      <c r="AW251" s="168">
        <v>6082.2844517884578</v>
      </c>
      <c r="AX251" s="168">
        <v>11147.041122500032</v>
      </c>
      <c r="AY251" s="168">
        <v>9885.6884300211204</v>
      </c>
      <c r="AZ251" s="168">
        <v>10898.813369612442</v>
      </c>
      <c r="BA251" s="168">
        <v>10709.243218578689</v>
      </c>
      <c r="BB251" s="168">
        <v>10903.746456533223</v>
      </c>
      <c r="BC251" s="168">
        <v>12046.541751457376</v>
      </c>
      <c r="BD251" s="168">
        <v>10791.925954538559</v>
      </c>
      <c r="BE251" s="168">
        <v>7121.6523447118052</v>
      </c>
      <c r="BF251" s="168">
        <v>0</v>
      </c>
      <c r="BG251" s="168">
        <v>0</v>
      </c>
      <c r="BH251" s="168">
        <v>169.70350626206402</v>
      </c>
      <c r="BI251" s="168">
        <v>6022.609994473497</v>
      </c>
      <c r="BJ251" s="168">
        <v>11201.703941249001</v>
      </c>
      <c r="BK251" s="168">
        <v>10073.825916382908</v>
      </c>
      <c r="BL251" s="168">
        <v>10985.744925279749</v>
      </c>
      <c r="BM251" s="168">
        <v>10824.708949533648</v>
      </c>
      <c r="BN251" s="168">
        <v>10945.452330039161</v>
      </c>
      <c r="BO251" s="168">
        <v>11920.307562626247</v>
      </c>
      <c r="BP251" s="168">
        <v>10749.24049102752</v>
      </c>
      <c r="BQ251" s="168">
        <v>7274.8800833761206</v>
      </c>
      <c r="BR251" s="168">
        <v>0</v>
      </c>
      <c r="BS251" s="168">
        <v>0</v>
      </c>
      <c r="BT251" s="168">
        <v>171.83811361124589</v>
      </c>
      <c r="BU251" s="168">
        <v>6129.2292600511964</v>
      </c>
      <c r="BV251" s="168">
        <v>10959.75611210721</v>
      </c>
      <c r="BW251" s="168">
        <v>10265.550260857441</v>
      </c>
      <c r="BX251" s="168">
        <v>11188.985720611063</v>
      </c>
      <c r="BY251" s="168">
        <v>10929.768973710434</v>
      </c>
      <c r="BZ251" s="168">
        <v>10998.251613563705</v>
      </c>
      <c r="CA251" s="168">
        <v>12057.458550031164</v>
      </c>
      <c r="CB251" s="168">
        <v>10808.052057087272</v>
      </c>
      <c r="CC251" s="168">
        <v>7185.5621797360482</v>
      </c>
      <c r="CD251" s="168">
        <v>0</v>
      </c>
      <c r="CE251" s="168">
        <v>0</v>
      </c>
      <c r="CF251" s="168">
        <v>168.04365874003679</v>
      </c>
      <c r="CG251" s="168">
        <v>6256.567651667383</v>
      </c>
      <c r="CH251" s="168">
        <v>11256.754729196797</v>
      </c>
      <c r="CI251" s="168">
        <v>10151.397033189087</v>
      </c>
      <c r="CJ251" s="168">
        <v>11212.041509275683</v>
      </c>
      <c r="CK251" s="168">
        <v>10995.738690737704</v>
      </c>
      <c r="CL251" s="168">
        <v>11285.26390383047</v>
      </c>
      <c r="CM251" s="168">
        <v>12132.67759541094</v>
      </c>
      <c r="CN251" s="168">
        <v>10971.181767854614</v>
      </c>
      <c r="CO251" s="168">
        <v>7186.1665518763502</v>
      </c>
    </row>
    <row r="252" spans="1:93" x14ac:dyDescent="0.2">
      <c r="A252" s="118">
        <f t="shared" si="19"/>
        <v>20</v>
      </c>
      <c r="B252" s="243"/>
      <c r="C252" s="223" t="s">
        <v>374</v>
      </c>
      <c r="D252" s="204">
        <f>SUM(D236:D251)</f>
        <v>13222562.71959688</v>
      </c>
      <c r="E252" s="233" t="s">
        <v>606</v>
      </c>
      <c r="F252" s="183"/>
      <c r="G252" s="223"/>
      <c r="H252" s="206">
        <f>SUM(H236:H251)</f>
        <v>473440730.45999992</v>
      </c>
      <c r="I252" s="229"/>
      <c r="J252" s="204">
        <f>SUM(J236:J251)</f>
        <v>13222562.71959688</v>
      </c>
      <c r="K252" s="233" t="s">
        <v>606</v>
      </c>
      <c r="L252" s="183"/>
      <c r="M252" s="223"/>
      <c r="N252" s="206">
        <f>SUM(N236:N251)</f>
        <v>486565249.93000007</v>
      </c>
      <c r="O252" s="227"/>
      <c r="P252" s="1219"/>
      <c r="Q252" s="1022"/>
      <c r="S252" s="263"/>
      <c r="T252" s="197"/>
      <c r="U252" s="184"/>
      <c r="V252" s="179"/>
      <c r="W252" s="180"/>
      <c r="Y252" s="184" t="s">
        <v>122</v>
      </c>
      <c r="Z252" s="181" t="s">
        <v>141</v>
      </c>
      <c r="AB252" s="204">
        <f>SUM(AB236:AB251)</f>
        <v>13030474.122459764</v>
      </c>
      <c r="AC252" s="204">
        <f>SUM(AC236:AC251)</f>
        <v>13098761.041709008</v>
      </c>
      <c r="AD252" s="204">
        <f>SUM(AD236:AD251)</f>
        <v>13157028.673798187</v>
      </c>
      <c r="AE252" s="204">
        <f>SUM(AE236:AE251)</f>
        <v>13222562.719596881</v>
      </c>
      <c r="AF252" s="204">
        <f>SUM(AF236:AF251)</f>
        <v>13302091.599242937</v>
      </c>
      <c r="AH252" s="204">
        <f t="shared" ref="AH252:CO252" si="27">SUM(AH236:AH251)</f>
        <v>973432.00963717175</v>
      </c>
      <c r="AI252" s="204">
        <f t="shared" si="27"/>
        <v>919681.0896045547</v>
      </c>
      <c r="AJ252" s="204">
        <f t="shared" si="27"/>
        <v>980454.78619387711</v>
      </c>
      <c r="AK252" s="204">
        <f t="shared" si="27"/>
        <v>1000364.2815299539</v>
      </c>
      <c r="AL252" s="204">
        <f t="shared" si="27"/>
        <v>1085133.8837078668</v>
      </c>
      <c r="AM252" s="204">
        <f t="shared" si="27"/>
        <v>1199591.9284331691</v>
      </c>
      <c r="AN252" s="204">
        <f t="shared" si="27"/>
        <v>1213469.4841356666</v>
      </c>
      <c r="AO252" s="204">
        <f t="shared" si="27"/>
        <v>1244714.600242567</v>
      </c>
      <c r="AP252" s="204">
        <f t="shared" si="27"/>
        <v>1232034.2868711259</v>
      </c>
      <c r="AQ252" s="204">
        <f t="shared" si="27"/>
        <v>1166261.7071141084</v>
      </c>
      <c r="AR252" s="204">
        <f t="shared" si="27"/>
        <v>1056385.8657173291</v>
      </c>
      <c r="AS252" s="204">
        <f t="shared" si="27"/>
        <v>958950.19927237148</v>
      </c>
      <c r="AT252" s="204">
        <f t="shared" si="27"/>
        <v>958264.16530375218</v>
      </c>
      <c r="AU252" s="204">
        <f t="shared" si="27"/>
        <v>912635.31695054832</v>
      </c>
      <c r="AV252" s="204">
        <f t="shared" si="27"/>
        <v>956883.5118034035</v>
      </c>
      <c r="AW252" s="204">
        <f t="shared" si="27"/>
        <v>1004155.4911410753</v>
      </c>
      <c r="AX252" s="204">
        <f t="shared" si="27"/>
        <v>1077807.059798613</v>
      </c>
      <c r="AY252" s="204">
        <f t="shared" si="27"/>
        <v>1173400.1061753789</v>
      </c>
      <c r="AZ252" s="204">
        <f t="shared" si="27"/>
        <v>1255200.2152606903</v>
      </c>
      <c r="BA252" s="204">
        <f t="shared" si="27"/>
        <v>1258414.1716447861</v>
      </c>
      <c r="BB252" s="204">
        <f t="shared" si="27"/>
        <v>1256125.6598391139</v>
      </c>
      <c r="BC252" s="204">
        <f t="shared" si="27"/>
        <v>1199440.5655326722</v>
      </c>
      <c r="BD252" s="204">
        <f t="shared" si="27"/>
        <v>1084187.8148170174</v>
      </c>
      <c r="BE252" s="204">
        <f t="shared" si="27"/>
        <v>962246.96344195667</v>
      </c>
      <c r="BF252" s="204">
        <f t="shared" si="27"/>
        <v>943104.33510147512</v>
      </c>
      <c r="BG252" s="204">
        <f t="shared" si="27"/>
        <v>922491.29409256973</v>
      </c>
      <c r="BH252" s="204">
        <f t="shared" si="27"/>
        <v>970459.48908860807</v>
      </c>
      <c r="BI252" s="204">
        <f t="shared" si="27"/>
        <v>994303.52935456904</v>
      </c>
      <c r="BJ252" s="204">
        <f t="shared" si="27"/>
        <v>1083092.4060450899</v>
      </c>
      <c r="BK252" s="204">
        <f t="shared" si="27"/>
        <v>1195731.4337339213</v>
      </c>
      <c r="BL252" s="204">
        <f t="shared" si="27"/>
        <v>1265211.9939457702</v>
      </c>
      <c r="BM252" s="204">
        <f t="shared" si="27"/>
        <v>1271982.2370260048</v>
      </c>
      <c r="BN252" s="204">
        <f t="shared" si="27"/>
        <v>1260930.2302760414</v>
      </c>
      <c r="BO252" s="204">
        <f t="shared" si="27"/>
        <v>1186871.7794059108</v>
      </c>
      <c r="BP252" s="204">
        <f t="shared" si="27"/>
        <v>1079899.5108012708</v>
      </c>
      <c r="BQ252" s="204">
        <f t="shared" si="27"/>
        <v>982950.43492695538</v>
      </c>
      <c r="BR252" s="204">
        <f t="shared" si="27"/>
        <v>941009.39998041082</v>
      </c>
      <c r="BS252" s="204">
        <f t="shared" si="27"/>
        <v>911617.25233843795</v>
      </c>
      <c r="BT252" s="204">
        <f t="shared" si="27"/>
        <v>982666.36685513321</v>
      </c>
      <c r="BU252" s="204">
        <f t="shared" si="27"/>
        <v>1011905.8499694483</v>
      </c>
      <c r="BV252" s="204">
        <f t="shared" si="27"/>
        <v>1059698.4779626317</v>
      </c>
      <c r="BW252" s="204">
        <f t="shared" si="27"/>
        <v>1218488.5100625283</v>
      </c>
      <c r="BX252" s="204">
        <f t="shared" si="27"/>
        <v>1288618.9357290748</v>
      </c>
      <c r="BY252" s="204">
        <f t="shared" si="27"/>
        <v>1284327.5559807601</v>
      </c>
      <c r="BZ252" s="204">
        <f t="shared" si="27"/>
        <v>1267012.7758598635</v>
      </c>
      <c r="CA252" s="204">
        <f t="shared" si="27"/>
        <v>1200527.520720751</v>
      </c>
      <c r="CB252" s="204">
        <f t="shared" si="27"/>
        <v>1085807.8893020956</v>
      </c>
      <c r="CC252" s="204">
        <f t="shared" si="27"/>
        <v>970882.18483574153</v>
      </c>
      <c r="CD252" s="204">
        <f t="shared" si="27"/>
        <v>947428.64765716763</v>
      </c>
      <c r="CE252" s="204">
        <f t="shared" si="27"/>
        <v>902804.69330918684</v>
      </c>
      <c r="CF252" s="204">
        <f t="shared" si="27"/>
        <v>960967.55333741556</v>
      </c>
      <c r="CG252" s="204">
        <f t="shared" si="27"/>
        <v>1032928.7972169857</v>
      </c>
      <c r="CH252" s="204">
        <f t="shared" si="27"/>
        <v>1088415.2650213474</v>
      </c>
      <c r="CI252" s="204">
        <f t="shared" si="27"/>
        <v>1204938.8811808885</v>
      </c>
      <c r="CJ252" s="204">
        <f t="shared" si="27"/>
        <v>1291274.2368075871</v>
      </c>
      <c r="CK252" s="204">
        <f t="shared" si="27"/>
        <v>1292079.4787928686</v>
      </c>
      <c r="CL252" s="204">
        <f t="shared" si="27"/>
        <v>1300076.9620027153</v>
      </c>
      <c r="CM252" s="204">
        <f t="shared" si="27"/>
        <v>1208016.871290447</v>
      </c>
      <c r="CN252" s="204">
        <f t="shared" si="27"/>
        <v>1102196.3676324347</v>
      </c>
      <c r="CO252" s="204">
        <f t="shared" si="27"/>
        <v>970963.84499389667</v>
      </c>
    </row>
    <row r="253" spans="1:93" x14ac:dyDescent="0.2">
      <c r="A253" s="118">
        <f t="shared" si="19"/>
        <v>21</v>
      </c>
      <c r="B253" s="223"/>
      <c r="C253" s="223"/>
      <c r="D253" s="173"/>
      <c r="E253" s="225"/>
      <c r="F253" s="183"/>
      <c r="G253" s="223"/>
      <c r="H253" s="174"/>
      <c r="I253" s="229"/>
      <c r="J253" s="296"/>
      <c r="K253" s="225"/>
      <c r="L253" s="183"/>
      <c r="M253" s="223"/>
      <c r="N253" s="174"/>
      <c r="O253" s="227"/>
      <c r="P253" s="1226"/>
      <c r="S253" s="263"/>
      <c r="T253" s="197"/>
      <c r="U253" s="184"/>
      <c r="V253" s="179"/>
      <c r="W253" s="180"/>
      <c r="Y253" s="184"/>
      <c r="Z253" s="181"/>
      <c r="AB253" s="193">
        <f>SUM(AH253:AS253)</f>
        <v>0</v>
      </c>
      <c r="AC253" s="193">
        <f>SUM(AT253:BE253)</f>
        <v>0</v>
      </c>
      <c r="AD253" s="193">
        <f>SUM(BF253:BQ253)</f>
        <v>0</v>
      </c>
      <c r="AE253" s="193">
        <f>SUM(BR253:CC253)</f>
        <v>0</v>
      </c>
      <c r="AF253" s="193">
        <f>SUM(CD253:CO253)</f>
        <v>0</v>
      </c>
      <c r="AH253" s="193">
        <v>0</v>
      </c>
      <c r="AI253" s="193">
        <v>0</v>
      </c>
      <c r="AJ253" s="193">
        <v>0</v>
      </c>
      <c r="AK253" s="193">
        <v>0</v>
      </c>
      <c r="AL253" s="193">
        <v>0</v>
      </c>
      <c r="AM253" s="193">
        <v>0</v>
      </c>
      <c r="AN253" s="193">
        <v>0</v>
      </c>
      <c r="AO253" s="193">
        <v>0</v>
      </c>
      <c r="AP253" s="193">
        <v>0</v>
      </c>
      <c r="AQ253" s="193">
        <v>0</v>
      </c>
      <c r="AR253" s="193">
        <v>0</v>
      </c>
      <c r="AS253" s="193">
        <v>0</v>
      </c>
      <c r="AT253" s="193">
        <v>0</v>
      </c>
      <c r="AU253" s="193">
        <v>0</v>
      </c>
      <c r="AV253" s="193">
        <v>0</v>
      </c>
      <c r="AW253" s="193">
        <v>0</v>
      </c>
      <c r="AX253" s="193">
        <v>0</v>
      </c>
      <c r="AY253" s="193">
        <v>0</v>
      </c>
      <c r="AZ253" s="193">
        <v>0</v>
      </c>
      <c r="BA253" s="193">
        <v>0</v>
      </c>
      <c r="BB253" s="193">
        <v>0</v>
      </c>
      <c r="BC253" s="193">
        <v>0</v>
      </c>
      <c r="BD253" s="193">
        <v>0</v>
      </c>
      <c r="BE253" s="193">
        <v>0</v>
      </c>
      <c r="BF253" s="193">
        <v>0</v>
      </c>
      <c r="BG253" s="193">
        <v>0</v>
      </c>
      <c r="BH253" s="193">
        <v>0</v>
      </c>
      <c r="BI253" s="193">
        <v>0</v>
      </c>
      <c r="BJ253" s="193">
        <v>0</v>
      </c>
      <c r="BK253" s="193">
        <v>0</v>
      </c>
      <c r="BL253" s="193">
        <v>0</v>
      </c>
      <c r="BM253" s="193">
        <v>0</v>
      </c>
      <c r="BN253" s="193">
        <v>0</v>
      </c>
      <c r="BO253" s="193">
        <v>0</v>
      </c>
      <c r="BP253" s="193">
        <v>0</v>
      </c>
      <c r="BQ253" s="193">
        <v>0</v>
      </c>
      <c r="BR253" s="193">
        <v>0</v>
      </c>
      <c r="BS253" s="193">
        <v>0</v>
      </c>
      <c r="BT253" s="193">
        <v>0</v>
      </c>
      <c r="BU253" s="193">
        <v>0</v>
      </c>
      <c r="BV253" s="193">
        <v>0</v>
      </c>
      <c r="BW253" s="193">
        <v>0</v>
      </c>
      <c r="BX253" s="193">
        <v>0</v>
      </c>
      <c r="BY253" s="193">
        <v>0</v>
      </c>
      <c r="BZ253" s="193">
        <v>0</v>
      </c>
      <c r="CA253" s="193">
        <v>0</v>
      </c>
      <c r="CB253" s="193">
        <v>0</v>
      </c>
      <c r="CC253" s="193">
        <v>0</v>
      </c>
      <c r="CD253" s="193">
        <v>0</v>
      </c>
      <c r="CE253" s="193">
        <v>0</v>
      </c>
      <c r="CF253" s="193">
        <v>0</v>
      </c>
      <c r="CG253" s="193">
        <v>0</v>
      </c>
      <c r="CH253" s="193">
        <v>0</v>
      </c>
      <c r="CI253" s="193">
        <v>0</v>
      </c>
      <c r="CJ253" s="193">
        <v>0</v>
      </c>
      <c r="CK253" s="193">
        <v>0</v>
      </c>
      <c r="CL253" s="193">
        <v>0</v>
      </c>
      <c r="CM253" s="193">
        <v>0</v>
      </c>
      <c r="CN253" s="193">
        <v>0</v>
      </c>
      <c r="CO253" s="193">
        <v>0</v>
      </c>
    </row>
    <row r="254" spans="1:93" x14ac:dyDescent="0.2">
      <c r="A254" s="118">
        <f t="shared" si="19"/>
        <v>22</v>
      </c>
      <c r="B254" s="246" t="s">
        <v>563</v>
      </c>
      <c r="C254" s="223"/>
      <c r="D254" s="177"/>
      <c r="E254" s="225"/>
      <c r="F254" s="183"/>
      <c r="G254" s="223"/>
      <c r="H254" s="174"/>
      <c r="I254" s="229"/>
      <c r="J254" s="223"/>
      <c r="K254" s="225"/>
      <c r="L254" s="183"/>
      <c r="M254" s="223"/>
      <c r="N254" s="174"/>
      <c r="O254" s="227"/>
      <c r="S254" s="263"/>
      <c r="T254" s="927"/>
      <c r="U254" s="184"/>
      <c r="V254" s="179"/>
      <c r="W254" s="180"/>
      <c r="Y254" s="184"/>
      <c r="Z254" s="181"/>
    </row>
    <row r="255" spans="1:93" x14ac:dyDescent="0.2">
      <c r="A255" s="118">
        <f t="shared" si="19"/>
        <v>23</v>
      </c>
      <c r="B255" s="234" t="s">
        <v>582</v>
      </c>
      <c r="C255" s="223"/>
      <c r="D255" s="172">
        <f>SUM(H190,H200:H203,H237,H245:H247)</f>
        <v>96196811.950000003</v>
      </c>
      <c r="E255" s="233" t="s">
        <v>10</v>
      </c>
      <c r="F255" s="248">
        <v>0.01</v>
      </c>
      <c r="G255" s="223" t="s">
        <v>375</v>
      </c>
      <c r="H255" s="174">
        <f>ROUND(D255*-F255,2)</f>
        <v>-961968.12</v>
      </c>
      <c r="I255" s="229"/>
      <c r="J255" s="172">
        <f>SUM(N190,N200:N203,N237,N245:N247)</f>
        <v>98842447.299999997</v>
      </c>
      <c r="K255" s="233" t="s">
        <v>10</v>
      </c>
      <c r="L255" s="248">
        <v>0.01</v>
      </c>
      <c r="M255" s="223"/>
      <c r="N255" s="174">
        <f>ROUND(J255*-L255,2)</f>
        <v>-988424.47</v>
      </c>
      <c r="O255" s="227"/>
      <c r="S255" s="227"/>
      <c r="T255" s="227"/>
      <c r="U255" s="184" t="s">
        <v>122</v>
      </c>
      <c r="V255" s="179">
        <v>244</v>
      </c>
      <c r="W255" s="180">
        <v>218</v>
      </c>
      <c r="Y255" s="184" t="s">
        <v>122</v>
      </c>
      <c r="Z255" s="181" t="s">
        <v>417</v>
      </c>
      <c r="AB255" s="182">
        <f>SUM(AH255:AS255)</f>
        <v>-691938.26121619553</v>
      </c>
      <c r="AC255" s="182">
        <f>SUM(AT255:BE255)</f>
        <v>-716258.4406363304</v>
      </c>
      <c r="AD255" s="182">
        <f>SUM(BF255:BQ255)</f>
        <v>-719750.75032218324</v>
      </c>
      <c r="AE255" s="182">
        <f>SUM(BR255:CC255)</f>
        <v>-723638.8088601362</v>
      </c>
      <c r="AF255" s="182">
        <f>SUM(CD255:CO255)</f>
        <v>-727424.7223109022</v>
      </c>
      <c r="AH255" s="174">
        <v>-34734.346407952049</v>
      </c>
      <c r="AI255" s="174">
        <v>-52315.075976318476</v>
      </c>
      <c r="AJ255" s="174">
        <v>-81369.580718468176</v>
      </c>
      <c r="AK255" s="174">
        <v>-55256.712094957613</v>
      </c>
      <c r="AL255" s="174">
        <v>-49645.500740558724</v>
      </c>
      <c r="AM255" s="174">
        <v>-56937.368297359149</v>
      </c>
      <c r="AN255" s="174">
        <v>-74020.729843400652</v>
      </c>
      <c r="AO255" s="174">
        <v>-57922.012874305161</v>
      </c>
      <c r="AP255" s="174">
        <v>-65061.489165917381</v>
      </c>
      <c r="AQ255" s="174">
        <v>-59629.684011311809</v>
      </c>
      <c r="AR255" s="174">
        <v>-53385.449024684698</v>
      </c>
      <c r="AS255" s="174">
        <v>-51660.312060961558</v>
      </c>
      <c r="AT255" s="174">
        <v>-35262.436691924398</v>
      </c>
      <c r="AU255" s="174">
        <v>-53487.054764129811</v>
      </c>
      <c r="AV255" s="174">
        <v>-81802.036990696259</v>
      </c>
      <c r="AW255" s="174">
        <v>-57125.104329039721</v>
      </c>
      <c r="AX255" s="174">
        <v>-50783.628952515872</v>
      </c>
      <c r="AY255" s="174">
        <v>-57354.751937055895</v>
      </c>
      <c r="AZ255" s="174">
        <v>-78852.122941639114</v>
      </c>
      <c r="BA255" s="174">
        <v>-60306.321517144854</v>
      </c>
      <c r="BB255" s="174">
        <v>-68312.594110693462</v>
      </c>
      <c r="BC255" s="174">
        <v>-63155.604924151972</v>
      </c>
      <c r="BD255" s="174">
        <v>-56425.675198855788</v>
      </c>
      <c r="BE255" s="174">
        <v>-53391.10827848316</v>
      </c>
      <c r="BF255" s="174">
        <v>-34731.906808137333</v>
      </c>
      <c r="BG255" s="174">
        <v>-54047.51824322161</v>
      </c>
      <c r="BH255" s="174">
        <v>-82919.494494129816</v>
      </c>
      <c r="BI255" s="174">
        <v>-56542.132686041645</v>
      </c>
      <c r="BJ255" s="174">
        <v>-51012.42949833117</v>
      </c>
      <c r="BK255" s="174">
        <v>-58418.901026084241</v>
      </c>
      <c r="BL255" s="174">
        <v>-79445.631602674257</v>
      </c>
      <c r="BM255" s="174">
        <v>-60930.005478882602</v>
      </c>
      <c r="BN255" s="174">
        <v>-68543.95889969889</v>
      </c>
      <c r="BO255" s="174">
        <v>-62466.664418277469</v>
      </c>
      <c r="BP255" s="174">
        <v>-56177.941256764272</v>
      </c>
      <c r="BQ255" s="174">
        <v>-54514.165909939984</v>
      </c>
      <c r="BR255" s="174">
        <v>-34669.006079794788</v>
      </c>
      <c r="BS255" s="174">
        <v>-53402.737335158185</v>
      </c>
      <c r="BT255" s="174">
        <v>-83934.903543507025</v>
      </c>
      <c r="BU255" s="174">
        <v>-57526.399691995153</v>
      </c>
      <c r="BV255" s="174">
        <v>-49897.055461811207</v>
      </c>
      <c r="BW255" s="174">
        <v>-59508.461068589291</v>
      </c>
      <c r="BX255" s="174">
        <v>-80888.088234755181</v>
      </c>
      <c r="BY255" s="174">
        <v>-61501.262530818371</v>
      </c>
      <c r="BZ255" s="174">
        <v>-68851.805004811395</v>
      </c>
      <c r="CA255" s="174">
        <v>-63164.7573065791</v>
      </c>
      <c r="CB255" s="174">
        <v>-56466.800604254182</v>
      </c>
      <c r="CC255" s="174">
        <v>-53827.531998062281</v>
      </c>
      <c r="CD255" s="174">
        <v>-34921.743960635969</v>
      </c>
      <c r="CE255" s="174">
        <v>-52924.802688721909</v>
      </c>
      <c r="CF255" s="174">
        <v>-82144.664020639815</v>
      </c>
      <c r="CG255" s="174">
        <v>-58757.426501132046</v>
      </c>
      <c r="CH255" s="174">
        <v>-51276.868431206043</v>
      </c>
      <c r="CI255" s="174">
        <v>-58881.664163812791</v>
      </c>
      <c r="CJ255" s="174">
        <v>-81103.695744579934</v>
      </c>
      <c r="CK255" s="174">
        <v>-61908.001431229786</v>
      </c>
      <c r="CL255" s="174">
        <v>-70689.605423181041</v>
      </c>
      <c r="CM255" s="174">
        <v>-63595.418925480495</v>
      </c>
      <c r="CN255" s="174">
        <v>-57352.681397861408</v>
      </c>
      <c r="CO255" s="174">
        <v>-53868.149622420948</v>
      </c>
    </row>
    <row r="256" spans="1:93" x14ac:dyDescent="0.2">
      <c r="A256" s="118">
        <f t="shared" si="19"/>
        <v>24</v>
      </c>
      <c r="B256" s="234" t="s">
        <v>583</v>
      </c>
      <c r="C256" s="223"/>
      <c r="D256" s="172">
        <f>SUM(H191:H192,H205:H208,H238,H249:H251)</f>
        <v>20611445.23</v>
      </c>
      <c r="E256" s="233" t="s">
        <v>10</v>
      </c>
      <c r="F256" s="248">
        <v>0.02</v>
      </c>
      <c r="G256" s="223" t="s">
        <v>375</v>
      </c>
      <c r="H256" s="174">
        <f>ROUND(D256*-F256,2)</f>
        <v>-412228.9</v>
      </c>
      <c r="I256" s="229"/>
      <c r="J256" s="172">
        <f>SUM(N191:N192,N205:N208,N238,N249:N251)</f>
        <v>21074804.039999999</v>
      </c>
      <c r="K256" s="233" t="s">
        <v>10</v>
      </c>
      <c r="L256" s="248">
        <v>0.02</v>
      </c>
      <c r="M256" s="223"/>
      <c r="N256" s="174">
        <f>ROUND(J256*-L256,2)</f>
        <v>-421496.08</v>
      </c>
      <c r="O256" s="227"/>
      <c r="S256" s="227"/>
      <c r="T256" s="227"/>
      <c r="U256" s="184" t="s">
        <v>122</v>
      </c>
      <c r="V256" s="179">
        <v>244</v>
      </c>
      <c r="W256" s="180">
        <v>218</v>
      </c>
      <c r="Y256" s="184" t="s">
        <v>122</v>
      </c>
      <c r="Z256" s="181" t="s">
        <v>417</v>
      </c>
      <c r="AB256" s="182">
        <f>SUM(AH256:AS256)</f>
        <v>0</v>
      </c>
      <c r="AC256" s="182">
        <f>SUM(AT256:BE256)</f>
        <v>0</v>
      </c>
      <c r="AD256" s="182">
        <f>SUM(BF256:BQ256)</f>
        <v>0</v>
      </c>
      <c r="AE256" s="182">
        <f>SUM(BR256:CC256)</f>
        <v>0</v>
      </c>
      <c r="AF256" s="182">
        <f>SUM(CD256:CO256)</f>
        <v>0</v>
      </c>
      <c r="AH256" s="174">
        <v>0</v>
      </c>
      <c r="AI256" s="174">
        <v>0</v>
      </c>
      <c r="AJ256" s="174">
        <v>0</v>
      </c>
      <c r="AK256" s="174">
        <v>0</v>
      </c>
      <c r="AL256" s="174">
        <v>0</v>
      </c>
      <c r="AM256" s="174">
        <v>0</v>
      </c>
      <c r="AN256" s="174">
        <v>0</v>
      </c>
      <c r="AO256" s="174">
        <v>0</v>
      </c>
      <c r="AP256" s="174">
        <v>0</v>
      </c>
      <c r="AQ256" s="174">
        <v>0</v>
      </c>
      <c r="AR256" s="174">
        <v>0</v>
      </c>
      <c r="AS256" s="174">
        <v>0</v>
      </c>
      <c r="AT256" s="174">
        <v>0</v>
      </c>
      <c r="AU256" s="174">
        <v>0</v>
      </c>
      <c r="AV256" s="174">
        <v>0</v>
      </c>
      <c r="AW256" s="174">
        <v>0</v>
      </c>
      <c r="AX256" s="174">
        <v>0</v>
      </c>
      <c r="AY256" s="174">
        <v>0</v>
      </c>
      <c r="AZ256" s="174">
        <v>0</v>
      </c>
      <c r="BA256" s="174">
        <v>0</v>
      </c>
      <c r="BB256" s="174">
        <v>0</v>
      </c>
      <c r="BC256" s="174">
        <v>0</v>
      </c>
      <c r="BD256" s="174">
        <v>0</v>
      </c>
      <c r="BE256" s="174">
        <v>0</v>
      </c>
      <c r="BF256" s="174">
        <v>0</v>
      </c>
      <c r="BG256" s="174">
        <v>0</v>
      </c>
      <c r="BH256" s="174">
        <v>0</v>
      </c>
      <c r="BI256" s="174">
        <v>0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74">
        <v>0</v>
      </c>
      <c r="BP256" s="174">
        <v>0</v>
      </c>
      <c r="BQ256" s="174">
        <v>0</v>
      </c>
      <c r="BR256" s="174">
        <v>0</v>
      </c>
      <c r="BS256" s="174">
        <v>0</v>
      </c>
      <c r="BT256" s="174">
        <v>0</v>
      </c>
      <c r="BU256" s="174">
        <v>0</v>
      </c>
      <c r="BV256" s="174">
        <v>0</v>
      </c>
      <c r="BW256" s="174">
        <v>0</v>
      </c>
      <c r="BX256" s="174">
        <v>0</v>
      </c>
      <c r="BY256" s="174">
        <v>0</v>
      </c>
      <c r="BZ256" s="174">
        <v>0</v>
      </c>
      <c r="CA256" s="174">
        <v>0</v>
      </c>
      <c r="CB256" s="174">
        <v>0</v>
      </c>
      <c r="CC256" s="174">
        <v>0</v>
      </c>
      <c r="CD256" s="174">
        <v>0</v>
      </c>
      <c r="CE256" s="174">
        <v>0</v>
      </c>
      <c r="CF256" s="174">
        <v>0</v>
      </c>
      <c r="CG256" s="174">
        <v>0</v>
      </c>
      <c r="CH256" s="174">
        <v>0</v>
      </c>
      <c r="CI256" s="174">
        <v>0</v>
      </c>
      <c r="CJ256" s="174">
        <v>0</v>
      </c>
      <c r="CK256" s="174">
        <v>0</v>
      </c>
      <c r="CL256" s="174">
        <v>0</v>
      </c>
      <c r="CM256" s="174">
        <v>0</v>
      </c>
      <c r="CN256" s="174">
        <v>0</v>
      </c>
      <c r="CO256" s="174">
        <v>0</v>
      </c>
    </row>
    <row r="257" spans="1:26" x14ac:dyDescent="0.2">
      <c r="A257" s="118">
        <f t="shared" si="19"/>
        <v>25</v>
      </c>
      <c r="B257" s="234" t="s">
        <v>607</v>
      </c>
      <c r="C257" s="223"/>
      <c r="D257" s="168"/>
      <c r="E257" s="223"/>
      <c r="F257" s="183"/>
      <c r="G257" s="223"/>
      <c r="H257" s="174"/>
      <c r="I257" s="229"/>
      <c r="J257" s="304"/>
      <c r="K257" s="223"/>
      <c r="L257" s="183"/>
      <c r="M257" s="223"/>
      <c r="N257" s="174"/>
      <c r="O257" s="227"/>
      <c r="S257" s="227"/>
      <c r="T257" s="227"/>
      <c r="U257" s="184" t="s">
        <v>122</v>
      </c>
      <c r="V257" s="179">
        <v>244</v>
      </c>
      <c r="W257" s="180">
        <v>218</v>
      </c>
      <c r="Y257" s="184" t="s">
        <v>122</v>
      </c>
      <c r="Z257" s="181" t="s">
        <v>608</v>
      </c>
    </row>
    <row r="258" spans="1:26" x14ac:dyDescent="0.2">
      <c r="A258" s="118">
        <f t="shared" si="19"/>
        <v>26</v>
      </c>
      <c r="B258" s="171" t="s">
        <v>564</v>
      </c>
      <c r="C258" s="223"/>
      <c r="D258" s="168"/>
      <c r="E258" s="223"/>
      <c r="F258" s="166"/>
      <c r="G258" s="223"/>
      <c r="H258" s="1225">
        <f>'MFR E-5 Yr4'!M22*1000</f>
        <v>21639859.331999999</v>
      </c>
      <c r="I258" s="162"/>
      <c r="J258" s="1276"/>
      <c r="K258" s="166"/>
      <c r="L258" s="166"/>
      <c r="M258" s="143"/>
      <c r="N258" s="1225">
        <f>H258</f>
        <v>21639859.331999999</v>
      </c>
      <c r="O258" s="227"/>
      <c r="P258" s="182"/>
      <c r="S258" s="227"/>
      <c r="T258" s="227"/>
      <c r="U258" s="184"/>
      <c r="V258" s="179"/>
      <c r="W258" s="180"/>
      <c r="Y258" s="184" t="s">
        <v>122</v>
      </c>
      <c r="Z258" s="181" t="s">
        <v>565</v>
      </c>
    </row>
    <row r="259" spans="1:26" x14ac:dyDescent="0.2">
      <c r="A259" s="118">
        <f t="shared" si="19"/>
        <v>27</v>
      </c>
      <c r="B259" s="171" t="s">
        <v>566</v>
      </c>
      <c r="C259" s="223"/>
      <c r="D259" s="168"/>
      <c r="E259" s="223"/>
      <c r="F259" s="166"/>
      <c r="G259" s="223"/>
      <c r="H259" s="1225">
        <f>'MFR E-5 Yr4'!M23*1000</f>
        <v>9196940.21609997</v>
      </c>
      <c r="I259" s="162"/>
      <c r="J259" s="1276"/>
      <c r="K259" s="166"/>
      <c r="L259" s="166"/>
      <c r="M259" s="143"/>
      <c r="N259" s="1225">
        <f t="shared" ref="N259:N260" si="28">H259</f>
        <v>9196940.21609997</v>
      </c>
      <c r="O259" s="227"/>
      <c r="S259" s="227"/>
      <c r="T259" s="227"/>
      <c r="U259" s="184"/>
      <c r="V259" s="179"/>
      <c r="W259" s="180"/>
      <c r="Y259" s="184" t="s">
        <v>122</v>
      </c>
      <c r="Z259" s="181" t="s">
        <v>565</v>
      </c>
    </row>
    <row r="260" spans="1:26" x14ac:dyDescent="0.2">
      <c r="A260" s="118">
        <f t="shared" si="19"/>
        <v>28</v>
      </c>
      <c r="B260" s="171" t="s">
        <v>567</v>
      </c>
      <c r="C260" s="223"/>
      <c r="D260" s="168"/>
      <c r="E260" s="223"/>
      <c r="F260" s="166"/>
      <c r="G260" s="223"/>
      <c r="H260" s="187">
        <f>'MFR E-5 Yr4'!M21*1000</f>
        <v>1422754.5748056539</v>
      </c>
      <c r="I260" s="162"/>
      <c r="J260" s="1276"/>
      <c r="K260" s="166"/>
      <c r="L260" s="166"/>
      <c r="M260" s="143"/>
      <c r="N260" s="187">
        <f t="shared" si="28"/>
        <v>1422754.5748056539</v>
      </c>
      <c r="O260" s="227"/>
      <c r="S260" s="227"/>
      <c r="T260" s="227"/>
      <c r="U260" s="184"/>
      <c r="V260" s="179"/>
      <c r="W260" s="180"/>
      <c r="Y260" s="184" t="s">
        <v>122</v>
      </c>
      <c r="Z260" s="181" t="s">
        <v>565</v>
      </c>
    </row>
    <row r="261" spans="1:26" x14ac:dyDescent="0.2">
      <c r="A261" s="118">
        <f t="shared" si="19"/>
        <v>29</v>
      </c>
      <c r="B261" s="234"/>
      <c r="C261" s="223" t="s">
        <v>374</v>
      </c>
      <c r="D261" s="249"/>
      <c r="E261" s="223"/>
      <c r="F261" s="183"/>
      <c r="G261" s="223"/>
      <c r="H261" s="174">
        <f>SUM(H255:H260)</f>
        <v>30885357.102905624</v>
      </c>
      <c r="I261" s="229"/>
      <c r="J261" s="1276"/>
      <c r="K261" s="223"/>
      <c r="L261" s="183"/>
      <c r="M261" s="223"/>
      <c r="N261" s="174">
        <f>SUM(N255:N260)</f>
        <v>30849633.572905622</v>
      </c>
      <c r="O261" s="227"/>
      <c r="S261" s="1235"/>
      <c r="T261" s="176"/>
      <c r="U261" s="184"/>
      <c r="V261" s="179"/>
      <c r="W261" s="180"/>
      <c r="Y261" s="184"/>
      <c r="Z261" s="181"/>
    </row>
    <row r="262" spans="1:26" x14ac:dyDescent="0.2">
      <c r="A262" s="118">
        <f t="shared" si="19"/>
        <v>30</v>
      </c>
      <c r="B262" s="234"/>
      <c r="C262" s="223"/>
      <c r="E262" s="223"/>
      <c r="F262" s="183"/>
      <c r="G262" s="223"/>
      <c r="H262" s="174"/>
      <c r="I262" s="229"/>
      <c r="J262" s="1276"/>
      <c r="K262" s="223"/>
      <c r="L262" s="183"/>
      <c r="M262" s="223"/>
      <c r="N262" s="174"/>
      <c r="O262" s="227"/>
      <c r="S262" s="227"/>
      <c r="T262" s="227"/>
      <c r="U262" s="184"/>
      <c r="V262" s="179"/>
      <c r="W262" s="180"/>
      <c r="Y262" s="184"/>
      <c r="Z262" s="181"/>
    </row>
    <row r="263" spans="1:26" ht="10.8" thickBot="1" x14ac:dyDescent="0.25">
      <c r="A263" s="118">
        <f t="shared" si="19"/>
        <v>31</v>
      </c>
      <c r="B263" s="246" t="s">
        <v>609</v>
      </c>
      <c r="C263" s="223"/>
      <c r="D263" s="168"/>
      <c r="E263" s="225"/>
      <c r="F263" s="183"/>
      <c r="G263" s="223"/>
      <c r="H263" s="210">
        <f>H185+H211+H252+H261</f>
        <v>848686345.7429055</v>
      </c>
      <c r="I263" s="229"/>
      <c r="J263" s="168"/>
      <c r="K263" s="225"/>
      <c r="L263" s="183"/>
      <c r="M263" s="223"/>
      <c r="N263" s="210">
        <f>N185+N211+N252+N261</f>
        <v>871154722.24290574</v>
      </c>
      <c r="O263" s="227"/>
      <c r="Q263" s="939">
        <f>(N263-H263)/H263</f>
        <v>2.6474299501463447E-2</v>
      </c>
      <c r="S263" s="227"/>
      <c r="T263" s="176"/>
      <c r="U263" s="184"/>
      <c r="V263" s="179"/>
      <c r="W263" s="180"/>
      <c r="Y263" s="184" t="s">
        <v>122</v>
      </c>
      <c r="Z263" s="181" t="s">
        <v>121</v>
      </c>
    </row>
    <row r="264" spans="1:26" ht="10.8" thickTop="1" x14ac:dyDescent="0.2">
      <c r="A264" s="118">
        <f t="shared" si="19"/>
        <v>32</v>
      </c>
      <c r="B264" s="226"/>
      <c r="C264" s="223"/>
      <c r="D264" s="943"/>
      <c r="E264" s="225"/>
      <c r="F264" s="183"/>
      <c r="G264" s="223"/>
      <c r="H264" s="174"/>
      <c r="I264" s="229"/>
      <c r="J264" s="223"/>
      <c r="K264" s="225"/>
      <c r="L264" s="223"/>
      <c r="M264" s="223"/>
      <c r="N264" s="174"/>
      <c r="O264" s="227"/>
      <c r="P264" s="262"/>
      <c r="Q264" s="227"/>
      <c r="S264" s="1231"/>
      <c r="U264" s="184"/>
      <c r="V264" s="179"/>
      <c r="W264" s="180"/>
      <c r="Y264" s="184"/>
      <c r="Z264" s="181"/>
    </row>
    <row r="265" spans="1:26" x14ac:dyDescent="0.2">
      <c r="A265" s="118">
        <f t="shared" si="19"/>
        <v>33</v>
      </c>
      <c r="B265" s="223"/>
      <c r="C265" s="223"/>
      <c r="D265" s="943"/>
      <c r="E265" s="225"/>
      <c r="F265" s="183"/>
      <c r="G265" s="223"/>
      <c r="H265" s="174"/>
      <c r="I265" s="229"/>
      <c r="J265" s="171" t="s">
        <v>573</v>
      </c>
      <c r="K265" s="166"/>
      <c r="L265" s="166"/>
      <c r="M265" s="143"/>
      <c r="N265" s="174">
        <f>N263-H263</f>
        <v>22468376.500000238</v>
      </c>
      <c r="Q265" s="227"/>
      <c r="U265" s="184"/>
      <c r="V265" s="179"/>
      <c r="W265" s="180"/>
      <c r="Y265" s="184"/>
      <c r="Z265" s="181"/>
    </row>
    <row r="266" spans="1:26" x14ac:dyDescent="0.2">
      <c r="A266" s="118">
        <f t="shared" si="19"/>
        <v>34</v>
      </c>
      <c r="D266" s="943"/>
      <c r="F266" s="197"/>
      <c r="H266" s="203"/>
      <c r="I266" s="229"/>
      <c r="J266" s="171"/>
      <c r="K266" s="166"/>
      <c r="L266" s="166"/>
      <c r="M266" s="143"/>
      <c r="N266" s="212"/>
      <c r="U266" s="184"/>
      <c r="V266" s="179"/>
      <c r="W266" s="180"/>
      <c r="Y266" s="184"/>
      <c r="Z266" s="181"/>
    </row>
    <row r="267" spans="1:26" x14ac:dyDescent="0.2">
      <c r="A267" s="118">
        <f t="shared" si="19"/>
        <v>35</v>
      </c>
      <c r="F267" s="197"/>
      <c r="H267" s="203"/>
      <c r="I267" s="229"/>
      <c r="J267" s="171" t="s">
        <v>610</v>
      </c>
      <c r="N267" s="211">
        <f>('Exhibit MJC-2 - Old E-8a'!U24*1000)-N622</f>
        <v>23541750.279074773</v>
      </c>
      <c r="Q267" s="939">
        <f>N267/H263</f>
        <v>2.7739046818842459E-2</v>
      </c>
      <c r="U267" s="184"/>
      <c r="V267" s="179"/>
      <c r="W267" s="180"/>
      <c r="Y267" s="184"/>
      <c r="Z267" s="181"/>
    </row>
    <row r="268" spans="1:26" x14ac:dyDescent="0.2">
      <c r="A268" s="118">
        <f t="shared" si="19"/>
        <v>36</v>
      </c>
      <c r="F268" s="197"/>
      <c r="H268" s="203"/>
      <c r="I268" s="229"/>
      <c r="P268" s="250"/>
      <c r="U268" s="184"/>
      <c r="V268" s="179"/>
      <c r="W268" s="180"/>
      <c r="Y268" s="184"/>
      <c r="Z268" s="181"/>
    </row>
    <row r="269" spans="1:26" x14ac:dyDescent="0.2">
      <c r="A269" s="118">
        <f t="shared" si="19"/>
        <v>37</v>
      </c>
      <c r="F269" s="197"/>
      <c r="H269" s="203"/>
      <c r="I269" s="229"/>
      <c r="J269" s="171" t="s">
        <v>575</v>
      </c>
      <c r="N269" s="214">
        <f>N265-N267</f>
        <v>-1073373.7790745348</v>
      </c>
      <c r="Q269" s="213"/>
      <c r="U269" s="184"/>
      <c r="V269" s="179"/>
      <c r="W269" s="180"/>
      <c r="Y269" s="184"/>
      <c r="Z269" s="181"/>
    </row>
    <row r="270" spans="1:26" x14ac:dyDescent="0.2">
      <c r="A270" s="118">
        <f t="shared" si="19"/>
        <v>38</v>
      </c>
      <c r="F270" s="1293"/>
      <c r="G270" s="1355"/>
      <c r="H270" s="1155"/>
      <c r="I270" s="229"/>
      <c r="L270" s="197"/>
      <c r="P270" s="250"/>
      <c r="U270" s="184"/>
      <c r="V270" s="179"/>
      <c r="W270" s="180"/>
      <c r="Y270" s="184"/>
      <c r="Z270" s="181"/>
    </row>
    <row r="271" spans="1:26" x14ac:dyDescent="0.2">
      <c r="A271" s="118">
        <f t="shared" si="19"/>
        <v>39</v>
      </c>
      <c r="F271" s="1293"/>
      <c r="G271" s="1355"/>
      <c r="H271" s="1356"/>
      <c r="I271" s="229"/>
      <c r="J271" s="171"/>
      <c r="L271" s="197"/>
      <c r="N271" s="1356"/>
      <c r="O271" s="1355"/>
      <c r="P271" s="1359"/>
      <c r="U271" s="184"/>
      <c r="V271" s="179"/>
      <c r="W271" s="180"/>
      <c r="Y271" s="184"/>
      <c r="Z271" s="181"/>
    </row>
    <row r="272" spans="1:26" x14ac:dyDescent="0.2">
      <c r="A272" s="118">
        <f t="shared" si="19"/>
        <v>40</v>
      </c>
      <c r="F272" s="1357"/>
      <c r="G272" s="1355"/>
      <c r="H272" s="1358"/>
      <c r="I272" s="229"/>
      <c r="L272" s="197"/>
      <c r="N272" s="1358"/>
      <c r="O272" s="1355"/>
      <c r="P272" s="1360"/>
      <c r="U272" s="184"/>
      <c r="V272" s="179"/>
      <c r="W272" s="180"/>
      <c r="Y272" s="184"/>
      <c r="Z272" s="181"/>
    </row>
    <row r="273" spans="1:93" x14ac:dyDescent="0.2">
      <c r="A273" s="118">
        <f t="shared" si="19"/>
        <v>41</v>
      </c>
      <c r="F273" s="1357"/>
      <c r="G273" s="1355"/>
      <c r="H273" s="1358"/>
      <c r="I273" s="229"/>
      <c r="L273" s="197"/>
      <c r="N273" s="1358"/>
      <c r="O273" s="1355"/>
      <c r="P273" s="1360"/>
      <c r="U273" s="184"/>
      <c r="V273" s="179"/>
      <c r="W273" s="180"/>
      <c r="Y273" s="184"/>
      <c r="Z273" s="181"/>
    </row>
    <row r="274" spans="1:93" x14ac:dyDescent="0.2">
      <c r="A274" s="118">
        <f t="shared" si="19"/>
        <v>42</v>
      </c>
      <c r="F274" s="197"/>
      <c r="H274" s="203"/>
      <c r="I274" s="229"/>
      <c r="L274" s="197"/>
      <c r="N274" s="203"/>
      <c r="U274" s="184"/>
      <c r="V274" s="179"/>
      <c r="W274" s="180"/>
      <c r="Y274" s="184"/>
      <c r="Z274" s="181"/>
    </row>
    <row r="275" spans="1:93" x14ac:dyDescent="0.2">
      <c r="A275" s="215"/>
      <c r="B275" s="215" t="s">
        <v>98</v>
      </c>
      <c r="C275" s="215"/>
      <c r="D275" s="215"/>
      <c r="E275" s="215"/>
      <c r="F275" s="299"/>
      <c r="G275" s="215"/>
      <c r="H275" s="300"/>
      <c r="I275" s="215"/>
      <c r="J275" s="215"/>
      <c r="K275" s="215"/>
      <c r="L275" s="299"/>
      <c r="M275" s="215"/>
      <c r="N275" s="300" t="s">
        <v>99</v>
      </c>
      <c r="O275" s="215"/>
      <c r="P275" s="215"/>
      <c r="Q275" s="215"/>
      <c r="Y275" s="101"/>
    </row>
    <row r="276" spans="1:93" x14ac:dyDescent="0.2">
      <c r="A276" s="216"/>
      <c r="B276" s="216"/>
      <c r="C276" s="216"/>
      <c r="D276" s="216"/>
      <c r="E276" s="216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7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  <c r="AO276" s="216"/>
      <c r="AP276" s="216"/>
      <c r="AQ276" s="216"/>
      <c r="AR276" s="216"/>
      <c r="AS276" s="216"/>
      <c r="AT276" s="216"/>
      <c r="AU276" s="216"/>
      <c r="AV276" s="216"/>
      <c r="AW276" s="216"/>
      <c r="AX276" s="216"/>
      <c r="AY276" s="216"/>
      <c r="AZ276" s="216"/>
      <c r="BA276" s="216"/>
      <c r="BB276" s="216"/>
      <c r="BC276" s="216"/>
      <c r="BD276" s="216"/>
      <c r="BE276" s="216"/>
      <c r="BF276" s="216"/>
      <c r="BG276" s="216"/>
      <c r="BH276" s="216"/>
      <c r="BI276" s="216"/>
      <c r="BJ276" s="216"/>
      <c r="BK276" s="216"/>
      <c r="BL276" s="216"/>
      <c r="BM276" s="216"/>
      <c r="BN276" s="216"/>
      <c r="BO276" s="216"/>
      <c r="BP276" s="216"/>
      <c r="BQ276" s="216"/>
      <c r="BR276" s="216"/>
      <c r="BS276" s="216"/>
      <c r="BT276" s="216"/>
      <c r="BU276" s="216"/>
      <c r="BV276" s="216"/>
      <c r="BW276" s="216"/>
      <c r="BX276" s="216"/>
      <c r="BY276" s="216"/>
      <c r="BZ276" s="216"/>
      <c r="CA276" s="216"/>
      <c r="CB276" s="216"/>
      <c r="CC276" s="216"/>
      <c r="CD276" s="216"/>
      <c r="CE276" s="216"/>
      <c r="CF276" s="216"/>
      <c r="CG276" s="216"/>
      <c r="CH276" s="216"/>
      <c r="CI276" s="216"/>
      <c r="CJ276" s="216"/>
      <c r="CK276" s="216"/>
      <c r="CL276" s="216"/>
      <c r="CM276" s="216"/>
      <c r="CN276" s="216"/>
      <c r="CO276" s="216"/>
    </row>
    <row r="277" spans="1:93" x14ac:dyDescent="0.2">
      <c r="A277" s="100" t="s">
        <v>505</v>
      </c>
      <c r="C277" s="102"/>
      <c r="D277" s="103"/>
      <c r="F277" s="268"/>
      <c r="G277" s="104"/>
      <c r="H277" s="269" t="s">
        <v>506</v>
      </c>
      <c r="I277" s="104"/>
      <c r="J277" s="104"/>
      <c r="K277" s="104"/>
      <c r="L277" s="268"/>
      <c r="N277" s="270"/>
      <c r="Q277" s="106" t="s">
        <v>611</v>
      </c>
      <c r="R277" s="105"/>
      <c r="S277" s="105"/>
      <c r="U277" s="114"/>
      <c r="V277" s="114"/>
      <c r="W277" s="114"/>
      <c r="Y277" s="114"/>
      <c r="Z277" s="218"/>
      <c r="AD277" s="114"/>
    </row>
    <row r="278" spans="1:93" ht="10.8" thickBot="1" x14ac:dyDescent="0.25">
      <c r="A278" s="108"/>
      <c r="B278" s="109"/>
      <c r="C278" s="109"/>
      <c r="D278" s="109"/>
      <c r="E278" s="110" t="s">
        <v>416</v>
      </c>
      <c r="F278" s="271" t="s">
        <v>416</v>
      </c>
      <c r="G278" s="109" t="s">
        <v>416</v>
      </c>
      <c r="H278" s="272" t="s">
        <v>416</v>
      </c>
      <c r="I278" s="109" t="s">
        <v>416</v>
      </c>
      <c r="J278" s="109"/>
      <c r="K278" s="109"/>
      <c r="L278" s="271" t="s">
        <v>416</v>
      </c>
      <c r="M278" s="111"/>
      <c r="N278" s="273"/>
      <c r="O278" s="109"/>
      <c r="P278" s="112"/>
      <c r="Q278" s="109"/>
      <c r="U278" s="114"/>
      <c r="V278" s="114"/>
      <c r="W278" s="114"/>
      <c r="Y278" s="114"/>
      <c r="Z278" s="218"/>
      <c r="AD278" s="114"/>
    </row>
    <row r="279" spans="1:93" x14ac:dyDescent="0.2">
      <c r="A279" s="113"/>
      <c r="F279" s="197"/>
      <c r="H279" s="203"/>
      <c r="L279" s="197"/>
      <c r="M279" s="105"/>
      <c r="N279" s="270"/>
      <c r="P279" s="114"/>
      <c r="U279" s="114"/>
      <c r="V279" s="114"/>
      <c r="W279" s="114"/>
      <c r="Y279" s="114"/>
      <c r="Z279" s="218"/>
      <c r="AD279" s="114"/>
    </row>
    <row r="280" spans="1:93" x14ac:dyDescent="0.2">
      <c r="A280" s="100" t="s">
        <v>3</v>
      </c>
      <c r="D280" s="106" t="s">
        <v>4</v>
      </c>
      <c r="E280" s="101" t="s">
        <v>508</v>
      </c>
      <c r="F280" s="197"/>
      <c r="H280" s="203"/>
      <c r="L280" s="197"/>
      <c r="N280" s="203"/>
      <c r="O280" s="100" t="s">
        <v>6</v>
      </c>
      <c r="U280" s="114"/>
      <c r="V280" s="114"/>
      <c r="W280" s="114"/>
      <c r="Y280" s="114"/>
      <c r="Z280" s="218"/>
      <c r="AD280" s="114"/>
    </row>
    <row r="281" spans="1:93" x14ac:dyDescent="0.2">
      <c r="E281" s="101" t="s">
        <v>509</v>
      </c>
      <c r="F281" s="197"/>
      <c r="H281" s="203"/>
      <c r="L281" s="197"/>
      <c r="N281" s="203"/>
      <c r="U281" s="114"/>
      <c r="V281" s="114"/>
      <c r="W281" s="114"/>
      <c r="Y281" s="114"/>
      <c r="Z281" s="218"/>
      <c r="AD281" s="114"/>
    </row>
    <row r="282" spans="1:93" x14ac:dyDescent="0.2">
      <c r="A282" s="100" t="s">
        <v>9</v>
      </c>
      <c r="E282" s="101" t="s">
        <v>510</v>
      </c>
      <c r="F282" s="197"/>
      <c r="H282" s="203"/>
      <c r="L282" s="197"/>
      <c r="N282" s="203"/>
      <c r="O282" s="107" t="str">
        <f>O225</f>
        <v>__X__  Projected Test Year Ended 12/31/26</v>
      </c>
      <c r="U282" s="114"/>
      <c r="V282" s="114"/>
      <c r="W282" s="114"/>
      <c r="Y282" s="114"/>
      <c r="Z282" s="218"/>
      <c r="AD282" s="114"/>
    </row>
    <row r="283" spans="1:93" x14ac:dyDescent="0.2">
      <c r="E283" s="101" t="s">
        <v>512</v>
      </c>
      <c r="F283" s="197"/>
      <c r="H283" s="203"/>
      <c r="L283" s="197"/>
      <c r="N283" s="203"/>
      <c r="U283" s="114"/>
      <c r="V283" s="114"/>
      <c r="W283" s="114"/>
      <c r="Y283" s="114"/>
      <c r="Z283" s="218"/>
      <c r="AD283" s="114"/>
    </row>
    <row r="284" spans="1:93" x14ac:dyDescent="0.2">
      <c r="A284" s="100" t="s">
        <v>491</v>
      </c>
      <c r="C284" s="119" t="s">
        <v>605</v>
      </c>
      <c r="F284" s="197"/>
      <c r="H284" s="203"/>
      <c r="L284" s="197"/>
      <c r="N284" s="203"/>
      <c r="O284" s="100" t="s">
        <v>493</v>
      </c>
      <c r="U284" s="114"/>
      <c r="V284" s="114"/>
      <c r="W284" s="114"/>
      <c r="Y284" s="114"/>
      <c r="Z284" s="218"/>
      <c r="AD284" s="114"/>
    </row>
    <row r="285" spans="1:93" ht="10.8" thickBot="1" x14ac:dyDescent="0.25">
      <c r="A285" s="123"/>
      <c r="B285" s="109"/>
      <c r="C285" s="109"/>
      <c r="D285" s="109"/>
      <c r="E285" s="109"/>
      <c r="F285" s="274"/>
      <c r="G285" s="109"/>
      <c r="H285" s="272"/>
      <c r="I285" s="109"/>
      <c r="J285" s="109"/>
      <c r="K285" s="109"/>
      <c r="L285" s="274"/>
      <c r="M285" s="109"/>
      <c r="N285" s="275"/>
      <c r="O285" s="109"/>
      <c r="P285" s="109"/>
      <c r="Q285" s="109"/>
      <c r="U285" s="114"/>
      <c r="V285" s="114"/>
      <c r="W285" s="114"/>
      <c r="Y285" s="114"/>
      <c r="Z285" s="218"/>
      <c r="AD285" s="114"/>
    </row>
    <row r="286" spans="1:93" ht="15.6" x14ac:dyDescent="0.2">
      <c r="B286" s="124"/>
      <c r="C286" s="125"/>
      <c r="D286" s="125"/>
      <c r="E286" s="125"/>
      <c r="F286" s="276"/>
      <c r="G286" s="125"/>
      <c r="H286" s="277"/>
      <c r="I286" s="126" t="s">
        <v>612</v>
      </c>
      <c r="J286" s="125"/>
      <c r="K286" s="125"/>
      <c r="L286" s="276"/>
      <c r="M286" s="125"/>
      <c r="N286" s="277"/>
      <c r="U286" s="127" t="s">
        <v>530</v>
      </c>
      <c r="V286" s="128"/>
      <c r="W286" s="129"/>
      <c r="Y286" s="130" t="s">
        <v>531</v>
      </c>
      <c r="Z286" s="131"/>
    </row>
    <row r="287" spans="1:93" x14ac:dyDescent="0.2">
      <c r="A287" s="101" t="s">
        <v>30</v>
      </c>
      <c r="B287" s="101" t="s">
        <v>532</v>
      </c>
      <c r="C287" s="132"/>
      <c r="D287" s="133" t="s">
        <v>533</v>
      </c>
      <c r="E287" s="134"/>
      <c r="F287" s="278"/>
      <c r="G287" s="133"/>
      <c r="H287" s="279"/>
      <c r="I287" s="135"/>
      <c r="J287" s="136" t="s">
        <v>534</v>
      </c>
      <c r="K287" s="133"/>
      <c r="L287" s="278"/>
      <c r="M287" s="134"/>
      <c r="N287" s="280"/>
      <c r="O287" s="137"/>
      <c r="Q287" s="118" t="s">
        <v>332</v>
      </c>
      <c r="U287" s="138"/>
      <c r="V287" s="139"/>
      <c r="W287" s="140"/>
      <c r="Y287" s="138"/>
      <c r="Z287" s="141"/>
    </row>
    <row r="288" spans="1:93" x14ac:dyDescent="0.2">
      <c r="A288" s="101" t="s">
        <v>39</v>
      </c>
      <c r="B288" s="102" t="s">
        <v>535</v>
      </c>
      <c r="C288" s="104"/>
      <c r="D288" s="142" t="s">
        <v>536</v>
      </c>
      <c r="E288" s="143"/>
      <c r="F288" s="281" t="s">
        <v>537</v>
      </c>
      <c r="G288" s="142"/>
      <c r="H288" s="282" t="s">
        <v>538</v>
      </c>
      <c r="I288" s="144"/>
      <c r="J288" s="142" t="s">
        <v>536</v>
      </c>
      <c r="K288" s="143"/>
      <c r="L288" s="281" t="s">
        <v>537</v>
      </c>
      <c r="M288" s="142"/>
      <c r="N288" s="282" t="s">
        <v>538</v>
      </c>
      <c r="O288" s="132"/>
      <c r="Q288" s="145" t="s">
        <v>539</v>
      </c>
      <c r="R288" s="132"/>
      <c r="S288" s="132"/>
      <c r="U288" s="138" t="s">
        <v>128</v>
      </c>
      <c r="V288" s="146" t="s">
        <v>343</v>
      </c>
      <c r="W288" s="147" t="s">
        <v>344</v>
      </c>
      <c r="X288" s="118"/>
      <c r="Y288" s="148" t="s">
        <v>128</v>
      </c>
      <c r="Z288" s="149"/>
      <c r="AA288" s="118"/>
      <c r="AB288" s="118"/>
      <c r="AH288" s="116"/>
      <c r="AI288" s="116"/>
      <c r="AJ288" s="116"/>
      <c r="AK288" s="116"/>
      <c r="AL288" s="116"/>
      <c r="AM288" s="116"/>
      <c r="AN288" s="116"/>
      <c r="AO288" s="116"/>
      <c r="AP288" s="116"/>
      <c r="AQ288" s="116"/>
      <c r="AR288" s="116"/>
      <c r="AS288" s="116"/>
      <c r="AT288" s="116"/>
      <c r="AU288" s="116"/>
      <c r="AV288" s="116"/>
      <c r="AW288" s="116"/>
      <c r="AX288" s="116"/>
      <c r="AY288" s="116"/>
      <c r="AZ288" s="116"/>
      <c r="BA288" s="116"/>
      <c r="BB288" s="116"/>
      <c r="BC288" s="116"/>
      <c r="BD288" s="116"/>
      <c r="BE288" s="116"/>
      <c r="BF288" s="116"/>
      <c r="BG288" s="116"/>
      <c r="BH288" s="116"/>
      <c r="BI288" s="116"/>
      <c r="BJ288" s="116"/>
      <c r="BK288" s="116"/>
      <c r="BL288" s="116"/>
      <c r="BM288" s="116"/>
      <c r="BN288" s="116"/>
      <c r="BO288" s="116"/>
      <c r="BP288" s="116"/>
      <c r="BQ288" s="116"/>
      <c r="BR288" s="116"/>
      <c r="BS288" s="116"/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</row>
    <row r="289" spans="1:93" ht="10.8" thickBot="1" x14ac:dyDescent="0.25">
      <c r="A289" s="109"/>
      <c r="B289" s="110" t="s">
        <v>275</v>
      </c>
      <c r="C289" s="150"/>
      <c r="D289" s="220" t="str">
        <f>+$D$13</f>
        <v>Jan '26-Dec '26</v>
      </c>
      <c r="E289" s="221"/>
      <c r="F289" s="152">
        <f>+$L$13</f>
        <v>46023</v>
      </c>
      <c r="G289" s="153"/>
      <c r="H289" s="153"/>
      <c r="I289" s="153"/>
      <c r="J289" s="153"/>
      <c r="K289" s="151"/>
      <c r="L289" s="152">
        <f>+$L$13</f>
        <v>46023</v>
      </c>
      <c r="M289" s="154"/>
      <c r="N289" s="283"/>
      <c r="O289" s="155"/>
      <c r="P289" s="109"/>
      <c r="Q289" s="156"/>
      <c r="R289" s="132"/>
      <c r="S289" s="132"/>
      <c r="U289" s="157" t="s">
        <v>144</v>
      </c>
      <c r="V289" s="158" t="s">
        <v>540</v>
      </c>
      <c r="W289" s="159" t="s">
        <v>540</v>
      </c>
      <c r="X289" s="118"/>
      <c r="Y289" s="160" t="s">
        <v>144</v>
      </c>
      <c r="Z289" s="159" t="s">
        <v>541</v>
      </c>
      <c r="AA289" s="118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  <c r="BF289" s="116"/>
      <c r="BG289" s="116"/>
      <c r="BH289" s="116"/>
      <c r="BI289" s="116"/>
      <c r="BJ289" s="116"/>
      <c r="BK289" s="116"/>
      <c r="BL289" s="116"/>
      <c r="BM289" s="116"/>
      <c r="BN289" s="116"/>
      <c r="BO289" s="116"/>
      <c r="BP289" s="116"/>
      <c r="BQ289" s="116"/>
      <c r="BR289" s="116"/>
      <c r="BS289" s="116"/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</row>
    <row r="290" spans="1:93" x14ac:dyDescent="0.2">
      <c r="A290" s="118">
        <v>1</v>
      </c>
      <c r="B290" s="161"/>
      <c r="C290" s="104"/>
      <c r="E290" s="143"/>
      <c r="F290" s="281"/>
      <c r="G290" s="142"/>
      <c r="H290" s="282"/>
      <c r="I290" s="162"/>
      <c r="J290" s="142"/>
      <c r="K290" s="143"/>
      <c r="L290" s="281"/>
      <c r="M290" s="142"/>
      <c r="N290" s="282"/>
      <c r="O290" s="132"/>
      <c r="Q290" s="145"/>
      <c r="R290" s="132"/>
      <c r="S290" s="132"/>
      <c r="T290" s="118"/>
      <c r="U290" s="163"/>
      <c r="V290" s="139"/>
      <c r="W290" s="140"/>
      <c r="X290" s="118"/>
      <c r="Y290" s="163"/>
      <c r="Z290" s="141"/>
      <c r="AA290" s="118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/>
      <c r="AV290" s="116"/>
      <c r="AW290" s="116"/>
      <c r="AX290" s="116"/>
      <c r="AY290" s="116"/>
      <c r="AZ290" s="116"/>
      <c r="BA290" s="116"/>
      <c r="BB290" s="116"/>
      <c r="BC290" s="116"/>
      <c r="BD290" s="116"/>
      <c r="BE290" s="116"/>
      <c r="BF290" s="116"/>
      <c r="BG290" s="116"/>
      <c r="BH290" s="116"/>
      <c r="BI290" s="116"/>
      <c r="BJ290" s="116"/>
      <c r="BK290" s="116"/>
      <c r="BL290" s="116"/>
      <c r="BM290" s="116"/>
      <c r="BN290" s="116"/>
      <c r="BO290" s="116"/>
      <c r="BP290" s="116"/>
      <c r="BQ290" s="116"/>
      <c r="BR290" s="116"/>
      <c r="BS290" s="116"/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</row>
    <row r="291" spans="1:93" x14ac:dyDescent="0.2">
      <c r="A291" s="118">
        <f t="shared" ref="A291:A330" si="29">+A290+1</f>
        <v>2</v>
      </c>
      <c r="B291" s="222" t="s">
        <v>542</v>
      </c>
      <c r="C291" s="223"/>
      <c r="D291" s="226"/>
      <c r="E291" s="225"/>
      <c r="F291" s="284"/>
      <c r="G291" s="227"/>
      <c r="H291" s="285"/>
      <c r="I291" s="229"/>
      <c r="J291" s="226"/>
      <c r="K291" s="225"/>
      <c r="L291" s="284"/>
      <c r="M291" s="227"/>
      <c r="N291" s="285"/>
      <c r="O291" s="228"/>
      <c r="P291" s="230"/>
      <c r="Q291" s="227"/>
      <c r="R291" s="227"/>
      <c r="S291" s="227"/>
      <c r="T291" s="227"/>
      <c r="U291" s="163"/>
      <c r="V291" s="139"/>
      <c r="W291" s="140"/>
      <c r="X291" s="227"/>
      <c r="Y291" s="163"/>
      <c r="Z291" s="141"/>
      <c r="AA291" s="227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  <c r="BA291" s="116"/>
      <c r="BB291" s="116"/>
      <c r="BC291" s="116"/>
      <c r="BD291" s="116"/>
      <c r="BE291" s="116"/>
      <c r="BF291" s="116"/>
      <c r="BG291" s="116"/>
      <c r="BH291" s="116"/>
      <c r="BI291" s="116"/>
      <c r="BJ291" s="116"/>
      <c r="BK291" s="116"/>
      <c r="BL291" s="116"/>
      <c r="BM291" s="116"/>
      <c r="BN291" s="116"/>
      <c r="BO291" s="116"/>
      <c r="BP291" s="116"/>
      <c r="BQ291" s="116"/>
      <c r="BR291" s="116"/>
      <c r="BS291" s="116"/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</row>
    <row r="292" spans="1:93" x14ac:dyDescent="0.2">
      <c r="A292" s="118">
        <f t="shared" si="29"/>
        <v>3</v>
      </c>
      <c r="B292" s="228" t="s">
        <v>543</v>
      </c>
      <c r="C292" s="223"/>
      <c r="D292" s="168"/>
      <c r="E292" s="225"/>
      <c r="F292" s="183"/>
      <c r="G292" s="223"/>
      <c r="H292" s="174"/>
      <c r="I292" s="229"/>
      <c r="J292" s="168"/>
      <c r="K292" s="225"/>
      <c r="L292" s="857">
        <v>0</v>
      </c>
      <c r="M292" s="223"/>
      <c r="N292" s="174"/>
      <c r="O292" s="227"/>
      <c r="P292" s="227"/>
      <c r="Q292" s="227"/>
      <c r="R292" s="227"/>
      <c r="S292" s="227"/>
      <c r="T292" s="227"/>
      <c r="U292" s="184"/>
      <c r="V292" s="179"/>
      <c r="W292" s="180"/>
      <c r="X292" s="227"/>
      <c r="Y292" s="184"/>
      <c r="Z292" s="181"/>
      <c r="AA292" s="227"/>
      <c r="AB292" s="227"/>
    </row>
    <row r="293" spans="1:93" x14ac:dyDescent="0.2">
      <c r="A293" s="118">
        <f t="shared" si="29"/>
        <v>4</v>
      </c>
      <c r="B293" s="234" t="s">
        <v>149</v>
      </c>
      <c r="C293" s="223"/>
      <c r="D293" s="172">
        <f>SUMIF($AH$6:$CP$6,1,$AH293:$CP293)</f>
        <v>6.7393666844344846</v>
      </c>
      <c r="E293" s="225" t="s">
        <v>545</v>
      </c>
      <c r="F293" s="173">
        <f>'Exhibit MJC-3 - E-13c cal yr'!F295</f>
        <v>117.17</v>
      </c>
      <c r="G293" s="233" t="s">
        <v>375</v>
      </c>
      <c r="H293" s="174">
        <f>ROUND(D293*F293,2)</f>
        <v>789.65</v>
      </c>
      <c r="I293" s="229"/>
      <c r="J293" s="172">
        <f>SUMIF($AH$6:$CP$6,1,$AH293:$CP293)</f>
        <v>6.7393666844344846</v>
      </c>
      <c r="K293" s="225" t="s">
        <v>545</v>
      </c>
      <c r="L293" s="173">
        <f>ROUND(F293*(1+'Exhibit MJC-2 - Old E-8a'!$V$27)+L292,2)</f>
        <v>121.92</v>
      </c>
      <c r="M293" s="233" t="s">
        <v>375</v>
      </c>
      <c r="N293" s="174">
        <f>ROUND(J293*L293,2)</f>
        <v>821.66</v>
      </c>
      <c r="O293" s="227"/>
      <c r="P293" s="176"/>
      <c r="Q293" s="1022"/>
      <c r="R293" s="186"/>
      <c r="S293" s="227"/>
      <c r="T293" s="227"/>
      <c r="U293" s="184" t="s">
        <v>613</v>
      </c>
      <c r="V293" s="179">
        <v>246</v>
      </c>
      <c r="W293" s="180">
        <v>220</v>
      </c>
      <c r="X293" s="227"/>
      <c r="Y293" s="184"/>
      <c r="Z293" s="181"/>
      <c r="AA293" s="227"/>
      <c r="AB293" s="182">
        <f>SUM(AH293:AS293)</f>
        <v>6.6253355117171964</v>
      </c>
      <c r="AC293" s="182">
        <f>SUM(AT293:BE293)</f>
        <v>6.6672327777265918</v>
      </c>
      <c r="AD293" s="182">
        <f>SUM(BF293:BQ293)</f>
        <v>6.6997861905054945</v>
      </c>
      <c r="AE293" s="182">
        <f>SUM(BR293:CC293)</f>
        <v>6.7393666844344846</v>
      </c>
      <c r="AF293" s="182">
        <f>SUM(CD293:CO293)</f>
        <v>6.7868672747482002</v>
      </c>
      <c r="AH293" s="168">
        <v>0.54887926319307923</v>
      </c>
      <c r="AI293" s="168">
        <v>1.4910773156547863</v>
      </c>
      <c r="AJ293" s="168">
        <v>1.1447690782329609</v>
      </c>
      <c r="AK293" s="168">
        <v>0.98080386829491661</v>
      </c>
      <c r="AL293" s="168">
        <v>0.43251498515272352</v>
      </c>
      <c r="AM293" s="168">
        <v>0.26039679859991516</v>
      </c>
      <c r="AN293" s="168">
        <v>0.2691407757710742</v>
      </c>
      <c r="AO293" s="168">
        <v>0.43682925080407592</v>
      </c>
      <c r="AP293" s="168">
        <v>0.35359369623871534</v>
      </c>
      <c r="AQ293" s="168">
        <v>0.26213628542660139</v>
      </c>
      <c r="AR293" s="168">
        <v>0.18285293399908539</v>
      </c>
      <c r="AS293" s="168">
        <v>0.26234126034926197</v>
      </c>
      <c r="AT293" s="168">
        <v>0.5505128887872035</v>
      </c>
      <c r="AU293" s="168">
        <v>1.5082424396006915</v>
      </c>
      <c r="AV293" s="168">
        <v>1.1570489879425228</v>
      </c>
      <c r="AW293" s="168">
        <v>0.98981501142623696</v>
      </c>
      <c r="AX293" s="168">
        <v>0.4350134816248743</v>
      </c>
      <c r="AY293" s="168">
        <v>0.26032031476191675</v>
      </c>
      <c r="AZ293" s="168">
        <v>0.26884776276515227</v>
      </c>
      <c r="BA293" s="168">
        <v>0.43879020505170496</v>
      </c>
      <c r="BB293" s="168">
        <v>0.35419038406769571</v>
      </c>
      <c r="BC293" s="168">
        <v>0.26139050891162197</v>
      </c>
      <c r="BD293" s="168">
        <v>0.18165680332092565</v>
      </c>
      <c r="BE293" s="168">
        <v>0.26140398946604559</v>
      </c>
      <c r="BF293" s="168">
        <v>0.5514936029445604</v>
      </c>
      <c r="BG293" s="168">
        <v>1.5239636063662687</v>
      </c>
      <c r="BH293" s="168">
        <v>1.1695032201385904</v>
      </c>
      <c r="BI293" s="168">
        <v>0.99736619727652742</v>
      </c>
      <c r="BJ293" s="168">
        <v>0.43629160878468537</v>
      </c>
      <c r="BK293" s="168">
        <v>0.25917346081790937</v>
      </c>
      <c r="BL293" s="168">
        <v>0.26759366863159156</v>
      </c>
      <c r="BM293" s="168">
        <v>0.4399745369569571</v>
      </c>
      <c r="BN293" s="168">
        <v>0.35412027610850227</v>
      </c>
      <c r="BO293" s="168">
        <v>0.26010649588571794</v>
      </c>
      <c r="BP293" s="168">
        <v>0.18003613703275032</v>
      </c>
      <c r="BQ293" s="168">
        <v>0.26016337956143309</v>
      </c>
      <c r="BR293" s="168">
        <v>0.55222953146953857</v>
      </c>
      <c r="BS293" s="168">
        <v>1.5397495981884826</v>
      </c>
      <c r="BT293" s="168">
        <v>1.1819531597403099</v>
      </c>
      <c r="BU293" s="168">
        <v>1.0052378280834589</v>
      </c>
      <c r="BV293" s="168">
        <v>0.43798168988949621</v>
      </c>
      <c r="BW293" s="168">
        <v>0.25852989567354023</v>
      </c>
      <c r="BX293" s="168">
        <v>0.26698412423068629</v>
      </c>
      <c r="BY293" s="168">
        <v>0.44192399383924114</v>
      </c>
      <c r="BZ293" s="168">
        <v>0.35499252936509668</v>
      </c>
      <c r="CA293" s="168">
        <v>0.25990456206134122</v>
      </c>
      <c r="CB293" s="168">
        <v>0.17975380948286257</v>
      </c>
      <c r="CC293" s="168">
        <v>0.2601259624104304</v>
      </c>
      <c r="CD293" s="168">
        <v>0.55549075039277362</v>
      </c>
      <c r="CE293" s="168">
        <v>1.5565322627461995</v>
      </c>
      <c r="CF293" s="168">
        <v>1.194299251713</v>
      </c>
      <c r="CG293" s="168">
        <v>1.013883822419595</v>
      </c>
      <c r="CH293" s="168">
        <v>0.44038238244063072</v>
      </c>
      <c r="CI293" s="168">
        <v>0.25859212080034572</v>
      </c>
      <c r="CJ293" s="168">
        <v>0.2670814014103684</v>
      </c>
      <c r="CK293" s="168">
        <v>0.44442358272687532</v>
      </c>
      <c r="CL293" s="168">
        <v>0.35630027503280909</v>
      </c>
      <c r="CM293" s="168">
        <v>0.25997770376149171</v>
      </c>
      <c r="CN293" s="168">
        <v>0.17967574851956528</v>
      </c>
      <c r="CO293" s="168">
        <v>0.26022797278454551</v>
      </c>
    </row>
    <row r="294" spans="1:93" x14ac:dyDescent="0.2">
      <c r="A294" s="118">
        <f t="shared" si="29"/>
        <v>5</v>
      </c>
      <c r="B294" s="234" t="s">
        <v>148</v>
      </c>
      <c r="C294" s="223"/>
      <c r="D294" s="172">
        <f>SUMIF($AH$6:$CP$6,1,$AH294:$CP294)</f>
        <v>32.734066752967493</v>
      </c>
      <c r="E294" s="225" t="s">
        <v>545</v>
      </c>
      <c r="F294" s="173">
        <f>'Exhibit MJC-3 - E-13c cal yr'!F296</f>
        <v>325.3</v>
      </c>
      <c r="G294" s="233" t="s">
        <v>375</v>
      </c>
      <c r="H294" s="174">
        <f>ROUND(D294*F294,2)</f>
        <v>10648.39</v>
      </c>
      <c r="I294" s="229"/>
      <c r="J294" s="172">
        <f>SUMIF($AH$6:$CP$6,1,$AH294:$CP294)</f>
        <v>32.734066752967493</v>
      </c>
      <c r="K294" s="225" t="s">
        <v>545</v>
      </c>
      <c r="L294" s="173">
        <f>ROUND(F294*(1+'Exhibit MJC-2 - Old E-8a'!$V$27)+L292,2)</f>
        <v>338.48</v>
      </c>
      <c r="M294" s="233" t="s">
        <v>375</v>
      </c>
      <c r="N294" s="174">
        <f>ROUND(J294*L294,2)</f>
        <v>11079.83</v>
      </c>
      <c r="O294" s="227"/>
      <c r="P294" s="176"/>
      <c r="Q294" s="1022"/>
      <c r="R294" s="186"/>
      <c r="S294" s="227"/>
      <c r="T294" s="227"/>
      <c r="U294" s="184" t="s">
        <v>613</v>
      </c>
      <c r="V294" s="179">
        <v>246</v>
      </c>
      <c r="W294" s="180">
        <v>220</v>
      </c>
      <c r="X294" s="227"/>
      <c r="Y294" s="184"/>
      <c r="Z294" s="181"/>
      <c r="AA294" s="227"/>
      <c r="AB294" s="182">
        <f>SUM(AH294:AS294)</f>
        <v>32.18020105691209</v>
      </c>
      <c r="AC294" s="182">
        <f>SUM(AT294:BE294)</f>
        <v>32.383702063243447</v>
      </c>
      <c r="AD294" s="182">
        <f>SUM(BF294:BQ294)</f>
        <v>32.541818639598112</v>
      </c>
      <c r="AE294" s="182">
        <f>SUM(BR294:CC294)</f>
        <v>32.734066752967493</v>
      </c>
      <c r="AF294" s="182">
        <f>SUM(CD294:CO294)</f>
        <v>32.964783905919823</v>
      </c>
      <c r="AH294" s="168">
        <v>2.6659849926520991</v>
      </c>
      <c r="AI294" s="168">
        <v>7.2423755331803896</v>
      </c>
      <c r="AJ294" s="168">
        <v>5.5603069514172381</v>
      </c>
      <c r="AK294" s="168">
        <v>4.7639045031467377</v>
      </c>
      <c r="AL294" s="168">
        <v>2.1007870707417999</v>
      </c>
      <c r="AM294" s="168">
        <v>1.2647844503424448</v>
      </c>
      <c r="AN294" s="168">
        <v>1.3072551966023602</v>
      </c>
      <c r="AO294" s="168">
        <v>2.1217420753340832</v>
      </c>
      <c r="AP294" s="168">
        <v>1.7174550960166171</v>
      </c>
      <c r="AQ294" s="168">
        <v>1.2732333863577781</v>
      </c>
      <c r="AR294" s="168">
        <v>0.88814282228127184</v>
      </c>
      <c r="AS294" s="168">
        <v>1.2742289788392722</v>
      </c>
      <c r="AT294" s="168">
        <v>2.6739197455378458</v>
      </c>
      <c r="AU294" s="168">
        <v>7.3257489923462149</v>
      </c>
      <c r="AV294" s="168">
        <v>5.6199522271493958</v>
      </c>
      <c r="AW294" s="168">
        <v>4.8076729126417215</v>
      </c>
      <c r="AX294" s="168">
        <v>2.1129226250351039</v>
      </c>
      <c r="AY294" s="168">
        <v>1.2644129574150242</v>
      </c>
      <c r="AZ294" s="168">
        <v>1.3058319905735964</v>
      </c>
      <c r="BA294" s="168">
        <v>2.131266710251138</v>
      </c>
      <c r="BB294" s="168">
        <v>1.7203532940430932</v>
      </c>
      <c r="BC294" s="168">
        <v>1.2696110432850207</v>
      </c>
      <c r="BD294" s="168">
        <v>0.88233304470163876</v>
      </c>
      <c r="BE294" s="168">
        <v>1.26967652026365</v>
      </c>
      <c r="BF294" s="168">
        <v>2.6786832143021502</v>
      </c>
      <c r="BG294" s="168">
        <v>7.4021089452075906</v>
      </c>
      <c r="BH294" s="168">
        <v>5.6804442121017242</v>
      </c>
      <c r="BI294" s="168">
        <v>4.8443501010574188</v>
      </c>
      <c r="BJ294" s="168">
        <v>2.1191306712399003</v>
      </c>
      <c r="BK294" s="168">
        <v>1.2588425239727026</v>
      </c>
      <c r="BL294" s="168">
        <v>1.2997406762105876</v>
      </c>
      <c r="BM294" s="168">
        <v>2.13701917950522</v>
      </c>
      <c r="BN294" s="168">
        <v>1.7200127696698679</v>
      </c>
      <c r="BO294" s="168">
        <v>1.2633744085877727</v>
      </c>
      <c r="BP294" s="168">
        <v>0.8744612370162157</v>
      </c>
      <c r="BQ294" s="168">
        <v>1.2636507007269606</v>
      </c>
      <c r="BR294" s="168">
        <v>2.6822577242806158</v>
      </c>
      <c r="BS294" s="168">
        <v>7.4787837626297717</v>
      </c>
      <c r="BT294" s="168">
        <v>5.7409153473100751</v>
      </c>
      <c r="BU294" s="168">
        <v>4.8825837364053717</v>
      </c>
      <c r="BV294" s="168">
        <v>2.1273396366061244</v>
      </c>
      <c r="BW294" s="168">
        <v>1.2557166361286241</v>
      </c>
      <c r="BX294" s="168">
        <v>1.2967800319776188</v>
      </c>
      <c r="BY294" s="168">
        <v>2.146487970076314</v>
      </c>
      <c r="BZ294" s="168">
        <v>1.7242494283447551</v>
      </c>
      <c r="CA294" s="168">
        <v>1.2623935871550858</v>
      </c>
      <c r="CB294" s="168">
        <v>0.87308993177390382</v>
      </c>
      <c r="CC294" s="168">
        <v>1.2634689602792333</v>
      </c>
      <c r="CD294" s="168">
        <v>2.6980979304791859</v>
      </c>
      <c r="CE294" s="168">
        <v>7.560299561910111</v>
      </c>
      <c r="CF294" s="168">
        <v>5.8008820797488561</v>
      </c>
      <c r="CG294" s="168">
        <v>4.9245785660380319</v>
      </c>
      <c r="CH294" s="168">
        <v>2.1390001432830634</v>
      </c>
      <c r="CI294" s="168">
        <v>1.2560188724588219</v>
      </c>
      <c r="CJ294" s="168">
        <v>1.297252521136075</v>
      </c>
      <c r="CK294" s="168">
        <v>2.1586288303876802</v>
      </c>
      <c r="CL294" s="168">
        <v>1.7306013358736441</v>
      </c>
      <c r="CM294" s="168">
        <v>1.2627488468415309</v>
      </c>
      <c r="CN294" s="168">
        <v>0.87271077852360268</v>
      </c>
      <c r="CO294" s="168">
        <v>1.2639644392392209</v>
      </c>
    </row>
    <row r="295" spans="1:93" x14ac:dyDescent="0.2">
      <c r="A295" s="118">
        <f t="shared" si="29"/>
        <v>6</v>
      </c>
      <c r="B295" s="234" t="s">
        <v>216</v>
      </c>
      <c r="C295" s="223"/>
      <c r="D295" s="172">
        <f>SUMIF($AH$6:$CP$6,1,$AH295:$CP295)</f>
        <v>0</v>
      </c>
      <c r="E295" s="225" t="s">
        <v>545</v>
      </c>
      <c r="F295" s="173">
        <f>'Exhibit MJC-3 - E-13c cal yr'!F297</f>
        <v>1214.08</v>
      </c>
      <c r="G295" s="233" t="s">
        <v>375</v>
      </c>
      <c r="H295" s="174">
        <f>ROUND(D295*F295,2)</f>
        <v>0</v>
      </c>
      <c r="I295" s="229"/>
      <c r="J295" s="172">
        <f>SUMIF($AH$6:$CP$6,1,$AH295:$CP295)</f>
        <v>0</v>
      </c>
      <c r="K295" s="225" t="s">
        <v>545</v>
      </c>
      <c r="L295" s="173">
        <f>ROUND(F295*(1+'Exhibit MJC-2 - Old E-8a'!$V$27)+L292,2)</f>
        <v>1263.28</v>
      </c>
      <c r="M295" s="233" t="s">
        <v>375</v>
      </c>
      <c r="N295" s="174">
        <f>ROUND(J295*L295,2)</f>
        <v>0</v>
      </c>
      <c r="O295" s="227"/>
      <c r="P295" s="227"/>
      <c r="Q295" s="1022"/>
      <c r="R295" s="227"/>
      <c r="S295" s="227"/>
      <c r="T295" s="227"/>
      <c r="U295" s="184" t="s">
        <v>613</v>
      </c>
      <c r="V295" s="179">
        <v>246</v>
      </c>
      <c r="W295" s="180">
        <v>220</v>
      </c>
      <c r="X295" s="227"/>
      <c r="Y295" s="184"/>
      <c r="Z295" s="181"/>
      <c r="AA295" s="227"/>
      <c r="AB295" s="182">
        <f>SUM(AH295:AS295)</f>
        <v>0</v>
      </c>
      <c r="AC295" s="182">
        <f>SUM(AT295:BE295)</f>
        <v>0</v>
      </c>
      <c r="AD295" s="182">
        <f>SUM(BF295:BQ295)</f>
        <v>0</v>
      </c>
      <c r="AE295" s="182">
        <f>SUM(BR295:CC295)</f>
        <v>0</v>
      </c>
      <c r="AF295" s="182">
        <f>SUM(CD295:CO295)</f>
        <v>0</v>
      </c>
      <c r="AH295" s="168">
        <v>0</v>
      </c>
      <c r="AI295" s="168">
        <v>0</v>
      </c>
      <c r="AJ295" s="168">
        <v>0</v>
      </c>
      <c r="AK295" s="168">
        <v>0</v>
      </c>
      <c r="AL295" s="168">
        <v>0</v>
      </c>
      <c r="AM295" s="168">
        <v>0</v>
      </c>
      <c r="AN295" s="168">
        <v>0</v>
      </c>
      <c r="AO295" s="168">
        <v>0</v>
      </c>
      <c r="AP295" s="168">
        <v>0</v>
      </c>
      <c r="AQ295" s="168">
        <v>0</v>
      </c>
      <c r="AR295" s="168">
        <v>0</v>
      </c>
      <c r="AS295" s="168">
        <v>0</v>
      </c>
      <c r="AT295" s="168">
        <v>0</v>
      </c>
      <c r="AU295" s="168">
        <v>0</v>
      </c>
      <c r="AV295" s="168">
        <v>0</v>
      </c>
      <c r="AW295" s="168">
        <v>0</v>
      </c>
      <c r="AX295" s="168">
        <v>0</v>
      </c>
      <c r="AY295" s="168">
        <v>0</v>
      </c>
      <c r="AZ295" s="168">
        <v>0</v>
      </c>
      <c r="BA295" s="168">
        <v>0</v>
      </c>
      <c r="BB295" s="168">
        <v>0</v>
      </c>
      <c r="BC295" s="168">
        <v>0</v>
      </c>
      <c r="BD295" s="168">
        <v>0</v>
      </c>
      <c r="BE295" s="168">
        <v>0</v>
      </c>
      <c r="BF295" s="168">
        <v>0</v>
      </c>
      <c r="BG295" s="168">
        <v>0</v>
      </c>
      <c r="BH295" s="168">
        <v>0</v>
      </c>
      <c r="BI295" s="168">
        <v>0</v>
      </c>
      <c r="BJ295" s="168">
        <v>0</v>
      </c>
      <c r="BK295" s="168">
        <v>0</v>
      </c>
      <c r="BL295" s="168">
        <v>0</v>
      </c>
      <c r="BM295" s="168">
        <v>0</v>
      </c>
      <c r="BN295" s="168">
        <v>0</v>
      </c>
      <c r="BO295" s="168">
        <v>0</v>
      </c>
      <c r="BP295" s="168">
        <v>0</v>
      </c>
      <c r="BQ295" s="168">
        <v>0</v>
      </c>
      <c r="BR295" s="168">
        <v>0</v>
      </c>
      <c r="BS295" s="168">
        <v>0</v>
      </c>
      <c r="BT295" s="168">
        <v>0</v>
      </c>
      <c r="BU295" s="168">
        <v>0</v>
      </c>
      <c r="BV295" s="168">
        <v>0</v>
      </c>
      <c r="BW295" s="168">
        <v>0</v>
      </c>
      <c r="BX295" s="168">
        <v>0</v>
      </c>
      <c r="BY295" s="168">
        <v>0</v>
      </c>
      <c r="BZ295" s="168">
        <v>0</v>
      </c>
      <c r="CA295" s="168">
        <v>0</v>
      </c>
      <c r="CB295" s="168">
        <v>0</v>
      </c>
      <c r="CC295" s="168">
        <v>0</v>
      </c>
      <c r="CD295" s="168">
        <v>0</v>
      </c>
      <c r="CE295" s="168">
        <v>0</v>
      </c>
      <c r="CF295" s="168">
        <v>0</v>
      </c>
      <c r="CG295" s="168">
        <v>0</v>
      </c>
      <c r="CH295" s="168">
        <v>0</v>
      </c>
      <c r="CI295" s="168">
        <v>0</v>
      </c>
      <c r="CJ295" s="168">
        <v>0</v>
      </c>
      <c r="CK295" s="168">
        <v>0</v>
      </c>
      <c r="CL295" s="168">
        <v>0</v>
      </c>
      <c r="CM295" s="168">
        <v>0</v>
      </c>
      <c r="CN295" s="168">
        <v>0</v>
      </c>
      <c r="CO295" s="168">
        <v>0</v>
      </c>
    </row>
    <row r="296" spans="1:93" x14ac:dyDescent="0.2">
      <c r="A296" s="118">
        <f t="shared" si="29"/>
        <v>7</v>
      </c>
      <c r="B296" s="226" t="s">
        <v>546</v>
      </c>
      <c r="C296" s="223"/>
      <c r="D296" s="168"/>
      <c r="E296" s="225"/>
      <c r="F296" s="183"/>
      <c r="G296" s="233"/>
      <c r="H296" s="174"/>
      <c r="I296" s="229"/>
      <c r="J296" s="168"/>
      <c r="K296" s="225"/>
      <c r="L296" s="183"/>
      <c r="M296" s="233"/>
      <c r="N296" s="174"/>
      <c r="O296" s="227"/>
      <c r="P296" s="227"/>
      <c r="Q296" s="1022"/>
      <c r="R296" s="227"/>
      <c r="S296" s="227"/>
      <c r="T296" s="227"/>
      <c r="U296" s="178"/>
      <c r="V296" s="179"/>
      <c r="W296" s="180"/>
      <c r="X296" s="227"/>
      <c r="Y296" s="178"/>
      <c r="Z296" s="181"/>
      <c r="AA296" s="227"/>
      <c r="AB296" s="227"/>
    </row>
    <row r="297" spans="1:93" x14ac:dyDescent="0.2">
      <c r="A297" s="118">
        <f t="shared" si="29"/>
        <v>8</v>
      </c>
      <c r="B297" s="234" t="s">
        <v>149</v>
      </c>
      <c r="C297" s="223"/>
      <c r="D297" s="172">
        <f>SUMIF($AH$6:$CP$6,1,$AH297:$CP297)</f>
        <v>0</v>
      </c>
      <c r="E297" s="225" t="s">
        <v>545</v>
      </c>
      <c r="F297" s="173">
        <f>'Exhibit MJC-3 - E-13c cal yr'!F299</f>
        <v>117.17</v>
      </c>
      <c r="G297" s="233" t="s">
        <v>375</v>
      </c>
      <c r="H297" s="174">
        <f>ROUND(D297*F297,2)</f>
        <v>0</v>
      </c>
      <c r="I297" s="229"/>
      <c r="J297" s="172">
        <f>SUMIF($AH$6:$CP$6,1,$AH297:$CP297)</f>
        <v>0</v>
      </c>
      <c r="K297" s="225" t="s">
        <v>545</v>
      </c>
      <c r="L297" s="183">
        <f>L293</f>
        <v>121.92</v>
      </c>
      <c r="M297" s="233" t="s">
        <v>375</v>
      </c>
      <c r="N297" s="174">
        <f>ROUND(J297*L297,2)</f>
        <v>0</v>
      </c>
      <c r="O297" s="227"/>
      <c r="P297" s="227"/>
      <c r="Q297" s="1022"/>
      <c r="R297" s="289"/>
      <c r="S297" s="230"/>
      <c r="T297" s="227"/>
      <c r="U297" s="178" t="s">
        <v>614</v>
      </c>
      <c r="V297" s="179">
        <v>249</v>
      </c>
      <c r="W297" s="180">
        <v>223</v>
      </c>
      <c r="X297" s="227"/>
      <c r="Y297" s="178"/>
      <c r="Z297" s="181"/>
      <c r="AA297" s="227"/>
      <c r="AB297" s="182">
        <f>SUM(AH297:AS297)</f>
        <v>0</v>
      </c>
      <c r="AC297" s="182">
        <f>SUM(AT297:BE297)</f>
        <v>0</v>
      </c>
      <c r="AD297" s="182">
        <f>SUM(BF297:BQ297)</f>
        <v>0</v>
      </c>
      <c r="AE297" s="182">
        <f>SUM(BR297:CC297)</f>
        <v>0</v>
      </c>
      <c r="AF297" s="182">
        <f>SUM(CD297:CO297)</f>
        <v>0</v>
      </c>
      <c r="AH297" s="168">
        <v>0</v>
      </c>
      <c r="AI297" s="168">
        <v>0</v>
      </c>
      <c r="AJ297" s="168">
        <v>0</v>
      </c>
      <c r="AK297" s="168">
        <v>0</v>
      </c>
      <c r="AL297" s="168">
        <v>0</v>
      </c>
      <c r="AM297" s="168">
        <v>0</v>
      </c>
      <c r="AN297" s="168">
        <v>0</v>
      </c>
      <c r="AO297" s="168">
        <v>0</v>
      </c>
      <c r="AP297" s="168">
        <v>0</v>
      </c>
      <c r="AQ297" s="168">
        <v>0</v>
      </c>
      <c r="AR297" s="168">
        <v>0</v>
      </c>
      <c r="AS297" s="168">
        <v>0</v>
      </c>
      <c r="AT297" s="168">
        <v>0</v>
      </c>
      <c r="AU297" s="168">
        <v>0</v>
      </c>
      <c r="AV297" s="168">
        <v>0</v>
      </c>
      <c r="AW297" s="168">
        <v>0</v>
      </c>
      <c r="AX297" s="168">
        <v>0</v>
      </c>
      <c r="AY297" s="168">
        <v>0</v>
      </c>
      <c r="AZ297" s="168">
        <v>0</v>
      </c>
      <c r="BA297" s="168">
        <v>0</v>
      </c>
      <c r="BB297" s="168">
        <v>0</v>
      </c>
      <c r="BC297" s="168">
        <v>0</v>
      </c>
      <c r="BD297" s="168">
        <v>0</v>
      </c>
      <c r="BE297" s="168">
        <v>0</v>
      </c>
      <c r="BF297" s="168">
        <v>0</v>
      </c>
      <c r="BG297" s="168">
        <v>0</v>
      </c>
      <c r="BH297" s="168">
        <v>0</v>
      </c>
      <c r="BI297" s="168">
        <v>0</v>
      </c>
      <c r="BJ297" s="168">
        <v>0</v>
      </c>
      <c r="BK297" s="168">
        <v>0</v>
      </c>
      <c r="BL297" s="168">
        <v>0</v>
      </c>
      <c r="BM297" s="168">
        <v>0</v>
      </c>
      <c r="BN297" s="168">
        <v>0</v>
      </c>
      <c r="BO297" s="168">
        <v>0</v>
      </c>
      <c r="BP297" s="168">
        <v>0</v>
      </c>
      <c r="BQ297" s="168">
        <v>0</v>
      </c>
      <c r="BR297" s="168">
        <v>0</v>
      </c>
      <c r="BS297" s="168">
        <v>0</v>
      </c>
      <c r="BT297" s="168">
        <v>0</v>
      </c>
      <c r="BU297" s="168">
        <v>0</v>
      </c>
      <c r="BV297" s="168">
        <v>0</v>
      </c>
      <c r="BW297" s="168">
        <v>0</v>
      </c>
      <c r="BX297" s="168">
        <v>0</v>
      </c>
      <c r="BY297" s="168">
        <v>0</v>
      </c>
      <c r="BZ297" s="168">
        <v>0</v>
      </c>
      <c r="CA297" s="168">
        <v>0</v>
      </c>
      <c r="CB297" s="168">
        <v>0</v>
      </c>
      <c r="CC297" s="168">
        <v>0</v>
      </c>
      <c r="CD297" s="168">
        <v>0</v>
      </c>
      <c r="CE297" s="168">
        <v>0</v>
      </c>
      <c r="CF297" s="168">
        <v>0</v>
      </c>
      <c r="CG297" s="168">
        <v>0</v>
      </c>
      <c r="CH297" s="168">
        <v>0</v>
      </c>
      <c r="CI297" s="168">
        <v>0</v>
      </c>
      <c r="CJ297" s="168">
        <v>0</v>
      </c>
      <c r="CK297" s="168">
        <v>0</v>
      </c>
      <c r="CL297" s="168">
        <v>0</v>
      </c>
      <c r="CM297" s="168">
        <v>0</v>
      </c>
      <c r="CN297" s="168">
        <v>0</v>
      </c>
      <c r="CO297" s="168">
        <v>0</v>
      </c>
    </row>
    <row r="298" spans="1:93" x14ac:dyDescent="0.2">
      <c r="A298" s="118">
        <f t="shared" si="29"/>
        <v>9</v>
      </c>
      <c r="B298" s="234" t="s">
        <v>148</v>
      </c>
      <c r="C298" s="223"/>
      <c r="D298" s="172">
        <f>SUMIF($AH$6:$CP$6,1,$AH298:$CP298)</f>
        <v>32.734066752967493</v>
      </c>
      <c r="E298" s="225" t="s">
        <v>545</v>
      </c>
      <c r="F298" s="173">
        <f>'Exhibit MJC-3 - E-13c cal yr'!F300</f>
        <v>325.3</v>
      </c>
      <c r="G298" s="233" t="s">
        <v>375</v>
      </c>
      <c r="H298" s="174">
        <f>ROUND(D298*F298,2)</f>
        <v>10648.39</v>
      </c>
      <c r="I298" s="229"/>
      <c r="J298" s="172">
        <f>SUMIF($AH$6:$CP$6,1,$AH298:$CP298)</f>
        <v>32.734066752967493</v>
      </c>
      <c r="K298" s="225" t="s">
        <v>545</v>
      </c>
      <c r="L298" s="183">
        <f t="shared" ref="L298:L299" si="30">L294</f>
        <v>338.48</v>
      </c>
      <c r="M298" s="233" t="s">
        <v>375</v>
      </c>
      <c r="N298" s="174">
        <f>ROUND(J298*L298,2)</f>
        <v>11079.83</v>
      </c>
      <c r="O298" s="227"/>
      <c r="P298" s="176"/>
      <c r="Q298" s="1022"/>
      <c r="R298" s="259"/>
      <c r="S298" s="259"/>
      <c r="T298" s="227"/>
      <c r="U298" s="178" t="s">
        <v>614</v>
      </c>
      <c r="V298" s="179">
        <v>249</v>
      </c>
      <c r="W298" s="180">
        <v>223</v>
      </c>
      <c r="X298" s="227"/>
      <c r="Y298" s="178"/>
      <c r="Z298" s="181"/>
      <c r="AA298" s="227"/>
      <c r="AB298" s="182">
        <f>SUM(AH298:AS298)</f>
        <v>32.18020105691209</v>
      </c>
      <c r="AC298" s="182">
        <f>SUM(AT298:BE298)</f>
        <v>32.383702063243454</v>
      </c>
      <c r="AD298" s="182">
        <f>SUM(BF298:BQ298)</f>
        <v>32.541818639598112</v>
      </c>
      <c r="AE298" s="182">
        <f>SUM(BR298:CC298)</f>
        <v>32.734066752967493</v>
      </c>
      <c r="AF298" s="182">
        <f>SUM(CD298:CO298)</f>
        <v>32.96478390591983</v>
      </c>
      <c r="AH298" s="168">
        <v>2.6659849926520991</v>
      </c>
      <c r="AI298" s="168">
        <v>7.2423755331803905</v>
      </c>
      <c r="AJ298" s="168">
        <v>5.560306951417239</v>
      </c>
      <c r="AK298" s="168">
        <v>4.7639045031467377</v>
      </c>
      <c r="AL298" s="168">
        <v>2.1007870707417999</v>
      </c>
      <c r="AM298" s="168">
        <v>1.2647844503424452</v>
      </c>
      <c r="AN298" s="168">
        <v>1.3072551966023602</v>
      </c>
      <c r="AO298" s="168">
        <v>2.1217420753340832</v>
      </c>
      <c r="AP298" s="168">
        <v>1.7174550960166175</v>
      </c>
      <c r="AQ298" s="168">
        <v>1.2732333863577783</v>
      </c>
      <c r="AR298" s="168">
        <v>0.88814282228127184</v>
      </c>
      <c r="AS298" s="168">
        <v>1.2742289788392724</v>
      </c>
      <c r="AT298" s="168">
        <v>2.6739197455378458</v>
      </c>
      <c r="AU298" s="168">
        <v>7.3257489923462158</v>
      </c>
      <c r="AV298" s="168">
        <v>5.6199522271493967</v>
      </c>
      <c r="AW298" s="168">
        <v>4.8076729126417224</v>
      </c>
      <c r="AX298" s="168">
        <v>2.1129226250351039</v>
      </c>
      <c r="AY298" s="168">
        <v>1.2644129574150242</v>
      </c>
      <c r="AZ298" s="168">
        <v>1.3058319905735967</v>
      </c>
      <c r="BA298" s="168">
        <v>2.1312667102511385</v>
      </c>
      <c r="BB298" s="168">
        <v>1.7203532940430935</v>
      </c>
      <c r="BC298" s="168">
        <v>1.2696110432850207</v>
      </c>
      <c r="BD298" s="168">
        <v>0.88233304470163887</v>
      </c>
      <c r="BE298" s="168">
        <v>1.26967652026365</v>
      </c>
      <c r="BF298" s="168">
        <v>2.6786832143021506</v>
      </c>
      <c r="BG298" s="168">
        <v>7.4021089452075914</v>
      </c>
      <c r="BH298" s="168">
        <v>5.6804442121017251</v>
      </c>
      <c r="BI298" s="168">
        <v>4.8443501010574188</v>
      </c>
      <c r="BJ298" s="168">
        <v>2.1191306712399003</v>
      </c>
      <c r="BK298" s="168">
        <v>1.2588425239727026</v>
      </c>
      <c r="BL298" s="168">
        <v>1.2997406762105876</v>
      </c>
      <c r="BM298" s="168">
        <v>2.1370191795052205</v>
      </c>
      <c r="BN298" s="168">
        <v>1.7200127696698684</v>
      </c>
      <c r="BO298" s="168">
        <v>1.2633744085877729</v>
      </c>
      <c r="BP298" s="168">
        <v>0.87446123701621581</v>
      </c>
      <c r="BQ298" s="168">
        <v>1.2636507007269608</v>
      </c>
      <c r="BR298" s="168">
        <v>2.6822577242806158</v>
      </c>
      <c r="BS298" s="168">
        <v>7.4787837626297726</v>
      </c>
      <c r="BT298" s="168">
        <v>5.740915347310076</v>
      </c>
      <c r="BU298" s="168">
        <v>4.8825837364053726</v>
      </c>
      <c r="BV298" s="168">
        <v>2.1273396366061244</v>
      </c>
      <c r="BW298" s="168">
        <v>1.2557166361286241</v>
      </c>
      <c r="BX298" s="168">
        <v>1.296780031977619</v>
      </c>
      <c r="BY298" s="168">
        <v>2.146487970076314</v>
      </c>
      <c r="BZ298" s="168">
        <v>1.7242494283447551</v>
      </c>
      <c r="CA298" s="168">
        <v>1.2623935871550862</v>
      </c>
      <c r="CB298" s="168">
        <v>0.87308993177390404</v>
      </c>
      <c r="CC298" s="168">
        <v>1.2634689602792333</v>
      </c>
      <c r="CD298" s="168">
        <v>2.6980979304791868</v>
      </c>
      <c r="CE298" s="168">
        <v>7.5602995619101119</v>
      </c>
      <c r="CF298" s="168">
        <v>5.8008820797488569</v>
      </c>
      <c r="CG298" s="168">
        <v>4.9245785660380328</v>
      </c>
      <c r="CH298" s="168">
        <v>2.1390001432830634</v>
      </c>
      <c r="CI298" s="168">
        <v>1.2560188724588222</v>
      </c>
      <c r="CJ298" s="168">
        <v>1.2972525211360753</v>
      </c>
      <c r="CK298" s="168">
        <v>2.1586288303876802</v>
      </c>
      <c r="CL298" s="168">
        <v>1.7306013358736443</v>
      </c>
      <c r="CM298" s="168">
        <v>1.2627488468415311</v>
      </c>
      <c r="CN298" s="168">
        <v>0.87271077852360279</v>
      </c>
      <c r="CO298" s="168">
        <v>1.2639644392392211</v>
      </c>
    </row>
    <row r="299" spans="1:93" x14ac:dyDescent="0.2">
      <c r="A299" s="118">
        <f t="shared" si="29"/>
        <v>10</v>
      </c>
      <c r="B299" s="234" t="s">
        <v>216</v>
      </c>
      <c r="C299" s="223"/>
      <c r="D299" s="172">
        <f>SUMIF($AH$6:$CP$6,1,$AH299:$CP299)</f>
        <v>0</v>
      </c>
      <c r="E299" s="225" t="s">
        <v>545</v>
      </c>
      <c r="F299" s="173">
        <f>'Exhibit MJC-3 - E-13c cal yr'!F301</f>
        <v>1214.08</v>
      </c>
      <c r="G299" s="233" t="s">
        <v>375</v>
      </c>
      <c r="H299" s="187">
        <f>ROUND(D299*F299,2)</f>
        <v>0</v>
      </c>
      <c r="I299" s="229"/>
      <c r="J299" s="172">
        <f>SUMIF($AH$6:$CP$6,1,$AH299:$CP299)</f>
        <v>0</v>
      </c>
      <c r="K299" s="225" t="s">
        <v>545</v>
      </c>
      <c r="L299" s="183">
        <f t="shared" si="30"/>
        <v>1263.28</v>
      </c>
      <c r="M299" s="233" t="s">
        <v>375</v>
      </c>
      <c r="N299" s="187">
        <f>ROUND(J299*L299,2)</f>
        <v>0</v>
      </c>
      <c r="O299" s="227"/>
      <c r="P299" s="227"/>
      <c r="Q299" s="227"/>
      <c r="R299" s="288"/>
      <c r="S299" s="227"/>
      <c r="T299" s="227"/>
      <c r="U299" s="178" t="s">
        <v>614</v>
      </c>
      <c r="V299" s="179">
        <v>249</v>
      </c>
      <c r="W299" s="180">
        <v>223</v>
      </c>
      <c r="X299" s="227"/>
      <c r="Y299" s="178"/>
      <c r="Z299" s="181"/>
      <c r="AA299" s="227"/>
      <c r="AB299" s="182">
        <f>SUM(AH299:AS299)</f>
        <v>0</v>
      </c>
      <c r="AC299" s="182">
        <f>SUM(AT299:BE299)</f>
        <v>0</v>
      </c>
      <c r="AD299" s="182">
        <f>SUM(BF299:BQ299)</f>
        <v>0</v>
      </c>
      <c r="AE299" s="182">
        <f>SUM(BR299:CC299)</f>
        <v>0</v>
      </c>
      <c r="AF299" s="182">
        <f>SUM(CD299:CO299)</f>
        <v>0</v>
      </c>
      <c r="AH299" s="168">
        <v>0</v>
      </c>
      <c r="AI299" s="168">
        <v>0</v>
      </c>
      <c r="AJ299" s="168">
        <v>0</v>
      </c>
      <c r="AK299" s="168">
        <v>0</v>
      </c>
      <c r="AL299" s="168">
        <v>0</v>
      </c>
      <c r="AM299" s="168">
        <v>0</v>
      </c>
      <c r="AN299" s="168">
        <v>0</v>
      </c>
      <c r="AO299" s="168">
        <v>0</v>
      </c>
      <c r="AP299" s="168">
        <v>0</v>
      </c>
      <c r="AQ299" s="168">
        <v>0</v>
      </c>
      <c r="AR299" s="168">
        <v>0</v>
      </c>
      <c r="AS299" s="168">
        <v>0</v>
      </c>
      <c r="AT299" s="168">
        <v>0</v>
      </c>
      <c r="AU299" s="168">
        <v>0</v>
      </c>
      <c r="AV299" s="168">
        <v>0</v>
      </c>
      <c r="AW299" s="168">
        <v>0</v>
      </c>
      <c r="AX299" s="168">
        <v>0</v>
      </c>
      <c r="AY299" s="168">
        <v>0</v>
      </c>
      <c r="AZ299" s="168">
        <v>0</v>
      </c>
      <c r="BA299" s="168">
        <v>0</v>
      </c>
      <c r="BB299" s="168">
        <v>0</v>
      </c>
      <c r="BC299" s="168">
        <v>0</v>
      </c>
      <c r="BD299" s="168">
        <v>0</v>
      </c>
      <c r="BE299" s="168">
        <v>0</v>
      </c>
      <c r="BF299" s="168">
        <v>0</v>
      </c>
      <c r="BG299" s="168">
        <v>0</v>
      </c>
      <c r="BH299" s="168">
        <v>0</v>
      </c>
      <c r="BI299" s="168">
        <v>0</v>
      </c>
      <c r="BJ299" s="168">
        <v>0</v>
      </c>
      <c r="BK299" s="168">
        <v>0</v>
      </c>
      <c r="BL299" s="168">
        <v>0</v>
      </c>
      <c r="BM299" s="168">
        <v>0</v>
      </c>
      <c r="BN299" s="168">
        <v>0</v>
      </c>
      <c r="BO299" s="168">
        <v>0</v>
      </c>
      <c r="BP299" s="168">
        <v>0</v>
      </c>
      <c r="BQ299" s="168">
        <v>0</v>
      </c>
      <c r="BR299" s="168">
        <v>0</v>
      </c>
      <c r="BS299" s="168">
        <v>0</v>
      </c>
      <c r="BT299" s="168">
        <v>0</v>
      </c>
      <c r="BU299" s="168">
        <v>0</v>
      </c>
      <c r="BV299" s="168">
        <v>0</v>
      </c>
      <c r="BW299" s="168">
        <v>0</v>
      </c>
      <c r="BX299" s="168">
        <v>0</v>
      </c>
      <c r="BY299" s="168">
        <v>0</v>
      </c>
      <c r="BZ299" s="168">
        <v>0</v>
      </c>
      <c r="CA299" s="168">
        <v>0</v>
      </c>
      <c r="CB299" s="168">
        <v>0</v>
      </c>
      <c r="CC299" s="168">
        <v>0</v>
      </c>
      <c r="CD299" s="168">
        <v>0</v>
      </c>
      <c r="CE299" s="168">
        <v>0</v>
      </c>
      <c r="CF299" s="168">
        <v>0</v>
      </c>
      <c r="CG299" s="168">
        <v>0</v>
      </c>
      <c r="CH299" s="168">
        <v>0</v>
      </c>
      <c r="CI299" s="168">
        <v>0</v>
      </c>
      <c r="CJ299" s="168">
        <v>0</v>
      </c>
      <c r="CK299" s="168">
        <v>0</v>
      </c>
      <c r="CL299" s="168">
        <v>0</v>
      </c>
      <c r="CM299" s="168">
        <v>0</v>
      </c>
      <c r="CN299" s="168">
        <v>0</v>
      </c>
      <c r="CO299" s="168">
        <v>0</v>
      </c>
    </row>
    <row r="300" spans="1:93" x14ac:dyDescent="0.2">
      <c r="A300" s="118">
        <f t="shared" si="29"/>
        <v>11</v>
      </c>
      <c r="B300" s="226"/>
      <c r="C300" s="223" t="s">
        <v>374</v>
      </c>
      <c r="D300" s="204">
        <f>SUM(D293:D299)</f>
        <v>72.207500190369473</v>
      </c>
      <c r="E300" s="237" t="s">
        <v>550</v>
      </c>
      <c r="F300" s="183"/>
      <c r="G300" s="233"/>
      <c r="H300" s="206">
        <f>SUM(H293:H295)+SUM(H297:H299)</f>
        <v>22086.43</v>
      </c>
      <c r="I300" s="229"/>
      <c r="J300" s="204">
        <f>SUM(J293:J299)</f>
        <v>72.207500190369473</v>
      </c>
      <c r="K300" s="237" t="s">
        <v>550</v>
      </c>
      <c r="L300" s="183"/>
      <c r="M300" s="233"/>
      <c r="N300" s="206">
        <f>SUM(N293:N295)+SUM(N297:N299)</f>
        <v>22981.32</v>
      </c>
      <c r="O300" s="227"/>
      <c r="Q300" s="1022"/>
      <c r="R300" s="227"/>
      <c r="S300" s="227"/>
      <c r="T300" s="227"/>
      <c r="U300" s="178"/>
      <c r="V300" s="179"/>
      <c r="W300" s="180"/>
      <c r="X300" s="227"/>
      <c r="Y300" s="178" t="s">
        <v>613</v>
      </c>
      <c r="Z300" s="181" t="s">
        <v>451</v>
      </c>
      <c r="AA300" s="227"/>
      <c r="AB300" s="204">
        <f>SUM(AB293:AB299)</f>
        <v>70.985737625541375</v>
      </c>
      <c r="AC300" s="204">
        <f>SUM(AC293:AC299)</f>
        <v>71.434636904213491</v>
      </c>
      <c r="AD300" s="204">
        <f>SUM(AD293:AD299)</f>
        <v>71.783423469701717</v>
      </c>
      <c r="AE300" s="204">
        <f>SUM(AE293:AE299)</f>
        <v>72.207500190369473</v>
      </c>
      <c r="AF300" s="204">
        <f>SUM(AF293:AF299)</f>
        <v>72.71643508658785</v>
      </c>
      <c r="AH300" s="204">
        <f t="shared" ref="AH300:CO300" si="31">SUM(AH293:AH299)</f>
        <v>5.8808492484972774</v>
      </c>
      <c r="AI300" s="204">
        <f t="shared" si="31"/>
        <v>15.975828382015568</v>
      </c>
      <c r="AJ300" s="204">
        <f t="shared" si="31"/>
        <v>12.265382981067438</v>
      </c>
      <c r="AK300" s="204">
        <f t="shared" si="31"/>
        <v>10.508612874588392</v>
      </c>
      <c r="AL300" s="204">
        <f t="shared" si="31"/>
        <v>4.634089126636324</v>
      </c>
      <c r="AM300" s="204">
        <f t="shared" si="31"/>
        <v>2.7899656992848052</v>
      </c>
      <c r="AN300" s="204">
        <f t="shared" si="31"/>
        <v>2.8836511689757947</v>
      </c>
      <c r="AO300" s="204">
        <f t="shared" si="31"/>
        <v>4.6803134014722421</v>
      </c>
      <c r="AP300" s="204">
        <f t="shared" si="31"/>
        <v>3.7885038882719497</v>
      </c>
      <c r="AQ300" s="204">
        <f t="shared" si="31"/>
        <v>2.8086030581421575</v>
      </c>
      <c r="AR300" s="204">
        <f t="shared" si="31"/>
        <v>1.9591385785616291</v>
      </c>
      <c r="AS300" s="204">
        <f t="shared" si="31"/>
        <v>2.8107992180278067</v>
      </c>
      <c r="AT300" s="204">
        <f t="shared" si="31"/>
        <v>5.8983523798628958</v>
      </c>
      <c r="AU300" s="204">
        <f t="shared" si="31"/>
        <v>16.159740424293123</v>
      </c>
      <c r="AV300" s="204">
        <f t="shared" si="31"/>
        <v>12.396953442241315</v>
      </c>
      <c r="AW300" s="204">
        <f t="shared" si="31"/>
        <v>10.605160836709681</v>
      </c>
      <c r="AX300" s="204">
        <f t="shared" si="31"/>
        <v>4.6608587316950825</v>
      </c>
      <c r="AY300" s="204">
        <f t="shared" si="31"/>
        <v>2.7891462295919651</v>
      </c>
      <c r="AZ300" s="204">
        <f t="shared" si="31"/>
        <v>2.8805117439123453</v>
      </c>
      <c r="BA300" s="204">
        <f t="shared" si="31"/>
        <v>4.7013236255539814</v>
      </c>
      <c r="BB300" s="204">
        <f t="shared" si="31"/>
        <v>3.7948969721538823</v>
      </c>
      <c r="BC300" s="204">
        <f t="shared" si="31"/>
        <v>2.8006125954816632</v>
      </c>
      <c r="BD300" s="204">
        <f t="shared" si="31"/>
        <v>1.9463228927242033</v>
      </c>
      <c r="BE300" s="204">
        <f t="shared" si="31"/>
        <v>2.8007570299933455</v>
      </c>
      <c r="BF300" s="204">
        <f t="shared" si="31"/>
        <v>5.9088600315488611</v>
      </c>
      <c r="BG300" s="204">
        <f t="shared" si="31"/>
        <v>16.32818149678145</v>
      </c>
      <c r="BH300" s="204">
        <f t="shared" si="31"/>
        <v>12.530391644342039</v>
      </c>
      <c r="BI300" s="204">
        <f t="shared" si="31"/>
        <v>10.686066399391365</v>
      </c>
      <c r="BJ300" s="204">
        <f t="shared" si="31"/>
        <v>4.6745529512644861</v>
      </c>
      <c r="BK300" s="204">
        <f t="shared" si="31"/>
        <v>2.7768585087633144</v>
      </c>
      <c r="BL300" s="204">
        <f t="shared" si="31"/>
        <v>2.8670750210527669</v>
      </c>
      <c r="BM300" s="204">
        <f t="shared" si="31"/>
        <v>4.7140128959673975</v>
      </c>
      <c r="BN300" s="204">
        <f t="shared" si="31"/>
        <v>3.7941458154482386</v>
      </c>
      <c r="BO300" s="204">
        <f t="shared" si="31"/>
        <v>2.7868553130612637</v>
      </c>
      <c r="BP300" s="204">
        <f t="shared" si="31"/>
        <v>1.9289586110651817</v>
      </c>
      <c r="BQ300" s="204">
        <f t="shared" si="31"/>
        <v>2.7874647810153546</v>
      </c>
      <c r="BR300" s="204">
        <f t="shared" si="31"/>
        <v>5.9167449800307708</v>
      </c>
      <c r="BS300" s="204">
        <f t="shared" si="31"/>
        <v>16.497317123448028</v>
      </c>
      <c r="BT300" s="204">
        <f t="shared" si="31"/>
        <v>12.66378385436046</v>
      </c>
      <c r="BU300" s="204">
        <f t="shared" si="31"/>
        <v>10.770405300894204</v>
      </c>
      <c r="BV300" s="204">
        <f t="shared" si="31"/>
        <v>4.6926609631017451</v>
      </c>
      <c r="BW300" s="204">
        <f t="shared" si="31"/>
        <v>2.7699631679307881</v>
      </c>
      <c r="BX300" s="204">
        <f t="shared" si="31"/>
        <v>2.8605441881859242</v>
      </c>
      <c r="BY300" s="204">
        <f t="shared" si="31"/>
        <v>4.7348999339918691</v>
      </c>
      <c r="BZ300" s="204">
        <f t="shared" si="31"/>
        <v>3.8034913860546071</v>
      </c>
      <c r="CA300" s="204">
        <f t="shared" si="31"/>
        <v>2.7846917363715131</v>
      </c>
      <c r="CB300" s="204">
        <f t="shared" si="31"/>
        <v>1.9259336730306704</v>
      </c>
      <c r="CC300" s="204">
        <f t="shared" si="31"/>
        <v>2.787063882968897</v>
      </c>
      <c r="CD300" s="204">
        <f t="shared" si="31"/>
        <v>5.9516866113511462</v>
      </c>
      <c r="CE300" s="204">
        <f t="shared" si="31"/>
        <v>16.677131386566423</v>
      </c>
      <c r="CF300" s="204">
        <f t="shared" si="31"/>
        <v>12.796063411210714</v>
      </c>
      <c r="CG300" s="204">
        <f t="shared" si="31"/>
        <v>10.863040954495659</v>
      </c>
      <c r="CH300" s="204">
        <f t="shared" si="31"/>
        <v>4.7183826690067576</v>
      </c>
      <c r="CI300" s="204">
        <f t="shared" si="31"/>
        <v>2.7706298657179897</v>
      </c>
      <c r="CJ300" s="204">
        <f t="shared" si="31"/>
        <v>2.8615864436825187</v>
      </c>
      <c r="CK300" s="204">
        <f t="shared" si="31"/>
        <v>4.7616812435022355</v>
      </c>
      <c r="CL300" s="204">
        <f t="shared" si="31"/>
        <v>3.8175029467800972</v>
      </c>
      <c r="CM300" s="204">
        <f t="shared" si="31"/>
        <v>2.7854753974445536</v>
      </c>
      <c r="CN300" s="204">
        <f t="shared" si="31"/>
        <v>1.9250973055667708</v>
      </c>
      <c r="CO300" s="204">
        <f t="shared" si="31"/>
        <v>2.7881568512629875</v>
      </c>
    </row>
    <row r="301" spans="1:93" x14ac:dyDescent="0.2">
      <c r="A301" s="118">
        <f t="shared" si="29"/>
        <v>12</v>
      </c>
      <c r="B301" s="226"/>
      <c r="C301" s="223"/>
      <c r="D301" s="168"/>
      <c r="E301" s="237"/>
      <c r="F301" s="183"/>
      <c r="G301" s="233"/>
      <c r="H301" s="203"/>
      <c r="I301" s="229"/>
      <c r="J301" s="168"/>
      <c r="K301" s="237"/>
      <c r="L301" s="183"/>
      <c r="M301" s="233"/>
      <c r="N301" s="203"/>
      <c r="O301" s="227"/>
      <c r="R301" s="227"/>
      <c r="S301" s="1361"/>
      <c r="T301" s="227"/>
      <c r="U301" s="178"/>
      <c r="V301" s="179"/>
      <c r="W301" s="180"/>
      <c r="X301" s="227"/>
      <c r="Y301" s="178"/>
      <c r="Z301" s="181"/>
      <c r="AA301" s="227"/>
      <c r="AB301" s="193">
        <f>SUM(AH301:AS301)</f>
        <v>0</v>
      </c>
      <c r="AC301" s="193">
        <f>SUM(AT301:BE301)</f>
        <v>0</v>
      </c>
      <c r="AD301" s="193">
        <f>SUM(BF301:BQ301)</f>
        <v>0</v>
      </c>
      <c r="AE301" s="193">
        <f>SUM(BR301:CC301)</f>
        <v>0</v>
      </c>
      <c r="AF301" s="193">
        <f>SUM(CD301:CO301)</f>
        <v>0</v>
      </c>
      <c r="AG301" s="114"/>
      <c r="AH301" s="193">
        <v>0</v>
      </c>
      <c r="AI301" s="193">
        <v>0</v>
      </c>
      <c r="AJ301" s="193">
        <v>0</v>
      </c>
      <c r="AK301" s="193">
        <v>0</v>
      </c>
      <c r="AL301" s="193">
        <v>0</v>
      </c>
      <c r="AM301" s="193">
        <v>0</v>
      </c>
      <c r="AN301" s="193">
        <v>0</v>
      </c>
      <c r="AO301" s="193">
        <v>0</v>
      </c>
      <c r="AP301" s="193">
        <v>0</v>
      </c>
      <c r="AQ301" s="193">
        <v>0</v>
      </c>
      <c r="AR301" s="193">
        <v>0</v>
      </c>
      <c r="AS301" s="193">
        <v>0</v>
      </c>
      <c r="AT301" s="193">
        <v>0</v>
      </c>
      <c r="AU301" s="193">
        <v>0</v>
      </c>
      <c r="AV301" s="193">
        <v>0</v>
      </c>
      <c r="AW301" s="193">
        <v>0</v>
      </c>
      <c r="AX301" s="193">
        <v>0</v>
      </c>
      <c r="AY301" s="193">
        <v>0</v>
      </c>
      <c r="AZ301" s="193">
        <v>0</v>
      </c>
      <c r="BA301" s="193">
        <v>0</v>
      </c>
      <c r="BB301" s="193">
        <v>0</v>
      </c>
      <c r="BC301" s="193">
        <v>0</v>
      </c>
      <c r="BD301" s="193">
        <v>0</v>
      </c>
      <c r="BE301" s="193">
        <v>0</v>
      </c>
      <c r="BF301" s="193">
        <v>0</v>
      </c>
      <c r="BG301" s="193">
        <v>0</v>
      </c>
      <c r="BH301" s="193">
        <v>0</v>
      </c>
      <c r="BI301" s="193">
        <v>0</v>
      </c>
      <c r="BJ301" s="193">
        <v>0</v>
      </c>
      <c r="BK301" s="193">
        <v>0</v>
      </c>
      <c r="BL301" s="193">
        <v>0</v>
      </c>
      <c r="BM301" s="193">
        <v>0</v>
      </c>
      <c r="BN301" s="193">
        <v>0</v>
      </c>
      <c r="BO301" s="193">
        <v>0</v>
      </c>
      <c r="BP301" s="193">
        <v>0</v>
      </c>
      <c r="BQ301" s="193">
        <v>0</v>
      </c>
      <c r="BR301" s="193">
        <v>0</v>
      </c>
      <c r="BS301" s="193">
        <v>0</v>
      </c>
      <c r="BT301" s="193">
        <v>0</v>
      </c>
      <c r="BU301" s="193">
        <v>0</v>
      </c>
      <c r="BV301" s="193">
        <v>0</v>
      </c>
      <c r="BW301" s="193">
        <v>0</v>
      </c>
      <c r="BX301" s="193">
        <v>0</v>
      </c>
      <c r="BY301" s="193">
        <v>0</v>
      </c>
      <c r="BZ301" s="193">
        <v>0</v>
      </c>
      <c r="CA301" s="193">
        <v>0</v>
      </c>
      <c r="CB301" s="193">
        <v>0</v>
      </c>
      <c r="CC301" s="193">
        <v>0</v>
      </c>
      <c r="CD301" s="193">
        <v>0</v>
      </c>
      <c r="CE301" s="193">
        <v>0</v>
      </c>
      <c r="CF301" s="193">
        <v>0</v>
      </c>
      <c r="CG301" s="193">
        <v>0</v>
      </c>
      <c r="CH301" s="193">
        <v>0</v>
      </c>
      <c r="CI301" s="193">
        <v>0</v>
      </c>
      <c r="CJ301" s="193">
        <v>0</v>
      </c>
      <c r="CK301" s="193">
        <v>0</v>
      </c>
      <c r="CL301" s="193">
        <v>0</v>
      </c>
      <c r="CM301" s="193">
        <v>0</v>
      </c>
      <c r="CN301" s="193">
        <v>0</v>
      </c>
      <c r="CO301" s="193">
        <v>0</v>
      </c>
    </row>
    <row r="302" spans="1:93" x14ac:dyDescent="0.2">
      <c r="A302" s="118">
        <f t="shared" si="29"/>
        <v>13</v>
      </c>
      <c r="B302" s="239" t="s">
        <v>594</v>
      </c>
      <c r="C302" s="223"/>
      <c r="D302" s="168"/>
      <c r="E302" s="225"/>
      <c r="F302" s="183"/>
      <c r="G302" s="233"/>
      <c r="H302" s="174"/>
      <c r="I302" s="229"/>
      <c r="J302" s="168"/>
      <c r="K302" s="225"/>
      <c r="L302" s="183"/>
      <c r="M302" s="233"/>
      <c r="N302" s="174"/>
      <c r="O302" s="227"/>
      <c r="R302" s="227"/>
      <c r="S302" s="263"/>
      <c r="T302" s="1293"/>
      <c r="U302" s="178"/>
      <c r="V302" s="179"/>
      <c r="W302" s="180"/>
      <c r="X302" s="227"/>
      <c r="Y302" s="178"/>
      <c r="Z302" s="181"/>
      <c r="AA302" s="227"/>
      <c r="AB302" s="227"/>
      <c r="AD302" s="260"/>
      <c r="AE302" s="260"/>
      <c r="AF302" s="260"/>
      <c r="AG302" s="114"/>
    </row>
    <row r="303" spans="1:93" x14ac:dyDescent="0.2">
      <c r="A303" s="118">
        <f t="shared" si="29"/>
        <v>14</v>
      </c>
      <c r="B303" s="228" t="s">
        <v>543</v>
      </c>
      <c r="C303" s="223"/>
      <c r="D303" s="168"/>
      <c r="E303" s="225"/>
      <c r="F303" s="183"/>
      <c r="G303" s="233"/>
      <c r="H303" s="174"/>
      <c r="I303" s="229"/>
      <c r="J303" s="168"/>
      <c r="K303" s="225"/>
      <c r="L303" s="857">
        <v>0</v>
      </c>
      <c r="M303" s="233"/>
      <c r="N303" s="174"/>
      <c r="O303" s="227"/>
      <c r="R303" s="227"/>
      <c r="S303" s="263"/>
      <c r="T303" s="1293"/>
      <c r="U303" s="184"/>
      <c r="V303" s="179"/>
      <c r="W303" s="180"/>
      <c r="X303" s="227"/>
      <c r="Y303" s="184"/>
      <c r="Z303" s="181"/>
      <c r="AA303" s="227"/>
      <c r="AB303" s="227"/>
      <c r="AD303" s="260"/>
      <c r="AE303" s="260"/>
      <c r="AF303" s="260"/>
      <c r="AG303" s="114"/>
    </row>
    <row r="304" spans="1:93" x14ac:dyDescent="0.2">
      <c r="A304" s="118">
        <f t="shared" si="29"/>
        <v>15</v>
      </c>
      <c r="B304" s="234" t="s">
        <v>149</v>
      </c>
      <c r="C304" s="223"/>
      <c r="D304" s="172">
        <f>SUMIF($AH$6:$CP$6,1,$AH304:$CP304)</f>
        <v>0</v>
      </c>
      <c r="E304" s="225" t="s">
        <v>596</v>
      </c>
      <c r="F304" s="173">
        <f>'Exhibit MJC-3 - E-13c cal yr'!F306</f>
        <v>13.88</v>
      </c>
      <c r="G304" s="233" t="s">
        <v>375</v>
      </c>
      <c r="H304" s="174">
        <f>ROUND(D304*F304,2)</f>
        <v>0</v>
      </c>
      <c r="I304" s="229"/>
      <c r="J304" s="172">
        <f>SUMIF($AH$6:$CP$6,1,$AH304:$CP304)</f>
        <v>0</v>
      </c>
      <c r="K304" s="225" t="s">
        <v>596</v>
      </c>
      <c r="L304" s="173">
        <f>ROUND(F304*(1+'Exhibit MJC-2 - Old E-8a'!$V$27)+L303,2)</f>
        <v>14.44</v>
      </c>
      <c r="M304" s="233" t="s">
        <v>375</v>
      </c>
      <c r="N304" s="174">
        <f>ROUND(J304*L304,2)</f>
        <v>0</v>
      </c>
      <c r="O304" s="227"/>
      <c r="R304" s="227"/>
      <c r="S304" s="263"/>
      <c r="T304" s="927"/>
      <c r="U304" s="184" t="s">
        <v>613</v>
      </c>
      <c r="V304" s="179">
        <v>246</v>
      </c>
      <c r="W304" s="180">
        <v>220</v>
      </c>
      <c r="X304" s="227"/>
      <c r="Y304" s="184"/>
      <c r="Z304" s="181"/>
      <c r="AA304" s="227"/>
      <c r="AB304" s="182">
        <f>SUM(AH304:AS304)</f>
        <v>0</v>
      </c>
      <c r="AC304" s="182">
        <f>SUM(AT304:BE304)</f>
        <v>0</v>
      </c>
      <c r="AD304" s="182">
        <f>SUM(BF304:BQ304)</f>
        <v>0</v>
      </c>
      <c r="AE304" s="182">
        <f>SUM(BR304:CC304)</f>
        <v>0</v>
      </c>
      <c r="AF304" s="182">
        <f>SUM(CD304:CO304)</f>
        <v>0</v>
      </c>
      <c r="AH304" s="168">
        <v>0</v>
      </c>
      <c r="AI304" s="168">
        <v>0</v>
      </c>
      <c r="AJ304" s="168">
        <v>0</v>
      </c>
      <c r="AK304" s="168">
        <v>0</v>
      </c>
      <c r="AL304" s="168">
        <v>0</v>
      </c>
      <c r="AM304" s="168">
        <v>0</v>
      </c>
      <c r="AN304" s="168">
        <v>0</v>
      </c>
      <c r="AO304" s="168">
        <v>0</v>
      </c>
      <c r="AP304" s="168">
        <v>0</v>
      </c>
      <c r="AQ304" s="168">
        <v>0</v>
      </c>
      <c r="AR304" s="168">
        <v>0</v>
      </c>
      <c r="AS304" s="168">
        <v>0</v>
      </c>
      <c r="AT304" s="168">
        <v>0</v>
      </c>
      <c r="AU304" s="168">
        <v>0</v>
      </c>
      <c r="AV304" s="168">
        <v>0</v>
      </c>
      <c r="AW304" s="168">
        <v>0</v>
      </c>
      <c r="AX304" s="168">
        <v>0</v>
      </c>
      <c r="AY304" s="168">
        <v>0</v>
      </c>
      <c r="AZ304" s="168">
        <v>0</v>
      </c>
      <c r="BA304" s="168">
        <v>0</v>
      </c>
      <c r="BB304" s="168">
        <v>0</v>
      </c>
      <c r="BC304" s="168">
        <v>0</v>
      </c>
      <c r="BD304" s="168">
        <v>0</v>
      </c>
      <c r="BE304" s="168">
        <v>0</v>
      </c>
      <c r="BF304" s="168">
        <v>0</v>
      </c>
      <c r="BG304" s="168">
        <v>0</v>
      </c>
      <c r="BH304" s="168">
        <v>0</v>
      </c>
      <c r="BI304" s="168">
        <v>0</v>
      </c>
      <c r="BJ304" s="168">
        <v>0</v>
      </c>
      <c r="BK304" s="168">
        <v>0</v>
      </c>
      <c r="BL304" s="168">
        <v>0</v>
      </c>
      <c r="BM304" s="168">
        <v>0</v>
      </c>
      <c r="BN304" s="168">
        <v>0</v>
      </c>
      <c r="BO304" s="168">
        <v>0</v>
      </c>
      <c r="BP304" s="168">
        <v>0</v>
      </c>
      <c r="BQ304" s="168">
        <v>0</v>
      </c>
      <c r="BR304" s="168">
        <v>0</v>
      </c>
      <c r="BS304" s="168">
        <v>0</v>
      </c>
      <c r="BT304" s="168">
        <v>0</v>
      </c>
      <c r="BU304" s="168">
        <v>0</v>
      </c>
      <c r="BV304" s="168">
        <v>0</v>
      </c>
      <c r="BW304" s="168">
        <v>0</v>
      </c>
      <c r="BX304" s="168">
        <v>0</v>
      </c>
      <c r="BY304" s="168">
        <v>0</v>
      </c>
      <c r="BZ304" s="168">
        <v>0</v>
      </c>
      <c r="CA304" s="168">
        <v>0</v>
      </c>
      <c r="CB304" s="168">
        <v>0</v>
      </c>
      <c r="CC304" s="168">
        <v>0</v>
      </c>
      <c r="CD304" s="168">
        <v>0</v>
      </c>
      <c r="CE304" s="168">
        <v>0</v>
      </c>
      <c r="CF304" s="168">
        <v>0</v>
      </c>
      <c r="CG304" s="168">
        <v>0</v>
      </c>
      <c r="CH304" s="168">
        <v>0</v>
      </c>
      <c r="CI304" s="168">
        <v>0</v>
      </c>
      <c r="CJ304" s="168">
        <v>0</v>
      </c>
      <c r="CK304" s="168">
        <v>0</v>
      </c>
      <c r="CL304" s="168">
        <v>0</v>
      </c>
      <c r="CM304" s="168">
        <v>0</v>
      </c>
      <c r="CN304" s="168">
        <v>0</v>
      </c>
      <c r="CO304" s="168">
        <v>0</v>
      </c>
    </row>
    <row r="305" spans="1:93" x14ac:dyDescent="0.2">
      <c r="A305" s="118">
        <f t="shared" si="29"/>
        <v>16</v>
      </c>
      <c r="B305" s="234" t="s">
        <v>148</v>
      </c>
      <c r="C305" s="223"/>
      <c r="D305" s="172">
        <f>SUMIF($AH$6:$CP$6,1,$AH305:$CP305)</f>
        <v>1026.8160018500821</v>
      </c>
      <c r="E305" s="225" t="s">
        <v>596</v>
      </c>
      <c r="F305" s="173">
        <f>'Exhibit MJC-3 - E-13c cal yr'!F307</f>
        <v>12.58</v>
      </c>
      <c r="G305" s="233" t="s">
        <v>375</v>
      </c>
      <c r="H305" s="174">
        <f>ROUND(D305*F305,2)</f>
        <v>12917.35</v>
      </c>
      <c r="I305" s="229"/>
      <c r="J305" s="172">
        <f>SUMIF($AH$6:$CP$6,1,$AH305:$CP305)</f>
        <v>1026.8160018500821</v>
      </c>
      <c r="K305" s="225" t="s">
        <v>596</v>
      </c>
      <c r="L305" s="310">
        <f>ROUND(L304-DVC!G29,2)</f>
        <v>13.1</v>
      </c>
      <c r="M305" s="233" t="s">
        <v>375</v>
      </c>
      <c r="N305" s="174">
        <f>ROUND(J305*L305,2)</f>
        <v>13451.29</v>
      </c>
      <c r="O305" s="227"/>
      <c r="Q305" s="1022"/>
      <c r="R305" s="227"/>
      <c r="S305" s="1355"/>
      <c r="T305" s="327"/>
      <c r="U305" s="184" t="s">
        <v>613</v>
      </c>
      <c r="V305" s="179">
        <v>246</v>
      </c>
      <c r="W305" s="180">
        <v>220</v>
      </c>
      <c r="X305" s="227"/>
      <c r="Y305" s="184"/>
      <c r="Z305" s="181"/>
      <c r="AA305" s="227"/>
      <c r="AB305" s="182">
        <f>SUM(AH305:AS305)</f>
        <v>1010.0202379317366</v>
      </c>
      <c r="AC305" s="182">
        <f>SUM(AT305:BE305)</f>
        <v>1009.8694257570944</v>
      </c>
      <c r="AD305" s="182">
        <f>SUM(BF305:BQ305)</f>
        <v>1016.5342097808782</v>
      </c>
      <c r="AE305" s="182">
        <f>SUM(BR305:CC305)</f>
        <v>1026.8160018500821</v>
      </c>
      <c r="AF305" s="182">
        <f>SUM(CD305:CO305)</f>
        <v>1032.3913774279865</v>
      </c>
      <c r="AH305" s="168">
        <v>-2.4795460071609829</v>
      </c>
      <c r="AI305" s="168">
        <v>-5423.1620050934725</v>
      </c>
      <c r="AJ305" s="168">
        <v>-5949.7173601847335</v>
      </c>
      <c r="AK305" s="168">
        <v>12384.732945137435</v>
      </c>
      <c r="AL305" s="168">
        <v>0</v>
      </c>
      <c r="AM305" s="168">
        <v>0</v>
      </c>
      <c r="AN305" s="168">
        <v>0</v>
      </c>
      <c r="AO305" s="168">
        <v>-16.424118202121626</v>
      </c>
      <c r="AP305" s="168">
        <v>17.070322281788837</v>
      </c>
      <c r="AQ305" s="168">
        <v>0</v>
      </c>
      <c r="AR305" s="168">
        <v>0</v>
      </c>
      <c r="AS305" s="168">
        <v>0</v>
      </c>
      <c r="AT305" s="168">
        <v>-3.2575949648988702</v>
      </c>
      <c r="AU305" s="168">
        <v>-6988.6654448241889</v>
      </c>
      <c r="AV305" s="168">
        <v>-7429.6719808035832</v>
      </c>
      <c r="AW305" s="168">
        <v>15430.468178176654</v>
      </c>
      <c r="AX305" s="168">
        <v>0</v>
      </c>
      <c r="AY305" s="168">
        <v>0</v>
      </c>
      <c r="AZ305" s="168">
        <v>0</v>
      </c>
      <c r="BA305" s="168">
        <v>-20.62847733946505</v>
      </c>
      <c r="BB305" s="168">
        <v>21.624745512576514</v>
      </c>
      <c r="BC305" s="168">
        <v>0</v>
      </c>
      <c r="BD305" s="168">
        <v>0</v>
      </c>
      <c r="BE305" s="168">
        <v>0</v>
      </c>
      <c r="BF305" s="168">
        <v>-3.3691242734913387</v>
      </c>
      <c r="BG305" s="168">
        <v>-7321.5166631462198</v>
      </c>
      <c r="BH305" s="168">
        <v>-7807.3794774658454</v>
      </c>
      <c r="BI305" s="168">
        <v>16147.851992507336</v>
      </c>
      <c r="BJ305" s="168">
        <v>0</v>
      </c>
      <c r="BK305" s="168">
        <v>0</v>
      </c>
      <c r="BL305" s="168">
        <v>0</v>
      </c>
      <c r="BM305" s="168">
        <v>-21.519762089219867</v>
      </c>
      <c r="BN305" s="168">
        <v>22.467244248318483</v>
      </c>
      <c r="BO305" s="168">
        <v>0</v>
      </c>
      <c r="BP305" s="168">
        <v>0</v>
      </c>
      <c r="BQ305" s="168">
        <v>0</v>
      </c>
      <c r="BR305" s="168">
        <v>-3.5033043028003363</v>
      </c>
      <c r="BS305" s="168">
        <v>-7592.7618005256636</v>
      </c>
      <c r="BT305" s="168">
        <v>-8037.4617000938833</v>
      </c>
      <c r="BU305" s="168">
        <v>16659.675860670184</v>
      </c>
      <c r="BV305" s="168">
        <v>0</v>
      </c>
      <c r="BW305" s="168">
        <v>0</v>
      </c>
      <c r="BX305" s="168">
        <v>0</v>
      </c>
      <c r="BY305" s="168">
        <v>-22.376663291181405</v>
      </c>
      <c r="BZ305" s="168">
        <v>23.243609393426876</v>
      </c>
      <c r="CA305" s="168">
        <v>0</v>
      </c>
      <c r="CB305" s="168">
        <v>0</v>
      </c>
      <c r="CC305" s="168">
        <v>0</v>
      </c>
      <c r="CD305" s="168">
        <v>-2.7255263917902899</v>
      </c>
      <c r="CE305" s="168">
        <v>-5834.7601080542463</v>
      </c>
      <c r="CF305" s="168">
        <v>-6271.169191080885</v>
      </c>
      <c r="CG305" s="168">
        <v>13140.123915068303</v>
      </c>
      <c r="CH305" s="168">
        <v>0</v>
      </c>
      <c r="CI305" s="168">
        <v>0</v>
      </c>
      <c r="CJ305" s="168">
        <v>0</v>
      </c>
      <c r="CK305" s="168">
        <v>-17.339725846506326</v>
      </c>
      <c r="CL305" s="168">
        <v>18.262013733112404</v>
      </c>
      <c r="CM305" s="168">
        <v>0</v>
      </c>
      <c r="CN305" s="168">
        <v>0</v>
      </c>
      <c r="CO305" s="168">
        <v>0</v>
      </c>
    </row>
    <row r="306" spans="1:93" x14ac:dyDescent="0.2">
      <c r="A306" s="118">
        <f t="shared" si="29"/>
        <v>17</v>
      </c>
      <c r="B306" s="234" t="s">
        <v>597</v>
      </c>
      <c r="C306" s="223"/>
      <c r="D306" s="172">
        <f>SUMIF($AH$6:$CP$6,1,$AH306:$CP306)</f>
        <v>0</v>
      </c>
      <c r="E306" s="225" t="s">
        <v>596</v>
      </c>
      <c r="F306" s="173">
        <f>'Exhibit MJC-3 - E-13c cal yr'!F308</f>
        <v>7.7</v>
      </c>
      <c r="G306" s="233" t="s">
        <v>375</v>
      </c>
      <c r="H306" s="174">
        <f>ROUND(D306*F306,2)</f>
        <v>0</v>
      </c>
      <c r="I306" s="229"/>
      <c r="J306" s="172">
        <f>SUMIF($AH$6:$CP$6,1,$AH306:$CP306)</f>
        <v>0</v>
      </c>
      <c r="K306" s="225" t="s">
        <v>596</v>
      </c>
      <c r="L306" s="310">
        <f>ROUND(L304-DVC!G30,2)</f>
        <v>7.97</v>
      </c>
      <c r="M306" s="233" t="s">
        <v>375</v>
      </c>
      <c r="N306" s="174">
        <f>ROUND(J306*L306,2)</f>
        <v>0</v>
      </c>
      <c r="O306" s="227"/>
      <c r="Q306" s="1022"/>
      <c r="R306" s="227"/>
      <c r="S306" s="1355"/>
      <c r="T306" s="227"/>
      <c r="U306" s="184" t="s">
        <v>613</v>
      </c>
      <c r="V306" s="179">
        <v>246</v>
      </c>
      <c r="W306" s="180">
        <v>220</v>
      </c>
      <c r="X306" s="227"/>
      <c r="Y306" s="184"/>
      <c r="Z306" s="181"/>
      <c r="AA306" s="227"/>
      <c r="AB306" s="182">
        <f>SUM(AH306:AS306)</f>
        <v>0</v>
      </c>
      <c r="AC306" s="182">
        <f>SUM(AT306:BE306)</f>
        <v>0</v>
      </c>
      <c r="AD306" s="182">
        <f>SUM(BF306:BQ306)</f>
        <v>0</v>
      </c>
      <c r="AE306" s="182">
        <f>SUM(BR306:CC306)</f>
        <v>0</v>
      </c>
      <c r="AF306" s="182">
        <f>SUM(CD306:CO306)</f>
        <v>0</v>
      </c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  <c r="AT306" s="168"/>
      <c r="AU306" s="168"/>
      <c r="AV306" s="168"/>
      <c r="AW306" s="168"/>
      <c r="AX306" s="168"/>
      <c r="AY306" s="168"/>
      <c r="AZ306" s="168"/>
      <c r="BA306" s="168"/>
      <c r="BB306" s="168"/>
      <c r="BC306" s="168"/>
      <c r="BD306" s="168"/>
      <c r="BE306" s="168"/>
      <c r="BF306" s="168"/>
      <c r="BG306" s="168"/>
      <c r="BH306" s="168"/>
      <c r="BI306" s="168"/>
      <c r="BJ306" s="168"/>
      <c r="BK306" s="168"/>
      <c r="BL306" s="168"/>
      <c r="BM306" s="168"/>
      <c r="BN306" s="168"/>
      <c r="BO306" s="168"/>
      <c r="BP306" s="168"/>
      <c r="BQ306" s="168"/>
      <c r="BR306" s="168"/>
      <c r="BS306" s="168"/>
      <c r="BT306" s="168"/>
      <c r="BU306" s="168"/>
      <c r="BV306" s="168"/>
      <c r="BW306" s="168"/>
      <c r="BX306" s="168"/>
      <c r="BY306" s="168"/>
      <c r="BZ306" s="168"/>
      <c r="CA306" s="168"/>
      <c r="CB306" s="168"/>
      <c r="CC306" s="168"/>
      <c r="CD306" s="168"/>
      <c r="CE306" s="168"/>
      <c r="CF306" s="168"/>
      <c r="CG306" s="168"/>
      <c r="CH306" s="168"/>
      <c r="CI306" s="168"/>
      <c r="CJ306" s="168"/>
      <c r="CK306" s="168"/>
      <c r="CL306" s="168"/>
      <c r="CM306" s="168"/>
      <c r="CN306" s="168"/>
      <c r="CO306" s="168"/>
    </row>
    <row r="307" spans="1:93" x14ac:dyDescent="0.2">
      <c r="A307" s="118">
        <f t="shared" si="29"/>
        <v>18</v>
      </c>
      <c r="B307" s="234" t="s">
        <v>598</v>
      </c>
      <c r="C307" s="223"/>
      <c r="D307" s="172">
        <f>SUMIF($AH$6:$CP$6,1,$AH307:$CP307)</f>
        <v>0</v>
      </c>
      <c r="E307" s="225" t="s">
        <v>596</v>
      </c>
      <c r="F307" s="173">
        <f>'Exhibit MJC-3 - E-13c cal yr'!F309</f>
        <v>5.27</v>
      </c>
      <c r="G307" s="233" t="s">
        <v>375</v>
      </c>
      <c r="H307" s="174">
        <f>ROUND(D307*F307,2)</f>
        <v>0</v>
      </c>
      <c r="I307" s="229"/>
      <c r="J307" s="172">
        <f>SUMIF($AH$6:$CP$6,1,$AH307:$CP307)</f>
        <v>0</v>
      </c>
      <c r="K307" s="225" t="s">
        <v>596</v>
      </c>
      <c r="L307" s="310">
        <f>ROUND(L304-DVC!G31,2)</f>
        <v>5.4</v>
      </c>
      <c r="M307" s="233" t="s">
        <v>375</v>
      </c>
      <c r="N307" s="174">
        <f>ROUND(J307*L307,2)</f>
        <v>0</v>
      </c>
      <c r="O307" s="227"/>
      <c r="Q307" s="1022"/>
      <c r="R307" s="227"/>
      <c r="S307" s="1355"/>
      <c r="T307" s="227"/>
      <c r="U307" s="184" t="s">
        <v>613</v>
      </c>
      <c r="V307" s="179">
        <v>246</v>
      </c>
      <c r="W307" s="180">
        <v>220</v>
      </c>
      <c r="X307" s="227"/>
      <c r="Y307" s="184"/>
      <c r="Z307" s="181"/>
      <c r="AA307" s="227"/>
      <c r="AB307" s="182"/>
      <c r="AC307" s="182"/>
      <c r="AD307" s="182"/>
      <c r="AE307" s="182"/>
      <c r="AF307" s="182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  <c r="AT307" s="168"/>
      <c r="AU307" s="168"/>
      <c r="AV307" s="168"/>
      <c r="AW307" s="168"/>
      <c r="AX307" s="168"/>
      <c r="AY307" s="168"/>
      <c r="AZ307" s="168"/>
      <c r="BA307" s="168"/>
      <c r="BB307" s="168"/>
      <c r="BC307" s="168"/>
      <c r="BD307" s="168"/>
      <c r="BE307" s="168"/>
      <c r="BF307" s="168"/>
      <c r="BG307" s="168"/>
      <c r="BH307" s="168"/>
      <c r="BI307" s="168"/>
      <c r="BJ307" s="168"/>
      <c r="BK307" s="168"/>
      <c r="BL307" s="168"/>
      <c r="BM307" s="168"/>
      <c r="BN307" s="168"/>
      <c r="BO307" s="168"/>
      <c r="BP307" s="168"/>
      <c r="BQ307" s="168"/>
      <c r="BR307" s="168"/>
      <c r="BS307" s="168"/>
      <c r="BT307" s="168"/>
      <c r="BU307" s="168"/>
      <c r="BV307" s="168"/>
      <c r="BW307" s="168"/>
      <c r="BX307" s="168"/>
      <c r="BY307" s="168"/>
      <c r="BZ307" s="168"/>
      <c r="CA307" s="168"/>
      <c r="CB307" s="168"/>
      <c r="CC307" s="168"/>
      <c r="CD307" s="168"/>
      <c r="CE307" s="168"/>
      <c r="CF307" s="168"/>
      <c r="CG307" s="168"/>
      <c r="CH307" s="168"/>
      <c r="CI307" s="168"/>
      <c r="CJ307" s="168"/>
      <c r="CK307" s="168"/>
      <c r="CL307" s="168"/>
      <c r="CM307" s="168"/>
      <c r="CN307" s="168"/>
      <c r="CO307" s="168"/>
    </row>
    <row r="308" spans="1:93" x14ac:dyDescent="0.2">
      <c r="A308" s="118">
        <f t="shared" si="29"/>
        <v>19</v>
      </c>
      <c r="B308" s="226" t="s">
        <v>546</v>
      </c>
      <c r="C308" s="223"/>
      <c r="D308" s="168"/>
      <c r="E308" s="225"/>
      <c r="F308" s="183"/>
      <c r="G308" s="233"/>
      <c r="H308" s="174"/>
      <c r="I308" s="229"/>
      <c r="J308" s="168"/>
      <c r="K308" s="225"/>
      <c r="L308" s="183"/>
      <c r="M308" s="233"/>
      <c r="N308" s="174"/>
      <c r="O308" s="227"/>
      <c r="Q308" s="1022"/>
      <c r="R308" s="227"/>
      <c r="S308" s="1355"/>
      <c r="T308" s="227"/>
      <c r="U308" s="184"/>
      <c r="V308" s="179"/>
      <c r="W308" s="180"/>
      <c r="X308" s="227"/>
      <c r="Y308" s="184"/>
      <c r="Z308" s="181"/>
      <c r="AA308" s="227"/>
      <c r="AB308" s="264"/>
      <c r="AD308" s="260"/>
      <c r="AE308" s="260"/>
      <c r="AF308" s="260"/>
      <c r="AG308" s="114"/>
    </row>
    <row r="309" spans="1:93" x14ac:dyDescent="0.2">
      <c r="A309" s="118">
        <f t="shared" si="29"/>
        <v>20</v>
      </c>
      <c r="B309" s="234" t="s">
        <v>149</v>
      </c>
      <c r="C309" s="223"/>
      <c r="D309" s="168"/>
      <c r="E309" s="225"/>
      <c r="F309" s="183"/>
      <c r="G309" s="233"/>
      <c r="H309" s="174"/>
      <c r="I309" s="229"/>
      <c r="J309" s="168"/>
      <c r="K309" s="225"/>
      <c r="L309" s="857">
        <v>0</v>
      </c>
      <c r="M309" s="233"/>
      <c r="N309" s="174"/>
      <c r="O309" s="227"/>
      <c r="Q309" s="1022"/>
      <c r="R309" s="227"/>
      <c r="S309" s="1355"/>
      <c r="T309" s="227"/>
      <c r="U309" s="178"/>
      <c r="V309" s="179"/>
      <c r="W309" s="180"/>
      <c r="X309" s="227"/>
      <c r="Y309" s="178"/>
      <c r="Z309" s="181"/>
      <c r="AA309" s="227"/>
      <c r="AB309" s="264"/>
      <c r="AC309" s="264"/>
      <c r="AF309" s="114"/>
      <c r="AG309" s="114"/>
    </row>
    <row r="310" spans="1:93" x14ac:dyDescent="0.2">
      <c r="A310" s="118">
        <f t="shared" si="29"/>
        <v>21</v>
      </c>
      <c r="B310" s="243" t="s">
        <v>559</v>
      </c>
      <c r="C310" s="223"/>
      <c r="D310" s="172">
        <f>SUMIF($AH$6:$CP$6,1,$AH310:$CP310)</f>
        <v>0</v>
      </c>
      <c r="E310" s="225" t="s">
        <v>596</v>
      </c>
      <c r="F310" s="173">
        <f>'Exhibit MJC-3 - E-13c cal yr'!F312</f>
        <v>2.5</v>
      </c>
      <c r="G310" s="233" t="s">
        <v>375</v>
      </c>
      <c r="H310" s="174">
        <f>ROUND(D310*F310,2)</f>
        <v>0</v>
      </c>
      <c r="I310" s="229"/>
      <c r="J310" s="172">
        <f>SUMIF($AH$6:$CP$6,1,$AH310:$CP310)</f>
        <v>0</v>
      </c>
      <c r="K310" s="225" t="s">
        <v>596</v>
      </c>
      <c r="L310" s="173">
        <f>ROUND(F310*(1+'Exhibit MJC-2 - Old E-8a'!$V$27)+L309,2)</f>
        <v>2.6</v>
      </c>
      <c r="M310" s="233" t="s">
        <v>375</v>
      </c>
      <c r="N310" s="174">
        <f>ROUND(J310*L310,2)</f>
        <v>0</v>
      </c>
      <c r="O310" s="227"/>
      <c r="Q310" s="1022"/>
      <c r="S310" s="1355"/>
      <c r="T310" s="927"/>
      <c r="U310" s="178" t="s">
        <v>614</v>
      </c>
      <c r="V310" s="179">
        <v>249</v>
      </c>
      <c r="W310" s="180">
        <v>223</v>
      </c>
      <c r="X310" s="264"/>
      <c r="Y310" s="178"/>
      <c r="Z310" s="181"/>
      <c r="AA310" s="264"/>
      <c r="AB310" s="182">
        <f>SUM(AH310:AS310)</f>
        <v>0</v>
      </c>
      <c r="AC310" s="182">
        <f>SUM(AT310:BE310)</f>
        <v>0</v>
      </c>
      <c r="AD310" s="182">
        <f>SUM(BF310:BQ310)</f>
        <v>0</v>
      </c>
      <c r="AE310" s="182">
        <f>SUM(BR310:CC310)</f>
        <v>0</v>
      </c>
      <c r="AF310" s="182">
        <f>SUM(CD310:CO310)</f>
        <v>0</v>
      </c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  <c r="AT310" s="168"/>
      <c r="AU310" s="168"/>
      <c r="AV310" s="168"/>
      <c r="AW310" s="168"/>
      <c r="AX310" s="168"/>
      <c r="AY310" s="168"/>
      <c r="AZ310" s="168"/>
      <c r="BA310" s="168"/>
      <c r="BB310" s="168"/>
      <c r="BC310" s="168"/>
      <c r="BD310" s="168"/>
      <c r="BE310" s="168"/>
      <c r="BF310" s="168"/>
      <c r="BG310" s="168"/>
      <c r="BH310" s="168"/>
      <c r="BI310" s="168"/>
      <c r="BJ310" s="168"/>
      <c r="BK310" s="168"/>
      <c r="BL310" s="168"/>
      <c r="BM310" s="168"/>
      <c r="BN310" s="168"/>
      <c r="BO310" s="168"/>
      <c r="BP310" s="168"/>
      <c r="BQ310" s="168"/>
      <c r="BR310" s="168"/>
      <c r="BS310" s="168"/>
      <c r="BT310" s="168"/>
      <c r="BU310" s="168"/>
      <c r="BV310" s="168"/>
      <c r="BW310" s="168"/>
      <c r="BX310" s="168"/>
      <c r="BY310" s="168"/>
      <c r="BZ310" s="168"/>
      <c r="CA310" s="168"/>
      <c r="CB310" s="168"/>
      <c r="CC310" s="168"/>
      <c r="CD310" s="168"/>
      <c r="CE310" s="168"/>
      <c r="CF310" s="168"/>
      <c r="CG310" s="168"/>
      <c r="CH310" s="168"/>
      <c r="CI310" s="168"/>
      <c r="CJ310" s="168"/>
      <c r="CK310" s="168"/>
      <c r="CL310" s="168"/>
      <c r="CM310" s="168"/>
      <c r="CN310" s="168"/>
      <c r="CO310" s="168"/>
    </row>
    <row r="311" spans="1:93" x14ac:dyDescent="0.2">
      <c r="A311" s="118">
        <f t="shared" si="29"/>
        <v>22</v>
      </c>
      <c r="B311" s="243" t="s">
        <v>599</v>
      </c>
      <c r="C311" s="223"/>
      <c r="D311" s="172">
        <f>SUMIF($AH$6:$CP$6,1,$AH311:$CP311)</f>
        <v>0</v>
      </c>
      <c r="E311" s="225" t="s">
        <v>596</v>
      </c>
      <c r="F311" s="173">
        <f>'Exhibit MJC-3 - E-13c cal yr'!F313</f>
        <v>4.97</v>
      </c>
      <c r="G311" s="233" t="s">
        <v>375</v>
      </c>
      <c r="H311" s="174">
        <f>ROUND(D311*F311,2)</f>
        <v>0</v>
      </c>
      <c r="I311" s="229"/>
      <c r="J311" s="172">
        <f>SUMIF($AH$6:$CP$6,1,$AH311:$CP311)</f>
        <v>0</v>
      </c>
      <c r="K311" s="225" t="s">
        <v>596</v>
      </c>
      <c r="L311" s="173">
        <f>ROUND(F311*(1+'Exhibit MJC-2 - Old E-8a'!$V$27)+L309,2)</f>
        <v>5.17</v>
      </c>
      <c r="M311" s="233" t="s">
        <v>375</v>
      </c>
      <c r="N311" s="174">
        <f>ROUND(J311*L311,2)</f>
        <v>0</v>
      </c>
      <c r="O311" s="227"/>
      <c r="Q311" s="1022"/>
      <c r="S311" s="1355"/>
      <c r="T311" s="927"/>
      <c r="U311" s="178" t="s">
        <v>614</v>
      </c>
      <c r="V311" s="179">
        <v>249</v>
      </c>
      <c r="W311" s="180">
        <v>223</v>
      </c>
      <c r="X311" s="264"/>
      <c r="Y311" s="178"/>
      <c r="Z311" s="181"/>
      <c r="AA311" s="264"/>
      <c r="AB311" s="182"/>
      <c r="AC311" s="182"/>
      <c r="AD311" s="182"/>
      <c r="AE311" s="182"/>
      <c r="AF311" s="182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  <c r="AT311" s="168"/>
      <c r="AU311" s="168"/>
      <c r="AV311" s="168"/>
      <c r="AW311" s="168"/>
      <c r="AX311" s="168"/>
      <c r="AY311" s="168"/>
      <c r="AZ311" s="168"/>
      <c r="BA311" s="168"/>
      <c r="BB311" s="168"/>
      <c r="BC311" s="168"/>
      <c r="BD311" s="168"/>
      <c r="BE311" s="168"/>
      <c r="BF311" s="168"/>
      <c r="BG311" s="168"/>
      <c r="BH311" s="168"/>
      <c r="BI311" s="168"/>
      <c r="BJ311" s="168"/>
      <c r="BK311" s="168"/>
      <c r="BL311" s="168"/>
      <c r="BM311" s="168"/>
      <c r="BN311" s="168"/>
      <c r="BO311" s="168"/>
      <c r="BP311" s="168"/>
      <c r="BQ311" s="168"/>
      <c r="BR311" s="168"/>
      <c r="BS311" s="168"/>
      <c r="BT311" s="168"/>
      <c r="BU311" s="168"/>
      <c r="BV311" s="168"/>
      <c r="BW311" s="168"/>
      <c r="BX311" s="168"/>
      <c r="BY311" s="168"/>
      <c r="BZ311" s="168"/>
      <c r="CA311" s="168"/>
      <c r="CB311" s="168"/>
      <c r="CC311" s="168"/>
      <c r="CD311" s="168"/>
      <c r="CE311" s="168"/>
      <c r="CF311" s="168"/>
      <c r="CG311" s="168"/>
      <c r="CH311" s="168"/>
      <c r="CI311" s="168"/>
      <c r="CJ311" s="168"/>
      <c r="CK311" s="168"/>
      <c r="CL311" s="168"/>
      <c r="CM311" s="168"/>
      <c r="CN311" s="168"/>
      <c r="CO311" s="168"/>
    </row>
    <row r="312" spans="1:93" x14ac:dyDescent="0.2">
      <c r="A312" s="118">
        <f t="shared" si="29"/>
        <v>23</v>
      </c>
      <c r="B312" s="243" t="s">
        <v>145</v>
      </c>
      <c r="C312" s="223"/>
      <c r="D312" s="172">
        <f>SUMIF($AH$6:$CP$6,1,$AH312:$CP312)</f>
        <v>0</v>
      </c>
      <c r="E312" s="225" t="s">
        <v>596</v>
      </c>
      <c r="F312" s="173">
        <f>'Exhibit MJC-3 - E-13c cal yr'!F314</f>
        <v>2.21</v>
      </c>
      <c r="G312" s="233" t="s">
        <v>375</v>
      </c>
      <c r="H312" s="174">
        <f>ROUND(D312*F312,2)</f>
        <v>0</v>
      </c>
      <c r="I312" s="229"/>
      <c r="J312" s="172">
        <f>SUMIF($AH$6:$CP$6,1,$AH312:$CP312)</f>
        <v>0</v>
      </c>
      <c r="K312" s="225" t="s">
        <v>596</v>
      </c>
      <c r="L312" s="173">
        <f>ROUND(F312*(1+'Exhibit MJC-2 - Old E-8a'!$V$27)+L309,2)</f>
        <v>2.2999999999999998</v>
      </c>
      <c r="M312" s="233" t="s">
        <v>375</v>
      </c>
      <c r="N312" s="174">
        <f>ROUND(J312*L312,2)</f>
        <v>0</v>
      </c>
      <c r="O312" s="227"/>
      <c r="Q312" s="1022"/>
      <c r="S312" s="1355"/>
      <c r="T312" s="927"/>
      <c r="U312" s="178" t="s">
        <v>614</v>
      </c>
      <c r="V312" s="179">
        <v>249</v>
      </c>
      <c r="W312" s="180">
        <v>223</v>
      </c>
      <c r="X312" s="264"/>
      <c r="Y312" s="178"/>
      <c r="Z312" s="181"/>
      <c r="AA312" s="264"/>
      <c r="AB312" s="182">
        <f>SUM(AH312:AS312)</f>
        <v>0</v>
      </c>
      <c r="AC312" s="182">
        <f>SUM(AT312:BE312)</f>
        <v>0</v>
      </c>
      <c r="AD312" s="182">
        <f>SUM(BF312:BQ312)</f>
        <v>0</v>
      </c>
      <c r="AE312" s="182">
        <f>SUM(BR312:CC312)</f>
        <v>0</v>
      </c>
      <c r="AF312" s="182">
        <f>SUM(CD312:CO312)</f>
        <v>0</v>
      </c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  <c r="AT312" s="168"/>
      <c r="AU312" s="168"/>
      <c r="AV312" s="168"/>
      <c r="AW312" s="168"/>
      <c r="AX312" s="168"/>
      <c r="AY312" s="168"/>
      <c r="AZ312" s="168"/>
      <c r="BA312" s="168"/>
      <c r="BB312" s="168"/>
      <c r="BC312" s="168"/>
      <c r="BD312" s="168"/>
      <c r="BE312" s="168"/>
      <c r="BF312" s="168"/>
      <c r="BG312" s="168"/>
      <c r="BH312" s="168"/>
      <c r="BI312" s="168"/>
      <c r="BJ312" s="168"/>
      <c r="BK312" s="168"/>
      <c r="BL312" s="168"/>
      <c r="BM312" s="168"/>
      <c r="BN312" s="168"/>
      <c r="BO312" s="168"/>
      <c r="BP312" s="168"/>
      <c r="BQ312" s="168"/>
      <c r="BR312" s="168"/>
      <c r="BS312" s="168"/>
      <c r="BT312" s="168"/>
      <c r="BU312" s="168"/>
      <c r="BV312" s="168"/>
      <c r="BW312" s="168"/>
      <c r="BX312" s="168"/>
      <c r="BY312" s="168"/>
      <c r="BZ312" s="168"/>
      <c r="CA312" s="168"/>
      <c r="CB312" s="168"/>
      <c r="CC312" s="168"/>
      <c r="CD312" s="168"/>
      <c r="CE312" s="168"/>
      <c r="CF312" s="168"/>
      <c r="CG312" s="168"/>
      <c r="CH312" s="168"/>
      <c r="CI312" s="168"/>
      <c r="CJ312" s="168"/>
      <c r="CK312" s="168"/>
      <c r="CL312" s="168"/>
      <c r="CM312" s="168"/>
      <c r="CN312" s="168"/>
      <c r="CO312" s="168"/>
    </row>
    <row r="313" spans="1:93" x14ac:dyDescent="0.2">
      <c r="A313" s="118">
        <f t="shared" si="29"/>
        <v>24</v>
      </c>
      <c r="B313" s="234" t="s">
        <v>148</v>
      </c>
      <c r="C313" s="223"/>
      <c r="D313" s="168"/>
      <c r="E313" s="225"/>
      <c r="F313" s="183"/>
      <c r="G313" s="233"/>
      <c r="H313" s="174"/>
      <c r="I313" s="229"/>
      <c r="J313" s="168"/>
      <c r="K313" s="225"/>
      <c r="L313" s="183"/>
      <c r="M313" s="233"/>
      <c r="N313" s="174"/>
      <c r="O313" s="227"/>
      <c r="Q313" s="1022"/>
      <c r="S313" s="1355"/>
      <c r="T313" s="227"/>
      <c r="U313" s="178"/>
      <c r="V313" s="179"/>
      <c r="W313" s="180"/>
      <c r="X313" s="227"/>
      <c r="Y313" s="178"/>
      <c r="Z313" s="181"/>
      <c r="AA313" s="227"/>
      <c r="AB313" s="264"/>
      <c r="AC313" s="264"/>
      <c r="AD313" s="242"/>
    </row>
    <row r="314" spans="1:93" x14ac:dyDescent="0.2">
      <c r="A314" s="118">
        <f t="shared" si="29"/>
        <v>25</v>
      </c>
      <c r="B314" s="243" t="s">
        <v>559</v>
      </c>
      <c r="C314" s="223"/>
      <c r="D314" s="172">
        <f>SUMIF($AH$6:$CP$6,1,$AH314:$CP314)</f>
        <v>108534.72452861042</v>
      </c>
      <c r="E314" s="225" t="s">
        <v>596</v>
      </c>
      <c r="F314" s="173">
        <f>'Exhibit MJC-3 - E-13c cal yr'!F316</f>
        <v>2.5</v>
      </c>
      <c r="G314" s="233" t="s">
        <v>375</v>
      </c>
      <c r="H314" s="174">
        <f>ROUND(D314*F314,2)</f>
        <v>271336.81</v>
      </c>
      <c r="I314" s="229"/>
      <c r="J314" s="172">
        <f>SUMIF($AH$6:$CP$6,1,$AH314:$CP314)</f>
        <v>108534.72452861042</v>
      </c>
      <c r="K314" s="225" t="s">
        <v>596</v>
      </c>
      <c r="L314" s="183">
        <f>L310</f>
        <v>2.6</v>
      </c>
      <c r="M314" s="233" t="s">
        <v>375</v>
      </c>
      <c r="N314" s="174">
        <f>ROUND(J314*L314,2)</f>
        <v>282190.28000000003</v>
      </c>
      <c r="O314" s="227"/>
      <c r="Q314" s="1022"/>
      <c r="S314" s="1355"/>
      <c r="T314" s="264"/>
      <c r="U314" s="178" t="s">
        <v>614</v>
      </c>
      <c r="V314" s="179">
        <v>249</v>
      </c>
      <c r="W314" s="180">
        <v>223</v>
      </c>
      <c r="X314" s="264"/>
      <c r="Y314" s="178"/>
      <c r="Z314" s="181"/>
      <c r="AA314" s="264"/>
      <c r="AB314" s="182">
        <f>SUM(AH314:AS314)</f>
        <v>106759.40781476791</v>
      </c>
      <c r="AC314" s="182">
        <f>SUM(AT314:BE314)</f>
        <v>106743.46692779238</v>
      </c>
      <c r="AD314" s="182">
        <f>SUM(BF314:BQ314)</f>
        <v>107447.93637193846</v>
      </c>
      <c r="AE314" s="182">
        <f>SUM(BR314:CC314)</f>
        <v>108534.72452861042</v>
      </c>
      <c r="AF314" s="182">
        <f>SUM(CD314:CO314)</f>
        <v>109124.04321024504</v>
      </c>
      <c r="AH314" s="168">
        <v>6254.6569913788308</v>
      </c>
      <c r="AI314" s="168">
        <v>26406.641689714481</v>
      </c>
      <c r="AJ314" s="168">
        <v>1477.2052894933711</v>
      </c>
      <c r="AK314" s="168">
        <v>8503.9008670353796</v>
      </c>
      <c r="AL314" s="168">
        <v>19122.627262678248</v>
      </c>
      <c r="AM314" s="168">
        <v>6132.0116458045468</v>
      </c>
      <c r="AN314" s="168">
        <v>6453.2662508590738</v>
      </c>
      <c r="AO314" s="168">
        <v>4525.7825683278797</v>
      </c>
      <c r="AP314" s="168">
        <v>7639.0379646710653</v>
      </c>
      <c r="AQ314" s="168">
        <v>6102.1291012941883</v>
      </c>
      <c r="AR314" s="168">
        <v>6823.7302423465371</v>
      </c>
      <c r="AS314" s="168">
        <v>7318.417941164319</v>
      </c>
      <c r="AT314" s="168">
        <v>6252.3894965239124</v>
      </c>
      <c r="AU314" s="168">
        <v>26887.210058669869</v>
      </c>
      <c r="AV314" s="168">
        <v>1457.3476622360231</v>
      </c>
      <c r="AW314" s="168">
        <v>8370.6591010973589</v>
      </c>
      <c r="AX314" s="168">
        <v>18911.719067332113</v>
      </c>
      <c r="AY314" s="168">
        <v>5968.9411055666205</v>
      </c>
      <c r="AZ314" s="168">
        <v>6485.6622649672699</v>
      </c>
      <c r="BA314" s="168">
        <v>4490.8423071567267</v>
      </c>
      <c r="BB314" s="168">
        <v>7645.3427954989402</v>
      </c>
      <c r="BC314" s="168">
        <v>6109.0887082681911</v>
      </c>
      <c r="BD314" s="168">
        <v>6846.1717603758043</v>
      </c>
      <c r="BE314" s="168">
        <v>7318.0926000995632</v>
      </c>
      <c r="BF314" s="168">
        <v>6294.5447291098517</v>
      </c>
      <c r="BG314" s="168">
        <v>27156.187069374228</v>
      </c>
      <c r="BH314" s="168">
        <v>1476.4733540961249</v>
      </c>
      <c r="BI314" s="168">
        <v>8445.4366523241952</v>
      </c>
      <c r="BJ314" s="168">
        <v>19013.70205632666</v>
      </c>
      <c r="BK314" s="168">
        <v>6037.9616653287394</v>
      </c>
      <c r="BL314" s="168">
        <v>6515.1492940537673</v>
      </c>
      <c r="BM314" s="168">
        <v>4516.7379555175594</v>
      </c>
      <c r="BN314" s="168">
        <v>7658.1269345128248</v>
      </c>
      <c r="BO314" s="168">
        <v>6081.417617565603</v>
      </c>
      <c r="BP314" s="168">
        <v>6845.7792818865482</v>
      </c>
      <c r="BQ314" s="168">
        <v>7406.4197618423668</v>
      </c>
      <c r="BR314" s="168">
        <v>6358.0229295197478</v>
      </c>
      <c r="BS314" s="168">
        <v>27481.271234363619</v>
      </c>
      <c r="BT314" s="168">
        <v>1483.2131254349054</v>
      </c>
      <c r="BU314" s="168">
        <v>8502.3350387065329</v>
      </c>
      <c r="BV314" s="168">
        <v>19032.184211174848</v>
      </c>
      <c r="BW314" s="168">
        <v>6161.2889056928434</v>
      </c>
      <c r="BX314" s="168">
        <v>6640.715615051261</v>
      </c>
      <c r="BY314" s="168">
        <v>4582.9706403127147</v>
      </c>
      <c r="BZ314" s="168">
        <v>7731.0884342993204</v>
      </c>
      <c r="CA314" s="168">
        <v>6177.3306706954127</v>
      </c>
      <c r="CB314" s="168">
        <v>6941.8318867308553</v>
      </c>
      <c r="CC314" s="168">
        <v>7442.4718366283341</v>
      </c>
      <c r="CD314" s="168">
        <v>6391.6806053109867</v>
      </c>
      <c r="CE314" s="168">
        <v>27328.75480100526</v>
      </c>
      <c r="CF314" s="168">
        <v>1497.5845307760144</v>
      </c>
      <c r="CG314" s="168">
        <v>8678.193150480527</v>
      </c>
      <c r="CH314" s="168">
        <v>19296.863919107251</v>
      </c>
      <c r="CI314" s="168">
        <v>6132.9414157871151</v>
      </c>
      <c r="CJ314" s="168">
        <v>6653.2538746409409</v>
      </c>
      <c r="CK314" s="168">
        <v>4595.7051625701351</v>
      </c>
      <c r="CL314" s="168">
        <v>7860.3868703430444</v>
      </c>
      <c r="CM314" s="168">
        <v>6203.8613489659883</v>
      </c>
      <c r="CN314" s="168">
        <v>7018.8931123399343</v>
      </c>
      <c r="CO314" s="168">
        <v>7465.9244189178435</v>
      </c>
    </row>
    <row r="315" spans="1:93" x14ac:dyDescent="0.2">
      <c r="A315" s="118">
        <f t="shared" si="29"/>
        <v>26</v>
      </c>
      <c r="B315" s="243" t="s">
        <v>599</v>
      </c>
      <c r="C315" s="223"/>
      <c r="D315" s="172">
        <f>SUMIF($AH$6:$CP$6,1,$AH315:$CP315)</f>
        <v>108765.62464294641</v>
      </c>
      <c r="E315" s="225" t="s">
        <v>596</v>
      </c>
      <c r="F315" s="173">
        <f>'Exhibit MJC-3 - E-13c cal yr'!F317</f>
        <v>4.97</v>
      </c>
      <c r="G315" s="233" t="s">
        <v>375</v>
      </c>
      <c r="H315" s="174">
        <f>ROUND(D315*F315,2)</f>
        <v>540565.15</v>
      </c>
      <c r="I315" s="229"/>
      <c r="J315" s="172">
        <f>SUMIF($AH$6:$CP$6,1,$AH315:$CP315)</f>
        <v>108765.62464294641</v>
      </c>
      <c r="K315" s="225" t="s">
        <v>596</v>
      </c>
      <c r="L315" s="183">
        <f>L311</f>
        <v>5.17</v>
      </c>
      <c r="M315" s="233" t="s">
        <v>375</v>
      </c>
      <c r="N315" s="174">
        <f>ROUND(J315*L315,2)</f>
        <v>562318.28</v>
      </c>
      <c r="O315" s="227"/>
      <c r="Q315" s="1022"/>
      <c r="S315" s="1361"/>
      <c r="T315" s="227"/>
      <c r="U315" s="178" t="s">
        <v>614</v>
      </c>
      <c r="V315" s="179">
        <v>249</v>
      </c>
      <c r="W315" s="180">
        <v>223</v>
      </c>
      <c r="X315" s="264"/>
      <c r="Y315" s="178"/>
      <c r="Z315" s="181"/>
      <c r="AA315" s="264"/>
      <c r="AB315" s="182"/>
      <c r="AC315" s="182"/>
      <c r="AD315" s="182"/>
      <c r="AE315" s="182"/>
      <c r="AF315" s="182"/>
      <c r="AH315" s="168">
        <v>0</v>
      </c>
      <c r="AI315" s="168">
        <v>17216.024450015258</v>
      </c>
      <c r="AJ315" s="168">
        <v>999.55326766015401</v>
      </c>
      <c r="AK315" s="168">
        <v>6337.2176354027506</v>
      </c>
      <c r="AL315" s="168">
        <v>19777.325447554536</v>
      </c>
      <c r="AM315" s="168">
        <v>8714.2803721103992</v>
      </c>
      <c r="AN315" s="168">
        <v>8883.1083749754052</v>
      </c>
      <c r="AO315" s="168">
        <v>7143.5401906645575</v>
      </c>
      <c r="AP315" s="168">
        <v>10759.923256882395</v>
      </c>
      <c r="AQ315" s="168">
        <v>9066.3777593753402</v>
      </c>
      <c r="AR315" s="168">
        <v>9597.9045006437991</v>
      </c>
      <c r="AS315" s="168">
        <v>8491.2758103870037</v>
      </c>
      <c r="AT315" s="168">
        <v>0</v>
      </c>
      <c r="AU315" s="168">
        <v>17559.679663472307</v>
      </c>
      <c r="AV315" s="168">
        <v>987.9188994095133</v>
      </c>
      <c r="AW315" s="168">
        <v>6249.3251971010513</v>
      </c>
      <c r="AX315" s="168">
        <v>19594.944786909415</v>
      </c>
      <c r="AY315" s="168">
        <v>8498.0422812462457</v>
      </c>
      <c r="AZ315" s="168">
        <v>8944.0195998934832</v>
      </c>
      <c r="BA315" s="168">
        <v>7101.3455930120217</v>
      </c>
      <c r="BB315" s="168">
        <v>10788.486044150217</v>
      </c>
      <c r="BC315" s="168">
        <v>9093.3076815018467</v>
      </c>
      <c r="BD315" s="168">
        <v>9647.0693655361938</v>
      </c>
      <c r="BE315" s="168">
        <v>8506.4171533300523</v>
      </c>
      <c r="BF315" s="168">
        <v>0</v>
      </c>
      <c r="BG315" s="168">
        <v>17751.695782815899</v>
      </c>
      <c r="BH315" s="168">
        <v>1001.7823962155445</v>
      </c>
      <c r="BI315" s="168">
        <v>6310.8118877076149</v>
      </c>
      <c r="BJ315" s="168">
        <v>19718.295809056381</v>
      </c>
      <c r="BK315" s="168">
        <v>8604.0237815423607</v>
      </c>
      <c r="BL315" s="168">
        <v>8992.7483779684899</v>
      </c>
      <c r="BM315" s="168">
        <v>7148.7053202690158</v>
      </c>
      <c r="BN315" s="168">
        <v>10816.226145935148</v>
      </c>
      <c r="BO315" s="168">
        <v>9060.2449563691589</v>
      </c>
      <c r="BP315" s="168">
        <v>9655.1752321066178</v>
      </c>
      <c r="BQ315" s="168">
        <v>8616.8147297056476</v>
      </c>
      <c r="BR315" s="168">
        <v>0</v>
      </c>
      <c r="BS315" s="168">
        <v>17952.984274065391</v>
      </c>
      <c r="BT315" s="168">
        <v>1005.7385732714876</v>
      </c>
      <c r="BU315" s="168">
        <v>6349.4353512868911</v>
      </c>
      <c r="BV315" s="168">
        <v>19725.366929460335</v>
      </c>
      <c r="BW315" s="168">
        <v>8774.3830358345258</v>
      </c>
      <c r="BX315" s="168">
        <v>9160.4480659644505</v>
      </c>
      <c r="BY315" s="168">
        <v>7249.0874675411696</v>
      </c>
      <c r="BZ315" s="168">
        <v>10912.584115743724</v>
      </c>
      <c r="CA315" s="168">
        <v>9197.4985101587899</v>
      </c>
      <c r="CB315" s="168">
        <v>9784.6461449087055</v>
      </c>
      <c r="CC315" s="168">
        <v>8653.452174710932</v>
      </c>
      <c r="CD315" s="168">
        <v>0</v>
      </c>
      <c r="CE315" s="168">
        <v>17840.217165370163</v>
      </c>
      <c r="CF315" s="168">
        <v>1014.7404319179387</v>
      </c>
      <c r="CG315" s="168">
        <v>6476.0214073760098</v>
      </c>
      <c r="CH315" s="168">
        <v>19985.051187569006</v>
      </c>
      <c r="CI315" s="168">
        <v>8727.6215176718197</v>
      </c>
      <c r="CJ315" s="168">
        <v>9171.0276504931189</v>
      </c>
      <c r="CK315" s="168">
        <v>7263.9106970424091</v>
      </c>
      <c r="CL315" s="168">
        <v>11086.972170357765</v>
      </c>
      <c r="CM315" s="168">
        <v>9230.2408250394128</v>
      </c>
      <c r="CN315" s="168">
        <v>9886.0256684280321</v>
      </c>
      <c r="CO315" s="168">
        <v>8674.3683380215771</v>
      </c>
    </row>
    <row r="316" spans="1:93" x14ac:dyDescent="0.2">
      <c r="A316" s="118">
        <f t="shared" si="29"/>
        <v>27</v>
      </c>
      <c r="B316" s="243" t="s">
        <v>145</v>
      </c>
      <c r="C316" s="223"/>
      <c r="D316" s="172">
        <f>SUMIF($AH$6:$CP$6,1,$AH316:$CP316)</f>
        <v>245588.00463218853</v>
      </c>
      <c r="E316" s="225" t="s">
        <v>596</v>
      </c>
      <c r="F316" s="173">
        <f>'Exhibit MJC-3 - E-13c cal yr'!F318</f>
        <v>2.21</v>
      </c>
      <c r="G316" s="233" t="s">
        <v>375</v>
      </c>
      <c r="H316" s="174">
        <f>ROUND(D316*F316,2)</f>
        <v>542749.49</v>
      </c>
      <c r="I316" s="229"/>
      <c r="J316" s="172">
        <f>SUMIF($AH$6:$CP$6,1,$AH316:$CP316)</f>
        <v>245588.00463218853</v>
      </c>
      <c r="K316" s="225" t="s">
        <v>596</v>
      </c>
      <c r="L316" s="183">
        <f>L312</f>
        <v>2.2999999999999998</v>
      </c>
      <c r="M316" s="233" t="s">
        <v>375</v>
      </c>
      <c r="N316" s="174">
        <f>ROUND(J316*L316,2)</f>
        <v>564852.41</v>
      </c>
      <c r="O316" s="227"/>
      <c r="P316" s="1231"/>
      <c r="Q316" s="1022"/>
      <c r="S316" s="263"/>
      <c r="T316" s="1293"/>
      <c r="U316" s="178" t="s">
        <v>614</v>
      </c>
      <c r="V316" s="179">
        <v>249</v>
      </c>
      <c r="W316" s="180">
        <v>223</v>
      </c>
      <c r="X316" s="264"/>
      <c r="Y316" s="178"/>
      <c r="Z316" s="181"/>
      <c r="AA316" s="264"/>
      <c r="AB316" s="182">
        <f>SUM(AH316:AS316)</f>
        <v>241570.8894532781</v>
      </c>
      <c r="AC316" s="182">
        <f>SUM(AT316:BE316)</f>
        <v>241534.8190560721</v>
      </c>
      <c r="AD316" s="182">
        <f>SUM(BF316:BQ316)</f>
        <v>243128.86414959954</v>
      </c>
      <c r="AE316" s="182">
        <f>SUM(BR316:CC316)</f>
        <v>245588.00463218853</v>
      </c>
      <c r="AF316" s="182">
        <f>SUM(CD316:CO316)</f>
        <v>246921.49121672375</v>
      </c>
      <c r="AH316" s="168">
        <v>6720.4486136367041</v>
      </c>
      <c r="AI316" s="168">
        <v>37758.38513013436</v>
      </c>
      <c r="AJ316" s="168">
        <v>2194.5293141515654</v>
      </c>
      <c r="AK316" s="168">
        <v>13913.425448155331</v>
      </c>
      <c r="AL316" s="168">
        <v>43421.318157233734</v>
      </c>
      <c r="AM316" s="168">
        <v>19132.290741341374</v>
      </c>
      <c r="AN316" s="168">
        <v>19502.95433009059</v>
      </c>
      <c r="AO316" s="168">
        <v>15683.714777833411</v>
      </c>
      <c r="AP316" s="168">
        <v>23623.520395791409</v>
      </c>
      <c r="AQ316" s="168">
        <v>19905.324118139659</v>
      </c>
      <c r="AR316" s="168">
        <v>21072.296457392396</v>
      </c>
      <c r="AS316" s="168">
        <v>18642.681969377554</v>
      </c>
      <c r="AT316" s="168">
        <v>6718.6843476078429</v>
      </c>
      <c r="AU316" s="168">
        <v>38513.650333026737</v>
      </c>
      <c r="AV316" s="168">
        <v>2168.9859409230098</v>
      </c>
      <c r="AW316" s="168">
        <v>13720.456710434275</v>
      </c>
      <c r="AX316" s="168">
        <v>43020.899571181813</v>
      </c>
      <c r="AY316" s="168">
        <v>18657.537824622486</v>
      </c>
      <c r="AZ316" s="168">
        <v>19636.685540790862</v>
      </c>
      <c r="BA316" s="168">
        <v>15591.076111698008</v>
      </c>
      <c r="BB316" s="168">
        <v>23686.230284279736</v>
      </c>
      <c r="BC316" s="168">
        <v>19964.449034686408</v>
      </c>
      <c r="BD316" s="168">
        <v>21180.238415788703</v>
      </c>
      <c r="BE316" s="168">
        <v>18675.924941032208</v>
      </c>
      <c r="BF316" s="168">
        <v>6763.5340082113053</v>
      </c>
      <c r="BG316" s="168">
        <v>38934.458872628056</v>
      </c>
      <c r="BH316" s="168">
        <v>2199.4233884526452</v>
      </c>
      <c r="BI316" s="168">
        <v>13855.451361877049</v>
      </c>
      <c r="BJ316" s="168">
        <v>43291.717988559161</v>
      </c>
      <c r="BK316" s="168">
        <v>18890.221281004982</v>
      </c>
      <c r="BL316" s="168">
        <v>19743.670066166596</v>
      </c>
      <c r="BM316" s="168">
        <v>15695.05487214865</v>
      </c>
      <c r="BN316" s="168">
        <v>23747.133958465187</v>
      </c>
      <c r="BO316" s="168">
        <v>19891.859487078531</v>
      </c>
      <c r="BP316" s="168">
        <v>21198.034927871573</v>
      </c>
      <c r="BQ316" s="168">
        <v>18918.303937135792</v>
      </c>
      <c r="BR316" s="168">
        <v>6831.8367153143436</v>
      </c>
      <c r="BS316" s="168">
        <v>39376.097006264485</v>
      </c>
      <c r="BT316" s="168">
        <v>2208.1092152135989</v>
      </c>
      <c r="BU316" s="168">
        <v>13940.249567016435</v>
      </c>
      <c r="BV316" s="168">
        <v>43307.242704962417</v>
      </c>
      <c r="BW316" s="168">
        <v>19264.246747758069</v>
      </c>
      <c r="BX316" s="168">
        <v>20111.856428202816</v>
      </c>
      <c r="BY316" s="168">
        <v>15915.444892304256</v>
      </c>
      <c r="BZ316" s="168">
        <v>23958.688856276749</v>
      </c>
      <c r="CA316" s="168">
        <v>20193.201053364362</v>
      </c>
      <c r="CB316" s="168">
        <v>21482.289627112626</v>
      </c>
      <c r="CC316" s="168">
        <v>18998.741818398419</v>
      </c>
      <c r="CD316" s="168">
        <v>6868.438556359928</v>
      </c>
      <c r="CE316" s="168">
        <v>39128.792705075881</v>
      </c>
      <c r="CF316" s="168">
        <v>2227.8728869664105</v>
      </c>
      <c r="CG316" s="168">
        <v>14218.170534150777</v>
      </c>
      <c r="CH316" s="168">
        <v>43877.382121521201</v>
      </c>
      <c r="CI316" s="168">
        <v>19161.581361427521</v>
      </c>
      <c r="CJ316" s="168">
        <v>20135.084013095868</v>
      </c>
      <c r="CK316" s="168">
        <v>15947.989442678261</v>
      </c>
      <c r="CL316" s="168">
        <v>24341.559594906052</v>
      </c>
      <c r="CM316" s="168">
        <v>20265.087137021423</v>
      </c>
      <c r="CN316" s="168">
        <v>21704.869396911869</v>
      </c>
      <c r="CO316" s="168">
        <v>19044.663466608563</v>
      </c>
    </row>
    <row r="317" spans="1:93" x14ac:dyDescent="0.2">
      <c r="A317" s="118">
        <f t="shared" si="29"/>
        <v>28</v>
      </c>
      <c r="B317" s="243" t="s">
        <v>601</v>
      </c>
      <c r="C317" s="223"/>
      <c r="D317" s="172">
        <f>D315</f>
        <v>108765.62464294641</v>
      </c>
      <c r="E317" s="225" t="s">
        <v>596</v>
      </c>
      <c r="F317" s="173">
        <f>'Exhibit MJC-3 - E-13c cal yr'!F319</f>
        <v>-1.3</v>
      </c>
      <c r="G317" s="233" t="s">
        <v>375</v>
      </c>
      <c r="H317" s="174">
        <f>ROUND(D317*F317,2)</f>
        <v>-141395.31</v>
      </c>
      <c r="I317" s="229"/>
      <c r="J317" s="172">
        <f>J315</f>
        <v>108765.62464294641</v>
      </c>
      <c r="K317" s="225" t="s">
        <v>596</v>
      </c>
      <c r="L317" s="183">
        <f>ROUND(-DVC!G29,2)</f>
        <v>-1.34</v>
      </c>
      <c r="M317" s="233" t="s">
        <v>375</v>
      </c>
      <c r="N317" s="174">
        <f>ROUND(J317*L317,2)</f>
        <v>-145745.94</v>
      </c>
      <c r="O317" s="227"/>
      <c r="Q317" s="939"/>
      <c r="S317" s="263"/>
      <c r="T317" s="1293"/>
      <c r="U317" s="178"/>
      <c r="V317" s="179"/>
      <c r="W317" s="180"/>
      <c r="X317" s="264"/>
      <c r="Y317" s="178"/>
      <c r="Z317" s="181"/>
      <c r="AA317" s="264"/>
      <c r="AB317" s="182"/>
      <c r="AC317" s="182"/>
      <c r="AD317" s="182"/>
      <c r="AE317" s="182"/>
      <c r="AF317" s="182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  <c r="AT317" s="168"/>
      <c r="AU317" s="168"/>
      <c r="AV317" s="168"/>
      <c r="AW317" s="168"/>
      <c r="AX317" s="168"/>
      <c r="AY317" s="168"/>
      <c r="AZ317" s="168"/>
      <c r="BA317" s="168"/>
      <c r="BB317" s="168"/>
      <c r="BC317" s="168"/>
      <c r="BD317" s="168"/>
      <c r="BE317" s="168"/>
      <c r="BF317" s="168"/>
      <c r="BG317" s="168"/>
      <c r="BH317" s="168"/>
      <c r="BI317" s="168"/>
      <c r="BJ317" s="168"/>
      <c r="BK317" s="168"/>
      <c r="BL317" s="168"/>
      <c r="BM317" s="168"/>
      <c r="BN317" s="168"/>
      <c r="BO317" s="168"/>
      <c r="BP317" s="168"/>
      <c r="BQ317" s="168"/>
      <c r="BR317" s="168"/>
      <c r="BS317" s="168"/>
      <c r="BT317" s="168"/>
      <c r="BU317" s="168"/>
      <c r="BV317" s="168"/>
      <c r="BW317" s="168"/>
      <c r="BX317" s="168"/>
      <c r="BY317" s="168"/>
      <c r="BZ317" s="168"/>
      <c r="CA317" s="168"/>
      <c r="CB317" s="168"/>
      <c r="CC317" s="168"/>
      <c r="CD317" s="168"/>
      <c r="CE317" s="168"/>
      <c r="CF317" s="168"/>
      <c r="CG317" s="168"/>
      <c r="CH317" s="168"/>
      <c r="CI317" s="168"/>
      <c r="CJ317" s="168"/>
      <c r="CK317" s="168"/>
      <c r="CL317" s="168"/>
      <c r="CM317" s="168"/>
      <c r="CN317" s="168"/>
      <c r="CO317" s="168"/>
    </row>
    <row r="318" spans="1:93" x14ac:dyDescent="0.2">
      <c r="A318" s="118">
        <f t="shared" si="29"/>
        <v>29</v>
      </c>
      <c r="B318" s="234" t="s">
        <v>216</v>
      </c>
      <c r="C318" s="223"/>
      <c r="D318" s="168"/>
      <c r="E318" s="225"/>
      <c r="F318" s="183"/>
      <c r="G318" s="233"/>
      <c r="H318" s="174"/>
      <c r="I318" s="229"/>
      <c r="J318" s="168"/>
      <c r="K318" s="225"/>
      <c r="L318" s="183"/>
      <c r="M318" s="233"/>
      <c r="N318" s="174"/>
      <c r="O318" s="227"/>
      <c r="Q318" s="227"/>
      <c r="S318" s="263"/>
      <c r="T318" s="927"/>
      <c r="U318" s="178"/>
      <c r="V318" s="179"/>
      <c r="W318" s="180"/>
      <c r="X318" s="227"/>
      <c r="Y318" s="178"/>
      <c r="Z318" s="181"/>
      <c r="AA318" s="227"/>
      <c r="AB318" s="264"/>
      <c r="AC318" s="264"/>
      <c r="AE318" s="245"/>
    </row>
    <row r="319" spans="1:93" x14ac:dyDescent="0.2">
      <c r="A319" s="118">
        <f t="shared" si="29"/>
        <v>30</v>
      </c>
      <c r="B319" s="243" t="s">
        <v>559</v>
      </c>
      <c r="C319" s="223"/>
      <c r="D319" s="172">
        <f>SUMIF($AH$6:$CP$6,1,$AH319:$CP319)</f>
        <v>0</v>
      </c>
      <c r="E319" s="225" t="s">
        <v>596</v>
      </c>
      <c r="F319" s="173">
        <f>'Exhibit MJC-3 - E-13c cal yr'!F321</f>
        <v>2.5</v>
      </c>
      <c r="G319" s="233" t="s">
        <v>375</v>
      </c>
      <c r="H319" s="174">
        <f>ROUND(D319*F319,2)</f>
        <v>0</v>
      </c>
      <c r="I319" s="229"/>
      <c r="J319" s="172">
        <f>SUMIF($AH$6:$CP$6,1,$AH319:$CP319)</f>
        <v>0</v>
      </c>
      <c r="K319" s="225" t="s">
        <v>596</v>
      </c>
      <c r="L319" s="183">
        <f>L314</f>
        <v>2.6</v>
      </c>
      <c r="M319" s="233" t="s">
        <v>375</v>
      </c>
      <c r="N319" s="174">
        <f>ROUND(J319*L319,2)</f>
        <v>0</v>
      </c>
      <c r="O319" s="227"/>
      <c r="Q319" s="227"/>
      <c r="T319" s="264"/>
      <c r="U319" s="178" t="s">
        <v>614</v>
      </c>
      <c r="V319" s="179">
        <v>249</v>
      </c>
      <c r="W319" s="180">
        <v>223</v>
      </c>
      <c r="X319" s="264"/>
      <c r="Y319" s="178"/>
      <c r="Z319" s="181"/>
      <c r="AA319" s="264"/>
      <c r="AB319" s="182">
        <f>SUM(AH319:AS319)</f>
        <v>0</v>
      </c>
      <c r="AC319" s="182">
        <f>SUM(AT319:BE319)</f>
        <v>0</v>
      </c>
      <c r="AD319" s="182">
        <f>SUM(BF319:BQ319)</f>
        <v>0</v>
      </c>
      <c r="AE319" s="182">
        <f>SUM(BR319:CC319)</f>
        <v>0</v>
      </c>
      <c r="AF319" s="182">
        <f>SUM(CD319:CO319)</f>
        <v>0</v>
      </c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  <c r="AT319" s="168"/>
      <c r="AU319" s="168"/>
      <c r="AV319" s="168"/>
      <c r="AW319" s="168"/>
      <c r="AX319" s="168"/>
      <c r="AY319" s="168"/>
      <c r="AZ319" s="168"/>
      <c r="BA319" s="168"/>
      <c r="BB319" s="168"/>
      <c r="BC319" s="168"/>
      <c r="BD319" s="168"/>
      <c r="BE319" s="168"/>
      <c r="BF319" s="168"/>
      <c r="BG319" s="168"/>
      <c r="BH319" s="168"/>
      <c r="BI319" s="168"/>
      <c r="BJ319" s="168"/>
      <c r="BK319" s="168"/>
      <c r="BL319" s="168"/>
      <c r="BM319" s="168"/>
      <c r="BN319" s="168"/>
      <c r="BO319" s="168"/>
      <c r="BP319" s="168"/>
      <c r="BQ319" s="168"/>
      <c r="BR319" s="168"/>
      <c r="BS319" s="168"/>
      <c r="BT319" s="168"/>
      <c r="BU319" s="168"/>
      <c r="BV319" s="168"/>
      <c r="BW319" s="168"/>
      <c r="BX319" s="168"/>
      <c r="BY319" s="168"/>
      <c r="BZ319" s="168"/>
      <c r="CA319" s="168"/>
      <c r="CB319" s="168"/>
      <c r="CC319" s="168"/>
      <c r="CD319" s="168"/>
      <c r="CE319" s="168"/>
      <c r="CF319" s="168"/>
      <c r="CG319" s="168"/>
      <c r="CH319" s="168"/>
      <c r="CI319" s="168"/>
      <c r="CJ319" s="168"/>
      <c r="CK319" s="168"/>
      <c r="CL319" s="168"/>
      <c r="CM319" s="168"/>
      <c r="CN319" s="168"/>
      <c r="CO319" s="168"/>
    </row>
    <row r="320" spans="1:93" x14ac:dyDescent="0.2">
      <c r="A320" s="118">
        <f t="shared" si="29"/>
        <v>31</v>
      </c>
      <c r="B320" s="243" t="s">
        <v>599</v>
      </c>
      <c r="C320" s="223"/>
      <c r="D320" s="172">
        <f>SUMIF($AH$6:$CP$6,1,$AH320:$CP320)</f>
        <v>0</v>
      </c>
      <c r="E320" s="225" t="s">
        <v>596</v>
      </c>
      <c r="F320" s="173">
        <f>'Exhibit MJC-3 - E-13c cal yr'!F322</f>
        <v>4.97</v>
      </c>
      <c r="G320" s="233" t="s">
        <v>375</v>
      </c>
      <c r="H320" s="174">
        <f>ROUND(D320*F320,2)</f>
        <v>0</v>
      </c>
      <c r="I320" s="229"/>
      <c r="J320" s="172">
        <f>SUMIF($AH$6:$CP$6,1,$AH320:$CP320)</f>
        <v>0</v>
      </c>
      <c r="K320" s="225" t="s">
        <v>596</v>
      </c>
      <c r="L320" s="183">
        <f>L315</f>
        <v>5.17</v>
      </c>
      <c r="M320" s="233" t="s">
        <v>375</v>
      </c>
      <c r="N320" s="174">
        <f>ROUND(J320*L320,2)</f>
        <v>0</v>
      </c>
      <c r="O320" s="227"/>
      <c r="Q320" s="227"/>
      <c r="T320" s="264"/>
      <c r="U320" s="178" t="s">
        <v>614</v>
      </c>
      <c r="V320" s="179">
        <v>249</v>
      </c>
      <c r="W320" s="180">
        <v>223</v>
      </c>
      <c r="X320" s="264"/>
      <c r="Y320" s="178"/>
      <c r="Z320" s="181"/>
      <c r="AA320" s="264"/>
      <c r="AB320" s="182"/>
      <c r="AC320" s="182"/>
      <c r="AD320" s="182"/>
      <c r="AE320" s="182"/>
      <c r="AF320" s="182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  <c r="AT320" s="168"/>
      <c r="AU320" s="168"/>
      <c r="AV320" s="168"/>
      <c r="AW320" s="168"/>
      <c r="AX320" s="168"/>
      <c r="AY320" s="168"/>
      <c r="AZ320" s="168"/>
      <c r="BA320" s="168"/>
      <c r="BB320" s="168"/>
      <c r="BC320" s="168"/>
      <c r="BD320" s="168"/>
      <c r="BE320" s="168"/>
      <c r="BF320" s="168"/>
      <c r="BG320" s="168"/>
      <c r="BH320" s="168"/>
      <c r="BI320" s="168"/>
      <c r="BJ320" s="168"/>
      <c r="BK320" s="168"/>
      <c r="BL320" s="168"/>
      <c r="BM320" s="168"/>
      <c r="BN320" s="168"/>
      <c r="BO320" s="168"/>
      <c r="BP320" s="168"/>
      <c r="BQ320" s="168"/>
      <c r="BR320" s="168"/>
      <c r="BS320" s="168"/>
      <c r="BT320" s="168"/>
      <c r="BU320" s="168"/>
      <c r="BV320" s="168"/>
      <c r="BW320" s="168"/>
      <c r="BX320" s="168"/>
      <c r="BY320" s="168"/>
      <c r="BZ320" s="168"/>
      <c r="CA320" s="168"/>
      <c r="CB320" s="168"/>
      <c r="CC320" s="168"/>
      <c r="CD320" s="168"/>
      <c r="CE320" s="168"/>
      <c r="CF320" s="168"/>
      <c r="CG320" s="168"/>
      <c r="CH320" s="168"/>
      <c r="CI320" s="168"/>
      <c r="CJ320" s="168"/>
      <c r="CK320" s="168"/>
      <c r="CL320" s="168"/>
      <c r="CM320" s="168"/>
      <c r="CN320" s="168"/>
      <c r="CO320" s="168"/>
    </row>
    <row r="321" spans="1:93" x14ac:dyDescent="0.2">
      <c r="A321" s="118">
        <f t="shared" si="29"/>
        <v>32</v>
      </c>
      <c r="B321" s="243" t="s">
        <v>145</v>
      </c>
      <c r="C321" s="223"/>
      <c r="D321" s="172">
        <f>SUMIF($AH$6:$CP$6,1,$AH321:$CP321)</f>
        <v>0</v>
      </c>
      <c r="E321" s="225" t="s">
        <v>596</v>
      </c>
      <c r="F321" s="173">
        <f>'Exhibit MJC-3 - E-13c cal yr'!F323</f>
        <v>2.21</v>
      </c>
      <c r="G321" s="233" t="s">
        <v>375</v>
      </c>
      <c r="H321" s="174">
        <f>ROUND(D321*F321,2)</f>
        <v>0</v>
      </c>
      <c r="I321" s="229"/>
      <c r="J321" s="172">
        <f>SUMIF($AH$6:$CP$6,1,$AH321:$CP321)</f>
        <v>0</v>
      </c>
      <c r="K321" s="225" t="s">
        <v>596</v>
      </c>
      <c r="L321" s="183">
        <f>L316</f>
        <v>2.2999999999999998</v>
      </c>
      <c r="M321" s="233" t="s">
        <v>375</v>
      </c>
      <c r="N321" s="174">
        <f>ROUND(J321*L321,2)</f>
        <v>0</v>
      </c>
      <c r="O321" s="227"/>
      <c r="Q321" s="227"/>
      <c r="T321" s="264"/>
      <c r="U321" s="178" t="s">
        <v>614</v>
      </c>
      <c r="V321" s="179">
        <v>249</v>
      </c>
      <c r="W321" s="180">
        <v>223</v>
      </c>
      <c r="X321" s="264"/>
      <c r="Y321" s="178"/>
      <c r="Z321" s="181"/>
      <c r="AA321" s="264"/>
      <c r="AB321" s="182">
        <f>SUM(AH321:AS321)</f>
        <v>0</v>
      </c>
      <c r="AC321" s="182">
        <f>SUM(AT321:BE321)</f>
        <v>0</v>
      </c>
      <c r="AD321" s="182">
        <f>SUM(BF321:BQ321)</f>
        <v>0</v>
      </c>
      <c r="AE321" s="182">
        <f>SUM(BR321:CC321)</f>
        <v>0</v>
      </c>
      <c r="AF321" s="182">
        <f>SUM(CD321:CO321)</f>
        <v>0</v>
      </c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  <c r="AT321" s="168"/>
      <c r="AU321" s="168"/>
      <c r="AV321" s="168"/>
      <c r="AW321" s="168"/>
      <c r="AX321" s="168"/>
      <c r="AY321" s="168"/>
      <c r="AZ321" s="168"/>
      <c r="BA321" s="168"/>
      <c r="BB321" s="168"/>
      <c r="BC321" s="168"/>
      <c r="BD321" s="168"/>
      <c r="BE321" s="168"/>
      <c r="BF321" s="168"/>
      <c r="BG321" s="168"/>
      <c r="BH321" s="168"/>
      <c r="BI321" s="168"/>
      <c r="BJ321" s="168"/>
      <c r="BK321" s="168"/>
      <c r="BL321" s="168"/>
      <c r="BM321" s="168"/>
      <c r="BN321" s="168"/>
      <c r="BO321" s="168"/>
      <c r="BP321" s="168"/>
      <c r="BQ321" s="168"/>
      <c r="BR321" s="168"/>
      <c r="BS321" s="168"/>
      <c r="BT321" s="168"/>
      <c r="BU321" s="168"/>
      <c r="BV321" s="168"/>
      <c r="BW321" s="168"/>
      <c r="BX321" s="168"/>
      <c r="BY321" s="168"/>
      <c r="BZ321" s="168"/>
      <c r="CA321" s="168"/>
      <c r="CB321" s="168"/>
      <c r="CC321" s="168"/>
      <c r="CD321" s="168"/>
      <c r="CE321" s="168"/>
      <c r="CF321" s="168"/>
      <c r="CG321" s="168"/>
      <c r="CH321" s="168"/>
      <c r="CI321" s="168"/>
      <c r="CJ321" s="168"/>
      <c r="CK321" s="168"/>
      <c r="CL321" s="168"/>
      <c r="CM321" s="168"/>
      <c r="CN321" s="168"/>
      <c r="CO321" s="168"/>
    </row>
    <row r="322" spans="1:93" x14ac:dyDescent="0.2">
      <c r="A322" s="118">
        <f t="shared" si="29"/>
        <v>33</v>
      </c>
      <c r="B322" s="243" t="s">
        <v>601</v>
      </c>
      <c r="C322" s="223"/>
      <c r="D322" s="172">
        <f>D321</f>
        <v>0</v>
      </c>
      <c r="E322" s="225" t="s">
        <v>596</v>
      </c>
      <c r="F322" s="173">
        <f>'Exhibit MJC-3 - E-13c cal yr'!F324</f>
        <v>-6.18</v>
      </c>
      <c r="G322" s="233" t="s">
        <v>375</v>
      </c>
      <c r="H322" s="174">
        <f>ROUND(D322*F322,2)</f>
        <v>0</v>
      </c>
      <c r="I322" s="229"/>
      <c r="J322" s="172">
        <f>J320</f>
        <v>0</v>
      </c>
      <c r="K322" s="225" t="s">
        <v>596</v>
      </c>
      <c r="L322" s="183">
        <f>ROUND(-DVC!G30,2)</f>
        <v>-6.47</v>
      </c>
      <c r="M322" s="233" t="s">
        <v>375</v>
      </c>
      <c r="N322" s="174">
        <f>ROUND(J322*L322,2)</f>
        <v>0</v>
      </c>
      <c r="O322" s="227"/>
      <c r="P322" s="227"/>
      <c r="Q322" s="227"/>
      <c r="T322" s="264"/>
      <c r="U322" s="178"/>
      <c r="V322" s="179"/>
      <c r="W322" s="180"/>
      <c r="X322" s="264"/>
      <c r="Y322" s="178"/>
      <c r="Z322" s="181"/>
      <c r="AA322" s="264"/>
      <c r="AB322" s="182"/>
      <c r="AC322" s="182"/>
      <c r="AD322" s="182"/>
      <c r="AE322" s="182"/>
      <c r="AF322" s="182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  <c r="AX322" s="168"/>
      <c r="AY322" s="168"/>
      <c r="AZ322" s="168"/>
      <c r="BA322" s="168"/>
      <c r="BB322" s="168"/>
      <c r="BC322" s="168"/>
      <c r="BD322" s="168"/>
      <c r="BE322" s="168"/>
      <c r="BF322" s="168"/>
      <c r="BG322" s="168"/>
      <c r="BH322" s="168"/>
      <c r="BI322" s="168"/>
      <c r="BJ322" s="168"/>
      <c r="BK322" s="168"/>
      <c r="BL322" s="168"/>
      <c r="BM322" s="168"/>
      <c r="BN322" s="168"/>
      <c r="BO322" s="168"/>
      <c r="BP322" s="168"/>
      <c r="BQ322" s="168"/>
      <c r="BR322" s="168"/>
      <c r="BS322" s="168"/>
      <c r="BT322" s="168"/>
      <c r="BU322" s="168"/>
      <c r="BV322" s="168"/>
      <c r="BW322" s="168"/>
      <c r="BX322" s="168"/>
      <c r="BY322" s="168"/>
      <c r="BZ322" s="168"/>
      <c r="CA322" s="168"/>
      <c r="CB322" s="168"/>
      <c r="CC322" s="168"/>
      <c r="CD322" s="168"/>
      <c r="CE322" s="168"/>
      <c r="CF322" s="168"/>
      <c r="CG322" s="168"/>
      <c r="CH322" s="168"/>
      <c r="CI322" s="168"/>
      <c r="CJ322" s="168"/>
      <c r="CK322" s="168"/>
      <c r="CL322" s="168"/>
      <c r="CM322" s="168"/>
      <c r="CN322" s="168"/>
      <c r="CO322" s="168"/>
    </row>
    <row r="323" spans="1:93" x14ac:dyDescent="0.2">
      <c r="A323" s="118">
        <f t="shared" si="29"/>
        <v>34</v>
      </c>
      <c r="B323" s="243"/>
      <c r="C323" s="223" t="s">
        <v>603</v>
      </c>
      <c r="D323" s="204">
        <f>D304+D305+D306+D312+D316+D321</f>
        <v>246614.82063403862</v>
      </c>
      <c r="E323" s="233" t="s">
        <v>615</v>
      </c>
      <c r="F323" s="205" t="s">
        <v>374</v>
      </c>
      <c r="G323" s="233"/>
      <c r="H323" s="206">
        <f>SUM(H304:H322)</f>
        <v>1226173.49</v>
      </c>
      <c r="I323" s="229"/>
      <c r="J323" s="204">
        <f>J304+J305+J306+J312+J316+J321</f>
        <v>246614.82063403862</v>
      </c>
      <c r="K323" s="233" t="s">
        <v>615</v>
      </c>
      <c r="L323" s="205" t="s">
        <v>374</v>
      </c>
      <c r="M323" s="233"/>
      <c r="N323" s="206">
        <f>SUM(N304:N322)</f>
        <v>1277066.3200000003</v>
      </c>
      <c r="O323" s="227"/>
      <c r="Q323" s="1022"/>
      <c r="T323" s="264"/>
      <c r="U323" s="178"/>
      <c r="V323" s="179"/>
      <c r="W323" s="180"/>
      <c r="X323" s="264"/>
      <c r="Y323" s="178" t="s">
        <v>613</v>
      </c>
      <c r="Z323" s="181" t="s">
        <v>146</v>
      </c>
      <c r="AA323" s="264"/>
      <c r="AB323" s="204">
        <f>AB304+AB305+AB306+AB312+AB316+AB321</f>
        <v>242580.90969120985</v>
      </c>
      <c r="AC323" s="204">
        <f>AC304+AC305+AC306+AC312+AC316+AC321</f>
        <v>242544.68848182919</v>
      </c>
      <c r="AD323" s="204">
        <f>AD304+AD305+AD306+AD312+AD316+AD321</f>
        <v>244145.39835938043</v>
      </c>
      <c r="AE323" s="204">
        <f>AE304+AE305+AE306+AE312+AE316+AE321</f>
        <v>246614.82063403862</v>
      </c>
      <c r="AF323" s="204">
        <f>AF304+AF305+AF306+AF312+AF316+AF321</f>
        <v>247953.88259415174</v>
      </c>
      <c r="AH323" s="204">
        <f t="shared" ref="AH323:CO323" si="32">AH304+AH305+AH306+AH312+AH316+AH321</f>
        <v>6717.9690676295431</v>
      </c>
      <c r="AI323" s="204">
        <f t="shared" si="32"/>
        <v>32335.223125040888</v>
      </c>
      <c r="AJ323" s="204">
        <f t="shared" si="32"/>
        <v>-3755.1880460331681</v>
      </c>
      <c r="AK323" s="204">
        <f t="shared" si="32"/>
        <v>26298.158393292768</v>
      </c>
      <c r="AL323" s="204">
        <f t="shared" si="32"/>
        <v>43421.318157233734</v>
      </c>
      <c r="AM323" s="204">
        <f t="shared" si="32"/>
        <v>19132.290741341374</v>
      </c>
      <c r="AN323" s="204">
        <f t="shared" si="32"/>
        <v>19502.95433009059</v>
      </c>
      <c r="AO323" s="204">
        <f t="shared" si="32"/>
        <v>15667.29065963129</v>
      </c>
      <c r="AP323" s="204">
        <f t="shared" si="32"/>
        <v>23640.590718073199</v>
      </c>
      <c r="AQ323" s="204">
        <f t="shared" si="32"/>
        <v>19905.324118139659</v>
      </c>
      <c r="AR323" s="204">
        <f t="shared" si="32"/>
        <v>21072.296457392396</v>
      </c>
      <c r="AS323" s="204">
        <f t="shared" si="32"/>
        <v>18642.681969377554</v>
      </c>
      <c r="AT323" s="204">
        <f t="shared" si="32"/>
        <v>6715.4267526429439</v>
      </c>
      <c r="AU323" s="204">
        <f t="shared" si="32"/>
        <v>31524.984888202547</v>
      </c>
      <c r="AV323" s="204">
        <f t="shared" si="32"/>
        <v>-5260.6860398805729</v>
      </c>
      <c r="AW323" s="204">
        <f t="shared" si="32"/>
        <v>29150.924888610927</v>
      </c>
      <c r="AX323" s="204">
        <f t="shared" si="32"/>
        <v>43020.899571181813</v>
      </c>
      <c r="AY323" s="204">
        <f t="shared" si="32"/>
        <v>18657.537824622486</v>
      </c>
      <c r="AZ323" s="204">
        <f t="shared" si="32"/>
        <v>19636.685540790862</v>
      </c>
      <c r="BA323" s="204">
        <f t="shared" si="32"/>
        <v>15570.447634358543</v>
      </c>
      <c r="BB323" s="204">
        <f t="shared" si="32"/>
        <v>23707.855029792314</v>
      </c>
      <c r="BC323" s="204">
        <f t="shared" si="32"/>
        <v>19964.449034686408</v>
      </c>
      <c r="BD323" s="204">
        <f t="shared" si="32"/>
        <v>21180.238415788703</v>
      </c>
      <c r="BE323" s="204">
        <f t="shared" si="32"/>
        <v>18675.924941032208</v>
      </c>
      <c r="BF323" s="204">
        <f t="shared" si="32"/>
        <v>6760.164883937814</v>
      </c>
      <c r="BG323" s="204">
        <f t="shared" si="32"/>
        <v>31612.942209481836</v>
      </c>
      <c r="BH323" s="204">
        <f t="shared" si="32"/>
        <v>-5607.9560890131997</v>
      </c>
      <c r="BI323" s="204">
        <f t="shared" si="32"/>
        <v>30003.303354384385</v>
      </c>
      <c r="BJ323" s="204">
        <f t="shared" si="32"/>
        <v>43291.717988559161</v>
      </c>
      <c r="BK323" s="204">
        <f t="shared" si="32"/>
        <v>18890.221281004982</v>
      </c>
      <c r="BL323" s="204">
        <f t="shared" si="32"/>
        <v>19743.670066166596</v>
      </c>
      <c r="BM323" s="204">
        <f t="shared" si="32"/>
        <v>15673.535110059431</v>
      </c>
      <c r="BN323" s="204">
        <f t="shared" si="32"/>
        <v>23769.601202713504</v>
      </c>
      <c r="BO323" s="204">
        <f t="shared" si="32"/>
        <v>19891.859487078531</v>
      </c>
      <c r="BP323" s="204">
        <f t="shared" si="32"/>
        <v>21198.034927871573</v>
      </c>
      <c r="BQ323" s="204">
        <f t="shared" si="32"/>
        <v>18918.303937135792</v>
      </c>
      <c r="BR323" s="204">
        <f t="shared" si="32"/>
        <v>6828.3334110115429</v>
      </c>
      <c r="BS323" s="204">
        <f t="shared" si="32"/>
        <v>31783.335205738822</v>
      </c>
      <c r="BT323" s="204">
        <f t="shared" si="32"/>
        <v>-5829.3524848802845</v>
      </c>
      <c r="BU323" s="204">
        <f t="shared" si="32"/>
        <v>30599.92542768662</v>
      </c>
      <c r="BV323" s="204">
        <f t="shared" si="32"/>
        <v>43307.242704962417</v>
      </c>
      <c r="BW323" s="204">
        <f t="shared" si="32"/>
        <v>19264.246747758069</v>
      </c>
      <c r="BX323" s="204">
        <f t="shared" si="32"/>
        <v>20111.856428202816</v>
      </c>
      <c r="BY323" s="204">
        <f t="shared" si="32"/>
        <v>15893.068229013075</v>
      </c>
      <c r="BZ323" s="204">
        <f t="shared" si="32"/>
        <v>23981.932465670176</v>
      </c>
      <c r="CA323" s="204">
        <f t="shared" si="32"/>
        <v>20193.201053364362</v>
      </c>
      <c r="CB323" s="204">
        <f t="shared" si="32"/>
        <v>21482.289627112626</v>
      </c>
      <c r="CC323" s="204">
        <f t="shared" si="32"/>
        <v>18998.741818398419</v>
      </c>
      <c r="CD323" s="204">
        <f t="shared" si="32"/>
        <v>6865.7130299681376</v>
      </c>
      <c r="CE323" s="204">
        <f t="shared" si="32"/>
        <v>33294.032597021636</v>
      </c>
      <c r="CF323" s="204">
        <f t="shared" si="32"/>
        <v>-4043.2963041144744</v>
      </c>
      <c r="CG323" s="204">
        <f t="shared" si="32"/>
        <v>27358.29444921908</v>
      </c>
      <c r="CH323" s="204">
        <f t="shared" si="32"/>
        <v>43877.382121521201</v>
      </c>
      <c r="CI323" s="204">
        <f t="shared" si="32"/>
        <v>19161.581361427521</v>
      </c>
      <c r="CJ323" s="204">
        <f t="shared" si="32"/>
        <v>20135.084013095868</v>
      </c>
      <c r="CK323" s="204">
        <f t="shared" si="32"/>
        <v>15930.649716831755</v>
      </c>
      <c r="CL323" s="204">
        <f t="shared" si="32"/>
        <v>24359.821608639166</v>
      </c>
      <c r="CM323" s="204">
        <f t="shared" si="32"/>
        <v>20265.087137021423</v>
      </c>
      <c r="CN323" s="204">
        <f t="shared" si="32"/>
        <v>21704.869396911869</v>
      </c>
      <c r="CO323" s="204">
        <f t="shared" si="32"/>
        <v>19044.663466608563</v>
      </c>
    </row>
    <row r="324" spans="1:93" x14ac:dyDescent="0.2">
      <c r="A324" s="118">
        <f t="shared" si="29"/>
        <v>35</v>
      </c>
      <c r="F324" s="197"/>
      <c r="H324" s="203"/>
      <c r="I324" s="229"/>
      <c r="L324" s="197"/>
      <c r="U324" s="184"/>
      <c r="V324" s="179"/>
      <c r="W324" s="180"/>
      <c r="Y324" s="184"/>
      <c r="Z324" s="181"/>
      <c r="AB324" s="193">
        <f>SUM(AH324:AS324)</f>
        <v>0</v>
      </c>
      <c r="AC324" s="193">
        <f>SUM(AT324:BE324)</f>
        <v>0</v>
      </c>
      <c r="AD324" s="193">
        <f>SUM(BF324:BQ324)</f>
        <v>0</v>
      </c>
      <c r="AE324" s="193">
        <f>SUM(BR324:CC324)</f>
        <v>0</v>
      </c>
      <c r="AF324" s="193">
        <f>SUM(CD324:CO324)</f>
        <v>0</v>
      </c>
      <c r="AH324" s="294">
        <v>0</v>
      </c>
      <c r="AI324" s="294">
        <v>0</v>
      </c>
      <c r="AJ324" s="294">
        <v>0</v>
      </c>
      <c r="AK324" s="294">
        <v>0</v>
      </c>
      <c r="AL324" s="294">
        <v>0</v>
      </c>
      <c r="AM324" s="294">
        <v>0</v>
      </c>
      <c r="AN324" s="294">
        <v>0</v>
      </c>
      <c r="AO324" s="294">
        <v>0</v>
      </c>
      <c r="AP324" s="294">
        <v>0</v>
      </c>
      <c r="AQ324" s="294">
        <v>0</v>
      </c>
      <c r="AR324" s="294">
        <v>0</v>
      </c>
      <c r="AS324" s="294">
        <v>0</v>
      </c>
      <c r="AT324" s="294">
        <v>0</v>
      </c>
      <c r="AU324" s="294">
        <v>0</v>
      </c>
      <c r="AV324" s="294">
        <v>0</v>
      </c>
      <c r="AW324" s="294">
        <v>0</v>
      </c>
      <c r="AX324" s="294">
        <v>0</v>
      </c>
      <c r="AY324" s="294">
        <v>0</v>
      </c>
      <c r="AZ324" s="294">
        <v>0</v>
      </c>
      <c r="BA324" s="294">
        <v>0</v>
      </c>
      <c r="BB324" s="294">
        <v>0</v>
      </c>
      <c r="BC324" s="294">
        <v>0</v>
      </c>
      <c r="BD324" s="294">
        <v>0</v>
      </c>
      <c r="BE324" s="294">
        <v>0</v>
      </c>
      <c r="BF324" s="294">
        <v>0</v>
      </c>
      <c r="BG324" s="294">
        <v>0</v>
      </c>
      <c r="BH324" s="294">
        <v>0</v>
      </c>
      <c r="BI324" s="294">
        <v>0</v>
      </c>
      <c r="BJ324" s="294">
        <v>0</v>
      </c>
      <c r="BK324" s="294">
        <v>0</v>
      </c>
      <c r="BL324" s="294">
        <v>0</v>
      </c>
      <c r="BM324" s="294">
        <v>0</v>
      </c>
      <c r="BN324" s="294">
        <v>0</v>
      </c>
      <c r="BO324" s="294">
        <v>0</v>
      </c>
      <c r="BP324" s="294">
        <v>0</v>
      </c>
      <c r="BQ324" s="294">
        <v>0</v>
      </c>
      <c r="BR324" s="294">
        <v>0</v>
      </c>
      <c r="BS324" s="294">
        <v>0</v>
      </c>
      <c r="BT324" s="294">
        <v>0</v>
      </c>
      <c r="BU324" s="294">
        <v>0</v>
      </c>
      <c r="BV324" s="294">
        <v>0</v>
      </c>
      <c r="BW324" s="294">
        <v>0</v>
      </c>
      <c r="BX324" s="294">
        <v>0</v>
      </c>
      <c r="BY324" s="294">
        <v>0</v>
      </c>
      <c r="BZ324" s="294">
        <v>0</v>
      </c>
      <c r="CA324" s="294">
        <v>0</v>
      </c>
      <c r="CB324" s="294">
        <v>0</v>
      </c>
      <c r="CC324" s="294">
        <v>0</v>
      </c>
      <c r="CD324" s="294">
        <v>0</v>
      </c>
      <c r="CE324" s="294">
        <v>0</v>
      </c>
      <c r="CF324" s="294">
        <v>0</v>
      </c>
      <c r="CG324" s="294">
        <v>0</v>
      </c>
      <c r="CH324" s="294">
        <v>0</v>
      </c>
      <c r="CI324" s="294">
        <v>0</v>
      </c>
      <c r="CJ324" s="294">
        <v>0</v>
      </c>
      <c r="CK324" s="294">
        <v>0</v>
      </c>
      <c r="CL324" s="294">
        <v>0</v>
      </c>
      <c r="CM324" s="294">
        <v>0</v>
      </c>
      <c r="CN324" s="294">
        <v>0</v>
      </c>
      <c r="CO324" s="294">
        <v>0</v>
      </c>
    </row>
    <row r="325" spans="1:93" x14ac:dyDescent="0.2">
      <c r="A325" s="118">
        <f t="shared" si="29"/>
        <v>36</v>
      </c>
      <c r="B325" s="243"/>
      <c r="C325" s="223"/>
      <c r="D325" s="168"/>
      <c r="E325" s="225"/>
      <c r="F325" s="183"/>
      <c r="G325" s="233"/>
      <c r="H325" s="940"/>
      <c r="I325" s="297"/>
      <c r="J325" s="168"/>
      <c r="K325" s="233"/>
      <c r="L325" s="205"/>
      <c r="M325" s="233"/>
      <c r="N325" s="1232"/>
      <c r="O325" s="941"/>
      <c r="P325" s="941"/>
      <c r="Q325" s="227"/>
      <c r="T325" s="213"/>
      <c r="U325" s="184"/>
      <c r="V325" s="179"/>
      <c r="W325" s="180"/>
      <c r="X325" s="213"/>
      <c r="Y325" s="184"/>
      <c r="Z325" s="181"/>
      <c r="AA325" s="213"/>
      <c r="AB325" s="193">
        <f>SUM(AH325:AS325)</f>
        <v>0</v>
      </c>
      <c r="AC325" s="193">
        <f>SUM(AT325:BE325)</f>
        <v>0</v>
      </c>
      <c r="AD325" s="193">
        <f>SUM(BF325:BQ325)</f>
        <v>0</v>
      </c>
      <c r="AE325" s="193">
        <f>SUM(BR325:CC325)</f>
        <v>0</v>
      </c>
      <c r="AF325" s="193">
        <f>SUM(CD325:CO325)</f>
        <v>0</v>
      </c>
      <c r="AH325" s="193">
        <v>0</v>
      </c>
      <c r="AI325" s="193">
        <v>0</v>
      </c>
      <c r="AJ325" s="193">
        <v>0</v>
      </c>
      <c r="AK325" s="193">
        <v>0</v>
      </c>
      <c r="AL325" s="193">
        <v>0</v>
      </c>
      <c r="AM325" s="193">
        <v>0</v>
      </c>
      <c r="AN325" s="193">
        <v>0</v>
      </c>
      <c r="AO325" s="193">
        <v>0</v>
      </c>
      <c r="AP325" s="193">
        <v>0</v>
      </c>
      <c r="AQ325" s="193">
        <v>0</v>
      </c>
      <c r="AR325" s="193">
        <v>0</v>
      </c>
      <c r="AS325" s="193">
        <v>0</v>
      </c>
      <c r="AT325" s="193">
        <v>0</v>
      </c>
      <c r="AU325" s="193">
        <v>0</v>
      </c>
      <c r="AV325" s="193">
        <v>0</v>
      </c>
      <c r="AW325" s="193">
        <v>0</v>
      </c>
      <c r="AX325" s="193">
        <v>0</v>
      </c>
      <c r="AY325" s="193">
        <v>0</v>
      </c>
      <c r="AZ325" s="193">
        <v>0</v>
      </c>
      <c r="BA325" s="193">
        <v>0</v>
      </c>
      <c r="BB325" s="193">
        <v>0</v>
      </c>
      <c r="BC325" s="193">
        <v>0</v>
      </c>
      <c r="BD325" s="193">
        <v>0</v>
      </c>
      <c r="BE325" s="193">
        <v>0</v>
      </c>
      <c r="BF325" s="193">
        <v>0</v>
      </c>
      <c r="BG325" s="193">
        <v>0</v>
      </c>
      <c r="BH325" s="193">
        <v>0</v>
      </c>
      <c r="BI325" s="193">
        <v>0</v>
      </c>
      <c r="BJ325" s="193">
        <v>0</v>
      </c>
      <c r="BK325" s="193">
        <v>0</v>
      </c>
      <c r="BL325" s="193">
        <v>0</v>
      </c>
      <c r="BM325" s="193">
        <v>0</v>
      </c>
      <c r="BN325" s="193">
        <v>0</v>
      </c>
      <c r="BO325" s="193">
        <v>0</v>
      </c>
      <c r="BP325" s="193">
        <v>0</v>
      </c>
      <c r="BQ325" s="193">
        <v>0</v>
      </c>
      <c r="BR325" s="193">
        <v>0</v>
      </c>
      <c r="BS325" s="193">
        <v>0</v>
      </c>
      <c r="BT325" s="193">
        <v>0</v>
      </c>
      <c r="BU325" s="193">
        <v>0</v>
      </c>
      <c r="BV325" s="193">
        <v>0</v>
      </c>
      <c r="BW325" s="193">
        <v>0</v>
      </c>
      <c r="BX325" s="193">
        <v>0</v>
      </c>
      <c r="BY325" s="193">
        <v>0</v>
      </c>
      <c r="BZ325" s="193">
        <v>0</v>
      </c>
      <c r="CA325" s="193">
        <v>0</v>
      </c>
      <c r="CB325" s="193">
        <v>0</v>
      </c>
      <c r="CC325" s="193">
        <v>0</v>
      </c>
      <c r="CD325" s="193">
        <v>0</v>
      </c>
      <c r="CE325" s="193">
        <v>0</v>
      </c>
      <c r="CF325" s="193">
        <v>0</v>
      </c>
      <c r="CG325" s="193">
        <v>0</v>
      </c>
      <c r="CH325" s="193">
        <v>0</v>
      </c>
      <c r="CI325" s="193">
        <v>0</v>
      </c>
      <c r="CJ325" s="193">
        <v>0</v>
      </c>
      <c r="CK325" s="193">
        <v>0</v>
      </c>
      <c r="CL325" s="193">
        <v>0</v>
      </c>
      <c r="CM325" s="193">
        <v>0</v>
      </c>
      <c r="CN325" s="193">
        <v>0</v>
      </c>
      <c r="CO325" s="193">
        <v>0</v>
      </c>
    </row>
    <row r="326" spans="1:93" x14ac:dyDescent="0.2">
      <c r="A326" s="118">
        <f t="shared" si="29"/>
        <v>37</v>
      </c>
      <c r="F326" s="197"/>
      <c r="H326" s="203"/>
      <c r="I326" s="229"/>
      <c r="L326" s="197"/>
      <c r="N326" s="182"/>
      <c r="U326" s="184"/>
      <c r="V326" s="179"/>
      <c r="W326" s="180"/>
      <c r="Y326" s="184"/>
      <c r="Z326" s="181"/>
    </row>
    <row r="327" spans="1:93" x14ac:dyDescent="0.2">
      <c r="A327" s="118">
        <f t="shared" si="29"/>
        <v>38</v>
      </c>
      <c r="F327" s="197"/>
      <c r="H327" s="203"/>
      <c r="I327" s="229"/>
      <c r="L327" s="197"/>
      <c r="N327" s="182"/>
      <c r="U327" s="184"/>
      <c r="V327" s="179"/>
      <c r="W327" s="180"/>
      <c r="Y327" s="184"/>
      <c r="Z327" s="181"/>
    </row>
    <row r="328" spans="1:93" x14ac:dyDescent="0.2">
      <c r="A328" s="118">
        <f t="shared" si="29"/>
        <v>39</v>
      </c>
      <c r="B328" s="243"/>
      <c r="C328" s="223"/>
      <c r="D328" s="168"/>
      <c r="E328" s="225"/>
      <c r="F328" s="183"/>
      <c r="G328" s="233"/>
      <c r="H328" s="174"/>
      <c r="I328" s="229"/>
      <c r="J328" s="168"/>
      <c r="K328" s="225"/>
      <c r="L328" s="183"/>
      <c r="M328" s="233"/>
      <c r="N328" s="174"/>
      <c r="O328" s="227"/>
      <c r="P328" s="227"/>
      <c r="Q328" s="227"/>
      <c r="U328" s="184"/>
      <c r="V328" s="179"/>
      <c r="W328" s="180"/>
      <c r="Y328" s="184"/>
      <c r="Z328" s="181"/>
    </row>
    <row r="329" spans="1:93" x14ac:dyDescent="0.2">
      <c r="A329" s="118">
        <f t="shared" si="29"/>
        <v>40</v>
      </c>
      <c r="B329" s="243"/>
      <c r="C329" s="223"/>
      <c r="D329" s="168"/>
      <c r="E329" s="233"/>
      <c r="F329" s="205"/>
      <c r="G329" s="233"/>
      <c r="H329" s="174"/>
      <c r="I329" s="229"/>
      <c r="J329" s="168"/>
      <c r="K329" s="168"/>
      <c r="L329" s="205"/>
      <c r="M329" s="233"/>
      <c r="N329" s="174"/>
      <c r="O329" s="227"/>
      <c r="P329" s="227"/>
      <c r="Q329" s="227"/>
      <c r="U329" s="184"/>
      <c r="V329" s="179"/>
      <c r="W329" s="180"/>
      <c r="Y329" s="184"/>
      <c r="Z329" s="181"/>
    </row>
    <row r="330" spans="1:93" x14ac:dyDescent="0.2">
      <c r="A330" s="118">
        <f t="shared" si="29"/>
        <v>41</v>
      </c>
      <c r="B330" s="243"/>
      <c r="C330" s="223"/>
      <c r="D330" s="168"/>
      <c r="E330" s="233"/>
      <c r="F330" s="205"/>
      <c r="G330" s="233"/>
      <c r="H330" s="174"/>
      <c r="I330" s="229"/>
      <c r="J330" s="168"/>
      <c r="K330" s="168"/>
      <c r="L330" s="205"/>
      <c r="M330" s="233"/>
      <c r="N330" s="174"/>
      <c r="O330" s="227"/>
      <c r="P330" s="227"/>
      <c r="Q330" s="227"/>
      <c r="U330" s="298"/>
      <c r="V330" s="253"/>
      <c r="W330" s="254"/>
      <c r="Y330" s="298"/>
      <c r="Z330" s="255"/>
    </row>
    <row r="331" spans="1:93" x14ac:dyDescent="0.2">
      <c r="A331" s="215"/>
      <c r="B331" s="215" t="s">
        <v>98</v>
      </c>
      <c r="C331" s="215"/>
      <c r="D331" s="215"/>
      <c r="E331" s="215"/>
      <c r="F331" s="299"/>
      <c r="G331" s="215"/>
      <c r="H331" s="300"/>
      <c r="I331" s="215"/>
      <c r="J331" s="215"/>
      <c r="K331" s="215"/>
      <c r="L331" s="299"/>
      <c r="M331" s="215"/>
      <c r="N331" s="300" t="s">
        <v>99</v>
      </c>
      <c r="O331" s="215"/>
      <c r="P331" s="215"/>
      <c r="Q331" s="215"/>
      <c r="Y331" s="101"/>
    </row>
    <row r="332" spans="1:93" x14ac:dyDescent="0.2">
      <c r="A332" s="216"/>
      <c r="B332" s="216"/>
      <c r="C332" s="216"/>
      <c r="D332" s="216"/>
      <c r="E332" s="216"/>
      <c r="F332" s="216"/>
      <c r="G332" s="216"/>
      <c r="H332" s="216"/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7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  <c r="AK332" s="216"/>
      <c r="AL332" s="216"/>
      <c r="AM332" s="216"/>
      <c r="AN332" s="216"/>
      <c r="AO332" s="216"/>
      <c r="AP332" s="216"/>
      <c r="AQ332" s="216"/>
      <c r="AR332" s="216"/>
      <c r="AS332" s="216"/>
      <c r="AT332" s="216"/>
      <c r="AU332" s="216"/>
      <c r="AV332" s="216"/>
      <c r="AW332" s="216"/>
      <c r="AX332" s="216"/>
      <c r="AY332" s="216"/>
      <c r="AZ332" s="216"/>
      <c r="BA332" s="216"/>
      <c r="BB332" s="216"/>
      <c r="BC332" s="216"/>
      <c r="BD332" s="216"/>
      <c r="BE332" s="216"/>
      <c r="BF332" s="216"/>
      <c r="BG332" s="216"/>
      <c r="BH332" s="216"/>
      <c r="BI332" s="216"/>
      <c r="BJ332" s="216"/>
      <c r="BK332" s="216"/>
      <c r="BL332" s="216"/>
      <c r="BM332" s="216"/>
      <c r="BN332" s="216"/>
      <c r="BO332" s="216"/>
      <c r="BP332" s="216"/>
      <c r="BQ332" s="216"/>
      <c r="BR332" s="216"/>
      <c r="BS332" s="216"/>
      <c r="BT332" s="216"/>
      <c r="BU332" s="216"/>
      <c r="BV332" s="216"/>
      <c r="BW332" s="216"/>
      <c r="BX332" s="216"/>
      <c r="BY332" s="216"/>
      <c r="BZ332" s="216"/>
      <c r="CA332" s="216"/>
      <c r="CB332" s="216"/>
      <c r="CC332" s="216"/>
      <c r="CD332" s="216"/>
      <c r="CE332" s="216"/>
      <c r="CF332" s="216"/>
      <c r="CG332" s="216"/>
      <c r="CH332" s="216"/>
      <c r="CI332" s="216"/>
      <c r="CJ332" s="216"/>
      <c r="CK332" s="216"/>
      <c r="CL332" s="216"/>
      <c r="CM332" s="216"/>
      <c r="CN332" s="216"/>
      <c r="CO332" s="216"/>
    </row>
    <row r="333" spans="1:93" x14ac:dyDescent="0.2">
      <c r="A333" s="100" t="s">
        <v>505</v>
      </c>
      <c r="C333" s="102"/>
      <c r="D333" s="103"/>
      <c r="F333" s="268"/>
      <c r="G333" s="104"/>
      <c r="H333" s="269" t="s">
        <v>506</v>
      </c>
      <c r="I333" s="104"/>
      <c r="J333" s="104"/>
      <c r="K333" s="104"/>
      <c r="L333" s="268"/>
      <c r="N333" s="270"/>
      <c r="Q333" s="106" t="s">
        <v>616</v>
      </c>
      <c r="R333" s="105"/>
      <c r="S333" s="105"/>
      <c r="U333" s="114"/>
      <c r="V333" s="114"/>
      <c r="W333" s="114"/>
      <c r="Y333" s="114"/>
      <c r="Z333" s="218"/>
      <c r="AD333" s="114"/>
    </row>
    <row r="334" spans="1:93" ht="10.8" thickBot="1" x14ac:dyDescent="0.25">
      <c r="A334" s="108"/>
      <c r="B334" s="109"/>
      <c r="C334" s="109"/>
      <c r="D334" s="109"/>
      <c r="E334" s="110" t="s">
        <v>416</v>
      </c>
      <c r="F334" s="271" t="s">
        <v>416</v>
      </c>
      <c r="G334" s="109" t="s">
        <v>416</v>
      </c>
      <c r="H334" s="272" t="s">
        <v>416</v>
      </c>
      <c r="I334" s="109" t="s">
        <v>416</v>
      </c>
      <c r="J334" s="109"/>
      <c r="K334" s="109"/>
      <c r="L334" s="271" t="s">
        <v>416</v>
      </c>
      <c r="M334" s="111"/>
      <c r="N334" s="273"/>
      <c r="O334" s="109"/>
      <c r="P334" s="112"/>
      <c r="Q334" s="109"/>
      <c r="U334" s="114"/>
      <c r="V334" s="114"/>
      <c r="W334" s="114"/>
      <c r="Y334" s="114"/>
      <c r="Z334" s="218"/>
      <c r="AD334" s="114"/>
    </row>
    <row r="335" spans="1:93" x14ac:dyDescent="0.2">
      <c r="A335" s="113"/>
      <c r="F335" s="197"/>
      <c r="H335" s="203"/>
      <c r="L335" s="197"/>
      <c r="M335" s="105"/>
      <c r="N335" s="270"/>
      <c r="P335" s="114"/>
      <c r="U335" s="114"/>
      <c r="V335" s="114"/>
      <c r="W335" s="114"/>
      <c r="Y335" s="114"/>
      <c r="Z335" s="218"/>
      <c r="AD335" s="114"/>
    </row>
    <row r="336" spans="1:93" x14ac:dyDescent="0.2">
      <c r="A336" s="100" t="s">
        <v>3</v>
      </c>
      <c r="D336" s="106" t="s">
        <v>4</v>
      </c>
      <c r="E336" s="101" t="s">
        <v>508</v>
      </c>
      <c r="F336" s="197"/>
      <c r="H336" s="203"/>
      <c r="L336" s="197"/>
      <c r="N336" s="203"/>
      <c r="O336" s="100" t="s">
        <v>6</v>
      </c>
      <c r="U336" s="114"/>
      <c r="V336" s="114"/>
      <c r="W336" s="114"/>
      <c r="Y336" s="114"/>
      <c r="Z336" s="218"/>
      <c r="AD336" s="114"/>
    </row>
    <row r="337" spans="1:93" x14ac:dyDescent="0.2">
      <c r="E337" s="101" t="s">
        <v>509</v>
      </c>
      <c r="F337" s="197"/>
      <c r="H337" s="203"/>
      <c r="L337" s="197"/>
      <c r="N337" s="203"/>
      <c r="U337" s="114"/>
      <c r="V337" s="114"/>
      <c r="W337" s="114"/>
      <c r="Y337" s="114"/>
      <c r="Z337" s="218"/>
      <c r="AD337" s="114"/>
    </row>
    <row r="338" spans="1:93" x14ac:dyDescent="0.2">
      <c r="A338" s="100" t="s">
        <v>9</v>
      </c>
      <c r="E338" s="101" t="s">
        <v>510</v>
      </c>
      <c r="F338" s="197"/>
      <c r="H338" s="203"/>
      <c r="L338" s="197"/>
      <c r="N338" s="203"/>
      <c r="O338" s="107" t="str">
        <f>O282</f>
        <v>__X__  Projected Test Year Ended 12/31/26</v>
      </c>
      <c r="U338" s="114"/>
      <c r="V338" s="114"/>
      <c r="W338" s="114"/>
      <c r="Y338" s="114"/>
      <c r="Z338" s="218"/>
      <c r="AD338" s="114"/>
    </row>
    <row r="339" spans="1:93" x14ac:dyDescent="0.2">
      <c r="E339" s="101" t="s">
        <v>512</v>
      </c>
      <c r="F339" s="197"/>
      <c r="H339" s="203"/>
      <c r="L339" s="197"/>
      <c r="N339" s="203"/>
      <c r="U339" s="114"/>
      <c r="V339" s="114"/>
      <c r="W339" s="114"/>
      <c r="Y339" s="114"/>
      <c r="Z339" s="218"/>
      <c r="AD339" s="114"/>
    </row>
    <row r="340" spans="1:93" x14ac:dyDescent="0.2">
      <c r="A340" s="100" t="s">
        <v>491</v>
      </c>
      <c r="C340" s="119" t="s">
        <v>605</v>
      </c>
      <c r="F340" s="197"/>
      <c r="H340" s="203"/>
      <c r="L340" s="197"/>
      <c r="N340" s="203"/>
      <c r="O340" s="100" t="s">
        <v>493</v>
      </c>
      <c r="U340" s="114"/>
      <c r="V340" s="114"/>
      <c r="W340" s="114"/>
      <c r="Y340" s="114"/>
      <c r="Z340" s="218"/>
      <c r="AD340" s="114"/>
    </row>
    <row r="341" spans="1:93" ht="10.8" thickBot="1" x14ac:dyDescent="0.25">
      <c r="A341" s="123"/>
      <c r="B341" s="109"/>
      <c r="C341" s="109"/>
      <c r="D341" s="109"/>
      <c r="E341" s="109"/>
      <c r="F341" s="274"/>
      <c r="G341" s="109"/>
      <c r="H341" s="272"/>
      <c r="I341" s="109"/>
      <c r="J341" s="109"/>
      <c r="K341" s="109"/>
      <c r="L341" s="274"/>
      <c r="M341" s="109"/>
      <c r="N341" s="275"/>
      <c r="O341" s="109"/>
      <c r="P341" s="109"/>
      <c r="Q341" s="109"/>
      <c r="U341" s="114"/>
      <c r="V341" s="114"/>
      <c r="W341" s="114"/>
      <c r="Y341" s="114"/>
      <c r="Z341" s="218"/>
      <c r="AD341" s="114"/>
    </row>
    <row r="342" spans="1:93" ht="15.6" x14ac:dyDescent="0.2">
      <c r="B342" s="124"/>
      <c r="C342" s="125"/>
      <c r="D342" s="125"/>
      <c r="E342" s="125"/>
      <c r="F342" s="276"/>
      <c r="G342" s="125"/>
      <c r="H342" s="277"/>
      <c r="I342" s="126" t="s">
        <v>612</v>
      </c>
      <c r="J342" s="125"/>
      <c r="K342" s="125"/>
      <c r="L342" s="276"/>
      <c r="M342" s="125"/>
      <c r="N342" s="277"/>
      <c r="U342" s="127" t="s">
        <v>530</v>
      </c>
      <c r="V342" s="128"/>
      <c r="W342" s="129"/>
      <c r="Y342" s="130" t="s">
        <v>531</v>
      </c>
      <c r="Z342" s="131"/>
    </row>
    <row r="343" spans="1:93" x14ac:dyDescent="0.2">
      <c r="A343" s="101" t="s">
        <v>30</v>
      </c>
      <c r="B343" s="101" t="s">
        <v>532</v>
      </c>
      <c r="C343" s="132"/>
      <c r="D343" s="133" t="s">
        <v>533</v>
      </c>
      <c r="E343" s="134"/>
      <c r="F343" s="278"/>
      <c r="G343" s="133"/>
      <c r="H343" s="279"/>
      <c r="I343" s="135"/>
      <c r="J343" s="136" t="s">
        <v>534</v>
      </c>
      <c r="K343" s="133"/>
      <c r="L343" s="278"/>
      <c r="M343" s="134"/>
      <c r="N343" s="280"/>
      <c r="O343" s="137"/>
      <c r="Q343" s="118" t="s">
        <v>332</v>
      </c>
      <c r="U343" s="138"/>
      <c r="V343" s="139"/>
      <c r="W343" s="140"/>
      <c r="Y343" s="138"/>
      <c r="Z343" s="141"/>
    </row>
    <row r="344" spans="1:93" x14ac:dyDescent="0.2">
      <c r="A344" s="101" t="s">
        <v>39</v>
      </c>
      <c r="B344" s="102" t="s">
        <v>535</v>
      </c>
      <c r="C344" s="104"/>
      <c r="D344" s="142" t="s">
        <v>536</v>
      </c>
      <c r="E344" s="143"/>
      <c r="F344" s="281" t="s">
        <v>537</v>
      </c>
      <c r="G344" s="142"/>
      <c r="H344" s="282" t="s">
        <v>538</v>
      </c>
      <c r="I344" s="144"/>
      <c r="J344" s="142" t="s">
        <v>536</v>
      </c>
      <c r="K344" s="143"/>
      <c r="L344" s="281" t="s">
        <v>537</v>
      </c>
      <c r="M344" s="142"/>
      <c r="N344" s="282" t="s">
        <v>538</v>
      </c>
      <c r="O344" s="132"/>
      <c r="Q344" s="145" t="s">
        <v>539</v>
      </c>
      <c r="R344" s="132"/>
      <c r="S344" s="132"/>
      <c r="U344" s="138" t="s">
        <v>128</v>
      </c>
      <c r="V344" s="146" t="s">
        <v>343</v>
      </c>
      <c r="W344" s="147" t="s">
        <v>344</v>
      </c>
      <c r="X344" s="118"/>
      <c r="Y344" s="148" t="s">
        <v>128</v>
      </c>
      <c r="Z344" s="149"/>
      <c r="AA344" s="118"/>
    </row>
    <row r="345" spans="1:93" ht="10.8" thickBot="1" x14ac:dyDescent="0.25">
      <c r="A345" s="109"/>
      <c r="B345" s="110" t="s">
        <v>275</v>
      </c>
      <c r="C345" s="150"/>
      <c r="D345" s="220" t="str">
        <f>+$D$13</f>
        <v>Jan '26-Dec '26</v>
      </c>
      <c r="E345" s="221"/>
      <c r="F345" s="152">
        <f>+$L$13</f>
        <v>46023</v>
      </c>
      <c r="G345" s="153"/>
      <c r="H345" s="153"/>
      <c r="I345" s="153"/>
      <c r="J345" s="153"/>
      <c r="K345" s="151"/>
      <c r="L345" s="152">
        <f>+$L$13</f>
        <v>46023</v>
      </c>
      <c r="M345" s="154"/>
      <c r="N345" s="283"/>
      <c r="O345" s="155"/>
      <c r="P345" s="109"/>
      <c r="Q345" s="156"/>
      <c r="R345" s="132"/>
      <c r="S345" s="132"/>
      <c r="U345" s="157" t="s">
        <v>144</v>
      </c>
      <c r="V345" s="158" t="s">
        <v>540</v>
      </c>
      <c r="W345" s="159" t="s">
        <v>540</v>
      </c>
      <c r="X345" s="118"/>
      <c r="Y345" s="160" t="s">
        <v>144</v>
      </c>
      <c r="Z345" s="159" t="s">
        <v>541</v>
      </c>
      <c r="AA345" s="118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AX345" s="116"/>
      <c r="AY345" s="116"/>
      <c r="AZ345" s="116"/>
      <c r="BA345" s="116"/>
      <c r="BB345" s="116"/>
      <c r="BC345" s="116"/>
      <c r="BD345" s="116"/>
      <c r="BE345" s="116"/>
      <c r="BF345" s="116"/>
      <c r="BG345" s="116"/>
      <c r="BH345" s="116"/>
      <c r="BI345" s="116"/>
      <c r="BJ345" s="116"/>
      <c r="BK345" s="116"/>
      <c r="BL345" s="116"/>
      <c r="BM345" s="116"/>
      <c r="BN345" s="116"/>
      <c r="BO345" s="116"/>
      <c r="BP345" s="116"/>
      <c r="BQ345" s="116"/>
      <c r="BR345" s="116"/>
      <c r="BS345" s="116"/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</row>
    <row r="346" spans="1:93" x14ac:dyDescent="0.2">
      <c r="A346" s="118">
        <v>1</v>
      </c>
      <c r="B346" s="302"/>
      <c r="C346" s="223"/>
      <c r="D346" s="168"/>
      <c r="E346" s="225"/>
      <c r="F346" s="183"/>
      <c r="G346" s="233"/>
      <c r="H346" s="174"/>
      <c r="I346" s="229"/>
      <c r="J346" s="168"/>
      <c r="K346" s="225"/>
      <c r="L346" s="183"/>
      <c r="M346" s="233"/>
      <c r="N346" s="174"/>
      <c r="O346" s="227"/>
      <c r="P346" s="303"/>
      <c r="Q346" s="303"/>
      <c r="U346" s="184"/>
      <c r="V346" s="179"/>
      <c r="W346" s="180"/>
      <c r="Y346" s="184"/>
      <c r="Z346" s="181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AX346" s="116"/>
      <c r="AY346" s="116"/>
      <c r="AZ346" s="116"/>
      <c r="BA346" s="116"/>
      <c r="BB346" s="116"/>
      <c r="BC346" s="116"/>
      <c r="BD346" s="116"/>
      <c r="BE346" s="116"/>
      <c r="BF346" s="116"/>
      <c r="BG346" s="116"/>
      <c r="BH346" s="116"/>
      <c r="BI346" s="116"/>
      <c r="BJ346" s="116"/>
      <c r="BK346" s="116"/>
      <c r="BL346" s="116"/>
      <c r="BM346" s="116"/>
      <c r="BN346" s="116"/>
      <c r="BO346" s="116"/>
      <c r="BP346" s="116"/>
      <c r="BQ346" s="116"/>
      <c r="BR346" s="116"/>
      <c r="BS346" s="116"/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</row>
    <row r="347" spans="1:93" x14ac:dyDescent="0.2">
      <c r="A347" s="118">
        <f t="shared" ref="A347:A388" si="33">+A346+1</f>
        <v>2</v>
      </c>
      <c r="B347" s="239" t="s">
        <v>551</v>
      </c>
      <c r="C347" s="223"/>
      <c r="D347" s="168"/>
      <c r="E347" s="225"/>
      <c r="F347" s="183"/>
      <c r="G347" s="233"/>
      <c r="H347" s="174"/>
      <c r="I347" s="229"/>
      <c r="J347" s="168"/>
      <c r="K347" s="225"/>
      <c r="L347" s="183"/>
      <c r="M347" s="233"/>
      <c r="N347" s="174"/>
      <c r="O347" s="227"/>
      <c r="P347" s="230"/>
      <c r="Q347" s="230"/>
      <c r="U347" s="184"/>
      <c r="V347" s="179"/>
      <c r="W347" s="180"/>
      <c r="Y347" s="184"/>
      <c r="Z347" s="181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16"/>
      <c r="BG347" s="116"/>
      <c r="BH347" s="116"/>
      <c r="BI347" s="116"/>
      <c r="BJ347" s="116"/>
      <c r="BK347" s="116"/>
      <c r="BL347" s="116"/>
      <c r="BM347" s="116"/>
      <c r="BN347" s="116"/>
      <c r="BO347" s="116"/>
      <c r="BP347" s="116"/>
      <c r="BQ347" s="116"/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</row>
    <row r="348" spans="1:93" x14ac:dyDescent="0.2">
      <c r="A348" s="118">
        <f t="shared" si="33"/>
        <v>3</v>
      </c>
      <c r="B348" s="228" t="s">
        <v>543</v>
      </c>
      <c r="C348" s="223"/>
      <c r="D348" s="168"/>
      <c r="E348" s="225"/>
      <c r="F348" s="183"/>
      <c r="G348" s="233"/>
      <c r="H348" s="174"/>
      <c r="I348" s="229"/>
      <c r="J348" s="168"/>
      <c r="K348" s="225"/>
      <c r="L348" s="857">
        <v>0</v>
      </c>
      <c r="M348" s="233"/>
      <c r="N348" s="174"/>
      <c r="O348" s="227"/>
      <c r="P348" s="227"/>
      <c r="Q348" s="227"/>
      <c r="U348" s="184"/>
      <c r="V348" s="179"/>
      <c r="W348" s="180"/>
      <c r="Y348" s="184"/>
      <c r="Z348" s="181"/>
    </row>
    <row r="349" spans="1:93" x14ac:dyDescent="0.2">
      <c r="A349" s="118">
        <f t="shared" si="33"/>
        <v>4</v>
      </c>
      <c r="B349" s="234" t="s">
        <v>149</v>
      </c>
      <c r="C349" s="223"/>
      <c r="D349" s="172">
        <f>SUMIF($AH$6:$CP$6,1,$AH349:$CP349)</f>
        <v>8.5840145151625635E-2</v>
      </c>
      <c r="E349" s="225" t="s">
        <v>555</v>
      </c>
      <c r="F349" s="173">
        <f>'Exhibit MJC-3 - E-13c cal yr'!F351</f>
        <v>26.68</v>
      </c>
      <c r="G349" s="233" t="s">
        <v>375</v>
      </c>
      <c r="H349" s="174">
        <f>ROUND(D349*F349,2)</f>
        <v>2.29</v>
      </c>
      <c r="I349" s="229"/>
      <c r="J349" s="172">
        <f>SUMIF($AH$6:$CP$6,1,$AH349:$CP349)</f>
        <v>8.5840145151625635E-2</v>
      </c>
      <c r="K349" s="225" t="s">
        <v>555</v>
      </c>
      <c r="L349" s="173">
        <f>ROUND(F349*(1+'Exhibit MJC-2 - Old E-8a'!$V$27)+L348,2)</f>
        <v>27.76</v>
      </c>
      <c r="M349" s="233" t="s">
        <v>375</v>
      </c>
      <c r="N349" s="174">
        <f>ROUND(J349*L349,2)</f>
        <v>2.38</v>
      </c>
      <c r="O349" s="227"/>
      <c r="P349" s="305"/>
      <c r="Q349" s="1022"/>
      <c r="U349" s="184" t="s">
        <v>613</v>
      </c>
      <c r="V349" s="179">
        <v>246</v>
      </c>
      <c r="W349" s="180">
        <v>220</v>
      </c>
      <c r="Y349" s="184"/>
      <c r="Z349" s="181"/>
      <c r="AB349" s="182">
        <f>SUM(AH349:AS349)</f>
        <v>7.6741170818254989E-2</v>
      </c>
      <c r="AC349" s="182">
        <f>SUM(AT349:BE349)</f>
        <v>8.2225372969407684E-2</v>
      </c>
      <c r="AD349" s="182">
        <f>SUM(BF349:BQ349)</f>
        <v>8.2557813474933739E-2</v>
      </c>
      <c r="AE349" s="182">
        <f>SUM(BR349:CC349)</f>
        <v>8.5840145151625635E-2</v>
      </c>
      <c r="AF349" s="182">
        <f>SUM(CD349:CO349)</f>
        <v>8.6500455559962386E-2</v>
      </c>
      <c r="AH349" s="168">
        <v>0.12679104991198284</v>
      </c>
      <c r="AI349" s="168">
        <v>3.7862765773491576E-2</v>
      </c>
      <c r="AJ349" s="168">
        <v>0</v>
      </c>
      <c r="AK349" s="168">
        <v>0.18610011191583123</v>
      </c>
      <c r="AL349" s="168">
        <v>-0.27401275678305065</v>
      </c>
      <c r="AM349" s="168">
        <v>0</v>
      </c>
      <c r="AN349" s="168">
        <v>0</v>
      </c>
      <c r="AO349" s="168">
        <v>0</v>
      </c>
      <c r="AP349" s="168">
        <v>0</v>
      </c>
      <c r="AQ349" s="168">
        <v>0</v>
      </c>
      <c r="AR349" s="168">
        <v>0</v>
      </c>
      <c r="AS349" s="168">
        <v>0</v>
      </c>
      <c r="AT349" s="168">
        <v>0.1314128215061999</v>
      </c>
      <c r="AU349" s="168">
        <v>3.8492687604584658E-2</v>
      </c>
      <c r="AV349" s="168">
        <v>0</v>
      </c>
      <c r="AW349" s="168">
        <v>0.18292089557888552</v>
      </c>
      <c r="AX349" s="168">
        <v>-0.2706010317202624</v>
      </c>
      <c r="AY349" s="168">
        <v>0</v>
      </c>
      <c r="AZ349" s="168">
        <v>0</v>
      </c>
      <c r="BA349" s="168">
        <v>0</v>
      </c>
      <c r="BB349" s="168">
        <v>0</v>
      </c>
      <c r="BC349" s="168">
        <v>0</v>
      </c>
      <c r="BD349" s="168">
        <v>0</v>
      </c>
      <c r="BE349" s="168">
        <v>0</v>
      </c>
      <c r="BF349" s="168">
        <v>0.13127304960416308</v>
      </c>
      <c r="BG349" s="168">
        <v>3.8949593396119336E-2</v>
      </c>
      <c r="BH349" s="168">
        <v>0</v>
      </c>
      <c r="BI349" s="168">
        <v>0.18489146549162241</v>
      </c>
      <c r="BJ349" s="168">
        <v>-0.2725562950169711</v>
      </c>
      <c r="BK349" s="168">
        <v>0</v>
      </c>
      <c r="BL349" s="168">
        <v>0</v>
      </c>
      <c r="BM349" s="168">
        <v>0</v>
      </c>
      <c r="BN349" s="168">
        <v>0</v>
      </c>
      <c r="BO349" s="168">
        <v>0</v>
      </c>
      <c r="BP349" s="168">
        <v>0</v>
      </c>
      <c r="BQ349" s="168">
        <v>0</v>
      </c>
      <c r="BR349" s="168">
        <v>0.13305931989869227</v>
      </c>
      <c r="BS349" s="168">
        <v>3.9374091090012421E-2</v>
      </c>
      <c r="BT349" s="168">
        <v>0</v>
      </c>
      <c r="BU349" s="168">
        <v>0.18594202014701466</v>
      </c>
      <c r="BV349" s="168">
        <v>-0.27253528598409371</v>
      </c>
      <c r="BW349" s="168">
        <v>0</v>
      </c>
      <c r="BX349" s="168">
        <v>0</v>
      </c>
      <c r="BY349" s="168">
        <v>0</v>
      </c>
      <c r="BZ349" s="168">
        <v>0</v>
      </c>
      <c r="CA349" s="168">
        <v>0</v>
      </c>
      <c r="CB349" s="168">
        <v>0</v>
      </c>
      <c r="CC349" s="168">
        <v>0</v>
      </c>
      <c r="CD349" s="168">
        <v>0.13383993516674858</v>
      </c>
      <c r="CE349" s="168">
        <v>3.9120253493345511E-2</v>
      </c>
      <c r="CF349" s="168">
        <v>0</v>
      </c>
      <c r="CG349" s="168">
        <v>0.18961746992716674</v>
      </c>
      <c r="CH349" s="168">
        <v>-0.27607720302729849</v>
      </c>
      <c r="CI349" s="168">
        <v>0</v>
      </c>
      <c r="CJ349" s="168">
        <v>0</v>
      </c>
      <c r="CK349" s="168">
        <v>0</v>
      </c>
      <c r="CL349" s="168">
        <v>0</v>
      </c>
      <c r="CM349" s="168">
        <v>0</v>
      </c>
      <c r="CN349" s="168">
        <v>0</v>
      </c>
      <c r="CO349" s="168">
        <v>0</v>
      </c>
    </row>
    <row r="350" spans="1:93" x14ac:dyDescent="0.2">
      <c r="A350" s="118">
        <f t="shared" si="33"/>
        <v>5</v>
      </c>
      <c r="B350" s="234" t="s">
        <v>148</v>
      </c>
      <c r="C350" s="223"/>
      <c r="D350" s="172">
        <f>SUMIF($AH$6:$CP$6,1,$AH350:$CP350)</f>
        <v>-2.9691908096501143</v>
      </c>
      <c r="E350" s="225" t="s">
        <v>555</v>
      </c>
      <c r="F350" s="173">
        <f>'Exhibit MJC-3 - E-13c cal yr'!F352</f>
        <v>26.68</v>
      </c>
      <c r="G350" s="233" t="s">
        <v>375</v>
      </c>
      <c r="H350" s="174">
        <f>ROUND(D350*F350,2)</f>
        <v>-79.22</v>
      </c>
      <c r="I350" s="229"/>
      <c r="J350" s="172">
        <f>SUMIF($AH$6:$CP$6,1,$AH350:$CP350)</f>
        <v>-2.9691908096501143</v>
      </c>
      <c r="K350" s="225" t="s">
        <v>555</v>
      </c>
      <c r="L350" s="183">
        <f>L349</f>
        <v>27.76</v>
      </c>
      <c r="M350" s="233" t="s">
        <v>375</v>
      </c>
      <c r="N350" s="174">
        <f>ROUND(J350*L350,2)</f>
        <v>-82.42</v>
      </c>
      <c r="O350" s="227"/>
      <c r="P350" s="176"/>
      <c r="Q350" s="1022"/>
      <c r="S350" s="305"/>
      <c r="T350" s="305"/>
      <c r="U350" s="184" t="s">
        <v>613</v>
      </c>
      <c r="V350" s="179">
        <v>246</v>
      </c>
      <c r="W350" s="180">
        <v>220</v>
      </c>
      <c r="Y350" s="184"/>
      <c r="Z350" s="181"/>
      <c r="AB350" s="182">
        <f>SUM(AH350:AS350)</f>
        <v>-3.9294600584388593</v>
      </c>
      <c r="AC350" s="182">
        <f>SUM(AT350:BE350)</f>
        <v>-3.1018479779680028</v>
      </c>
      <c r="AD350" s="182">
        <f>SUM(BF350:BQ350)</f>
        <v>-3.0156417312019843</v>
      </c>
      <c r="AE350" s="182">
        <f>SUM(BR350:CC350)</f>
        <v>-2.9691908096501143</v>
      </c>
      <c r="AF350" s="182">
        <f>SUM(CD350:CO350)</f>
        <v>-3.8569559955333332</v>
      </c>
      <c r="AH350" s="168">
        <v>9.6203641169473036E-3</v>
      </c>
      <c r="AI350" s="168">
        <v>21.041268443302549</v>
      </c>
      <c r="AJ350" s="168">
        <v>23.139261684351993</v>
      </c>
      <c r="AK350" s="168">
        <v>-48.032919450184693</v>
      </c>
      <c r="AL350" s="168">
        <v>-8.418389970660603E-2</v>
      </c>
      <c r="AM350" s="168">
        <v>0</v>
      </c>
      <c r="AN350" s="168">
        <v>0</v>
      </c>
      <c r="AO350" s="168">
        <v>6.3723761102987081E-2</v>
      </c>
      <c r="AP350" s="168">
        <v>-6.6230961422037965E-2</v>
      </c>
      <c r="AQ350" s="168">
        <v>0</v>
      </c>
      <c r="AR350" s="168">
        <v>0</v>
      </c>
      <c r="AS350" s="168">
        <v>0</v>
      </c>
      <c r="AT350" s="168">
        <v>9.9710444341510659E-3</v>
      </c>
      <c r="AU350" s="168">
        <v>21.391331468957318</v>
      </c>
      <c r="AV350" s="168">
        <v>22.795390179062569</v>
      </c>
      <c r="AW350" s="168">
        <v>-47.212355503956161</v>
      </c>
      <c r="AX350" s="168">
        <v>-8.3135728359095787E-2</v>
      </c>
      <c r="AY350" s="168">
        <v>0</v>
      </c>
      <c r="AZ350" s="168">
        <v>0</v>
      </c>
      <c r="BA350" s="168">
        <v>6.3140895776485767E-2</v>
      </c>
      <c r="BB350" s="168">
        <v>-6.6190333883268115E-2</v>
      </c>
      <c r="BC350" s="168">
        <v>0</v>
      </c>
      <c r="BD350" s="168">
        <v>0</v>
      </c>
      <c r="BE350" s="168">
        <v>0</v>
      </c>
      <c r="BF350" s="168">
        <v>9.9604391383368435E-3</v>
      </c>
      <c r="BG350" s="168">
        <v>21.645245234013316</v>
      </c>
      <c r="BH350" s="168">
        <v>23.136654844193806</v>
      </c>
      <c r="BI350" s="168">
        <v>-47.72096468701919</v>
      </c>
      <c r="BJ350" s="168">
        <v>-8.3736436483792545E-2</v>
      </c>
      <c r="BK350" s="168">
        <v>0</v>
      </c>
      <c r="BL350" s="168">
        <v>0</v>
      </c>
      <c r="BM350" s="168">
        <v>6.3620770016607708E-2</v>
      </c>
      <c r="BN350" s="168">
        <v>-6.6421895061063885E-2</v>
      </c>
      <c r="BO350" s="168">
        <v>0</v>
      </c>
      <c r="BP350" s="168">
        <v>0</v>
      </c>
      <c r="BQ350" s="168">
        <v>0</v>
      </c>
      <c r="BR350" s="168">
        <v>1.0095973710032454E-2</v>
      </c>
      <c r="BS350" s="168">
        <v>21.881149023614995</v>
      </c>
      <c r="BT350" s="168">
        <v>23.217908134133626</v>
      </c>
      <c r="BU350" s="168">
        <v>-47.99211555641412</v>
      </c>
      <c r="BV350" s="168">
        <v>-8.3729981958326496E-2</v>
      </c>
      <c r="BW350" s="168">
        <v>0</v>
      </c>
      <c r="BX350" s="168">
        <v>0</v>
      </c>
      <c r="BY350" s="168">
        <v>6.4486035119881879E-2</v>
      </c>
      <c r="BZ350" s="168">
        <v>-6.6984437856203977E-2</v>
      </c>
      <c r="CA350" s="168">
        <v>0</v>
      </c>
      <c r="CB350" s="168">
        <v>0</v>
      </c>
      <c r="CC350" s="168">
        <v>0</v>
      </c>
      <c r="CD350" s="168">
        <v>1.0155203467331279E-2</v>
      </c>
      <c r="CE350" s="168">
        <v>21.740085239621418</v>
      </c>
      <c r="CF350" s="168">
        <v>23.421816756989504</v>
      </c>
      <c r="CG350" s="168">
        <v>-48.940758635753539</v>
      </c>
      <c r="CH350" s="168">
        <v>-8.4818151694052851E-2</v>
      </c>
      <c r="CI350" s="168">
        <v>0</v>
      </c>
      <c r="CJ350" s="168">
        <v>0</v>
      </c>
      <c r="CK350" s="168">
        <v>6.4607132247708435E-2</v>
      </c>
      <c r="CL350" s="168">
        <v>-6.8043540411706266E-2</v>
      </c>
      <c r="CM350" s="168">
        <v>0</v>
      </c>
      <c r="CN350" s="168">
        <v>0</v>
      </c>
      <c r="CO350" s="168">
        <v>0</v>
      </c>
    </row>
    <row r="351" spans="1:93" x14ac:dyDescent="0.2">
      <c r="A351" s="118">
        <f t="shared" si="33"/>
        <v>6</v>
      </c>
      <c r="B351" s="234" t="s">
        <v>216</v>
      </c>
      <c r="C351" s="223"/>
      <c r="D351" s="172">
        <f>SUMIF($AH$6:$CP$6,1,$AH351:$CP351)</f>
        <v>0</v>
      </c>
      <c r="E351" s="225" t="s">
        <v>555</v>
      </c>
      <c r="F351" s="173">
        <f>'Exhibit MJC-3 - E-13c cal yr'!F353</f>
        <v>26.68</v>
      </c>
      <c r="G351" s="233" t="s">
        <v>375</v>
      </c>
      <c r="H351" s="174">
        <f>ROUND(D351*F351,2)</f>
        <v>0</v>
      </c>
      <c r="I351" s="229"/>
      <c r="J351" s="172">
        <f>SUMIF($AH$6:$CP$6,1,$AH351:$CP351)</f>
        <v>0</v>
      </c>
      <c r="K351" s="225" t="s">
        <v>555</v>
      </c>
      <c r="L351" s="183">
        <f>L349</f>
        <v>27.76</v>
      </c>
      <c r="M351" s="233" t="s">
        <v>375</v>
      </c>
      <c r="N351" s="174">
        <f>ROUND(J351*L351,2)</f>
        <v>0</v>
      </c>
      <c r="O351" s="227"/>
      <c r="Q351" s="1022"/>
      <c r="S351" s="227"/>
      <c r="T351" s="227"/>
      <c r="U351" s="184" t="s">
        <v>613</v>
      </c>
      <c r="V351" s="179">
        <v>246</v>
      </c>
      <c r="W351" s="180">
        <v>220</v>
      </c>
      <c r="Y351" s="184"/>
      <c r="Z351" s="181"/>
      <c r="AB351" s="182">
        <f>SUM(AH351:AS351)</f>
        <v>0</v>
      </c>
      <c r="AC351" s="182">
        <f>SUM(AT351:BE351)</f>
        <v>0</v>
      </c>
      <c r="AD351" s="182">
        <f>SUM(BF351:BQ351)</f>
        <v>0</v>
      </c>
      <c r="AE351" s="182">
        <f>SUM(BR351:CC351)</f>
        <v>0</v>
      </c>
      <c r="AF351" s="182">
        <f>SUM(CD351:CO351)</f>
        <v>0</v>
      </c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  <c r="AT351" s="168"/>
      <c r="AU351" s="168"/>
      <c r="AV351" s="168"/>
      <c r="AW351" s="168"/>
      <c r="AX351" s="168"/>
      <c r="AY351" s="168"/>
      <c r="AZ351" s="168"/>
      <c r="BA351" s="168"/>
      <c r="BB351" s="168"/>
      <c r="BC351" s="168"/>
      <c r="BD351" s="168"/>
      <c r="BE351" s="168"/>
      <c r="BF351" s="168"/>
      <c r="BG351" s="168"/>
      <c r="BH351" s="168"/>
      <c r="BI351" s="168"/>
      <c r="BJ351" s="168"/>
      <c r="BK351" s="168"/>
      <c r="BL351" s="168"/>
      <c r="BM351" s="168"/>
      <c r="BN351" s="168"/>
      <c r="BO351" s="168"/>
      <c r="BP351" s="168"/>
      <c r="BQ351" s="168"/>
      <c r="BR351" s="168"/>
      <c r="BS351" s="168"/>
      <c r="BT351" s="168"/>
      <c r="BU351" s="168"/>
      <c r="BV351" s="168"/>
      <c r="BW351" s="168"/>
      <c r="BX351" s="168"/>
      <c r="BY351" s="168"/>
      <c r="BZ351" s="168"/>
      <c r="CA351" s="168"/>
      <c r="CB351" s="168"/>
      <c r="CC351" s="168"/>
      <c r="CD351" s="168"/>
      <c r="CE351" s="168"/>
      <c r="CF351" s="168"/>
      <c r="CG351" s="168"/>
      <c r="CH351" s="168"/>
      <c r="CI351" s="168"/>
      <c r="CJ351" s="168"/>
      <c r="CK351" s="168"/>
      <c r="CL351" s="168"/>
      <c r="CM351" s="168"/>
      <c r="CN351" s="168"/>
      <c r="CO351" s="168"/>
    </row>
    <row r="352" spans="1:93" x14ac:dyDescent="0.2">
      <c r="A352" s="118">
        <f t="shared" si="33"/>
        <v>7</v>
      </c>
      <c r="B352" s="226" t="s">
        <v>546</v>
      </c>
      <c r="C352" s="223"/>
      <c r="D352" s="168"/>
      <c r="E352" s="225"/>
      <c r="F352" s="183"/>
      <c r="G352" s="233"/>
      <c r="H352" s="174"/>
      <c r="I352" s="229"/>
      <c r="J352" s="168"/>
      <c r="K352" s="225"/>
      <c r="L352" s="183"/>
      <c r="M352" s="233"/>
      <c r="N352" s="174"/>
      <c r="O352" s="227"/>
      <c r="Q352" s="1022"/>
      <c r="S352" s="227"/>
      <c r="U352" s="184"/>
      <c r="V352" s="179"/>
      <c r="W352" s="180"/>
      <c r="Y352" s="184"/>
      <c r="Z352" s="181"/>
    </row>
    <row r="353" spans="1:93" x14ac:dyDescent="0.2">
      <c r="A353" s="118">
        <f t="shared" si="33"/>
        <v>8</v>
      </c>
      <c r="B353" s="234" t="s">
        <v>149</v>
      </c>
      <c r="C353" s="223"/>
      <c r="D353" s="168"/>
      <c r="E353" s="225"/>
      <c r="F353" s="183"/>
      <c r="G353" s="233"/>
      <c r="H353" s="174"/>
      <c r="I353" s="229"/>
      <c r="J353" s="168"/>
      <c r="K353" s="225"/>
      <c r="L353" s="857">
        <v>0</v>
      </c>
      <c r="M353" s="233"/>
      <c r="N353" s="174"/>
      <c r="O353" s="227"/>
      <c r="S353" s="305"/>
      <c r="T353" s="858" t="s">
        <v>558</v>
      </c>
      <c r="U353" s="184"/>
      <c r="V353" s="179"/>
      <c r="W353" s="180"/>
      <c r="Y353" s="184"/>
      <c r="Z353" s="181"/>
    </row>
    <row r="354" spans="1:93" x14ac:dyDescent="0.2">
      <c r="A354" s="118">
        <f t="shared" si="33"/>
        <v>9</v>
      </c>
      <c r="B354" s="243" t="s">
        <v>559</v>
      </c>
      <c r="C354" s="223"/>
      <c r="D354" s="172">
        <f>SUMIF($AH$6:$CP$6,1,$AH354:$CP354)+(SUM($AE$354:$AE$356)*'TOU Split'!E20)</f>
        <v>0</v>
      </c>
      <c r="E354" s="225" t="s">
        <v>555</v>
      </c>
      <c r="F354" s="173">
        <f>'Exhibit MJC-3 - E-13c cal yr'!F356</f>
        <v>29.14</v>
      </c>
      <c r="G354" s="233" t="s">
        <v>375</v>
      </c>
      <c r="H354" s="174">
        <f>ROUND(D354*F354,2)</f>
        <v>0</v>
      </c>
      <c r="I354" s="229"/>
      <c r="J354" s="172">
        <f>D354</f>
        <v>0</v>
      </c>
      <c r="K354" s="225" t="s">
        <v>555</v>
      </c>
      <c r="L354" s="173">
        <f>ROUND(F354*(1+'Exhibit MJC-2 - Old E-8a'!$V$27)+L353,2)</f>
        <v>30.32</v>
      </c>
      <c r="M354" s="233" t="s">
        <v>375</v>
      </c>
      <c r="N354" s="174">
        <f>ROUND(J354*L354,2)</f>
        <v>0</v>
      </c>
      <c r="O354" s="227"/>
      <c r="S354" s="305"/>
      <c r="T354" s="859">
        <f>'MFR E-14C'!Z207</f>
        <v>1.3999999999999997</v>
      </c>
      <c r="U354" s="184" t="s">
        <v>614</v>
      </c>
      <c r="V354" s="179">
        <v>249</v>
      </c>
      <c r="W354" s="180">
        <v>223</v>
      </c>
      <c r="Y354" s="184"/>
      <c r="Z354" s="181"/>
      <c r="AB354" s="182">
        <f>SUM(AH354:AS354)</f>
        <v>0</v>
      </c>
      <c r="AC354" s="182">
        <f>SUM(AT354:BE354)</f>
        <v>0</v>
      </c>
      <c r="AD354" s="182">
        <f>SUM(BF354:BQ354)</f>
        <v>0</v>
      </c>
      <c r="AE354" s="182">
        <f>SUM(BR354:CC354)</f>
        <v>0</v>
      </c>
      <c r="AF354" s="182">
        <f>SUM(CD354:CO354)</f>
        <v>0</v>
      </c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  <c r="AT354" s="168"/>
      <c r="AU354" s="168"/>
      <c r="AV354" s="168"/>
      <c r="AW354" s="168"/>
      <c r="AX354" s="168"/>
      <c r="AY354" s="168"/>
      <c r="AZ354" s="168"/>
      <c r="BA354" s="168"/>
      <c r="BB354" s="168"/>
      <c r="BC354" s="168"/>
      <c r="BD354" s="168"/>
      <c r="BE354" s="168"/>
      <c r="BF354" s="168"/>
      <c r="BG354" s="168"/>
      <c r="BH354" s="168"/>
      <c r="BI354" s="168"/>
      <c r="BJ354" s="168"/>
      <c r="BK354" s="168"/>
      <c r="BL354" s="168"/>
      <c r="BM354" s="168"/>
      <c r="BN354" s="168"/>
      <c r="BO354" s="168"/>
      <c r="BP354" s="168"/>
      <c r="BQ354" s="168"/>
      <c r="BR354" s="168"/>
      <c r="BS354" s="168"/>
      <c r="BT354" s="168"/>
      <c r="BU354" s="168"/>
      <c r="BV354" s="168"/>
      <c r="BW354" s="168"/>
      <c r="BX354" s="168"/>
      <c r="BY354" s="168"/>
      <c r="BZ354" s="168"/>
      <c r="CA354" s="168"/>
      <c r="CB354" s="168"/>
      <c r="CC354" s="168"/>
      <c r="CD354" s="168"/>
      <c r="CE354" s="168"/>
      <c r="CF354" s="168"/>
      <c r="CG354" s="168"/>
      <c r="CH354" s="168"/>
      <c r="CI354" s="168"/>
      <c r="CJ354" s="168"/>
      <c r="CK354" s="168"/>
      <c r="CL354" s="168"/>
      <c r="CM354" s="168"/>
      <c r="CN354" s="168"/>
      <c r="CO354" s="168"/>
    </row>
    <row r="355" spans="1:93" x14ac:dyDescent="0.2">
      <c r="A355" s="118">
        <f t="shared" si="33"/>
        <v>10</v>
      </c>
      <c r="B355" s="243" t="s">
        <v>560</v>
      </c>
      <c r="C355" s="223"/>
      <c r="D355" s="172">
        <f>SUMIF($AH$6:$CP$6,1,$AH355:$CP355)+(SUM($AE$354:$AE$356)*'TOU Split'!E21)</f>
        <v>0</v>
      </c>
      <c r="E355" s="225" t="s">
        <v>555</v>
      </c>
      <c r="F355" s="173">
        <f>'Exhibit MJC-3 - E-13c cal yr'!F357</f>
        <v>21.59</v>
      </c>
      <c r="G355" s="233" t="s">
        <v>375</v>
      </c>
      <c r="H355" s="174">
        <f>ROUND(D355*F355,2)</f>
        <v>0</v>
      </c>
      <c r="I355" s="229"/>
      <c r="J355" s="172">
        <f t="shared" ref="J355:J356" si="34">D355</f>
        <v>0</v>
      </c>
      <c r="K355" s="225" t="s">
        <v>555</v>
      </c>
      <c r="L355" s="173">
        <f>ROUND(F355*(1+'Exhibit MJC-2 - Old E-8a'!$V$27)+L353,2)</f>
        <v>22.46</v>
      </c>
      <c r="M355" s="233" t="s">
        <v>375</v>
      </c>
      <c r="N355" s="174">
        <f>ROUND(J355*L355,2)</f>
        <v>0</v>
      </c>
      <c r="O355" s="227"/>
      <c r="S355" s="305"/>
      <c r="T355" s="859">
        <f>'MFR E-14C'!Z208</f>
        <v>1</v>
      </c>
      <c r="U355" s="184" t="s">
        <v>614</v>
      </c>
      <c r="V355" s="179">
        <v>249</v>
      </c>
      <c r="W355" s="180">
        <v>223</v>
      </c>
      <c r="Y355" s="184"/>
      <c r="Z355" s="181"/>
      <c r="AB355" s="182">
        <f>SUM(AH355:AS355)</f>
        <v>0</v>
      </c>
      <c r="AC355" s="182">
        <f>SUM(AT355:BE355)</f>
        <v>0</v>
      </c>
      <c r="AD355" s="182">
        <f>SUM(BF355:BQ355)</f>
        <v>0</v>
      </c>
      <c r="AE355" s="182">
        <f>SUM(BR355:CC355)</f>
        <v>0</v>
      </c>
      <c r="AF355" s="182">
        <f>SUM(CD355:CO355)</f>
        <v>0</v>
      </c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  <c r="AT355" s="168"/>
      <c r="AU355" s="168"/>
      <c r="AV355" s="168"/>
      <c r="AW355" s="168"/>
      <c r="AX355" s="168"/>
      <c r="AY355" s="168"/>
      <c r="AZ355" s="168"/>
      <c r="BA355" s="168"/>
      <c r="BB355" s="168"/>
      <c r="BC355" s="168"/>
      <c r="BD355" s="168"/>
      <c r="BE355" s="168"/>
      <c r="BF355" s="168"/>
      <c r="BG355" s="168"/>
      <c r="BH355" s="168"/>
      <c r="BI355" s="168"/>
      <c r="BJ355" s="168"/>
      <c r="BK355" s="168"/>
      <c r="BL355" s="168"/>
      <c r="BM355" s="168"/>
      <c r="BN355" s="168"/>
      <c r="BO355" s="168"/>
      <c r="BP355" s="168"/>
      <c r="BQ355" s="168"/>
      <c r="BR355" s="168"/>
      <c r="BS355" s="168"/>
      <c r="BT355" s="168"/>
      <c r="BU355" s="168"/>
      <c r="BV355" s="168"/>
      <c r="BW355" s="168"/>
      <c r="BX355" s="168"/>
      <c r="BY355" s="168"/>
      <c r="BZ355" s="168"/>
      <c r="CA355" s="168"/>
      <c r="CB355" s="168"/>
      <c r="CC355" s="168"/>
      <c r="CD355" s="168"/>
      <c r="CE355" s="168"/>
      <c r="CF355" s="168"/>
      <c r="CG355" s="168"/>
      <c r="CH355" s="168"/>
      <c r="CI355" s="168"/>
      <c r="CJ355" s="168"/>
      <c r="CK355" s="168"/>
      <c r="CL355" s="168"/>
      <c r="CM355" s="168"/>
      <c r="CN355" s="168"/>
      <c r="CO355" s="168"/>
    </row>
    <row r="356" spans="1:93" x14ac:dyDescent="0.2">
      <c r="A356" s="118">
        <f t="shared" si="33"/>
        <v>11</v>
      </c>
      <c r="B356" s="243" t="s">
        <v>561</v>
      </c>
      <c r="C356" s="223"/>
      <c r="D356" s="172">
        <f>SUMIF($AH$6:$CP$6,1,$AH356:$CP356)+(SUM($AE$354:$AE$356)*'TOU Split'!E22)</f>
        <v>0</v>
      </c>
      <c r="E356" s="225" t="s">
        <v>555</v>
      </c>
      <c r="F356" s="173">
        <f>'Exhibit MJC-3 - E-13c cal yr'!F358</f>
        <v>16.37</v>
      </c>
      <c r="G356" s="233" t="s">
        <v>375</v>
      </c>
      <c r="H356" s="174">
        <f>ROUND(D356*F356,2)</f>
        <v>0</v>
      </c>
      <c r="I356" s="229"/>
      <c r="J356" s="172">
        <f t="shared" si="34"/>
        <v>0</v>
      </c>
      <c r="K356" s="225" t="s">
        <v>555</v>
      </c>
      <c r="L356" s="173">
        <f>ROUND(F356*(1+'Exhibit MJC-2 - Old E-8a'!$V$27)+L353,2)</f>
        <v>17.03</v>
      </c>
      <c r="M356" s="233" t="s">
        <v>375</v>
      </c>
      <c r="N356" s="174">
        <f>ROUND(J356*L356,2)</f>
        <v>0</v>
      </c>
      <c r="O356" s="227"/>
      <c r="S356" s="227"/>
      <c r="T356" s="859">
        <f>'MFR E-14C'!Z209</f>
        <v>0.75507416988388154</v>
      </c>
      <c r="U356" s="184" t="s">
        <v>614</v>
      </c>
      <c r="V356" s="179">
        <v>249</v>
      </c>
      <c r="W356" s="180">
        <v>223</v>
      </c>
      <c r="Y356" s="184"/>
      <c r="Z356" s="181"/>
      <c r="AB356" s="182">
        <f>SUM(AH356:AS356)</f>
        <v>0</v>
      </c>
      <c r="AC356" s="182">
        <f>SUM(AT356:BE356)</f>
        <v>0</v>
      </c>
      <c r="AD356" s="182">
        <f>SUM(BF356:BQ356)</f>
        <v>0</v>
      </c>
      <c r="AE356" s="182">
        <f>SUM(BR356:CC356)</f>
        <v>0</v>
      </c>
      <c r="AF356" s="182">
        <f>SUM(CD356:CO356)</f>
        <v>0</v>
      </c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  <c r="AT356" s="168"/>
      <c r="AU356" s="168"/>
      <c r="AV356" s="168"/>
      <c r="AW356" s="168"/>
      <c r="AX356" s="168"/>
      <c r="AY356" s="168"/>
      <c r="AZ356" s="168"/>
      <c r="BA356" s="168"/>
      <c r="BB356" s="168"/>
      <c r="BC356" s="168"/>
      <c r="BD356" s="168"/>
      <c r="BE356" s="168"/>
      <c r="BF356" s="168"/>
      <c r="BG356" s="168"/>
      <c r="BH356" s="168"/>
      <c r="BI356" s="168"/>
      <c r="BJ356" s="168"/>
      <c r="BK356" s="168"/>
      <c r="BL356" s="168"/>
      <c r="BM356" s="168"/>
      <c r="BN356" s="168"/>
      <c r="BO356" s="168"/>
      <c r="BP356" s="168"/>
      <c r="BQ356" s="168"/>
      <c r="BR356" s="168"/>
      <c r="BS356" s="168"/>
      <c r="BT356" s="168"/>
      <c r="BU356" s="168"/>
      <c r="BV356" s="168"/>
      <c r="BW356" s="168"/>
      <c r="BX356" s="168"/>
      <c r="BY356" s="168"/>
      <c r="BZ356" s="168"/>
      <c r="CA356" s="168"/>
      <c r="CB356" s="168"/>
      <c r="CC356" s="168"/>
      <c r="CD356" s="168"/>
      <c r="CE356" s="168"/>
      <c r="CF356" s="168"/>
      <c r="CG356" s="168"/>
      <c r="CH356" s="168"/>
      <c r="CI356" s="168"/>
      <c r="CJ356" s="168"/>
      <c r="CK356" s="168"/>
      <c r="CL356" s="168"/>
      <c r="CM356" s="168"/>
      <c r="CN356" s="168"/>
      <c r="CO356" s="168"/>
    </row>
    <row r="357" spans="1:93" x14ac:dyDescent="0.2">
      <c r="A357" s="118">
        <f t="shared" si="33"/>
        <v>12</v>
      </c>
      <c r="B357" s="234" t="s">
        <v>148</v>
      </c>
      <c r="C357" s="223"/>
      <c r="D357" s="168"/>
      <c r="E357" s="225"/>
      <c r="F357" s="183"/>
      <c r="G357" s="233"/>
      <c r="H357" s="174"/>
      <c r="I357" s="229"/>
      <c r="J357" s="168"/>
      <c r="K357" s="225"/>
      <c r="L357" s="183"/>
      <c r="M357" s="233"/>
      <c r="N357" s="174"/>
      <c r="O357" s="227"/>
      <c r="S357" s="227"/>
      <c r="T357" s="306"/>
      <c r="U357" s="184"/>
      <c r="V357" s="179"/>
      <c r="W357" s="180"/>
      <c r="Y357" s="184"/>
      <c r="Z357" s="181"/>
    </row>
    <row r="358" spans="1:93" x14ac:dyDescent="0.2">
      <c r="A358" s="118">
        <f t="shared" si="33"/>
        <v>13</v>
      </c>
      <c r="B358" s="243" t="s">
        <v>559</v>
      </c>
      <c r="C358" s="223"/>
      <c r="D358" s="172">
        <f>SUMIF($AH$6:$CP$6,1,$AH358:$CP358)+(SUM($AE$358:$AE$360)*'TOU Split'!E20)</f>
        <v>8842.0074748828665</v>
      </c>
      <c r="E358" s="225" t="s">
        <v>555</v>
      </c>
      <c r="F358" s="173">
        <f>'Exhibit MJC-3 - E-13c cal yr'!F360</f>
        <v>29.14</v>
      </c>
      <c r="G358" s="233" t="s">
        <v>375</v>
      </c>
      <c r="H358" s="174">
        <f>ROUND(D358*F358,2)</f>
        <v>257656.1</v>
      </c>
      <c r="I358" s="229"/>
      <c r="J358" s="172">
        <f t="shared" ref="J358:J360" si="35">D358</f>
        <v>8842.0074748828665</v>
      </c>
      <c r="K358" s="225" t="s">
        <v>555</v>
      </c>
      <c r="L358" s="183">
        <f>L354</f>
        <v>30.32</v>
      </c>
      <c r="M358" s="233" t="s">
        <v>375</v>
      </c>
      <c r="N358" s="174">
        <f>ROUND(J358*L358,2)</f>
        <v>268089.67</v>
      </c>
      <c r="O358" s="227"/>
      <c r="Q358" s="1022"/>
      <c r="S358" s="227"/>
      <c r="T358" s="306"/>
      <c r="U358" s="184" t="s">
        <v>614</v>
      </c>
      <c r="V358" s="179">
        <v>249</v>
      </c>
      <c r="W358" s="180">
        <v>223</v>
      </c>
      <c r="Y358" s="184"/>
      <c r="Z358" s="181"/>
      <c r="AB358" s="182">
        <f>SUM(AH358:AS358)</f>
        <v>8659.3568470564787</v>
      </c>
      <c r="AC358" s="182">
        <f>SUM(AT358:BE358)</f>
        <v>8696.3144982775157</v>
      </c>
      <c r="AD358" s="182">
        <f>SUM(BF358:BQ358)</f>
        <v>8756.4247387058313</v>
      </c>
      <c r="AE358" s="182">
        <f>SUM(BR358:CC358)</f>
        <v>8842.0074748828665</v>
      </c>
      <c r="AF358" s="182">
        <f>SUM(CD358:CO358)</f>
        <v>8884.0847639129061</v>
      </c>
      <c r="AH358" s="168">
        <v>1339.8692220221653</v>
      </c>
      <c r="AI358" s="168">
        <v>1915.9350041593609</v>
      </c>
      <c r="AJ358" s="168">
        <v>107.72415931980481</v>
      </c>
      <c r="AK358" s="168">
        <v>620.1410043383521</v>
      </c>
      <c r="AL358" s="168">
        <v>1394.5041765755459</v>
      </c>
      <c r="AM358" s="168">
        <v>447.17264701245284</v>
      </c>
      <c r="AN358" s="168">
        <v>470.59991369180779</v>
      </c>
      <c r="AO358" s="168">
        <v>330.03951847786533</v>
      </c>
      <c r="AP358" s="168">
        <v>557.07148397667311</v>
      </c>
      <c r="AQ358" s="168">
        <v>444.99348341981568</v>
      </c>
      <c r="AR358" s="168">
        <v>497.61574035117025</v>
      </c>
      <c r="AS358" s="168">
        <v>533.69049371146377</v>
      </c>
      <c r="AT358" s="168">
        <v>1388.7099683887786</v>
      </c>
      <c r="AU358" s="168">
        <v>1947.8103640655929</v>
      </c>
      <c r="AV358" s="168">
        <v>106.12327553506461</v>
      </c>
      <c r="AW358" s="168">
        <v>609.54690854815669</v>
      </c>
      <c r="AX358" s="168">
        <v>1377.1412446258025</v>
      </c>
      <c r="AY358" s="168">
        <v>434.65509158378916</v>
      </c>
      <c r="AZ358" s="168">
        <v>472.28244941667407</v>
      </c>
      <c r="BA358" s="168">
        <v>327.02072943644254</v>
      </c>
      <c r="BB358" s="168">
        <v>556.72976398911874</v>
      </c>
      <c r="BC358" s="168">
        <v>444.8605648846883</v>
      </c>
      <c r="BD358" s="168">
        <v>498.53455761681806</v>
      </c>
      <c r="BE358" s="168">
        <v>532.89958018658876</v>
      </c>
      <c r="BF358" s="168">
        <v>1387.2329235202908</v>
      </c>
      <c r="BG358" s="168">
        <v>1970.9307511192324</v>
      </c>
      <c r="BH358" s="168">
        <v>107.71202325131857</v>
      </c>
      <c r="BI358" s="168">
        <v>616.11343444770216</v>
      </c>
      <c r="BJ358" s="168">
        <v>1387.0919595690632</v>
      </c>
      <c r="BK358" s="168">
        <v>440.48276623630693</v>
      </c>
      <c r="BL358" s="168">
        <v>475.29466772973922</v>
      </c>
      <c r="BM358" s="168">
        <v>329.50610475639292</v>
      </c>
      <c r="BN358" s="168">
        <v>558.67743508095282</v>
      </c>
      <c r="BO358" s="168">
        <v>443.65297484505675</v>
      </c>
      <c r="BP358" s="168">
        <v>499.41486254275657</v>
      </c>
      <c r="BQ358" s="168">
        <v>540.31483560701804</v>
      </c>
      <c r="BR358" s="168">
        <v>1406.1094025108321</v>
      </c>
      <c r="BS358" s="168">
        <v>1992.4112207653275</v>
      </c>
      <c r="BT358" s="168">
        <v>108.09029557781443</v>
      </c>
      <c r="BU358" s="168">
        <v>619.61419547573371</v>
      </c>
      <c r="BV358" s="168">
        <v>1386.9850405174207</v>
      </c>
      <c r="BW358" s="168">
        <v>449.00866068143239</v>
      </c>
      <c r="BX358" s="168">
        <v>483.94725031079219</v>
      </c>
      <c r="BY358" s="168">
        <v>333.98750499230772</v>
      </c>
      <c r="BZ358" s="168">
        <v>563.40900688605132</v>
      </c>
      <c r="CA358" s="168">
        <v>450.17771662557334</v>
      </c>
      <c r="CB358" s="168">
        <v>505.89132985741378</v>
      </c>
      <c r="CC358" s="168">
        <v>542.37585068216947</v>
      </c>
      <c r="CD358" s="168">
        <v>1414.3585839209964</v>
      </c>
      <c r="CE358" s="168">
        <v>1979.5665083706954</v>
      </c>
      <c r="CF358" s="168">
        <v>109.03958623690501</v>
      </c>
      <c r="CG358" s="168">
        <v>631.86188890586754</v>
      </c>
      <c r="CH358" s="168">
        <v>1405.0105447597055</v>
      </c>
      <c r="CI358" s="168">
        <v>446.5413341616736</v>
      </c>
      <c r="CJ358" s="168">
        <v>484.42544291240256</v>
      </c>
      <c r="CK358" s="168">
        <v>334.61469392568443</v>
      </c>
      <c r="CL358" s="168">
        <v>572.31716433400914</v>
      </c>
      <c r="CM358" s="168">
        <v>451.70503611695904</v>
      </c>
      <c r="CN358" s="168">
        <v>511.04774727742978</v>
      </c>
      <c r="CO358" s="168">
        <v>543.59623299058023</v>
      </c>
    </row>
    <row r="359" spans="1:93" x14ac:dyDescent="0.2">
      <c r="A359" s="118">
        <f t="shared" si="33"/>
        <v>14</v>
      </c>
      <c r="B359" s="243" t="s">
        <v>560</v>
      </c>
      <c r="C359" s="223"/>
      <c r="D359" s="172">
        <f>SUMIF($AH$6:$CP$6,1,$AH359:$CP359)+(SUM($AE$358:$AE$360)*'TOU Split'!E21)</f>
        <v>44809.763680166274</v>
      </c>
      <c r="E359" s="225" t="s">
        <v>555</v>
      </c>
      <c r="F359" s="173">
        <f>'Exhibit MJC-3 - E-13c cal yr'!F361</f>
        <v>21.59</v>
      </c>
      <c r="G359" s="233" t="s">
        <v>375</v>
      </c>
      <c r="H359" s="174">
        <f>ROUND(D359*F359,2)</f>
        <v>967442.8</v>
      </c>
      <c r="I359" s="229"/>
      <c r="J359" s="172">
        <f t="shared" si="35"/>
        <v>44809.763680166274</v>
      </c>
      <c r="K359" s="225" t="s">
        <v>555</v>
      </c>
      <c r="L359" s="183">
        <f>L355</f>
        <v>22.46</v>
      </c>
      <c r="M359" s="233" t="s">
        <v>375</v>
      </c>
      <c r="N359" s="174">
        <f>ROUND(J359*L359,2)</f>
        <v>1006427.29</v>
      </c>
      <c r="O359" s="227"/>
      <c r="Q359" s="1022"/>
      <c r="S359" s="247"/>
      <c r="T359" s="306"/>
      <c r="U359" s="184" t="s">
        <v>614</v>
      </c>
      <c r="V359" s="179">
        <v>249</v>
      </c>
      <c r="W359" s="180">
        <v>223</v>
      </c>
      <c r="Y359" s="184"/>
      <c r="Z359" s="181"/>
      <c r="AB359" s="182">
        <f>SUM(AH359:AS359)</f>
        <v>45577.535062655035</v>
      </c>
      <c r="AC359" s="182">
        <f>SUM(AT359:BE359)</f>
        <v>45599.977811643374</v>
      </c>
      <c r="AD359" s="182">
        <f>SUM(BF359:BQ359)</f>
        <v>45903.407635039461</v>
      </c>
      <c r="AE359" s="182">
        <f>SUM(BR359:CC359)</f>
        <v>46365.686307126693</v>
      </c>
      <c r="AF359" s="182">
        <f>SUM(CD359:CO359)</f>
        <v>46612.832180904108</v>
      </c>
      <c r="AH359" s="168">
        <v>4473.301236272282</v>
      </c>
      <c r="AI359" s="168">
        <v>6592.2971286339525</v>
      </c>
      <c r="AJ359" s="168">
        <v>384.27452846187754</v>
      </c>
      <c r="AK359" s="168">
        <v>2436.3197014055086</v>
      </c>
      <c r="AL359" s="168">
        <v>7603.3190591099819</v>
      </c>
      <c r="AM359" s="168">
        <v>3350.1726113268646</v>
      </c>
      <c r="AN359" s="168">
        <v>3415.0779078139431</v>
      </c>
      <c r="AO359" s="168">
        <v>2746.3074026480149</v>
      </c>
      <c r="AP359" s="168">
        <v>4136.6123943584398</v>
      </c>
      <c r="AQ359" s="168">
        <v>3485.5351396097462</v>
      </c>
      <c r="AR359" s="168">
        <v>3689.8786143141488</v>
      </c>
      <c r="AS359" s="168">
        <v>3264.439338700276</v>
      </c>
      <c r="AT359" s="168">
        <v>4636.3614570097188</v>
      </c>
      <c r="AU359" s="168">
        <v>6701.9730013163999</v>
      </c>
      <c r="AV359" s="168">
        <v>378.56384234106963</v>
      </c>
      <c r="AW359" s="168">
        <v>2394.699160090443</v>
      </c>
      <c r="AX359" s="168">
        <v>7508.6503491605417</v>
      </c>
      <c r="AY359" s="168">
        <v>3256.3923418089325</v>
      </c>
      <c r="AZ359" s="168">
        <v>3427.2878347942142</v>
      </c>
      <c r="BA359" s="168">
        <v>2721.1876147822236</v>
      </c>
      <c r="BB359" s="168">
        <v>4134.074904688664</v>
      </c>
      <c r="BC359" s="168">
        <v>3484.494018240212</v>
      </c>
      <c r="BD359" s="168">
        <v>3696.6917512470445</v>
      </c>
      <c r="BE359" s="168">
        <v>3259.6015361639097</v>
      </c>
      <c r="BF359" s="168">
        <v>4631.4301797420303</v>
      </c>
      <c r="BG359" s="168">
        <v>6781.5250011784656</v>
      </c>
      <c r="BH359" s="168">
        <v>384.23123657615406</v>
      </c>
      <c r="BI359" s="168">
        <v>2420.4967711287923</v>
      </c>
      <c r="BJ359" s="168">
        <v>7562.9050884799017</v>
      </c>
      <c r="BK359" s="168">
        <v>3300.0526956767867</v>
      </c>
      <c r="BL359" s="168">
        <v>3449.1470827778371</v>
      </c>
      <c r="BM359" s="168">
        <v>2741.8687885732229</v>
      </c>
      <c r="BN359" s="168">
        <v>4148.5376094049443</v>
      </c>
      <c r="BO359" s="168">
        <v>3475.0352336192977</v>
      </c>
      <c r="BP359" s="168">
        <v>3703.2193146999284</v>
      </c>
      <c r="BQ359" s="168">
        <v>3304.9586331821051</v>
      </c>
      <c r="BR359" s="168">
        <v>4694.4513876457486</v>
      </c>
      <c r="BS359" s="168">
        <v>6855.4344177621424</v>
      </c>
      <c r="BT359" s="168">
        <v>385.58061280533241</v>
      </c>
      <c r="BU359" s="168">
        <v>2434.2500514357544</v>
      </c>
      <c r="BV359" s="168">
        <v>7562.3221288324567</v>
      </c>
      <c r="BW359" s="168">
        <v>3363.9278415470749</v>
      </c>
      <c r="BX359" s="168">
        <v>3511.9376672177686</v>
      </c>
      <c r="BY359" s="168">
        <v>2779.1591794296946</v>
      </c>
      <c r="BZ359" s="168">
        <v>4183.6725591138156</v>
      </c>
      <c r="CA359" s="168">
        <v>3526.1420870907123</v>
      </c>
      <c r="CB359" s="168">
        <v>3751.2430734013578</v>
      </c>
      <c r="CC359" s="168">
        <v>3317.5653008448353</v>
      </c>
      <c r="CD359" s="168">
        <v>4721.9921899821384</v>
      </c>
      <c r="CE359" s="168">
        <v>6811.2386801961839</v>
      </c>
      <c r="CF359" s="168">
        <v>388.96693044010129</v>
      </c>
      <c r="CG359" s="168">
        <v>2482.3670064376993</v>
      </c>
      <c r="CH359" s="168">
        <v>7660.6034120710565</v>
      </c>
      <c r="CI359" s="168">
        <v>3345.4428787817515</v>
      </c>
      <c r="CJ359" s="168">
        <v>3515.4078442023501</v>
      </c>
      <c r="CK359" s="168">
        <v>2784.3781108429234</v>
      </c>
      <c r="CL359" s="168">
        <v>4249.8213309860848</v>
      </c>
      <c r="CM359" s="168">
        <v>3538.1052415075446</v>
      </c>
      <c r="CN359" s="168">
        <v>3789.4785085408635</v>
      </c>
      <c r="CO359" s="168">
        <v>3325.0300469153995</v>
      </c>
    </row>
    <row r="360" spans="1:93" x14ac:dyDescent="0.2">
      <c r="A360" s="118">
        <f t="shared" si="33"/>
        <v>15</v>
      </c>
      <c r="B360" s="243" t="s">
        <v>561</v>
      </c>
      <c r="C360" s="223"/>
      <c r="D360" s="172">
        <f>SUMIF($AH$6:$CP$6,1,$AH360:$CP360)+(SUM($AE$358:$AE$360)*'TOU Split'!E22)</f>
        <v>12962.61357882923</v>
      </c>
      <c r="E360" s="225" t="s">
        <v>555</v>
      </c>
      <c r="F360" s="173">
        <f>'Exhibit MJC-3 - E-13c cal yr'!F362</f>
        <v>16.37</v>
      </c>
      <c r="G360" s="233" t="s">
        <v>375</v>
      </c>
      <c r="H360" s="174">
        <f>ROUND(D360*F360,2)</f>
        <v>212197.98</v>
      </c>
      <c r="I360" s="229"/>
      <c r="J360" s="172">
        <f t="shared" si="35"/>
        <v>12962.61357882923</v>
      </c>
      <c r="K360" s="225" t="s">
        <v>555</v>
      </c>
      <c r="L360" s="183">
        <f>L356</f>
        <v>17.03</v>
      </c>
      <c r="M360" s="233" t="s">
        <v>375</v>
      </c>
      <c r="N360" s="174">
        <f>ROUND(J360*L360,2)</f>
        <v>220753.31</v>
      </c>
      <c r="O360" s="227"/>
      <c r="P360" s="1231"/>
      <c r="Q360" s="1022"/>
      <c r="S360" s="227"/>
      <c r="T360" s="306"/>
      <c r="U360" s="184" t="s">
        <v>614</v>
      </c>
      <c r="V360" s="179">
        <v>249</v>
      </c>
      <c r="W360" s="180">
        <v>223</v>
      </c>
      <c r="Y360" s="184"/>
      <c r="Z360" s="181"/>
      <c r="AB360" s="182">
        <f>SUM(AH360:AS360)</f>
        <v>11288.889134058874</v>
      </c>
      <c r="AC360" s="182">
        <f>SUM(AT360:BE360)</f>
        <v>11218.872165784627</v>
      </c>
      <c r="AD360" s="182">
        <f>SUM(BF360:BQ360)</f>
        <v>11287.602742571797</v>
      </c>
      <c r="AE360" s="182">
        <f>SUM(BR360:CC360)</f>
        <v>11406.69095186881</v>
      </c>
      <c r="AF360" s="182">
        <f>SUM(CD360:CO360)</f>
        <v>11480.040081302945</v>
      </c>
      <c r="AH360" s="168">
        <v>0</v>
      </c>
      <c r="AI360" s="168">
        <v>0</v>
      </c>
      <c r="AJ360" s="168">
        <v>0</v>
      </c>
      <c r="AK360" s="168">
        <v>136.42948350203011</v>
      </c>
      <c r="AL360" s="168">
        <v>2126.9896540287937</v>
      </c>
      <c r="AM360" s="168">
        <v>1295.3460720368271</v>
      </c>
      <c r="AN360" s="168">
        <v>1339.6041147686924</v>
      </c>
      <c r="AO360" s="168">
        <v>1024.9474894111806</v>
      </c>
      <c r="AP360" s="168">
        <v>1603.7506912400136</v>
      </c>
      <c r="AQ360" s="168">
        <v>1329.5779500827407</v>
      </c>
      <c r="AR360" s="168">
        <v>1390.4149525633443</v>
      </c>
      <c r="AS360" s="168">
        <v>1041.8287264252531</v>
      </c>
      <c r="AT360" s="168">
        <v>0</v>
      </c>
      <c r="AU360" s="168">
        <v>0</v>
      </c>
      <c r="AV360" s="168">
        <v>0</v>
      </c>
      <c r="AW360" s="168">
        <v>134.09880869304942</v>
      </c>
      <c r="AX360" s="168">
        <v>2100.5065661750155</v>
      </c>
      <c r="AY360" s="168">
        <v>1259.0858795488659</v>
      </c>
      <c r="AZ360" s="168">
        <v>1344.3936009430404</v>
      </c>
      <c r="BA360" s="168">
        <v>1015.5725507270555</v>
      </c>
      <c r="BB360" s="168">
        <v>1602.7669150424988</v>
      </c>
      <c r="BC360" s="168">
        <v>1329.1808081917977</v>
      </c>
      <c r="BD360" s="168">
        <v>1392.9822693928495</v>
      </c>
      <c r="BE360" s="168">
        <v>1040.2847670704543</v>
      </c>
      <c r="BF360" s="168">
        <v>0</v>
      </c>
      <c r="BG360" s="168">
        <v>0</v>
      </c>
      <c r="BH360" s="168">
        <v>0</v>
      </c>
      <c r="BI360" s="168">
        <v>135.54342811123078</v>
      </c>
      <c r="BJ360" s="168">
        <v>2115.6840522593384</v>
      </c>
      <c r="BK360" s="168">
        <v>1275.9671792452607</v>
      </c>
      <c r="BL360" s="168">
        <v>1352.9681457514064</v>
      </c>
      <c r="BM360" s="168">
        <v>1023.2909573171997</v>
      </c>
      <c r="BN360" s="168">
        <v>1608.3740569438205</v>
      </c>
      <c r="BO360" s="168">
        <v>1325.5726989738951</v>
      </c>
      <c r="BP360" s="168">
        <v>1395.4419768188573</v>
      </c>
      <c r="BQ360" s="168">
        <v>1054.7602471507878</v>
      </c>
      <c r="BR360" s="168">
        <v>0</v>
      </c>
      <c r="BS360" s="168">
        <v>0</v>
      </c>
      <c r="BT360" s="168">
        <v>0</v>
      </c>
      <c r="BU360" s="168">
        <v>136.31358685831759</v>
      </c>
      <c r="BV360" s="168">
        <v>2115.5209722768741</v>
      </c>
      <c r="BW360" s="168">
        <v>1300.6645393228018</v>
      </c>
      <c r="BX360" s="168">
        <v>1377.5984843717943</v>
      </c>
      <c r="BY360" s="168">
        <v>1037.2080783396498</v>
      </c>
      <c r="BZ360" s="168">
        <v>1621.995758594943</v>
      </c>
      <c r="CA360" s="168">
        <v>1345.0677098551539</v>
      </c>
      <c r="CB360" s="168">
        <v>1413.5382231066701</v>
      </c>
      <c r="CC360" s="168">
        <v>1058.7835991426057</v>
      </c>
      <c r="CD360" s="168">
        <v>0</v>
      </c>
      <c r="CE360" s="168">
        <v>0</v>
      </c>
      <c r="CF360" s="168">
        <v>0</v>
      </c>
      <c r="CG360" s="168">
        <v>139.0080490484886</v>
      </c>
      <c r="CH360" s="168">
        <v>2143.0146590481409</v>
      </c>
      <c r="CI360" s="168">
        <v>1293.5173183620514</v>
      </c>
      <c r="CJ360" s="168">
        <v>1378.9597017416484</v>
      </c>
      <c r="CK360" s="168">
        <v>1039.155832128698</v>
      </c>
      <c r="CL360" s="168">
        <v>1647.6414146297</v>
      </c>
      <c r="CM360" s="168">
        <v>1349.6311257121054</v>
      </c>
      <c r="CN360" s="168">
        <v>1427.9460468571581</v>
      </c>
      <c r="CO360" s="168">
        <v>1061.1659337749531</v>
      </c>
    </row>
    <row r="361" spans="1:93" x14ac:dyDescent="0.2">
      <c r="A361" s="118">
        <f t="shared" si="33"/>
        <v>16</v>
      </c>
      <c r="B361" s="234" t="s">
        <v>216</v>
      </c>
      <c r="C361" s="223"/>
      <c r="D361" s="168"/>
      <c r="E361" s="225"/>
      <c r="F361" s="183"/>
      <c r="G361" s="233"/>
      <c r="H361" s="174"/>
      <c r="I361" s="229"/>
      <c r="J361" s="168"/>
      <c r="K361" s="225"/>
      <c r="L361" s="183"/>
      <c r="M361" s="233"/>
      <c r="N361" s="174"/>
      <c r="O361" s="227"/>
      <c r="U361" s="184"/>
      <c r="V361" s="179"/>
      <c r="W361" s="180"/>
      <c r="Y361" s="184"/>
      <c r="Z361" s="181"/>
    </row>
    <row r="362" spans="1:93" x14ac:dyDescent="0.2">
      <c r="A362" s="118">
        <f t="shared" si="33"/>
        <v>17</v>
      </c>
      <c r="B362" s="243" t="s">
        <v>559</v>
      </c>
      <c r="C362" s="223"/>
      <c r="D362" s="172">
        <f>SUMIF($AH$6:$CP$6,1,$AH362:$CP362)+(SUM($AE$362:$AE$364)*'TOU Split'!E20)</f>
        <v>0</v>
      </c>
      <c r="E362" s="225" t="s">
        <v>555</v>
      </c>
      <c r="F362" s="173">
        <f>'Exhibit MJC-3 - E-13c cal yr'!F364</f>
        <v>29.14</v>
      </c>
      <c r="G362" s="233" t="s">
        <v>375</v>
      </c>
      <c r="H362" s="174">
        <f>ROUND(D362*F362,2)</f>
        <v>0</v>
      </c>
      <c r="I362" s="229"/>
      <c r="J362" s="172">
        <f t="shared" ref="J362:J364" si="36">D362</f>
        <v>0</v>
      </c>
      <c r="K362" s="225" t="s">
        <v>555</v>
      </c>
      <c r="L362" s="183">
        <f>L358</f>
        <v>30.32</v>
      </c>
      <c r="M362" s="233" t="s">
        <v>375</v>
      </c>
      <c r="N362" s="174">
        <f>ROUND(J362*L362,2)</f>
        <v>0</v>
      </c>
      <c r="O362" s="227"/>
      <c r="P362" s="1304"/>
      <c r="Q362" s="305"/>
      <c r="U362" s="184" t="s">
        <v>614</v>
      </c>
      <c r="V362" s="179">
        <v>249</v>
      </c>
      <c r="W362" s="180">
        <v>223</v>
      </c>
      <c r="Y362" s="184"/>
      <c r="Z362" s="181"/>
      <c r="AB362" s="182">
        <f>SUM(AH362:AS362)</f>
        <v>0</v>
      </c>
      <c r="AC362" s="182">
        <f>SUM(AT362:BE362)</f>
        <v>0</v>
      </c>
      <c r="AD362" s="182">
        <f>SUM(BF362:BQ362)</f>
        <v>0</v>
      </c>
      <c r="AE362" s="182">
        <f>SUM(BR362:CC362)</f>
        <v>0</v>
      </c>
      <c r="AF362" s="182">
        <f>SUM(CD362:CO362)</f>
        <v>0</v>
      </c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  <c r="AT362" s="168"/>
      <c r="AU362" s="168"/>
      <c r="AV362" s="168"/>
      <c r="AW362" s="168"/>
      <c r="AX362" s="168"/>
      <c r="AY362" s="168"/>
      <c r="AZ362" s="168"/>
      <c r="BA362" s="168"/>
      <c r="BB362" s="168"/>
      <c r="BC362" s="168"/>
      <c r="BD362" s="168"/>
      <c r="BE362" s="168"/>
      <c r="BF362" s="168"/>
      <c r="BG362" s="168"/>
      <c r="BH362" s="168"/>
      <c r="BI362" s="168"/>
      <c r="BJ362" s="168"/>
      <c r="BK362" s="168"/>
      <c r="BL362" s="168"/>
      <c r="BM362" s="168"/>
      <c r="BN362" s="168"/>
      <c r="BO362" s="168"/>
      <c r="BP362" s="168"/>
      <c r="BQ362" s="168"/>
      <c r="BR362" s="168"/>
      <c r="BS362" s="168"/>
      <c r="BT362" s="168"/>
      <c r="BU362" s="168"/>
      <c r="BV362" s="168"/>
      <c r="BW362" s="168"/>
      <c r="BX362" s="168"/>
      <c r="BY362" s="168"/>
      <c r="BZ362" s="168"/>
      <c r="CA362" s="168"/>
      <c r="CB362" s="168"/>
      <c r="CC362" s="168"/>
      <c r="CD362" s="168"/>
      <c r="CE362" s="168"/>
      <c r="CF362" s="168"/>
      <c r="CG362" s="168"/>
      <c r="CH362" s="168"/>
      <c r="CI362" s="168"/>
      <c r="CJ362" s="168"/>
      <c r="CK362" s="168"/>
      <c r="CL362" s="168"/>
      <c r="CM362" s="168"/>
      <c r="CN362" s="168"/>
      <c r="CO362" s="168"/>
    </row>
    <row r="363" spans="1:93" x14ac:dyDescent="0.2">
      <c r="A363" s="118">
        <f t="shared" si="33"/>
        <v>18</v>
      </c>
      <c r="B363" s="243" t="s">
        <v>560</v>
      </c>
      <c r="C363" s="223"/>
      <c r="D363" s="172">
        <f>SUMIF($AH$6:$CP$6,1,$AH363:$CP363)+(SUM($AE$362:$AE$364)*'TOU Split'!E21)</f>
        <v>0</v>
      </c>
      <c r="E363" s="225" t="s">
        <v>555</v>
      </c>
      <c r="F363" s="173">
        <f>'Exhibit MJC-3 - E-13c cal yr'!F365</f>
        <v>21.59</v>
      </c>
      <c r="G363" s="233" t="s">
        <v>375</v>
      </c>
      <c r="H363" s="174">
        <f>ROUND(D363*F363,2)</f>
        <v>0</v>
      </c>
      <c r="I363" s="229"/>
      <c r="J363" s="172">
        <f t="shared" si="36"/>
        <v>0</v>
      </c>
      <c r="K363" s="225" t="s">
        <v>555</v>
      </c>
      <c r="L363" s="183">
        <f>L359</f>
        <v>22.46</v>
      </c>
      <c r="M363" s="233" t="s">
        <v>375</v>
      </c>
      <c r="N363" s="174">
        <f>ROUND(J363*L363,2)</f>
        <v>0</v>
      </c>
      <c r="O363" s="227"/>
      <c r="P363" s="305"/>
      <c r="Q363" s="305"/>
      <c r="U363" s="184" t="s">
        <v>614</v>
      </c>
      <c r="V363" s="179">
        <v>249</v>
      </c>
      <c r="W363" s="180">
        <v>223</v>
      </c>
      <c r="Y363" s="184"/>
      <c r="Z363" s="181"/>
      <c r="AB363" s="182">
        <f>SUM(AH363:AS363)</f>
        <v>0</v>
      </c>
      <c r="AC363" s="182">
        <f>SUM(AT363:BE363)</f>
        <v>0</v>
      </c>
      <c r="AD363" s="182">
        <f>SUM(BF363:BQ363)</f>
        <v>0</v>
      </c>
      <c r="AE363" s="182">
        <f>SUM(BR363:CC363)</f>
        <v>0</v>
      </c>
      <c r="AF363" s="182">
        <f>SUM(CD363:CO363)</f>
        <v>0</v>
      </c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  <c r="AT363" s="168"/>
      <c r="AU363" s="168"/>
      <c r="AV363" s="168"/>
      <c r="AW363" s="168"/>
      <c r="AX363" s="168"/>
      <c r="AY363" s="168"/>
      <c r="AZ363" s="168"/>
      <c r="BA363" s="168"/>
      <c r="BB363" s="168"/>
      <c r="BC363" s="168"/>
      <c r="BD363" s="168"/>
      <c r="BE363" s="168"/>
      <c r="BF363" s="168"/>
      <c r="BG363" s="168"/>
      <c r="BH363" s="168"/>
      <c r="BI363" s="168"/>
      <c r="BJ363" s="168"/>
      <c r="BK363" s="168"/>
      <c r="BL363" s="168"/>
      <c r="BM363" s="168"/>
      <c r="BN363" s="168"/>
      <c r="BO363" s="168"/>
      <c r="BP363" s="168"/>
      <c r="BQ363" s="168"/>
      <c r="BR363" s="168"/>
      <c r="BS363" s="168"/>
      <c r="BT363" s="168"/>
      <c r="BU363" s="168"/>
      <c r="BV363" s="168"/>
      <c r="BW363" s="168"/>
      <c r="BX363" s="168"/>
      <c r="BY363" s="168"/>
      <c r="BZ363" s="168"/>
      <c r="CA363" s="168"/>
      <c r="CB363" s="168"/>
      <c r="CC363" s="168"/>
      <c r="CD363" s="168"/>
      <c r="CE363" s="168"/>
      <c r="CF363" s="168"/>
      <c r="CG363" s="168"/>
      <c r="CH363" s="168"/>
      <c r="CI363" s="168"/>
      <c r="CJ363" s="168"/>
      <c r="CK363" s="168"/>
      <c r="CL363" s="168"/>
      <c r="CM363" s="168"/>
      <c r="CN363" s="168"/>
      <c r="CO363" s="168"/>
    </row>
    <row r="364" spans="1:93" x14ac:dyDescent="0.2">
      <c r="A364" s="118">
        <f t="shared" si="33"/>
        <v>19</v>
      </c>
      <c r="B364" s="243" t="s">
        <v>561</v>
      </c>
      <c r="C364" s="223"/>
      <c r="D364" s="172">
        <f>SUMIF($AH$6:$CP$6,1,$AH364:$CP364)+(SUM($AE$362:$AE$364)*'TOU Split'!E22)</f>
        <v>0</v>
      </c>
      <c r="E364" s="225" t="s">
        <v>555</v>
      </c>
      <c r="F364" s="173">
        <f>'Exhibit MJC-3 - E-13c cal yr'!F366</f>
        <v>16.37</v>
      </c>
      <c r="G364" s="233" t="s">
        <v>375</v>
      </c>
      <c r="H364" s="174">
        <f>ROUND(D364*F364,2)</f>
        <v>0</v>
      </c>
      <c r="I364" s="229"/>
      <c r="J364" s="172">
        <f t="shared" si="36"/>
        <v>0</v>
      </c>
      <c r="K364" s="225" t="s">
        <v>555</v>
      </c>
      <c r="L364" s="183">
        <f>L360</f>
        <v>17.03</v>
      </c>
      <c r="M364" s="233" t="s">
        <v>375</v>
      </c>
      <c r="N364" s="174">
        <f>ROUND(J364*L364,2)</f>
        <v>0</v>
      </c>
      <c r="O364" s="227"/>
      <c r="P364" s="305"/>
      <c r="Q364" s="227"/>
      <c r="S364" s="227"/>
      <c r="U364" s="184" t="s">
        <v>614</v>
      </c>
      <c r="V364" s="179">
        <v>249</v>
      </c>
      <c r="W364" s="180">
        <v>223</v>
      </c>
      <c r="Y364" s="184"/>
      <c r="Z364" s="181"/>
      <c r="AB364" s="182">
        <f>SUM(AH364:AS364)</f>
        <v>0</v>
      </c>
      <c r="AC364" s="182">
        <f>SUM(AT364:BE364)</f>
        <v>0</v>
      </c>
      <c r="AD364" s="182">
        <f>SUM(BF364:BQ364)</f>
        <v>0</v>
      </c>
      <c r="AE364" s="182">
        <f>SUM(BR364:CC364)</f>
        <v>0</v>
      </c>
      <c r="AF364" s="182">
        <f>SUM(CD364:CO364)</f>
        <v>0</v>
      </c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  <c r="AT364" s="168"/>
      <c r="AU364" s="168"/>
      <c r="AV364" s="168"/>
      <c r="AW364" s="168"/>
      <c r="AX364" s="168"/>
      <c r="AY364" s="168"/>
      <c r="AZ364" s="168"/>
      <c r="BA364" s="168"/>
      <c r="BB364" s="168"/>
      <c r="BC364" s="168"/>
      <c r="BD364" s="168"/>
      <c r="BE364" s="168"/>
      <c r="BF364" s="168"/>
      <c r="BG364" s="168"/>
      <c r="BH364" s="168"/>
      <c r="BI364" s="168"/>
      <c r="BJ364" s="168"/>
      <c r="BK364" s="168"/>
      <c r="BL364" s="168"/>
      <c r="BM364" s="168"/>
      <c r="BN364" s="168"/>
      <c r="BO364" s="168"/>
      <c r="BP364" s="168"/>
      <c r="BQ364" s="168"/>
      <c r="BR364" s="168"/>
      <c r="BS364" s="168"/>
      <c r="BT364" s="168"/>
      <c r="BU364" s="168"/>
      <c r="BV364" s="168"/>
      <c r="BW364" s="168"/>
      <c r="BX364" s="168"/>
      <c r="BY364" s="168"/>
      <c r="BZ364" s="168"/>
      <c r="CA364" s="168"/>
      <c r="CB364" s="168"/>
      <c r="CC364" s="168"/>
      <c r="CD364" s="168"/>
      <c r="CE364" s="168"/>
      <c r="CF364" s="168"/>
      <c r="CG364" s="168"/>
      <c r="CH364" s="168"/>
      <c r="CI364" s="168"/>
      <c r="CJ364" s="168"/>
      <c r="CK364" s="168"/>
      <c r="CL364" s="168"/>
      <c r="CM364" s="168"/>
      <c r="CN364" s="168"/>
      <c r="CO364" s="168"/>
    </row>
    <row r="365" spans="1:93" x14ac:dyDescent="0.2">
      <c r="A365" s="118">
        <f t="shared" si="33"/>
        <v>20</v>
      </c>
      <c r="B365" s="243"/>
      <c r="C365" s="223" t="s">
        <v>374</v>
      </c>
      <c r="D365" s="204">
        <f>SUM(D349:D364)</f>
        <v>66611.501383213879</v>
      </c>
      <c r="E365" s="225" t="s">
        <v>617</v>
      </c>
      <c r="F365" s="183"/>
      <c r="G365" s="233"/>
      <c r="H365" s="206">
        <f>SUM(H349:H364)</f>
        <v>1437219.95</v>
      </c>
      <c r="I365" s="229"/>
      <c r="J365" s="204">
        <f>SUM(J349:J364)</f>
        <v>66611.501383213879</v>
      </c>
      <c r="K365" s="225" t="s">
        <v>617</v>
      </c>
      <c r="L365" s="183"/>
      <c r="M365" s="233"/>
      <c r="N365" s="206">
        <f>SUM(N349:N364)</f>
        <v>1495190.23</v>
      </c>
      <c r="O365" s="227"/>
      <c r="Q365" s="1022"/>
      <c r="S365" s="1235"/>
      <c r="U365" s="184"/>
      <c r="V365" s="179"/>
      <c r="W365" s="180"/>
      <c r="Y365" s="184" t="s">
        <v>613</v>
      </c>
      <c r="Z365" s="181" t="s">
        <v>141</v>
      </c>
      <c r="AB365" s="204">
        <f>SUM(AB349:AB363)</f>
        <v>65521.928324882771</v>
      </c>
      <c r="AC365" s="204">
        <f>SUM(AC349:AC363)</f>
        <v>65512.144853100515</v>
      </c>
      <c r="AD365" s="204">
        <f>SUM(AD349:AD363)</f>
        <v>65944.502032399352</v>
      </c>
      <c r="AE365" s="204">
        <f>SUM(AE349:AE363)</f>
        <v>66611.501383213865</v>
      </c>
      <c r="AF365" s="204">
        <f>SUM(AF349:AF363)</f>
        <v>66973.186570579986</v>
      </c>
      <c r="AH365" s="204">
        <f t="shared" ref="AH365:CO365" si="37">SUM(AH349:AH363)</f>
        <v>5813.3068697084764</v>
      </c>
      <c r="AI365" s="204">
        <f t="shared" si="37"/>
        <v>8529.3112640023901</v>
      </c>
      <c r="AJ365" s="204">
        <f t="shared" si="37"/>
        <v>515.13794946603434</v>
      </c>
      <c r="AK365" s="204">
        <f t="shared" si="37"/>
        <v>3145.043369907622</v>
      </c>
      <c r="AL365" s="204">
        <f t="shared" si="37"/>
        <v>11124.454693057833</v>
      </c>
      <c r="AM365" s="204">
        <f t="shared" si="37"/>
        <v>5092.6913303761448</v>
      </c>
      <c r="AN365" s="204">
        <f t="shared" si="37"/>
        <v>5225.2819362744431</v>
      </c>
      <c r="AO365" s="204">
        <f t="shared" si="37"/>
        <v>4101.3581342981643</v>
      </c>
      <c r="AP365" s="204">
        <f t="shared" si="37"/>
        <v>6297.3683386137036</v>
      </c>
      <c r="AQ365" s="204">
        <f t="shared" si="37"/>
        <v>5260.1065731123026</v>
      </c>
      <c r="AR365" s="204">
        <f t="shared" si="37"/>
        <v>5577.9093072286632</v>
      </c>
      <c r="AS365" s="204">
        <f t="shared" si="37"/>
        <v>4839.9585588369928</v>
      </c>
      <c r="AT365" s="204">
        <f t="shared" si="37"/>
        <v>6025.212809264438</v>
      </c>
      <c r="AU365" s="204">
        <f t="shared" si="37"/>
        <v>8671.2131895385537</v>
      </c>
      <c r="AV365" s="204">
        <f t="shared" si="37"/>
        <v>507.48250805519683</v>
      </c>
      <c r="AW365" s="204">
        <f t="shared" si="37"/>
        <v>3091.3154427232716</v>
      </c>
      <c r="AX365" s="204">
        <f t="shared" si="37"/>
        <v>10985.944423201281</v>
      </c>
      <c r="AY365" s="204">
        <f t="shared" si="37"/>
        <v>4950.133312941588</v>
      </c>
      <c r="AZ365" s="204">
        <f t="shared" si="37"/>
        <v>5243.9638851539285</v>
      </c>
      <c r="BA365" s="204">
        <f t="shared" si="37"/>
        <v>4063.8440358414982</v>
      </c>
      <c r="BB365" s="204">
        <f t="shared" si="37"/>
        <v>6293.5053933863983</v>
      </c>
      <c r="BC365" s="204">
        <f t="shared" si="37"/>
        <v>5258.5353913166982</v>
      </c>
      <c r="BD365" s="204">
        <f t="shared" si="37"/>
        <v>5588.2085782567119</v>
      </c>
      <c r="BE365" s="204">
        <f t="shared" si="37"/>
        <v>4832.7858834209528</v>
      </c>
      <c r="BF365" s="204">
        <f t="shared" si="37"/>
        <v>6018.8043367510636</v>
      </c>
      <c r="BG365" s="204">
        <f t="shared" si="37"/>
        <v>8774.1399471251079</v>
      </c>
      <c r="BH365" s="204">
        <f t="shared" si="37"/>
        <v>515.07991467166642</v>
      </c>
      <c r="BI365" s="204">
        <f t="shared" si="37"/>
        <v>3124.6175604661976</v>
      </c>
      <c r="BJ365" s="204">
        <f t="shared" si="37"/>
        <v>11065.324807576802</v>
      </c>
      <c r="BK365" s="204">
        <f t="shared" si="37"/>
        <v>5016.502641158354</v>
      </c>
      <c r="BL365" s="204">
        <f t="shared" si="37"/>
        <v>5277.4098962589824</v>
      </c>
      <c r="BM365" s="204">
        <f t="shared" si="37"/>
        <v>4094.729471416832</v>
      </c>
      <c r="BN365" s="204">
        <f t="shared" si="37"/>
        <v>6315.5226795346562</v>
      </c>
      <c r="BO365" s="204">
        <f t="shared" si="37"/>
        <v>5244.260907438249</v>
      </c>
      <c r="BP365" s="204">
        <f t="shared" si="37"/>
        <v>5598.0761540615422</v>
      </c>
      <c r="BQ365" s="204">
        <f t="shared" si="37"/>
        <v>4900.0337159399114</v>
      </c>
      <c r="BR365" s="204">
        <f t="shared" si="37"/>
        <v>6100.7039454501892</v>
      </c>
      <c r="BS365" s="204">
        <f t="shared" si="37"/>
        <v>8869.7661616421756</v>
      </c>
      <c r="BT365" s="204">
        <f t="shared" si="37"/>
        <v>516.88881651728047</v>
      </c>
      <c r="BU365" s="204">
        <f t="shared" si="37"/>
        <v>3142.3716602335385</v>
      </c>
      <c r="BV365" s="204">
        <f t="shared" si="37"/>
        <v>11064.47187635881</v>
      </c>
      <c r="BW365" s="204">
        <f t="shared" si="37"/>
        <v>5113.6010415513092</v>
      </c>
      <c r="BX365" s="204">
        <f t="shared" si="37"/>
        <v>5373.4834019003556</v>
      </c>
      <c r="BY365" s="204">
        <f t="shared" si="37"/>
        <v>4150.4192487967721</v>
      </c>
      <c r="BZ365" s="204">
        <f t="shared" si="37"/>
        <v>6369.010340156954</v>
      </c>
      <c r="CA365" s="204">
        <f t="shared" si="37"/>
        <v>5321.3875135714397</v>
      </c>
      <c r="CB365" s="204">
        <f t="shared" si="37"/>
        <v>5670.6726263654418</v>
      </c>
      <c r="CC365" s="204">
        <f t="shared" si="37"/>
        <v>4918.7247506696103</v>
      </c>
      <c r="CD365" s="204">
        <f t="shared" si="37"/>
        <v>6136.4947690417684</v>
      </c>
      <c r="CE365" s="204">
        <f t="shared" si="37"/>
        <v>8812.5843940599934</v>
      </c>
      <c r="CF365" s="204">
        <f t="shared" si="37"/>
        <v>521.42833343399582</v>
      </c>
      <c r="CG365" s="204">
        <f t="shared" si="37"/>
        <v>3204.4858032262291</v>
      </c>
      <c r="CH365" s="204">
        <f t="shared" si="37"/>
        <v>11208.267720524182</v>
      </c>
      <c r="CI365" s="204">
        <f t="shared" si="37"/>
        <v>5085.5015313054764</v>
      </c>
      <c r="CJ365" s="204">
        <f t="shared" si="37"/>
        <v>5378.7929888564013</v>
      </c>
      <c r="CK365" s="204">
        <f t="shared" si="37"/>
        <v>4158.2132440295536</v>
      </c>
      <c r="CL365" s="204">
        <f t="shared" si="37"/>
        <v>6469.7118664093823</v>
      </c>
      <c r="CM365" s="204">
        <f t="shared" si="37"/>
        <v>5339.4414033366093</v>
      </c>
      <c r="CN365" s="204">
        <f t="shared" si="37"/>
        <v>5728.4723026754509</v>
      </c>
      <c r="CO365" s="204">
        <f t="shared" si="37"/>
        <v>4929.7922136809329</v>
      </c>
    </row>
    <row r="366" spans="1:93" x14ac:dyDescent="0.2">
      <c r="A366" s="118">
        <f t="shared" si="33"/>
        <v>21</v>
      </c>
      <c r="B366" s="223"/>
      <c r="C366" s="223"/>
      <c r="D366" s="168"/>
      <c r="E366" s="225"/>
      <c r="F366" s="183"/>
      <c r="G366" s="233"/>
      <c r="H366" s="174"/>
      <c r="I366" s="229"/>
      <c r="J366" s="223"/>
      <c r="K366" s="225"/>
      <c r="L366" s="183"/>
      <c r="M366" s="233"/>
      <c r="N366" s="174"/>
      <c r="O366" s="227"/>
      <c r="Q366" s="227"/>
      <c r="U366" s="184"/>
      <c r="V366" s="179"/>
      <c r="W366" s="180"/>
      <c r="Y366" s="184"/>
      <c r="Z366" s="181"/>
      <c r="AB366" s="193">
        <f>SUM(AH366:AS366)</f>
        <v>0</v>
      </c>
      <c r="AC366" s="193">
        <f>SUM(AT366:BE366)</f>
        <v>0</v>
      </c>
      <c r="AD366" s="193">
        <f>SUM(BF366:BQ366)</f>
        <v>0</v>
      </c>
      <c r="AE366" s="193">
        <f>SUM(BR366:CC366)</f>
        <v>0</v>
      </c>
      <c r="AF366" s="193">
        <f>SUM(CD366:CO366)</f>
        <v>0</v>
      </c>
      <c r="AH366" s="294">
        <v>0</v>
      </c>
      <c r="AI366" s="294">
        <v>0</v>
      </c>
      <c r="AJ366" s="294">
        <v>0</v>
      </c>
      <c r="AK366" s="294">
        <v>0</v>
      </c>
      <c r="AL366" s="294">
        <v>0</v>
      </c>
      <c r="AM366" s="294">
        <v>0</v>
      </c>
      <c r="AN366" s="294">
        <v>0</v>
      </c>
      <c r="AO366" s="294">
        <v>0</v>
      </c>
      <c r="AP366" s="294">
        <v>0</v>
      </c>
      <c r="AQ366" s="294">
        <v>0</v>
      </c>
      <c r="AR366" s="294">
        <v>0</v>
      </c>
      <c r="AS366" s="294">
        <v>0</v>
      </c>
      <c r="AT366" s="294">
        <v>0</v>
      </c>
      <c r="AU366" s="294">
        <v>0</v>
      </c>
      <c r="AV366" s="294">
        <v>0</v>
      </c>
      <c r="AW366" s="294">
        <v>0</v>
      </c>
      <c r="AX366" s="294">
        <v>0</v>
      </c>
      <c r="AY366" s="294">
        <v>0</v>
      </c>
      <c r="AZ366" s="294">
        <v>0</v>
      </c>
      <c r="BA366" s="294">
        <v>0</v>
      </c>
      <c r="BB366" s="294">
        <v>0</v>
      </c>
      <c r="BC366" s="294">
        <v>0</v>
      </c>
      <c r="BD366" s="294">
        <v>0</v>
      </c>
      <c r="BE366" s="294">
        <v>0</v>
      </c>
      <c r="BF366" s="294">
        <v>0</v>
      </c>
      <c r="BG366" s="294">
        <v>0</v>
      </c>
      <c r="BH366" s="294">
        <v>0</v>
      </c>
      <c r="BI366" s="294">
        <v>0</v>
      </c>
      <c r="BJ366" s="294">
        <v>0</v>
      </c>
      <c r="BK366" s="294">
        <v>0</v>
      </c>
      <c r="BL366" s="294">
        <v>0</v>
      </c>
      <c r="BM366" s="294">
        <v>0</v>
      </c>
      <c r="BN366" s="294">
        <v>0</v>
      </c>
      <c r="BO366" s="294">
        <v>0</v>
      </c>
      <c r="BP366" s="294">
        <v>0</v>
      </c>
      <c r="BQ366" s="294">
        <v>0</v>
      </c>
      <c r="BR366" s="294">
        <v>0</v>
      </c>
      <c r="BS366" s="294">
        <v>0</v>
      </c>
      <c r="BT366" s="294">
        <v>0</v>
      </c>
      <c r="BU366" s="294">
        <v>0</v>
      </c>
      <c r="BV366" s="294">
        <v>0</v>
      </c>
      <c r="BW366" s="294">
        <v>0</v>
      </c>
      <c r="BX366" s="294">
        <v>0</v>
      </c>
      <c r="BY366" s="294">
        <v>0</v>
      </c>
      <c r="BZ366" s="294">
        <v>0</v>
      </c>
      <c r="CA366" s="294">
        <v>0</v>
      </c>
      <c r="CB366" s="294">
        <v>0</v>
      </c>
      <c r="CC366" s="294">
        <v>0</v>
      </c>
      <c r="CD366" s="294">
        <v>0</v>
      </c>
      <c r="CE366" s="294">
        <v>0</v>
      </c>
      <c r="CF366" s="294">
        <v>0</v>
      </c>
      <c r="CG366" s="294">
        <v>0</v>
      </c>
      <c r="CH366" s="294">
        <v>0</v>
      </c>
      <c r="CI366" s="294">
        <v>0</v>
      </c>
      <c r="CJ366" s="294">
        <v>0</v>
      </c>
      <c r="CK366" s="294">
        <v>0</v>
      </c>
      <c r="CL366" s="294">
        <v>0</v>
      </c>
      <c r="CM366" s="294">
        <v>0</v>
      </c>
      <c r="CN366" s="294">
        <v>0</v>
      </c>
      <c r="CO366" s="294">
        <v>0</v>
      </c>
    </row>
    <row r="367" spans="1:93" x14ac:dyDescent="0.2">
      <c r="A367" s="118">
        <f t="shared" si="33"/>
        <v>22</v>
      </c>
      <c r="B367" s="246" t="s">
        <v>563</v>
      </c>
      <c r="C367" s="223"/>
      <c r="D367" s="168"/>
      <c r="E367" s="225"/>
      <c r="F367" s="183"/>
      <c r="G367" s="233"/>
      <c r="H367" s="174"/>
      <c r="I367" s="229"/>
      <c r="J367" s="223"/>
      <c r="K367" s="225"/>
      <c r="L367" s="183"/>
      <c r="M367" s="233"/>
      <c r="N367" s="174"/>
      <c r="O367" s="227"/>
      <c r="Q367" s="176"/>
      <c r="U367" s="184"/>
      <c r="V367" s="179"/>
      <c r="W367" s="180"/>
      <c r="Y367" s="184"/>
      <c r="Z367" s="181"/>
    </row>
    <row r="368" spans="1:93" x14ac:dyDescent="0.2">
      <c r="A368" s="118">
        <f t="shared" si="33"/>
        <v>23</v>
      </c>
      <c r="B368" s="223"/>
      <c r="C368" s="223"/>
      <c r="E368" s="225"/>
      <c r="F368" s="183"/>
      <c r="G368" s="233"/>
      <c r="H368" s="174"/>
      <c r="I368" s="229"/>
      <c r="J368" s="223"/>
      <c r="K368" s="225"/>
      <c r="L368" s="183"/>
      <c r="M368" s="233"/>
      <c r="N368" s="174"/>
      <c r="O368" s="227"/>
      <c r="Q368" s="306"/>
      <c r="U368" s="184"/>
      <c r="V368" s="179"/>
      <c r="W368" s="180"/>
      <c r="Y368" s="184"/>
      <c r="Z368" s="181"/>
    </row>
    <row r="369" spans="1:93" x14ac:dyDescent="0.2">
      <c r="A369" s="118">
        <f t="shared" si="33"/>
        <v>24</v>
      </c>
      <c r="B369" s="234" t="s">
        <v>582</v>
      </c>
      <c r="C369" s="223"/>
      <c r="D369" s="172">
        <f>SUM(H305,H314:H317,H350,H358:H360)</f>
        <v>2663391.15</v>
      </c>
      <c r="E369" s="233" t="s">
        <v>10</v>
      </c>
      <c r="F369" s="248">
        <v>0.01</v>
      </c>
      <c r="G369" s="233" t="s">
        <v>375</v>
      </c>
      <c r="H369" s="174">
        <f>ROUND(D369*-F369,2)</f>
        <v>-26633.91</v>
      </c>
      <c r="I369" s="229"/>
      <c r="J369" s="172">
        <f>SUM(N305,N314:N317,N350,N358:N360)</f>
        <v>2772254.1700000004</v>
      </c>
      <c r="K369" s="233" t="s">
        <v>10</v>
      </c>
      <c r="L369" s="248">
        <v>0.01</v>
      </c>
      <c r="M369" s="233" t="s">
        <v>375</v>
      </c>
      <c r="N369" s="174">
        <f>ROUND(L369*-J369,2)</f>
        <v>-27722.54</v>
      </c>
      <c r="O369" s="227"/>
      <c r="Q369" s="176"/>
      <c r="U369" s="184" t="s">
        <v>613</v>
      </c>
      <c r="V369" s="179">
        <v>246</v>
      </c>
      <c r="W369" s="180">
        <v>220</v>
      </c>
      <c r="Y369" s="184" t="s">
        <v>613</v>
      </c>
      <c r="Z369" s="181" t="s">
        <v>417</v>
      </c>
      <c r="AB369" s="182">
        <f>SUM(AH369:AS369)</f>
        <v>-18820.362793667868</v>
      </c>
      <c r="AC369" s="182">
        <f>SUM(AT369:BE369)</f>
        <v>-19391.64884433099</v>
      </c>
      <c r="AD369" s="182">
        <f>SUM(BF369:BQ369)</f>
        <v>-19520.017801990121</v>
      </c>
      <c r="AE369" s="182">
        <f>SUM(BR369:CC369)</f>
        <v>-19717.087456888217</v>
      </c>
      <c r="AF369" s="182">
        <f>SUM(CD369:CO369)</f>
        <v>-19823.27742615826</v>
      </c>
      <c r="AH369" s="174">
        <v>-1138.412001411195</v>
      </c>
      <c r="AI369" s="174">
        <v>-2394.046334502465</v>
      </c>
      <c r="AJ369" s="174">
        <v>399.26005024470919</v>
      </c>
      <c r="AK369" s="174">
        <v>-2236.3939446850009</v>
      </c>
      <c r="AL369" s="174">
        <v>-3270.2259764770415</v>
      </c>
      <c r="AM369" s="174">
        <v>-1416.6121910484328</v>
      </c>
      <c r="AN369" s="174">
        <v>-1451.2776286652138</v>
      </c>
      <c r="AO369" s="174">
        <v>-1142.8868987736771</v>
      </c>
      <c r="AP369" s="174">
        <v>-1752.9865952576095</v>
      </c>
      <c r="AQ369" s="174">
        <v>-1464.7644082498714</v>
      </c>
      <c r="AR369" s="174">
        <v>-1558.4647115730641</v>
      </c>
      <c r="AS369" s="174">
        <v>-1393.5521532690043</v>
      </c>
      <c r="AT369" s="174">
        <v>-1208.254837250335</v>
      </c>
      <c r="AU369" s="174">
        <v>-2366.2190335937144</v>
      </c>
      <c r="AV369" s="174">
        <v>560.19335899062082</v>
      </c>
      <c r="AW369" s="174">
        <v>-2588.7048631834768</v>
      </c>
      <c r="AX369" s="174">
        <v>-3332.068277891844</v>
      </c>
      <c r="AY369" s="174">
        <v>-1420.6524221025768</v>
      </c>
      <c r="AZ369" s="174">
        <v>-1502.6788260471203</v>
      </c>
      <c r="BA369" s="174">
        <v>-1167.9519066614916</v>
      </c>
      <c r="BB369" s="174">
        <v>-1807.9525599419981</v>
      </c>
      <c r="BC369" s="174">
        <v>-1510.8006239323836</v>
      </c>
      <c r="BD369" s="174">
        <v>-1610.8937739665184</v>
      </c>
      <c r="BE369" s="174">
        <v>-1435.665078750148</v>
      </c>
      <c r="BF369" s="174">
        <v>-1208.4549828134966</v>
      </c>
      <c r="BG369" s="174">
        <v>-2367.7351636425415</v>
      </c>
      <c r="BH369" s="174">
        <v>595.06255842128644</v>
      </c>
      <c r="BI369" s="174">
        <v>-2670.5400149365673</v>
      </c>
      <c r="BJ369" s="174">
        <v>-3354.3963772477468</v>
      </c>
      <c r="BK369" s="174">
        <v>-1438.9918862798718</v>
      </c>
      <c r="BL369" s="174">
        <v>-1511.5179160499767</v>
      </c>
      <c r="BM369" s="174">
        <v>-1176.1795216281123</v>
      </c>
      <c r="BN369" s="174">
        <v>-1813.4616998838319</v>
      </c>
      <c r="BO369" s="174">
        <v>-1505.9606144631555</v>
      </c>
      <c r="BP369" s="174">
        <v>-1612.9420098565549</v>
      </c>
      <c r="BQ369" s="174">
        <v>-1454.9001736095554</v>
      </c>
      <c r="BR369" s="174">
        <v>-1224.2083165035076</v>
      </c>
      <c r="BS369" s="174">
        <v>-2375.5281186924749</v>
      </c>
      <c r="BT369" s="174">
        <v>617.1644513391434</v>
      </c>
      <c r="BU369" s="174">
        <v>-2727.6148573421115</v>
      </c>
      <c r="BV369" s="174">
        <v>-3355.0095345242953</v>
      </c>
      <c r="BW369" s="174">
        <v>-1467.200355989502</v>
      </c>
      <c r="BX369" s="174">
        <v>-1539.4087894787899</v>
      </c>
      <c r="BY369" s="174">
        <v>-1192.406866573157</v>
      </c>
      <c r="BZ369" s="174">
        <v>-1829.321613648395</v>
      </c>
      <c r="CA369" s="174">
        <v>-1528.477433091685</v>
      </c>
      <c r="CB369" s="174">
        <v>-1634.2563963788903</v>
      </c>
      <c r="CC369" s="174">
        <v>-1460.8196260045527</v>
      </c>
      <c r="CD369" s="174">
        <v>-1231.3642339195778</v>
      </c>
      <c r="CE369" s="174">
        <v>-2529.947718995491</v>
      </c>
      <c r="CF369" s="174">
        <v>440.70362208766221</v>
      </c>
      <c r="CG369" s="174">
        <v>-2400.6735695020548</v>
      </c>
      <c r="CH369" s="174">
        <v>-3399.077423775791</v>
      </c>
      <c r="CI369" s="174">
        <v>-1459.3139293837353</v>
      </c>
      <c r="CJ369" s="174">
        <v>-1541.1172417962377</v>
      </c>
      <c r="CK369" s="174">
        <v>-1195.2892192425281</v>
      </c>
      <c r="CL369" s="174">
        <v>-1857.9400775099778</v>
      </c>
      <c r="CM369" s="174">
        <v>-1533.8457799292607</v>
      </c>
      <c r="CN369" s="174">
        <v>-1651.114068725291</v>
      </c>
      <c r="CO369" s="174">
        <v>-1464.2977854659764</v>
      </c>
    </row>
    <row r="370" spans="1:93" x14ac:dyDescent="0.2">
      <c r="A370" s="118">
        <f t="shared" si="33"/>
        <v>25</v>
      </c>
      <c r="B370" s="234" t="s">
        <v>583</v>
      </c>
      <c r="C370" s="223"/>
      <c r="D370" s="183">
        <f>SUM(H306:H307,H319:H322,H351,H362:H364)</f>
        <v>0</v>
      </c>
      <c r="E370" s="233" t="s">
        <v>10</v>
      </c>
      <c r="F370" s="248">
        <v>0.02</v>
      </c>
      <c r="G370" s="233" t="s">
        <v>375</v>
      </c>
      <c r="H370" s="174">
        <f>ROUND(D370*-F370,2)</f>
        <v>0</v>
      </c>
      <c r="I370" s="229"/>
      <c r="J370" s="183">
        <f>SUM(N306:N307,N319:N322,N351,N362:N364)</f>
        <v>0</v>
      </c>
      <c r="K370" s="233" t="s">
        <v>10</v>
      </c>
      <c r="L370" s="248">
        <v>0.02</v>
      </c>
      <c r="M370" s="233" t="s">
        <v>375</v>
      </c>
      <c r="N370" s="174">
        <f>ROUND(L370*-J370,2)</f>
        <v>0</v>
      </c>
      <c r="O370" s="227"/>
      <c r="Q370" s="176"/>
      <c r="U370" s="184" t="s">
        <v>613</v>
      </c>
      <c r="V370" s="179">
        <v>246</v>
      </c>
      <c r="W370" s="180">
        <v>220</v>
      </c>
      <c r="Y370" s="184" t="s">
        <v>613</v>
      </c>
      <c r="Z370" s="181" t="s">
        <v>417</v>
      </c>
      <c r="AB370" s="182">
        <f>SUM(AH370:AS370)</f>
        <v>0</v>
      </c>
      <c r="AC370" s="182">
        <f>SUM(AT370:BE370)</f>
        <v>0</v>
      </c>
      <c r="AD370" s="182">
        <f>SUM(BF370:BQ370)</f>
        <v>0</v>
      </c>
      <c r="AE370" s="182">
        <f>SUM(BR370:CC370)</f>
        <v>0</v>
      </c>
      <c r="AF370" s="182">
        <f>SUM(CD370:CO370)</f>
        <v>0</v>
      </c>
      <c r="AH370" s="174">
        <v>0</v>
      </c>
      <c r="AI370" s="174">
        <v>0</v>
      </c>
      <c r="AJ370" s="174">
        <v>0</v>
      </c>
      <c r="AK370" s="174">
        <v>0</v>
      </c>
      <c r="AL370" s="174">
        <v>0</v>
      </c>
      <c r="AM370" s="174">
        <v>0</v>
      </c>
      <c r="AN370" s="174">
        <v>0</v>
      </c>
      <c r="AO370" s="174">
        <v>0</v>
      </c>
      <c r="AP370" s="174">
        <v>0</v>
      </c>
      <c r="AQ370" s="174">
        <v>0</v>
      </c>
      <c r="AR370" s="174">
        <v>0</v>
      </c>
      <c r="AS370" s="174">
        <v>0</v>
      </c>
      <c r="AT370" s="174">
        <v>0</v>
      </c>
      <c r="AU370" s="174">
        <v>0</v>
      </c>
      <c r="AV370" s="174">
        <v>0</v>
      </c>
      <c r="AW370" s="174">
        <v>0</v>
      </c>
      <c r="AX370" s="174">
        <v>0</v>
      </c>
      <c r="AY370" s="174">
        <v>0</v>
      </c>
      <c r="AZ370" s="174">
        <v>0</v>
      </c>
      <c r="BA370" s="174">
        <v>0</v>
      </c>
      <c r="BB370" s="174">
        <v>0</v>
      </c>
      <c r="BC370" s="174">
        <v>0</v>
      </c>
      <c r="BD370" s="174">
        <v>0</v>
      </c>
      <c r="BE370" s="174">
        <v>0</v>
      </c>
      <c r="BF370" s="174">
        <v>0</v>
      </c>
      <c r="BG370" s="174">
        <v>0</v>
      </c>
      <c r="BH370" s="174">
        <v>0</v>
      </c>
      <c r="BI370" s="174">
        <v>0</v>
      </c>
      <c r="BJ370" s="174">
        <v>0</v>
      </c>
      <c r="BK370" s="174">
        <v>0</v>
      </c>
      <c r="BL370" s="174">
        <v>0</v>
      </c>
      <c r="BM370" s="174">
        <v>0</v>
      </c>
      <c r="BN370" s="174">
        <v>0</v>
      </c>
      <c r="BO370" s="174">
        <v>0</v>
      </c>
      <c r="BP370" s="174">
        <v>0</v>
      </c>
      <c r="BQ370" s="174">
        <v>0</v>
      </c>
      <c r="BR370" s="174">
        <v>0</v>
      </c>
      <c r="BS370" s="174">
        <v>0</v>
      </c>
      <c r="BT370" s="174">
        <v>0</v>
      </c>
      <c r="BU370" s="174">
        <v>0</v>
      </c>
      <c r="BV370" s="174">
        <v>0</v>
      </c>
      <c r="BW370" s="174">
        <v>0</v>
      </c>
      <c r="BX370" s="174">
        <v>0</v>
      </c>
      <c r="BY370" s="174">
        <v>0</v>
      </c>
      <c r="BZ370" s="174">
        <v>0</v>
      </c>
      <c r="CA370" s="174">
        <v>0</v>
      </c>
      <c r="CB370" s="174">
        <v>0</v>
      </c>
      <c r="CC370" s="174">
        <v>0</v>
      </c>
      <c r="CD370" s="174">
        <v>0</v>
      </c>
      <c r="CE370" s="174">
        <v>0</v>
      </c>
      <c r="CF370" s="174">
        <v>0</v>
      </c>
      <c r="CG370" s="174">
        <v>0</v>
      </c>
      <c r="CH370" s="174">
        <v>0</v>
      </c>
      <c r="CI370" s="174">
        <v>0</v>
      </c>
      <c r="CJ370" s="174">
        <v>0</v>
      </c>
      <c r="CK370" s="174">
        <v>0</v>
      </c>
      <c r="CL370" s="174">
        <v>0</v>
      </c>
      <c r="CM370" s="174">
        <v>0</v>
      </c>
      <c r="CN370" s="174">
        <v>0</v>
      </c>
      <c r="CO370" s="174">
        <v>0</v>
      </c>
    </row>
    <row r="371" spans="1:93" x14ac:dyDescent="0.2">
      <c r="A371" s="118">
        <f t="shared" si="33"/>
        <v>26</v>
      </c>
      <c r="B371" s="234" t="s">
        <v>607</v>
      </c>
      <c r="C371" s="223"/>
      <c r="D371" s="168"/>
      <c r="E371" s="233" t="s">
        <v>618</v>
      </c>
      <c r="F371" s="183">
        <v>0</v>
      </c>
      <c r="G371" s="223"/>
      <c r="H371" s="172">
        <f>SUMIF($AH$6:$CP$6,1,$AH371:$CP371)</f>
        <v>0</v>
      </c>
      <c r="I371" s="229"/>
      <c r="J371" s="174"/>
      <c r="K371" s="233" t="s">
        <v>618</v>
      </c>
      <c r="L371" s="183">
        <v>0</v>
      </c>
      <c r="M371" s="223"/>
      <c r="N371" s="174">
        <f>+J371*L371</f>
        <v>0</v>
      </c>
      <c r="O371" s="227"/>
      <c r="Q371" s="176"/>
      <c r="U371" s="184" t="s">
        <v>613</v>
      </c>
      <c r="V371" s="179">
        <v>246</v>
      </c>
      <c r="W371" s="180">
        <v>220</v>
      </c>
      <c r="Y371" s="184" t="s">
        <v>613</v>
      </c>
      <c r="Z371" s="181" t="s">
        <v>608</v>
      </c>
      <c r="AB371" s="182">
        <f>SUM(AH371:AS371)</f>
        <v>0</v>
      </c>
      <c r="AC371" s="182">
        <f>SUM(AT371:BE371)</f>
        <v>0</v>
      </c>
      <c r="AD371" s="182">
        <f>SUM(BF371:BQ371)</f>
        <v>0</v>
      </c>
      <c r="AE371" s="182">
        <f>SUM(BR371:CC371)</f>
        <v>0</v>
      </c>
      <c r="AF371" s="182">
        <f>SUM(CD371:CO371)</f>
        <v>0</v>
      </c>
      <c r="AH371" s="172"/>
      <c r="AI371" s="172"/>
      <c r="AJ371" s="172"/>
      <c r="AK371" s="172"/>
      <c r="AL371" s="172"/>
      <c r="AM371" s="172"/>
      <c r="AN371" s="172"/>
      <c r="AO371" s="172"/>
      <c r="AP371" s="172"/>
      <c r="AQ371" s="172"/>
      <c r="AR371" s="172"/>
      <c r="AS371" s="172"/>
      <c r="AT371" s="172"/>
      <c r="AU371" s="172"/>
      <c r="AV371" s="172"/>
      <c r="AW371" s="172"/>
      <c r="AX371" s="172"/>
      <c r="AY371" s="172"/>
      <c r="AZ371" s="172"/>
      <c r="BA371" s="172"/>
      <c r="BB371" s="172"/>
      <c r="BC371" s="172"/>
      <c r="BD371" s="172"/>
      <c r="BE371" s="172"/>
      <c r="BF371" s="172"/>
      <c r="BG371" s="172"/>
      <c r="BH371" s="172"/>
      <c r="BI371" s="172"/>
      <c r="BJ371" s="172"/>
      <c r="BK371" s="172"/>
      <c r="BL371" s="172"/>
      <c r="BM371" s="172"/>
      <c r="BN371" s="172"/>
      <c r="BO371" s="172"/>
      <c r="BP371" s="172"/>
      <c r="BQ371" s="172"/>
      <c r="BR371" s="172"/>
      <c r="BS371" s="172"/>
      <c r="BT371" s="172"/>
      <c r="BU371" s="172"/>
      <c r="BV371" s="172"/>
      <c r="BW371" s="172"/>
      <c r="BX371" s="172"/>
      <c r="BY371" s="172"/>
      <c r="BZ371" s="172"/>
      <c r="CA371" s="172"/>
      <c r="CB371" s="172"/>
      <c r="CC371" s="172"/>
      <c r="CD371" s="172"/>
      <c r="CE371" s="172"/>
      <c r="CF371" s="172"/>
      <c r="CG371" s="172"/>
      <c r="CH371" s="172"/>
      <c r="CI371" s="172"/>
      <c r="CJ371" s="172"/>
      <c r="CK371" s="172"/>
      <c r="CL371" s="172"/>
      <c r="CM371" s="172"/>
      <c r="CN371" s="172"/>
      <c r="CO371" s="172"/>
    </row>
    <row r="372" spans="1:93" x14ac:dyDescent="0.2">
      <c r="A372" s="118">
        <f t="shared" si="33"/>
        <v>27</v>
      </c>
      <c r="B372" s="171" t="s">
        <v>564</v>
      </c>
      <c r="C372" s="223"/>
      <c r="D372" s="168"/>
      <c r="E372" s="223"/>
      <c r="F372" s="166"/>
      <c r="G372" s="223"/>
      <c r="H372" s="1225">
        <f>'MFR E-5 Yr4'!N22*1000</f>
        <v>261173.30400000003</v>
      </c>
      <c r="I372" s="162"/>
      <c r="J372" s="208"/>
      <c r="K372" s="166"/>
      <c r="L372" s="166"/>
      <c r="M372" s="143"/>
      <c r="N372" s="174">
        <f>H372</f>
        <v>261173.30400000003</v>
      </c>
      <c r="O372" s="227"/>
      <c r="Q372" s="176"/>
      <c r="U372" s="184"/>
      <c r="V372" s="179"/>
      <c r="W372" s="180"/>
      <c r="Y372" s="184" t="s">
        <v>613</v>
      </c>
      <c r="Z372" s="181" t="s">
        <v>565</v>
      </c>
      <c r="AB372" s="182"/>
      <c r="AC372" s="182"/>
      <c r="AD372" s="182"/>
      <c r="AE372" s="182"/>
      <c r="AF372" s="182"/>
      <c r="AH372" s="172"/>
      <c r="AI372" s="172"/>
      <c r="AJ372" s="172"/>
      <c r="AK372" s="172"/>
      <c r="AL372" s="172"/>
      <c r="AM372" s="172"/>
      <c r="AN372" s="172"/>
      <c r="AO372" s="172"/>
      <c r="AP372" s="172"/>
      <c r="AQ372" s="172"/>
      <c r="AR372" s="172"/>
      <c r="AS372" s="172"/>
      <c r="AT372" s="172"/>
      <c r="AU372" s="172"/>
      <c r="AV372" s="172"/>
      <c r="AW372" s="172"/>
      <c r="AX372" s="172"/>
      <c r="AY372" s="172"/>
      <c r="AZ372" s="172"/>
      <c r="BA372" s="172"/>
      <c r="BB372" s="172"/>
      <c r="BC372" s="172"/>
      <c r="BD372" s="172"/>
      <c r="BE372" s="172"/>
      <c r="BF372" s="172"/>
      <c r="BG372" s="172"/>
      <c r="BH372" s="172"/>
      <c r="BI372" s="172"/>
      <c r="BJ372" s="172"/>
      <c r="BK372" s="172"/>
      <c r="BL372" s="172"/>
      <c r="BM372" s="172"/>
      <c r="BN372" s="172"/>
      <c r="BO372" s="172"/>
      <c r="BP372" s="172"/>
      <c r="BQ372" s="172"/>
      <c r="BR372" s="172"/>
      <c r="BS372" s="172"/>
      <c r="BT372" s="172"/>
      <c r="BU372" s="172"/>
      <c r="BV372" s="172"/>
      <c r="BW372" s="172"/>
      <c r="BX372" s="172"/>
      <c r="BY372" s="172"/>
      <c r="BZ372" s="172"/>
      <c r="CA372" s="172"/>
      <c r="CB372" s="172"/>
      <c r="CC372" s="172"/>
      <c r="CD372" s="172"/>
      <c r="CE372" s="172"/>
      <c r="CF372" s="172"/>
      <c r="CG372" s="172"/>
      <c r="CH372" s="172"/>
      <c r="CI372" s="172"/>
      <c r="CJ372" s="172"/>
      <c r="CK372" s="172"/>
      <c r="CL372" s="172"/>
      <c r="CM372" s="172"/>
      <c r="CN372" s="172"/>
      <c r="CO372" s="172"/>
    </row>
    <row r="373" spans="1:93" x14ac:dyDescent="0.2">
      <c r="A373" s="118">
        <f t="shared" si="33"/>
        <v>28</v>
      </c>
      <c r="B373" s="171" t="s">
        <v>566</v>
      </c>
      <c r="C373" s="223"/>
      <c r="D373" s="168"/>
      <c r="E373" s="223"/>
      <c r="F373" s="166"/>
      <c r="G373" s="223"/>
      <c r="H373" s="1225">
        <f>'MFR E-5 Yr4'!N23*1000</f>
        <v>110998.65419999966</v>
      </c>
      <c r="I373" s="162"/>
      <c r="J373" s="208"/>
      <c r="K373" s="166"/>
      <c r="L373" s="166"/>
      <c r="M373" s="143"/>
      <c r="N373" s="174">
        <f>H373</f>
        <v>110998.65419999966</v>
      </c>
      <c r="O373" s="227"/>
      <c r="Q373" s="176"/>
      <c r="U373" s="184"/>
      <c r="V373" s="179"/>
      <c r="W373" s="180"/>
      <c r="Y373" s="184" t="s">
        <v>613</v>
      </c>
      <c r="Z373" s="181" t="s">
        <v>565</v>
      </c>
      <c r="AB373" s="182"/>
      <c r="AC373" s="182"/>
      <c r="AD373" s="182"/>
      <c r="AE373" s="182"/>
      <c r="AF373" s="182"/>
      <c r="AH373" s="172"/>
      <c r="AI373" s="172"/>
      <c r="AJ373" s="172"/>
      <c r="AK373" s="172"/>
      <c r="AL373" s="172"/>
      <c r="AM373" s="172"/>
      <c r="AN373" s="172"/>
      <c r="AO373" s="172"/>
      <c r="AP373" s="172"/>
      <c r="AQ373" s="172"/>
      <c r="AR373" s="172"/>
      <c r="AS373" s="172"/>
      <c r="AT373" s="172"/>
      <c r="AU373" s="172"/>
      <c r="AV373" s="172"/>
      <c r="AW373" s="172"/>
      <c r="AX373" s="172"/>
      <c r="AY373" s="172"/>
      <c r="AZ373" s="172"/>
      <c r="BA373" s="172"/>
      <c r="BB373" s="172"/>
      <c r="BC373" s="172"/>
      <c r="BD373" s="172"/>
      <c r="BE373" s="172"/>
      <c r="BF373" s="172"/>
      <c r="BG373" s="172"/>
      <c r="BH373" s="172"/>
      <c r="BI373" s="172"/>
      <c r="BJ373" s="172"/>
      <c r="BK373" s="172"/>
      <c r="BL373" s="172"/>
      <c r="BM373" s="172"/>
      <c r="BN373" s="172"/>
      <c r="BO373" s="172"/>
      <c r="BP373" s="172"/>
      <c r="BQ373" s="172"/>
      <c r="BR373" s="172"/>
      <c r="BS373" s="172"/>
      <c r="BT373" s="172"/>
      <c r="BU373" s="172"/>
      <c r="BV373" s="172"/>
      <c r="BW373" s="172"/>
      <c r="BX373" s="172"/>
      <c r="BY373" s="172"/>
      <c r="BZ373" s="172"/>
      <c r="CA373" s="172"/>
      <c r="CB373" s="172"/>
      <c r="CC373" s="172"/>
      <c r="CD373" s="172"/>
      <c r="CE373" s="172"/>
      <c r="CF373" s="172"/>
      <c r="CG373" s="172"/>
      <c r="CH373" s="172"/>
      <c r="CI373" s="172"/>
      <c r="CJ373" s="172"/>
      <c r="CK373" s="172"/>
      <c r="CL373" s="172"/>
      <c r="CM373" s="172"/>
      <c r="CN373" s="172"/>
      <c r="CO373" s="172"/>
    </row>
    <row r="374" spans="1:93" x14ac:dyDescent="0.2">
      <c r="A374" s="118">
        <f t="shared" si="33"/>
        <v>29</v>
      </c>
      <c r="B374" s="234"/>
      <c r="C374" s="223" t="s">
        <v>374</v>
      </c>
      <c r="E374" s="223"/>
      <c r="F374" s="183"/>
      <c r="G374" s="223"/>
      <c r="H374" s="206">
        <f>SUM(H369:H373)</f>
        <v>345538.04819999967</v>
      </c>
      <c r="I374" s="229"/>
      <c r="J374" s="249"/>
      <c r="K374" s="223"/>
      <c r="L374" s="183"/>
      <c r="M374" s="223"/>
      <c r="N374" s="206">
        <f>SUM(N369:N373)</f>
        <v>344449.41819999967</v>
      </c>
      <c r="O374" s="227"/>
      <c r="Q374" s="176"/>
      <c r="U374" s="184"/>
      <c r="V374" s="179"/>
      <c r="W374" s="180"/>
      <c r="Y374" s="184"/>
      <c r="Z374" s="181"/>
      <c r="AB374" s="182"/>
      <c r="AC374" s="182"/>
      <c r="AD374" s="182"/>
      <c r="AE374" s="182"/>
      <c r="AF374" s="182"/>
      <c r="AH374" s="182"/>
      <c r="AI374" s="182"/>
      <c r="AJ374" s="182"/>
      <c r="AK374" s="182"/>
      <c r="AL374" s="182"/>
      <c r="AM374" s="182"/>
      <c r="AN374" s="182"/>
      <c r="AO374" s="182"/>
      <c r="AP374" s="182"/>
      <c r="AQ374" s="182"/>
      <c r="AR374" s="182"/>
      <c r="AS374" s="182"/>
      <c r="AT374" s="182"/>
      <c r="AU374" s="182"/>
      <c r="AV374" s="182"/>
      <c r="AW374" s="182"/>
      <c r="AX374" s="182"/>
      <c r="AY374" s="182"/>
      <c r="AZ374" s="182"/>
      <c r="BA374" s="182"/>
      <c r="BB374" s="182"/>
      <c r="BC374" s="182"/>
      <c r="BD374" s="182"/>
      <c r="BE374" s="182"/>
      <c r="BF374" s="182"/>
      <c r="BG374" s="182"/>
      <c r="BH374" s="182"/>
      <c r="BI374" s="182"/>
      <c r="BJ374" s="182"/>
      <c r="BK374" s="182"/>
      <c r="BL374" s="182"/>
      <c r="BM374" s="182"/>
      <c r="BN374" s="182"/>
      <c r="BO374" s="182"/>
      <c r="BP374" s="182"/>
      <c r="BQ374" s="182"/>
      <c r="BR374" s="182"/>
      <c r="BS374" s="182"/>
      <c r="BT374" s="182"/>
      <c r="BU374" s="182"/>
      <c r="BV374" s="182"/>
      <c r="BW374" s="182"/>
      <c r="BX374" s="182"/>
      <c r="BY374" s="182"/>
      <c r="BZ374" s="182"/>
      <c r="CA374" s="182"/>
      <c r="CB374" s="182"/>
      <c r="CC374" s="182"/>
      <c r="CD374" s="182"/>
      <c r="CE374" s="182"/>
      <c r="CF374" s="182"/>
      <c r="CG374" s="182"/>
      <c r="CH374" s="182"/>
      <c r="CI374" s="182"/>
      <c r="CJ374" s="182"/>
      <c r="CK374" s="182"/>
      <c r="CL374" s="182"/>
      <c r="CM374" s="182"/>
      <c r="CN374" s="182"/>
      <c r="CO374" s="182"/>
    </row>
    <row r="375" spans="1:93" x14ac:dyDescent="0.2">
      <c r="A375" s="118">
        <f t="shared" si="33"/>
        <v>30</v>
      </c>
      <c r="B375" s="234"/>
      <c r="C375" s="223"/>
      <c r="E375" s="223"/>
      <c r="F375" s="183"/>
      <c r="G375" s="223"/>
      <c r="H375" s="174"/>
      <c r="I375" s="229"/>
      <c r="J375" s="249"/>
      <c r="K375" s="223"/>
      <c r="L375" s="183"/>
      <c r="M375" s="223"/>
      <c r="N375" s="174"/>
      <c r="O375" s="227"/>
      <c r="Q375" s="227"/>
      <c r="U375" s="184"/>
      <c r="V375" s="179"/>
      <c r="W375" s="180"/>
      <c r="Y375" s="184"/>
      <c r="Z375" s="181"/>
    </row>
    <row r="376" spans="1:93" ht="10.8" thickBot="1" x14ac:dyDescent="0.25">
      <c r="A376" s="118">
        <f t="shared" si="33"/>
        <v>31</v>
      </c>
      <c r="B376" s="246" t="s">
        <v>619</v>
      </c>
      <c r="C376" s="223"/>
      <c r="D376" s="168"/>
      <c r="E376" s="225"/>
      <c r="F376" s="183"/>
      <c r="G376" s="223"/>
      <c r="H376" s="210">
        <f>H300+H323+H365+H374</f>
        <v>3031017.9181999997</v>
      </c>
      <c r="I376" s="229"/>
      <c r="J376" s="168"/>
      <c r="K376" s="225"/>
      <c r="L376" s="183"/>
      <c r="M376" s="223"/>
      <c r="N376" s="210">
        <f>N300+N323+N365+N374</f>
        <v>3139687.2881999998</v>
      </c>
      <c r="O376" s="227"/>
      <c r="Q376" s="939">
        <f>(N376-H376)/H376</f>
        <v>3.5852434044512181E-2</v>
      </c>
      <c r="U376" s="184"/>
      <c r="V376" s="179"/>
      <c r="W376" s="180"/>
      <c r="Y376" s="184" t="s">
        <v>613</v>
      </c>
      <c r="Z376" s="181" t="s">
        <v>121</v>
      </c>
    </row>
    <row r="377" spans="1:93" ht="10.8" thickTop="1" x14ac:dyDescent="0.2">
      <c r="A377" s="118">
        <f t="shared" si="33"/>
        <v>32</v>
      </c>
      <c r="B377" s="223"/>
      <c r="C377" s="223"/>
      <c r="D377" s="168"/>
      <c r="E377" s="225"/>
      <c r="F377" s="183"/>
      <c r="G377" s="223"/>
      <c r="H377" s="174"/>
      <c r="I377" s="229"/>
      <c r="J377" s="223"/>
      <c r="K377" s="225"/>
      <c r="L377" s="183"/>
      <c r="M377" s="223"/>
      <c r="N377" s="174"/>
      <c r="O377" s="227"/>
      <c r="Q377" s="227"/>
      <c r="U377" s="184"/>
      <c r="V377" s="179"/>
      <c r="W377" s="180"/>
      <c r="Y377" s="184"/>
      <c r="Z377" s="181"/>
    </row>
    <row r="378" spans="1:93" x14ac:dyDescent="0.2">
      <c r="A378" s="118">
        <f t="shared" si="33"/>
        <v>33</v>
      </c>
      <c r="B378" s="226"/>
      <c r="C378" s="223"/>
      <c r="D378" s="168"/>
      <c r="E378" s="225"/>
      <c r="F378" s="183"/>
      <c r="G378" s="223"/>
      <c r="H378" s="174"/>
      <c r="I378" s="229"/>
      <c r="J378" s="171" t="s">
        <v>573</v>
      </c>
      <c r="K378" s="166"/>
      <c r="L378" s="166"/>
      <c r="M378" s="143"/>
      <c r="N378" s="174">
        <f>N376-H376</f>
        <v>108669.37000000011</v>
      </c>
      <c r="P378" s="182"/>
      <c r="Q378" s="227"/>
      <c r="U378" s="184"/>
      <c r="V378" s="179"/>
      <c r="W378" s="180"/>
      <c r="Y378" s="184"/>
      <c r="Z378" s="181"/>
    </row>
    <row r="379" spans="1:93" x14ac:dyDescent="0.2">
      <c r="A379" s="118">
        <f t="shared" si="33"/>
        <v>34</v>
      </c>
      <c r="B379" s="223"/>
      <c r="C379" s="223"/>
      <c r="D379" s="168"/>
      <c r="E379" s="225"/>
      <c r="F379" s="183"/>
      <c r="G379" s="223"/>
      <c r="H379" s="174"/>
      <c r="I379" s="229"/>
      <c r="J379" s="171"/>
      <c r="K379" s="166"/>
      <c r="L379" s="166"/>
      <c r="M379" s="143"/>
      <c r="N379" s="212"/>
      <c r="Q379" s="227"/>
      <c r="U379" s="184"/>
      <c r="V379" s="179"/>
      <c r="W379" s="180"/>
      <c r="Y379" s="184"/>
      <c r="Z379" s="181"/>
    </row>
    <row r="380" spans="1:93" x14ac:dyDescent="0.2">
      <c r="A380" s="118">
        <f t="shared" si="33"/>
        <v>35</v>
      </c>
      <c r="B380" s="223"/>
      <c r="C380" s="223"/>
      <c r="D380" s="168"/>
      <c r="E380" s="225"/>
      <c r="F380" s="183"/>
      <c r="G380" s="223"/>
      <c r="H380" s="174"/>
      <c r="I380" s="229"/>
      <c r="J380" s="171" t="s">
        <v>620</v>
      </c>
      <c r="N380" s="174">
        <f>-ROUND((H376-(H376*(1+'Exhibit MJC-2 - Old E-8a'!V27))),2)</f>
        <v>122827.44</v>
      </c>
      <c r="P380" s="101" t="s">
        <v>672</v>
      </c>
      <c r="Q380" s="939">
        <f>N380/H376</f>
        <v>4.0523495180438358E-2</v>
      </c>
      <c r="U380" s="184"/>
      <c r="V380" s="179"/>
      <c r="W380" s="180"/>
      <c r="Y380" s="184"/>
      <c r="Z380" s="181"/>
    </row>
    <row r="381" spans="1:93" x14ac:dyDescent="0.2">
      <c r="A381" s="118">
        <f t="shared" si="33"/>
        <v>36</v>
      </c>
      <c r="B381" s="223"/>
      <c r="C381" s="223"/>
      <c r="D381" s="168"/>
      <c r="E381" s="225"/>
      <c r="F381" s="183"/>
      <c r="G381" s="223"/>
      <c r="H381" s="174"/>
      <c r="I381" s="229"/>
      <c r="P381" s="1284"/>
      <c r="Q381" s="227"/>
      <c r="U381" s="184"/>
      <c r="V381" s="179"/>
      <c r="W381" s="180"/>
      <c r="Y381" s="184"/>
      <c r="Z381" s="181"/>
    </row>
    <row r="382" spans="1:93" x14ac:dyDescent="0.2">
      <c r="A382" s="118">
        <f t="shared" si="33"/>
        <v>37</v>
      </c>
      <c r="B382" s="223"/>
      <c r="C382" s="223"/>
      <c r="D382" s="168"/>
      <c r="E382" s="225"/>
      <c r="F382" s="183"/>
      <c r="G382" s="223"/>
      <c r="H382" s="174"/>
      <c r="I382" s="229"/>
      <c r="J382" s="171" t="s">
        <v>575</v>
      </c>
      <c r="N382" s="214">
        <f>N378-N380</f>
        <v>-14158.069999999891</v>
      </c>
      <c r="U382" s="184"/>
      <c r="V382" s="179"/>
      <c r="W382" s="180"/>
      <c r="Y382" s="184"/>
      <c r="Z382" s="181"/>
    </row>
    <row r="383" spans="1:93" x14ac:dyDescent="0.2">
      <c r="A383" s="118">
        <f t="shared" si="33"/>
        <v>38</v>
      </c>
      <c r="B383" s="228"/>
      <c r="C383" s="227"/>
      <c r="D383" s="227"/>
      <c r="E383" s="223"/>
      <c r="F383" s="183"/>
      <c r="G383" s="223"/>
      <c r="H383" s="174"/>
      <c r="I383" s="229"/>
      <c r="L383" s="197"/>
      <c r="P383" s="250"/>
      <c r="U383" s="184"/>
      <c r="V383" s="179"/>
      <c r="W383" s="180"/>
      <c r="Y383" s="184"/>
      <c r="Z383" s="181"/>
    </row>
    <row r="384" spans="1:93" x14ac:dyDescent="0.2">
      <c r="A384" s="118">
        <f t="shared" si="33"/>
        <v>39</v>
      </c>
      <c r="B384" s="227"/>
      <c r="C384" s="227"/>
      <c r="D384" s="227"/>
      <c r="E384" s="227"/>
      <c r="F384" s="197"/>
      <c r="G384" s="227"/>
      <c r="H384" s="203"/>
      <c r="I384" s="229"/>
      <c r="J384" s="171"/>
      <c r="L384" s="197"/>
      <c r="N384" s="214"/>
      <c r="U384" s="184"/>
      <c r="V384" s="179"/>
      <c r="W384" s="180"/>
      <c r="Y384" s="184"/>
      <c r="Z384" s="181"/>
    </row>
    <row r="385" spans="1:93" x14ac:dyDescent="0.2">
      <c r="A385" s="118">
        <f t="shared" si="33"/>
        <v>40</v>
      </c>
      <c r="B385" s="227"/>
      <c r="C385" s="227"/>
      <c r="D385" s="227"/>
      <c r="E385" s="227"/>
      <c r="F385" s="197"/>
      <c r="G385" s="227"/>
      <c r="H385" s="203"/>
      <c r="I385" s="229"/>
      <c r="J385" s="227"/>
      <c r="K385" s="227"/>
      <c r="L385" s="197"/>
      <c r="M385" s="227"/>
      <c r="N385" s="227"/>
      <c r="O385" s="227"/>
      <c r="P385" s="227"/>
      <c r="Q385" s="227"/>
      <c r="U385" s="184"/>
      <c r="V385" s="179"/>
      <c r="W385" s="180"/>
      <c r="Y385" s="184"/>
      <c r="Z385" s="181"/>
    </row>
    <row r="386" spans="1:93" x14ac:dyDescent="0.2">
      <c r="A386" s="118">
        <f t="shared" si="33"/>
        <v>41</v>
      </c>
      <c r="B386" s="223"/>
      <c r="C386" s="223"/>
      <c r="D386" s="168"/>
      <c r="E386" s="225"/>
      <c r="F386" s="183"/>
      <c r="G386" s="223"/>
      <c r="H386" s="203"/>
      <c r="I386" s="229"/>
      <c r="J386" s="223"/>
      <c r="K386" s="225"/>
      <c r="L386" s="183"/>
      <c r="M386" s="223"/>
      <c r="N386" s="223"/>
      <c r="O386" s="227"/>
      <c r="P386" s="227"/>
      <c r="Q386" s="227"/>
      <c r="U386" s="184"/>
      <c r="V386" s="179"/>
      <c r="W386" s="180"/>
      <c r="Y386" s="184"/>
      <c r="Z386" s="181"/>
    </row>
    <row r="387" spans="1:93" x14ac:dyDescent="0.2">
      <c r="A387" s="118">
        <f t="shared" si="33"/>
        <v>42</v>
      </c>
      <c r="B387" s="223"/>
      <c r="C387" s="223"/>
      <c r="D387" s="168"/>
      <c r="E387" s="225"/>
      <c r="F387" s="183"/>
      <c r="G387" s="223"/>
      <c r="H387" s="203"/>
      <c r="I387" s="229"/>
      <c r="J387" s="223"/>
      <c r="K387" s="225"/>
      <c r="L387" s="183"/>
      <c r="M387" s="223"/>
      <c r="N387" s="223"/>
      <c r="O387" s="227"/>
      <c r="P387" s="227"/>
      <c r="Q387" s="227"/>
      <c r="U387" s="184"/>
      <c r="V387" s="179"/>
      <c r="W387" s="180"/>
      <c r="Y387" s="184"/>
      <c r="Z387" s="181"/>
    </row>
    <row r="388" spans="1:93" x14ac:dyDescent="0.2">
      <c r="A388" s="118">
        <f t="shared" si="33"/>
        <v>43</v>
      </c>
      <c r="B388" s="223"/>
      <c r="C388" s="223"/>
      <c r="D388" s="168"/>
      <c r="E388" s="225"/>
      <c r="F388" s="183"/>
      <c r="G388" s="223"/>
      <c r="H388" s="203"/>
      <c r="I388" s="229"/>
      <c r="J388" s="223"/>
      <c r="K388" s="225"/>
      <c r="L388" s="183"/>
      <c r="M388" s="223"/>
      <c r="N388" s="223"/>
      <c r="O388" s="227"/>
      <c r="P388" s="227"/>
      <c r="Q388" s="227"/>
      <c r="U388" s="298"/>
      <c r="V388" s="253"/>
      <c r="W388" s="254"/>
      <c r="Y388" s="298"/>
      <c r="Z388" s="255"/>
    </row>
    <row r="389" spans="1:93" x14ac:dyDescent="0.2">
      <c r="A389" s="215"/>
      <c r="B389" s="215" t="s">
        <v>98</v>
      </c>
      <c r="C389" s="215"/>
      <c r="D389" s="215"/>
      <c r="E389" s="215"/>
      <c r="F389" s="299"/>
      <c r="G389" s="215"/>
      <c r="H389" s="300"/>
      <c r="I389" s="215"/>
      <c r="J389" s="215"/>
      <c r="K389" s="215"/>
      <c r="L389" s="299"/>
      <c r="M389" s="215"/>
      <c r="N389" s="215" t="s">
        <v>99</v>
      </c>
      <c r="O389" s="215"/>
      <c r="P389" s="215"/>
      <c r="Q389" s="215"/>
      <c r="Y389" s="101"/>
    </row>
    <row r="390" spans="1:93" x14ac:dyDescent="0.2">
      <c r="A390" s="216"/>
      <c r="B390" s="216"/>
      <c r="C390" s="216"/>
      <c r="D390" s="216"/>
      <c r="E390" s="216"/>
      <c r="F390" s="216"/>
      <c r="G390" s="216"/>
      <c r="H390" s="216"/>
      <c r="I390" s="216"/>
      <c r="J390" s="216"/>
      <c r="K390" s="216"/>
      <c r="L390" s="216"/>
      <c r="M390" s="216"/>
      <c r="N390" s="216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  <c r="Y390" s="216"/>
      <c r="Z390" s="217"/>
      <c r="AA390" s="216"/>
      <c r="AB390" s="216"/>
      <c r="AC390" s="216"/>
      <c r="AD390" s="216"/>
      <c r="AE390" s="216"/>
      <c r="AF390" s="216"/>
      <c r="AG390" s="216"/>
      <c r="AH390" s="216"/>
      <c r="AI390" s="216"/>
      <c r="AJ390" s="216"/>
      <c r="AK390" s="216"/>
      <c r="AL390" s="216"/>
      <c r="AM390" s="216"/>
      <c r="AN390" s="216"/>
      <c r="AO390" s="216"/>
      <c r="AP390" s="216"/>
      <c r="AQ390" s="216"/>
      <c r="AR390" s="216"/>
      <c r="AS390" s="216"/>
      <c r="AT390" s="216"/>
      <c r="AU390" s="216"/>
      <c r="AV390" s="216"/>
      <c r="AW390" s="216"/>
      <c r="AX390" s="216"/>
      <c r="AY390" s="216"/>
      <c r="AZ390" s="216"/>
      <c r="BA390" s="216"/>
      <c r="BB390" s="216"/>
      <c r="BC390" s="216"/>
      <c r="BD390" s="216"/>
      <c r="BE390" s="216"/>
      <c r="BF390" s="216"/>
      <c r="BG390" s="216"/>
      <c r="BH390" s="216"/>
      <c r="BI390" s="216"/>
      <c r="BJ390" s="216"/>
      <c r="BK390" s="216"/>
      <c r="BL390" s="216"/>
      <c r="BM390" s="216"/>
      <c r="BN390" s="216"/>
      <c r="BO390" s="216"/>
      <c r="BP390" s="216"/>
      <c r="BQ390" s="216"/>
      <c r="BR390" s="216"/>
      <c r="BS390" s="216"/>
      <c r="BT390" s="216"/>
      <c r="BU390" s="216"/>
      <c r="BV390" s="216"/>
      <c r="BW390" s="216"/>
      <c r="BX390" s="216"/>
      <c r="BY390" s="216"/>
      <c r="BZ390" s="216"/>
      <c r="CA390" s="216"/>
      <c r="CB390" s="216"/>
      <c r="CC390" s="216"/>
      <c r="CD390" s="216"/>
      <c r="CE390" s="216"/>
      <c r="CF390" s="216"/>
      <c r="CG390" s="216"/>
      <c r="CH390" s="216"/>
      <c r="CI390" s="216"/>
      <c r="CJ390" s="216"/>
      <c r="CK390" s="216"/>
      <c r="CL390" s="216"/>
      <c r="CM390" s="216"/>
      <c r="CN390" s="216"/>
      <c r="CO390" s="216"/>
    </row>
    <row r="391" spans="1:93" x14ac:dyDescent="0.2">
      <c r="A391" s="100" t="s">
        <v>505</v>
      </c>
      <c r="C391" s="102"/>
      <c r="D391" s="103"/>
      <c r="F391" s="268"/>
      <c r="G391" s="104"/>
      <c r="H391" s="102" t="s">
        <v>506</v>
      </c>
      <c r="I391" s="104"/>
      <c r="J391" s="104"/>
      <c r="K391" s="104"/>
      <c r="L391" s="268"/>
      <c r="N391" s="105"/>
      <c r="Q391" s="106" t="s">
        <v>621</v>
      </c>
      <c r="R391" s="105"/>
      <c r="S391" s="105"/>
      <c r="U391" s="114"/>
      <c r="V391" s="114"/>
      <c r="W391" s="114"/>
      <c r="Y391" s="114"/>
      <c r="Z391" s="218"/>
      <c r="AD391" s="114"/>
    </row>
    <row r="392" spans="1:93" ht="10.8" thickBot="1" x14ac:dyDescent="0.25">
      <c r="A392" s="108"/>
      <c r="B392" s="109"/>
      <c r="C392" s="109"/>
      <c r="D392" s="109"/>
      <c r="E392" s="110" t="s">
        <v>416</v>
      </c>
      <c r="F392" s="271" t="s">
        <v>416</v>
      </c>
      <c r="G392" s="109" t="s">
        <v>416</v>
      </c>
      <c r="H392" s="109" t="s">
        <v>416</v>
      </c>
      <c r="I392" s="109" t="s">
        <v>416</v>
      </c>
      <c r="J392" s="109"/>
      <c r="K392" s="109"/>
      <c r="L392" s="271" t="s">
        <v>416</v>
      </c>
      <c r="M392" s="111"/>
      <c r="N392" s="111"/>
      <c r="O392" s="109"/>
      <c r="P392" s="112"/>
      <c r="Q392" s="109"/>
      <c r="U392" s="114"/>
      <c r="V392" s="114"/>
      <c r="W392" s="114"/>
      <c r="Y392" s="114"/>
      <c r="Z392" s="218"/>
      <c r="AD392" s="114"/>
    </row>
    <row r="393" spans="1:93" x14ac:dyDescent="0.2">
      <c r="A393" s="113"/>
      <c r="F393" s="197"/>
      <c r="L393" s="197"/>
      <c r="M393" s="105"/>
      <c r="N393" s="105"/>
      <c r="P393" s="114"/>
      <c r="U393" s="114"/>
      <c r="V393" s="114"/>
      <c r="W393" s="114"/>
      <c r="Y393" s="114"/>
      <c r="Z393" s="218"/>
      <c r="AD393" s="114"/>
    </row>
    <row r="394" spans="1:93" x14ac:dyDescent="0.2">
      <c r="A394" s="100" t="s">
        <v>3</v>
      </c>
      <c r="D394" s="106" t="s">
        <v>4</v>
      </c>
      <c r="E394" s="101" t="s">
        <v>508</v>
      </c>
      <c r="F394" s="197"/>
      <c r="L394" s="197"/>
      <c r="O394" s="100" t="s">
        <v>6</v>
      </c>
      <c r="U394" s="114"/>
      <c r="V394" s="114"/>
      <c r="W394" s="114"/>
      <c r="Y394" s="114"/>
      <c r="Z394" s="218"/>
      <c r="AD394" s="114"/>
    </row>
    <row r="395" spans="1:93" x14ac:dyDescent="0.2">
      <c r="E395" s="101" t="s">
        <v>509</v>
      </c>
      <c r="F395" s="197"/>
      <c r="L395" s="197"/>
      <c r="U395" s="114"/>
      <c r="V395" s="114"/>
      <c r="W395" s="114"/>
      <c r="Y395" s="114"/>
      <c r="Z395" s="218"/>
      <c r="AD395" s="114"/>
    </row>
    <row r="396" spans="1:93" x14ac:dyDescent="0.2">
      <c r="A396" s="100" t="s">
        <v>9</v>
      </c>
      <c r="E396" s="101" t="s">
        <v>510</v>
      </c>
      <c r="F396" s="197"/>
      <c r="L396" s="197"/>
      <c r="O396" s="107" t="str">
        <f>O338</f>
        <v>__X__  Projected Test Year Ended 12/31/26</v>
      </c>
      <c r="U396" s="114"/>
      <c r="V396" s="114"/>
      <c r="W396" s="114"/>
      <c r="Y396" s="114"/>
      <c r="Z396" s="218"/>
      <c r="AD396" s="114"/>
    </row>
    <row r="397" spans="1:93" x14ac:dyDescent="0.2">
      <c r="E397" s="101" t="s">
        <v>512</v>
      </c>
      <c r="F397" s="197"/>
      <c r="L397" s="197"/>
      <c r="U397" s="114"/>
      <c r="V397" s="114"/>
      <c r="W397" s="114"/>
      <c r="Y397" s="114"/>
      <c r="Z397" s="218"/>
      <c r="AD397" s="114"/>
    </row>
    <row r="398" spans="1:93" x14ac:dyDescent="0.2">
      <c r="A398" s="100" t="s">
        <v>491</v>
      </c>
      <c r="C398" s="119" t="s">
        <v>605</v>
      </c>
      <c r="F398" s="197"/>
      <c r="L398" s="197"/>
      <c r="O398" s="100" t="s">
        <v>493</v>
      </c>
      <c r="U398" s="114"/>
      <c r="V398" s="114"/>
      <c r="W398" s="114"/>
      <c r="Y398" s="114"/>
      <c r="Z398" s="218"/>
      <c r="AD398" s="114"/>
    </row>
    <row r="399" spans="1:93" ht="10.8" thickBot="1" x14ac:dyDescent="0.25">
      <c r="A399" s="123"/>
      <c r="B399" s="109"/>
      <c r="C399" s="109"/>
      <c r="D399" s="109"/>
      <c r="E399" s="109"/>
      <c r="F399" s="274"/>
      <c r="G399" s="109"/>
      <c r="H399" s="109"/>
      <c r="I399" s="109"/>
      <c r="J399" s="109"/>
      <c r="K399" s="109"/>
      <c r="L399" s="274"/>
      <c r="M399" s="109"/>
      <c r="N399" s="123"/>
      <c r="O399" s="109"/>
      <c r="P399" s="109"/>
      <c r="Q399" s="109"/>
      <c r="U399" s="114"/>
      <c r="V399" s="114"/>
      <c r="W399" s="114"/>
      <c r="Y399" s="114"/>
      <c r="Z399" s="218"/>
      <c r="AD399" s="114"/>
    </row>
    <row r="400" spans="1:93" ht="15.6" x14ac:dyDescent="0.2">
      <c r="B400" s="124"/>
      <c r="C400" s="125"/>
      <c r="D400" s="125"/>
      <c r="E400" s="125"/>
      <c r="F400" s="276"/>
      <c r="G400" s="125"/>
      <c r="H400" s="125"/>
      <c r="I400" s="126" t="s">
        <v>622</v>
      </c>
      <c r="J400" s="125"/>
      <c r="K400" s="125"/>
      <c r="L400" s="276"/>
      <c r="M400" s="125"/>
      <c r="N400" s="125"/>
      <c r="U400" s="127" t="s">
        <v>530</v>
      </c>
      <c r="V400" s="128"/>
      <c r="W400" s="129"/>
      <c r="Y400" s="130" t="s">
        <v>531</v>
      </c>
      <c r="Z400" s="131"/>
    </row>
    <row r="401" spans="1:93" x14ac:dyDescent="0.2">
      <c r="A401" s="101" t="s">
        <v>30</v>
      </c>
      <c r="B401" s="101" t="s">
        <v>532</v>
      </c>
      <c r="C401" s="132"/>
      <c r="D401" s="133" t="s">
        <v>533</v>
      </c>
      <c r="E401" s="134"/>
      <c r="F401" s="278"/>
      <c r="G401" s="133"/>
      <c r="H401" s="133"/>
      <c r="I401" s="135"/>
      <c r="J401" s="136" t="s">
        <v>534</v>
      </c>
      <c r="K401" s="133"/>
      <c r="L401" s="278"/>
      <c r="M401" s="134"/>
      <c r="N401" s="134"/>
      <c r="O401" s="137"/>
      <c r="Q401" s="118" t="s">
        <v>332</v>
      </c>
      <c r="U401" s="138"/>
      <c r="V401" s="139"/>
      <c r="W401" s="140"/>
      <c r="Y401" s="138"/>
      <c r="Z401" s="141"/>
    </row>
    <row r="402" spans="1:93" x14ac:dyDescent="0.2">
      <c r="A402" s="101" t="s">
        <v>39</v>
      </c>
      <c r="B402" s="102" t="s">
        <v>535</v>
      </c>
      <c r="C402" s="104"/>
      <c r="D402" s="142" t="s">
        <v>536</v>
      </c>
      <c r="E402" s="143"/>
      <c r="F402" s="281" t="s">
        <v>537</v>
      </c>
      <c r="G402" s="142"/>
      <c r="H402" s="142" t="s">
        <v>538</v>
      </c>
      <c r="I402" s="144"/>
      <c r="J402" s="142" t="s">
        <v>536</v>
      </c>
      <c r="K402" s="143"/>
      <c r="L402" s="281" t="s">
        <v>537</v>
      </c>
      <c r="M402" s="142"/>
      <c r="N402" s="142" t="s">
        <v>538</v>
      </c>
      <c r="O402" s="132"/>
      <c r="Q402" s="145" t="s">
        <v>539</v>
      </c>
      <c r="R402" s="132"/>
      <c r="S402" s="132"/>
      <c r="U402" s="138" t="s">
        <v>128</v>
      </c>
      <c r="V402" s="146" t="s">
        <v>343</v>
      </c>
      <c r="W402" s="147" t="s">
        <v>344</v>
      </c>
      <c r="X402" s="118"/>
      <c r="Y402" s="148" t="s">
        <v>128</v>
      </c>
      <c r="Z402" s="149"/>
      <c r="AA402" s="118"/>
      <c r="AB402" s="118"/>
      <c r="AH402" s="116"/>
      <c r="AI402" s="116"/>
      <c r="AJ402" s="116"/>
      <c r="AK402" s="116"/>
      <c r="AL402" s="116"/>
      <c r="AM402" s="116"/>
      <c r="AN402" s="116"/>
      <c r="AO402" s="116"/>
      <c r="AP402" s="116"/>
      <c r="AQ402" s="116"/>
      <c r="AR402" s="116"/>
      <c r="AS402" s="116"/>
      <c r="AT402" s="116"/>
      <c r="AU402" s="116"/>
      <c r="AV402" s="116"/>
      <c r="AW402" s="116"/>
      <c r="AX402" s="116"/>
      <c r="AY402" s="116"/>
      <c r="AZ402" s="116"/>
      <c r="BA402" s="116"/>
      <c r="BB402" s="116"/>
      <c r="BC402" s="116"/>
      <c r="BD402" s="116"/>
      <c r="BE402" s="116"/>
      <c r="BF402" s="116"/>
      <c r="BG402" s="116"/>
      <c r="BH402" s="116"/>
      <c r="BI402" s="116"/>
      <c r="BJ402" s="116"/>
      <c r="BK402" s="116"/>
      <c r="BL402" s="116"/>
      <c r="BM402" s="116"/>
      <c r="BN402" s="116"/>
      <c r="BO402" s="116"/>
      <c r="BP402" s="116"/>
      <c r="BQ402" s="116"/>
      <c r="BR402" s="116"/>
      <c r="BS402" s="116"/>
      <c r="BT402" s="116"/>
      <c r="BU402" s="116"/>
      <c r="BV402" s="116"/>
      <c r="BW402" s="116"/>
      <c r="BX402" s="116"/>
      <c r="BY402" s="116"/>
      <c r="BZ402" s="116"/>
      <c r="CA402" s="116"/>
      <c r="CB402" s="116"/>
      <c r="CC402" s="116"/>
      <c r="CD402" s="116"/>
      <c r="CE402" s="116"/>
      <c r="CF402" s="116"/>
      <c r="CG402" s="116"/>
      <c r="CH402" s="116"/>
      <c r="CI402" s="116"/>
      <c r="CJ402" s="116"/>
      <c r="CK402" s="116"/>
      <c r="CL402" s="116"/>
      <c r="CM402" s="116"/>
      <c r="CN402" s="116"/>
      <c r="CO402" s="116"/>
    </row>
    <row r="403" spans="1:93" ht="10.8" thickBot="1" x14ac:dyDescent="0.25">
      <c r="A403" s="109"/>
      <c r="B403" s="110" t="s">
        <v>273</v>
      </c>
      <c r="C403" s="150"/>
      <c r="D403" s="220" t="str">
        <f>+$D$13</f>
        <v>Jan '26-Dec '26</v>
      </c>
      <c r="E403" s="221"/>
      <c r="F403" s="152">
        <f>+$L$13</f>
        <v>46023</v>
      </c>
      <c r="G403" s="153"/>
      <c r="H403" s="153"/>
      <c r="I403" s="153"/>
      <c r="J403" s="153"/>
      <c r="K403" s="151"/>
      <c r="L403" s="152">
        <f>+$L$13</f>
        <v>46023</v>
      </c>
      <c r="M403" s="154"/>
      <c r="N403" s="154"/>
      <c r="O403" s="155"/>
      <c r="P403" s="109"/>
      <c r="Q403" s="156"/>
      <c r="R403" s="132"/>
      <c r="S403" s="132"/>
      <c r="U403" s="157" t="s">
        <v>144</v>
      </c>
      <c r="V403" s="158" t="s">
        <v>540</v>
      </c>
      <c r="W403" s="159" t="s">
        <v>540</v>
      </c>
      <c r="X403" s="118"/>
      <c r="Y403" s="160" t="s">
        <v>144</v>
      </c>
      <c r="Z403" s="159" t="s">
        <v>541</v>
      </c>
      <c r="AA403" s="118"/>
      <c r="AH403" s="116"/>
      <c r="AI403" s="116"/>
      <c r="AJ403" s="116"/>
      <c r="AK403" s="116"/>
      <c r="AL403" s="116"/>
      <c r="AM403" s="116"/>
      <c r="AN403" s="116"/>
      <c r="AO403" s="116"/>
      <c r="AP403" s="116"/>
      <c r="AQ403" s="116"/>
      <c r="AR403" s="116"/>
      <c r="AS403" s="116"/>
      <c r="AT403" s="116"/>
      <c r="AU403" s="116"/>
      <c r="AV403" s="116"/>
      <c r="AW403" s="116"/>
      <c r="AX403" s="116"/>
      <c r="AY403" s="116"/>
      <c r="AZ403" s="116"/>
      <c r="BA403" s="116"/>
      <c r="BB403" s="116"/>
      <c r="BC403" s="116"/>
      <c r="BD403" s="116"/>
      <c r="BE403" s="116"/>
      <c r="BF403" s="116"/>
      <c r="BG403" s="116"/>
      <c r="BH403" s="116"/>
      <c r="BI403" s="116"/>
      <c r="BJ403" s="116"/>
      <c r="BK403" s="116"/>
      <c r="BL403" s="116"/>
      <c r="BM403" s="116"/>
      <c r="BN403" s="116"/>
      <c r="BO403" s="116"/>
      <c r="BP403" s="116"/>
      <c r="BQ403" s="116"/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6"/>
      <c r="CB403" s="116"/>
      <c r="CC403" s="116"/>
      <c r="CD403" s="116"/>
      <c r="CE403" s="116"/>
      <c r="CF403" s="116"/>
      <c r="CG403" s="116"/>
      <c r="CH403" s="116"/>
      <c r="CI403" s="116"/>
      <c r="CJ403" s="116"/>
      <c r="CK403" s="116"/>
      <c r="CL403" s="116"/>
      <c r="CM403" s="116"/>
      <c r="CN403" s="116"/>
      <c r="CO403" s="116"/>
    </row>
    <row r="404" spans="1:93" x14ac:dyDescent="0.2">
      <c r="A404" s="118">
        <v>1</v>
      </c>
      <c r="B404" s="222" t="s">
        <v>542</v>
      </c>
      <c r="C404" s="223"/>
      <c r="E404" s="225"/>
      <c r="F404" s="284"/>
      <c r="G404" s="227"/>
      <c r="H404" s="307"/>
      <c r="I404" s="308"/>
      <c r="J404" s="226"/>
      <c r="K404" s="225"/>
      <c r="L404" s="284"/>
      <c r="M404" s="227"/>
      <c r="N404" s="307"/>
      <c r="O404" s="227"/>
      <c r="Q404" s="145"/>
      <c r="R404" s="132"/>
      <c r="S404" s="132"/>
      <c r="T404" s="118"/>
      <c r="U404" s="163"/>
      <c r="V404" s="139"/>
      <c r="W404" s="140"/>
      <c r="X404" s="118"/>
      <c r="Y404" s="163"/>
      <c r="Z404" s="141"/>
      <c r="AA404" s="118"/>
      <c r="AB404" s="118"/>
      <c r="AH404" s="116"/>
      <c r="AI404" s="116"/>
      <c r="AJ404" s="116"/>
      <c r="AK404" s="116"/>
      <c r="AL404" s="116"/>
      <c r="AM404" s="116"/>
      <c r="AN404" s="116"/>
      <c r="AO404" s="116"/>
      <c r="AP404" s="116"/>
      <c r="AQ404" s="116"/>
      <c r="AR404" s="116"/>
      <c r="AS404" s="116"/>
      <c r="AT404" s="116"/>
      <c r="AU404" s="116"/>
      <c r="AV404" s="116"/>
      <c r="AW404" s="116"/>
      <c r="AX404" s="116"/>
      <c r="AY404" s="116"/>
      <c r="AZ404" s="116"/>
      <c r="BA404" s="116"/>
      <c r="BB404" s="116"/>
      <c r="BC404" s="116"/>
      <c r="BD404" s="116"/>
      <c r="BE404" s="116"/>
      <c r="BF404" s="116"/>
      <c r="BG404" s="116"/>
      <c r="BH404" s="116"/>
      <c r="BI404" s="116"/>
      <c r="BJ404" s="116"/>
      <c r="BK404" s="116"/>
      <c r="BL404" s="116"/>
      <c r="BM404" s="116"/>
      <c r="BN404" s="116"/>
      <c r="BO404" s="116"/>
      <c r="BP404" s="116"/>
      <c r="BQ404" s="116"/>
      <c r="BR404" s="116"/>
      <c r="BS404" s="116"/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</row>
    <row r="405" spans="1:93" x14ac:dyDescent="0.2">
      <c r="A405" s="118">
        <f t="shared" ref="A405:A448" si="38">+A404+1</f>
        <v>2</v>
      </c>
      <c r="B405" s="228" t="s">
        <v>543</v>
      </c>
      <c r="C405" s="223"/>
      <c r="D405" s="168"/>
      <c r="E405" s="225"/>
      <c r="F405" s="183"/>
      <c r="G405" s="223"/>
      <c r="H405" s="168"/>
      <c r="I405" s="308"/>
      <c r="J405" s="168"/>
      <c r="K405" s="225"/>
      <c r="L405" s="857">
        <v>0</v>
      </c>
      <c r="M405" s="223"/>
      <c r="N405" s="168"/>
      <c r="O405" s="227"/>
      <c r="P405" s="230"/>
      <c r="Q405" s="227"/>
      <c r="R405" s="227"/>
      <c r="S405" s="227"/>
      <c r="T405" s="227"/>
      <c r="U405" s="163"/>
      <c r="V405" s="139"/>
      <c r="W405" s="140"/>
      <c r="X405" s="227"/>
      <c r="Y405" s="163"/>
      <c r="Z405" s="141"/>
      <c r="AA405" s="227"/>
      <c r="AH405" s="116"/>
      <c r="AI405" s="116"/>
      <c r="AJ405" s="116"/>
      <c r="AK405" s="116"/>
      <c r="AL405" s="116"/>
      <c r="AM405" s="116"/>
      <c r="AN405" s="116"/>
      <c r="AO405" s="116"/>
      <c r="AP405" s="116"/>
      <c r="AQ405" s="116"/>
      <c r="AR405" s="116"/>
      <c r="AS405" s="116"/>
      <c r="AT405" s="116"/>
      <c r="AU405" s="116"/>
      <c r="AV405" s="116"/>
      <c r="AW405" s="116"/>
      <c r="AX405" s="116"/>
      <c r="AY405" s="116"/>
      <c r="AZ405" s="116"/>
      <c r="BA405" s="116"/>
      <c r="BB405" s="116"/>
      <c r="BC405" s="116"/>
      <c r="BD405" s="116"/>
      <c r="BE405" s="116"/>
      <c r="BF405" s="116"/>
      <c r="BG405" s="116"/>
      <c r="BH405" s="116"/>
      <c r="BI405" s="116"/>
      <c r="BJ405" s="116"/>
      <c r="BK405" s="116"/>
      <c r="BL405" s="116"/>
      <c r="BM405" s="116"/>
      <c r="BN405" s="116"/>
      <c r="BO405" s="116"/>
      <c r="BP405" s="116"/>
      <c r="BQ405" s="116"/>
      <c r="BR405" s="116"/>
      <c r="BS405" s="116"/>
      <c r="BT405" s="116"/>
      <c r="BU405" s="116"/>
      <c r="BV405" s="116"/>
      <c r="BW405" s="116"/>
      <c r="BX405" s="116"/>
      <c r="BY405" s="116"/>
      <c r="BZ405" s="116"/>
      <c r="CA405" s="116"/>
      <c r="CB405" s="116"/>
      <c r="CC405" s="116"/>
      <c r="CD405" s="116"/>
      <c r="CE405" s="116"/>
      <c r="CF405" s="116"/>
      <c r="CG405" s="116"/>
      <c r="CH405" s="116"/>
      <c r="CI405" s="116"/>
      <c r="CJ405" s="116"/>
      <c r="CK405" s="116"/>
      <c r="CL405" s="116"/>
      <c r="CM405" s="116"/>
      <c r="CN405" s="116"/>
      <c r="CO405" s="116"/>
    </row>
    <row r="406" spans="1:93" x14ac:dyDescent="0.2">
      <c r="A406" s="118">
        <f t="shared" si="38"/>
        <v>3</v>
      </c>
      <c r="B406" s="234" t="s">
        <v>149</v>
      </c>
      <c r="C406" s="223"/>
      <c r="D406" s="172">
        <f>SUMIF($AH$6:$CP$6,1,$AH406:$CP406)</f>
        <v>109.92564254693612</v>
      </c>
      <c r="E406" s="225" t="s">
        <v>545</v>
      </c>
      <c r="F406" s="173">
        <f>'Exhibit MJC-3 - E-13c cal yr'!F408</f>
        <v>426.3</v>
      </c>
      <c r="G406" s="233" t="s">
        <v>375</v>
      </c>
      <c r="H406" s="168">
        <f>ROUND(D406*F406,2)</f>
        <v>46861.3</v>
      </c>
      <c r="I406" s="308"/>
      <c r="J406" s="172">
        <f>SUMIF($AH$6:$CP$6,1,$AH406:$CP406)</f>
        <v>109.92564254693612</v>
      </c>
      <c r="K406" s="225" t="s">
        <v>545</v>
      </c>
      <c r="L406" s="173">
        <f>ROUND(F406*(1+'Exhibit MJC-2 - Old E-8a'!$V$27)+L405,2)</f>
        <v>443.58</v>
      </c>
      <c r="M406" s="233" t="s">
        <v>375</v>
      </c>
      <c r="N406" s="168">
        <f>ROUND(J406*L406,2)</f>
        <v>48760.82</v>
      </c>
      <c r="O406" s="227"/>
      <c r="P406" s="227"/>
      <c r="Q406" s="1022"/>
      <c r="R406" s="227"/>
      <c r="S406" s="227"/>
      <c r="T406" s="227"/>
      <c r="U406" s="184" t="s">
        <v>623</v>
      </c>
      <c r="V406" s="179">
        <v>252</v>
      </c>
      <c r="W406" s="180">
        <v>226</v>
      </c>
      <c r="X406" s="227"/>
      <c r="Y406" s="184"/>
      <c r="Z406" s="181"/>
      <c r="AA406" s="227"/>
      <c r="AB406" s="182">
        <f>SUM(AH406:AS406)</f>
        <v>109.73954054087882</v>
      </c>
      <c r="AC406" s="182">
        <f>SUM(AT406:BE406)</f>
        <v>110.0375734486378</v>
      </c>
      <c r="AD406" s="182">
        <f>SUM(BF406:BQ406)</f>
        <v>109.79418488469868</v>
      </c>
      <c r="AE406" s="182">
        <f>SUM(BR406:CC406)</f>
        <v>109.92564254693612</v>
      </c>
      <c r="AF406" s="182">
        <f>SUM(CD406:CO406)</f>
        <v>110.45584038130784</v>
      </c>
      <c r="AH406" s="168">
        <v>8.9219327341946446</v>
      </c>
      <c r="AI406" s="168">
        <v>9.4261380445156657</v>
      </c>
      <c r="AJ406" s="168">
        <v>9.5926758604202682</v>
      </c>
      <c r="AK406" s="168">
        <v>9.9137331844737417</v>
      </c>
      <c r="AL406" s="168">
        <v>9.3645152401676537</v>
      </c>
      <c r="AM406" s="168">
        <v>9.6361172090457945</v>
      </c>
      <c r="AN406" s="168">
        <v>9.0376388482273544</v>
      </c>
      <c r="AO406" s="168">
        <v>8.1214147480621612</v>
      </c>
      <c r="AP406" s="168">
        <v>9.3979130040405359</v>
      </c>
      <c r="AQ406" s="168">
        <v>9.1705235871183781</v>
      </c>
      <c r="AR406" s="168">
        <v>7.7252250644366356</v>
      </c>
      <c r="AS406" s="168">
        <v>9.431713016175971</v>
      </c>
      <c r="AT406" s="168">
        <v>8.9240916425814536</v>
      </c>
      <c r="AU406" s="168">
        <v>9.510477335950771</v>
      </c>
      <c r="AV406" s="168">
        <v>9.665666830182202</v>
      </c>
      <c r="AW406" s="168">
        <v>9.9733734027717347</v>
      </c>
      <c r="AX406" s="168">
        <v>9.4082711672821517</v>
      </c>
      <c r="AY406" s="168">
        <v>9.6703642935133978</v>
      </c>
      <c r="AZ406" s="168">
        <v>9.0615367937242723</v>
      </c>
      <c r="BA406" s="168">
        <v>8.1230024352388703</v>
      </c>
      <c r="BB406" s="168">
        <v>9.4064418896898498</v>
      </c>
      <c r="BC406" s="168">
        <v>9.1717293864102842</v>
      </c>
      <c r="BD406" s="168">
        <v>7.6983443909474598</v>
      </c>
      <c r="BE406" s="168">
        <v>9.4242738803453641</v>
      </c>
      <c r="BF406" s="168">
        <v>8.9111454830496619</v>
      </c>
      <c r="BG406" s="168">
        <v>9.4997331070783204</v>
      </c>
      <c r="BH406" s="168">
        <v>9.6553665222153562</v>
      </c>
      <c r="BI406" s="168">
        <v>9.9535913057860341</v>
      </c>
      <c r="BJ406" s="168">
        <v>9.3926834766444465</v>
      </c>
      <c r="BK406" s="168">
        <v>9.6538664458570835</v>
      </c>
      <c r="BL406" s="168">
        <v>9.0453019550198537</v>
      </c>
      <c r="BM406" s="168">
        <v>8.0891791194700176</v>
      </c>
      <c r="BN406" s="168">
        <v>9.3854923971637625</v>
      </c>
      <c r="BO406" s="168">
        <v>9.1496745059535236</v>
      </c>
      <c r="BP406" s="168">
        <v>7.6532636137200551</v>
      </c>
      <c r="BQ406" s="168">
        <v>9.404886952740549</v>
      </c>
      <c r="BR406" s="168">
        <v>8.8929491853603579</v>
      </c>
      <c r="BS406" s="168">
        <v>9.4903924756577993</v>
      </c>
      <c r="BT406" s="168">
        <v>9.6535936389709569</v>
      </c>
      <c r="BU406" s="168">
        <v>9.951895064121226</v>
      </c>
      <c r="BV406" s="168">
        <v>9.399969587992036</v>
      </c>
      <c r="BW406" s="168">
        <v>9.6662651688662926</v>
      </c>
      <c r="BX406" s="168">
        <v>9.0609042587161692</v>
      </c>
      <c r="BY406" s="168">
        <v>8.0951825909613504</v>
      </c>
      <c r="BZ406" s="168">
        <v>9.4128260964215666</v>
      </c>
      <c r="CA406" s="168">
        <v>9.1832274562613296</v>
      </c>
      <c r="CB406" s="168">
        <v>7.6709497690650918</v>
      </c>
      <c r="CC406" s="168">
        <v>9.4474872545419544</v>
      </c>
      <c r="CD406" s="168">
        <v>8.9293994173639497</v>
      </c>
      <c r="CE406" s="168">
        <v>9.5344584873749341</v>
      </c>
      <c r="CF406" s="168">
        <v>9.6983680124262079</v>
      </c>
      <c r="CG406" s="168">
        <v>9.9970907100388402</v>
      </c>
      <c r="CH406" s="168">
        <v>9.4459318514522845</v>
      </c>
      <c r="CI406" s="168">
        <v>9.7161523557659315</v>
      </c>
      <c r="CJ406" s="168">
        <v>9.1093816839613329</v>
      </c>
      <c r="CK406" s="168">
        <v>8.1317145787066192</v>
      </c>
      <c r="CL406" s="168">
        <v>9.4634417209448785</v>
      </c>
      <c r="CM406" s="168">
        <v>9.2319845755768366</v>
      </c>
      <c r="CN406" s="168">
        <v>7.6988495191734181</v>
      </c>
      <c r="CO406" s="168">
        <v>9.4990674685226075</v>
      </c>
    </row>
    <row r="407" spans="1:93" x14ac:dyDescent="0.2">
      <c r="A407" s="118">
        <f t="shared" si="38"/>
        <v>4</v>
      </c>
      <c r="B407" s="234" t="s">
        <v>148</v>
      </c>
      <c r="C407" s="223"/>
      <c r="D407" s="172">
        <f>SUMIF($AH$6:$CP$6,1,$AH407:$CP407)</f>
        <v>207.84260145429096</v>
      </c>
      <c r="E407" s="225" t="s">
        <v>545</v>
      </c>
      <c r="F407" s="173">
        <f>'Exhibit MJC-3 - E-13c cal yr'!F409</f>
        <v>632.54999999999995</v>
      </c>
      <c r="G407" s="233" t="s">
        <v>375</v>
      </c>
      <c r="H407" s="168">
        <f>ROUND(D407*F407,2)</f>
        <v>131470.84</v>
      </c>
      <c r="I407" s="308"/>
      <c r="J407" s="172">
        <f>SUMIF($AH$6:$CP$6,1,$AH407:$CP407)</f>
        <v>207.84260145429096</v>
      </c>
      <c r="K407" s="225" t="s">
        <v>545</v>
      </c>
      <c r="L407" s="173">
        <f>ROUND(F407*(1+'Exhibit MJC-2 - Old E-8a'!$V$27)+L405,2)</f>
        <v>658.18</v>
      </c>
      <c r="M407" s="233" t="s">
        <v>375</v>
      </c>
      <c r="N407" s="168">
        <f>ROUND(J407*L407,2)</f>
        <v>136797.84</v>
      </c>
      <c r="O407" s="227"/>
      <c r="P407" s="176"/>
      <c r="Q407" s="939"/>
      <c r="R407" s="227"/>
      <c r="S407" s="227"/>
      <c r="T407" s="227"/>
      <c r="U407" s="184" t="s">
        <v>623</v>
      </c>
      <c r="V407" s="179">
        <v>252</v>
      </c>
      <c r="W407" s="180">
        <v>226</v>
      </c>
      <c r="X407" s="227"/>
      <c r="Y407" s="184"/>
      <c r="Z407" s="181"/>
      <c r="AA407" s="227"/>
      <c r="AB407" s="182">
        <f>SUM(AH407:AS407)</f>
        <v>207.4907279134263</v>
      </c>
      <c r="AC407" s="182">
        <f>SUM(AT407:BE407)</f>
        <v>208.05423551213033</v>
      </c>
      <c r="AD407" s="182">
        <f>SUM(BF407:BQ407)</f>
        <v>207.59404705090083</v>
      </c>
      <c r="AE407" s="182">
        <f>SUM(BR407:CC407)</f>
        <v>207.84260145429096</v>
      </c>
      <c r="AF407" s="182">
        <f>SUM(CD407:CO407)</f>
        <v>208.84507635121233</v>
      </c>
      <c r="AH407" s="168">
        <v>16.869200547847015</v>
      </c>
      <c r="AI407" s="168">
        <v>17.822529916101047</v>
      </c>
      <c r="AJ407" s="168">
        <v>18.137412341130759</v>
      </c>
      <c r="AK407" s="168">
        <v>18.744453500055393</v>
      </c>
      <c r="AL407" s="168">
        <v>17.706016210401025</v>
      </c>
      <c r="AM407" s="168">
        <v>18.219549344834483</v>
      </c>
      <c r="AN407" s="168">
        <v>17.087972612194577</v>
      </c>
      <c r="AO407" s="168">
        <v>15.3556161202856</v>
      </c>
      <c r="AP407" s="168">
        <v>17.769163242933786</v>
      </c>
      <c r="AQ407" s="168">
        <v>17.339225269761638</v>
      </c>
      <c r="AR407" s="168">
        <v>14.606517978976832</v>
      </c>
      <c r="AS407" s="168">
        <v>17.833070828904148</v>
      </c>
      <c r="AT407" s="168">
        <v>16.87328251748594</v>
      </c>
      <c r="AU407" s="168">
        <v>17.981994962932127</v>
      </c>
      <c r="AV407" s="168">
        <v>18.275420477235258</v>
      </c>
      <c r="AW407" s="168">
        <v>18.857218618686055</v>
      </c>
      <c r="AX407" s="168">
        <v>17.788748005365413</v>
      </c>
      <c r="AY407" s="168">
        <v>18.284302235634573</v>
      </c>
      <c r="AZ407" s="168">
        <v>17.133157803260175</v>
      </c>
      <c r="BA407" s="168">
        <v>15.358618049821391</v>
      </c>
      <c r="BB407" s="168">
        <v>17.785289287228707</v>
      </c>
      <c r="BC407" s="168">
        <v>17.341505142372387</v>
      </c>
      <c r="BD407" s="168">
        <v>14.555693176161162</v>
      </c>
      <c r="BE407" s="168">
        <v>17.81900523594712</v>
      </c>
      <c r="BF407" s="168">
        <v>16.84880448475776</v>
      </c>
      <c r="BG407" s="168">
        <v>17.961680244475819</v>
      </c>
      <c r="BH407" s="168">
        <v>18.255945105029035</v>
      </c>
      <c r="BI407" s="168">
        <v>18.819815494133255</v>
      </c>
      <c r="BJ407" s="168">
        <v>17.759275481050423</v>
      </c>
      <c r="BK407" s="168">
        <v>18.253108826200368</v>
      </c>
      <c r="BL407" s="168">
        <v>17.102461679659385</v>
      </c>
      <c r="BM407" s="168">
        <v>15.29466640235928</v>
      </c>
      <c r="BN407" s="168">
        <v>17.745678902200389</v>
      </c>
      <c r="BO407" s="168">
        <v>17.299804738147415</v>
      </c>
      <c r="BP407" s="168">
        <v>14.470456412495903</v>
      </c>
      <c r="BQ407" s="168">
        <v>17.782349280391792</v>
      </c>
      <c r="BR407" s="168">
        <v>16.814399720219164</v>
      </c>
      <c r="BS407" s="168">
        <v>17.944019386747939</v>
      </c>
      <c r="BT407" s="168">
        <v>18.252593014861048</v>
      </c>
      <c r="BU407" s="168">
        <v>18.816608314514923</v>
      </c>
      <c r="BV407" s="168">
        <v>17.773051742001748</v>
      </c>
      <c r="BW407" s="168">
        <v>18.276551789873242</v>
      </c>
      <c r="BX407" s="168">
        <v>17.131961833707042</v>
      </c>
      <c r="BY407" s="168">
        <v>15.306017503918518</v>
      </c>
      <c r="BZ407" s="168">
        <v>17.797360266343297</v>
      </c>
      <c r="CA407" s="168">
        <v>17.363245190410076</v>
      </c>
      <c r="CB407" s="168">
        <v>14.503896622181895</v>
      </c>
      <c r="CC407" s="168">
        <v>17.862896069512097</v>
      </c>
      <c r="CD407" s="168">
        <v>16.883318226108308</v>
      </c>
      <c r="CE407" s="168">
        <v>18.027337476129077</v>
      </c>
      <c r="CF407" s="168">
        <v>18.337250443662999</v>
      </c>
      <c r="CG407" s="168">
        <v>18.902062266880158</v>
      </c>
      <c r="CH407" s="168">
        <v>17.859955181317346</v>
      </c>
      <c r="CI407" s="168">
        <v>18.370876302918781</v>
      </c>
      <c r="CJ407" s="168">
        <v>17.223620831019325</v>
      </c>
      <c r="CK407" s="168">
        <v>15.375090589991508</v>
      </c>
      <c r="CL407" s="168">
        <v>17.893062077416786</v>
      </c>
      <c r="CM407" s="168">
        <v>17.455433021048641</v>
      </c>
      <c r="CN407" s="168">
        <v>14.556648250537975</v>
      </c>
      <c r="CO407" s="168">
        <v>17.960421684181398</v>
      </c>
    </row>
    <row r="408" spans="1:93" x14ac:dyDescent="0.2">
      <c r="A408" s="118">
        <f t="shared" si="38"/>
        <v>5</v>
      </c>
      <c r="B408" s="234" t="s">
        <v>216</v>
      </c>
      <c r="C408" s="223"/>
      <c r="D408" s="172">
        <f>SUMIF($AH$6:$CP$6,1,$AH408:$CP408)</f>
        <v>0</v>
      </c>
      <c r="E408" s="225" t="s">
        <v>545</v>
      </c>
      <c r="F408" s="173">
        <f>'Exhibit MJC-3 - E-13c cal yr'!F410</f>
        <v>1513.3</v>
      </c>
      <c r="G408" s="233" t="s">
        <v>375</v>
      </c>
      <c r="H408" s="168">
        <f>ROUND(D408*F408,2)</f>
        <v>0</v>
      </c>
      <c r="I408" s="308"/>
      <c r="J408" s="172">
        <f>SUMIF($AH$6:$CP$6,1,$AH408:$CP408)</f>
        <v>0</v>
      </c>
      <c r="K408" s="225" t="s">
        <v>545</v>
      </c>
      <c r="L408" s="173">
        <f>ROUND(F408*(1+'Exhibit MJC-2 - Old E-8a'!$V$27)+L405,2)</f>
        <v>1574.62</v>
      </c>
      <c r="M408" s="233" t="s">
        <v>375</v>
      </c>
      <c r="N408" s="168">
        <f>ROUND(J408*L408,2)</f>
        <v>0</v>
      </c>
      <c r="O408" s="227"/>
      <c r="P408" s="176"/>
      <c r="Q408" s="227"/>
      <c r="R408" s="227"/>
      <c r="S408" s="227"/>
      <c r="T408" s="227"/>
      <c r="U408" s="184" t="s">
        <v>623</v>
      </c>
      <c r="V408" s="179">
        <v>252</v>
      </c>
      <c r="W408" s="180">
        <v>226</v>
      </c>
      <c r="X408" s="227"/>
      <c r="Y408" s="184"/>
      <c r="Z408" s="181"/>
      <c r="AA408" s="227"/>
      <c r="AB408" s="182">
        <f>SUM(AH408:AS408)</f>
        <v>0</v>
      </c>
      <c r="AC408" s="182">
        <f>SUM(AT408:BE408)</f>
        <v>0</v>
      </c>
      <c r="AD408" s="182">
        <f>SUM(BF408:BQ408)</f>
        <v>0</v>
      </c>
      <c r="AE408" s="182">
        <f>SUM(BR408:CC408)</f>
        <v>0</v>
      </c>
      <c r="AF408" s="182">
        <f>SUM(CD408:CO408)</f>
        <v>0</v>
      </c>
      <c r="AH408" s="168">
        <v>0</v>
      </c>
      <c r="AI408" s="168">
        <v>0</v>
      </c>
      <c r="AJ408" s="168">
        <v>0</v>
      </c>
      <c r="AK408" s="168">
        <v>0</v>
      </c>
      <c r="AL408" s="168">
        <v>0</v>
      </c>
      <c r="AM408" s="168">
        <v>0</v>
      </c>
      <c r="AN408" s="168">
        <v>0</v>
      </c>
      <c r="AO408" s="168">
        <v>0</v>
      </c>
      <c r="AP408" s="168">
        <v>0</v>
      </c>
      <c r="AQ408" s="168">
        <v>0</v>
      </c>
      <c r="AR408" s="168">
        <v>0</v>
      </c>
      <c r="AS408" s="168">
        <v>0</v>
      </c>
      <c r="AT408" s="168">
        <v>0</v>
      </c>
      <c r="AU408" s="168">
        <v>0</v>
      </c>
      <c r="AV408" s="168">
        <v>0</v>
      </c>
      <c r="AW408" s="168">
        <v>0</v>
      </c>
      <c r="AX408" s="168">
        <v>0</v>
      </c>
      <c r="AY408" s="168">
        <v>0</v>
      </c>
      <c r="AZ408" s="168">
        <v>0</v>
      </c>
      <c r="BA408" s="168">
        <v>0</v>
      </c>
      <c r="BB408" s="168">
        <v>0</v>
      </c>
      <c r="BC408" s="168">
        <v>0</v>
      </c>
      <c r="BD408" s="168">
        <v>0</v>
      </c>
      <c r="BE408" s="168">
        <v>0</v>
      </c>
      <c r="BF408" s="168">
        <v>0</v>
      </c>
      <c r="BG408" s="168">
        <v>0</v>
      </c>
      <c r="BH408" s="168">
        <v>0</v>
      </c>
      <c r="BI408" s="168">
        <v>0</v>
      </c>
      <c r="BJ408" s="168">
        <v>0</v>
      </c>
      <c r="BK408" s="168">
        <v>0</v>
      </c>
      <c r="BL408" s="168">
        <v>0</v>
      </c>
      <c r="BM408" s="168">
        <v>0</v>
      </c>
      <c r="BN408" s="168">
        <v>0</v>
      </c>
      <c r="BO408" s="168">
        <v>0</v>
      </c>
      <c r="BP408" s="168">
        <v>0</v>
      </c>
      <c r="BQ408" s="168">
        <v>0</v>
      </c>
      <c r="BR408" s="168">
        <v>0</v>
      </c>
      <c r="BS408" s="168">
        <v>0</v>
      </c>
      <c r="BT408" s="168">
        <v>0</v>
      </c>
      <c r="BU408" s="168">
        <v>0</v>
      </c>
      <c r="BV408" s="168">
        <v>0</v>
      </c>
      <c r="BW408" s="168">
        <v>0</v>
      </c>
      <c r="BX408" s="168">
        <v>0</v>
      </c>
      <c r="BY408" s="168">
        <v>0</v>
      </c>
      <c r="BZ408" s="168">
        <v>0</v>
      </c>
      <c r="CA408" s="168">
        <v>0</v>
      </c>
      <c r="CB408" s="168">
        <v>0</v>
      </c>
      <c r="CC408" s="168">
        <v>0</v>
      </c>
      <c r="CD408" s="168">
        <v>0</v>
      </c>
      <c r="CE408" s="168">
        <v>0</v>
      </c>
      <c r="CF408" s="168">
        <v>0</v>
      </c>
      <c r="CG408" s="168">
        <v>0</v>
      </c>
      <c r="CH408" s="168">
        <v>0</v>
      </c>
      <c r="CI408" s="168">
        <v>0</v>
      </c>
      <c r="CJ408" s="168">
        <v>0</v>
      </c>
      <c r="CK408" s="168">
        <v>0</v>
      </c>
      <c r="CL408" s="168">
        <v>0</v>
      </c>
      <c r="CM408" s="168">
        <v>0</v>
      </c>
      <c r="CN408" s="168">
        <v>0</v>
      </c>
      <c r="CO408" s="168">
        <v>0</v>
      </c>
    </row>
    <row r="409" spans="1:93" x14ac:dyDescent="0.2">
      <c r="A409" s="118">
        <f t="shared" si="38"/>
        <v>6</v>
      </c>
      <c r="B409" s="226" t="s">
        <v>546</v>
      </c>
      <c r="C409" s="223"/>
      <c r="D409" s="168"/>
      <c r="E409" s="225"/>
      <c r="F409" s="183"/>
      <c r="G409" s="233"/>
      <c r="H409" s="168"/>
      <c r="I409" s="308"/>
      <c r="J409" s="168"/>
      <c r="K409" s="225"/>
      <c r="L409" s="183"/>
      <c r="M409" s="233"/>
      <c r="N409" s="168"/>
      <c r="O409" s="227"/>
      <c r="P409" s="227"/>
      <c r="Q409" s="227"/>
      <c r="R409" s="227"/>
      <c r="S409" s="227"/>
      <c r="T409" s="227"/>
      <c r="U409" s="178"/>
      <c r="V409" s="179"/>
      <c r="W409" s="180"/>
      <c r="X409" s="227"/>
      <c r="Y409" s="178"/>
      <c r="Z409" s="181"/>
      <c r="AA409" s="227"/>
      <c r="AB409" s="227"/>
    </row>
    <row r="410" spans="1:93" x14ac:dyDescent="0.2">
      <c r="A410" s="118">
        <f t="shared" si="38"/>
        <v>7</v>
      </c>
      <c r="B410" s="234" t="s">
        <v>149</v>
      </c>
      <c r="C410" s="223"/>
      <c r="D410" s="172">
        <f>SUMIF($AH$6:$CP$6,1,$AH410:$CP410)</f>
        <v>705.74110004923693</v>
      </c>
      <c r="E410" s="225" t="s">
        <v>545</v>
      </c>
      <c r="F410" s="173">
        <f>'Exhibit MJC-3 - E-13c cal yr'!F412</f>
        <v>426.3</v>
      </c>
      <c r="G410" s="233" t="s">
        <v>375</v>
      </c>
      <c r="H410" s="168">
        <f>ROUND(D410*F410,2)</f>
        <v>300857.43</v>
      </c>
      <c r="I410" s="308"/>
      <c r="J410" s="172">
        <f>SUMIF($AH$6:$CP$6,1,$AH410:$CP410)</f>
        <v>705.74110004923693</v>
      </c>
      <c r="K410" s="225" t="s">
        <v>545</v>
      </c>
      <c r="L410" s="183">
        <f>L406</f>
        <v>443.58</v>
      </c>
      <c r="M410" s="233" t="s">
        <v>375</v>
      </c>
      <c r="N410" s="168">
        <f>ROUND(J410*L410,2)</f>
        <v>313052.64</v>
      </c>
      <c r="O410" s="227"/>
      <c r="P410" s="227"/>
      <c r="Q410" s="939"/>
      <c r="R410" s="227"/>
      <c r="S410" s="227"/>
      <c r="T410" s="227"/>
      <c r="U410" s="178" t="s">
        <v>624</v>
      </c>
      <c r="V410" s="179">
        <v>254</v>
      </c>
      <c r="W410" s="180">
        <v>228</v>
      </c>
      <c r="X410" s="227"/>
      <c r="Y410" s="178"/>
      <c r="Z410" s="181"/>
      <c r="AA410" s="227"/>
      <c r="AB410" s="182">
        <f>SUM(AH410:AS410)</f>
        <v>704.54629389270076</v>
      </c>
      <c r="AC410" s="182">
        <f>SUM(AT410:BE410)</f>
        <v>706.45971525007815</v>
      </c>
      <c r="AD410" s="182">
        <f>SUM(BF410:BQ410)</f>
        <v>704.89711976394767</v>
      </c>
      <c r="AE410" s="182">
        <f>SUM(BR410:CC410)</f>
        <v>705.74110004923693</v>
      </c>
      <c r="AF410" s="182">
        <f>SUM(CD410:CO410)</f>
        <v>709.14505925478306</v>
      </c>
      <c r="AH410" s="168">
        <v>57.280307638022755</v>
      </c>
      <c r="AI410" s="168">
        <v>60.517390470671998</v>
      </c>
      <c r="AJ410" s="168">
        <v>61.586591238328438</v>
      </c>
      <c r="AK410" s="168">
        <v>63.647833217965861</v>
      </c>
      <c r="AL410" s="168">
        <v>60.121761709983929</v>
      </c>
      <c r="AM410" s="168">
        <v>61.865491997571311</v>
      </c>
      <c r="AN410" s="168">
        <v>58.023160336518472</v>
      </c>
      <c r="AO410" s="168">
        <v>52.140847626214217</v>
      </c>
      <c r="AP410" s="168">
        <v>60.336180967117379</v>
      </c>
      <c r="AQ410" s="168">
        <v>58.876302693768409</v>
      </c>
      <c r="AR410" s="168">
        <v>49.597243270836884</v>
      </c>
      <c r="AS410" s="168">
        <v>60.553182725701191</v>
      </c>
      <c r="AT410" s="168">
        <v>57.294168192707815</v>
      </c>
      <c r="AU410" s="168">
        <v>61.058862896356203</v>
      </c>
      <c r="AV410" s="168">
        <v>62.055205531589934</v>
      </c>
      <c r="AW410" s="168">
        <v>64.03073344300509</v>
      </c>
      <c r="AX410" s="168">
        <v>60.402682115996335</v>
      </c>
      <c r="AY410" s="168">
        <v>62.085364035665833</v>
      </c>
      <c r="AZ410" s="168">
        <v>58.176589163070112</v>
      </c>
      <c r="BA410" s="168">
        <v>52.15104084472685</v>
      </c>
      <c r="BB410" s="168">
        <v>60.390937846412143</v>
      </c>
      <c r="BC410" s="168">
        <v>58.884044127877786</v>
      </c>
      <c r="BD410" s="168">
        <v>49.424664829276125</v>
      </c>
      <c r="BE410" s="168">
        <v>60.505422223393772</v>
      </c>
      <c r="BF410" s="168">
        <v>57.211051672688576</v>
      </c>
      <c r="BG410" s="168">
        <v>60.989883141242331</v>
      </c>
      <c r="BH410" s="168">
        <v>61.989075823298585</v>
      </c>
      <c r="BI410" s="168">
        <v>63.903729055634699</v>
      </c>
      <c r="BJ410" s="168">
        <v>60.302606522322328</v>
      </c>
      <c r="BK410" s="168">
        <v>61.979445080964801</v>
      </c>
      <c r="BL410" s="168">
        <v>58.072358770043429</v>
      </c>
      <c r="BM410" s="168">
        <v>51.933889472899949</v>
      </c>
      <c r="BN410" s="168">
        <v>60.256438583471549</v>
      </c>
      <c r="BO410" s="168">
        <v>58.742448088642789</v>
      </c>
      <c r="BP410" s="168">
        <v>49.135238662874968</v>
      </c>
      <c r="BQ410" s="168">
        <v>60.380954889863688</v>
      </c>
      <c r="BR410" s="168">
        <v>57.094228383321962</v>
      </c>
      <c r="BS410" s="168">
        <v>60.929914717668566</v>
      </c>
      <c r="BT410" s="168">
        <v>61.977693614905967</v>
      </c>
      <c r="BU410" s="168">
        <v>63.892838899064003</v>
      </c>
      <c r="BV410" s="168">
        <v>60.349384581730376</v>
      </c>
      <c r="BW410" s="168">
        <v>62.059046966502919</v>
      </c>
      <c r="BX410" s="168">
        <v>58.172528182009692</v>
      </c>
      <c r="BY410" s="168">
        <v>51.972432768861104</v>
      </c>
      <c r="BZ410" s="168">
        <v>60.431925526605681</v>
      </c>
      <c r="CA410" s="168">
        <v>58.957863668770209</v>
      </c>
      <c r="CB410" s="168">
        <v>49.248786752653189</v>
      </c>
      <c r="CC410" s="168">
        <v>60.654455987143301</v>
      </c>
      <c r="CD410" s="168">
        <v>57.328244998874425</v>
      </c>
      <c r="CE410" s="168">
        <v>61.212825918944958</v>
      </c>
      <c r="CF410" s="168">
        <v>62.265152617593472</v>
      </c>
      <c r="CG410" s="168">
        <v>64.183002541761965</v>
      </c>
      <c r="CH410" s="168">
        <v>60.644470037895331</v>
      </c>
      <c r="CI410" s="168">
        <v>62.379331090799759</v>
      </c>
      <c r="CJ410" s="168">
        <v>58.483761399550062</v>
      </c>
      <c r="CK410" s="168">
        <v>52.206974270015607</v>
      </c>
      <c r="CL410" s="168">
        <v>60.756886342872995</v>
      </c>
      <c r="CM410" s="168">
        <v>59.270892569249604</v>
      </c>
      <c r="CN410" s="168">
        <v>49.427907837382278</v>
      </c>
      <c r="CO410" s="168">
        <v>60.985609629842614</v>
      </c>
    </row>
    <row r="411" spans="1:93" x14ac:dyDescent="0.2">
      <c r="A411" s="118">
        <f t="shared" si="38"/>
        <v>8</v>
      </c>
      <c r="B411" s="234" t="s">
        <v>148</v>
      </c>
      <c r="C411" s="223"/>
      <c r="D411" s="172">
        <f>SUMIF($AH$6:$CP$6,1,$AH411:$CP411)</f>
        <v>630.91776352569207</v>
      </c>
      <c r="E411" s="225" t="s">
        <v>545</v>
      </c>
      <c r="F411" s="173">
        <f>'Exhibit MJC-3 - E-13c cal yr'!F413</f>
        <v>632.54999999999995</v>
      </c>
      <c r="G411" s="233" t="s">
        <v>375</v>
      </c>
      <c r="H411" s="168">
        <f>ROUND(D411*F411,2)</f>
        <v>399087.03</v>
      </c>
      <c r="I411" s="308"/>
      <c r="J411" s="172">
        <f>SUMIF($AH$6:$CP$6,1,$AH411:$CP411)</f>
        <v>630.91776352569207</v>
      </c>
      <c r="K411" s="225" t="s">
        <v>545</v>
      </c>
      <c r="L411" s="183">
        <f>L407</f>
        <v>658.18</v>
      </c>
      <c r="M411" s="233" t="s">
        <v>375</v>
      </c>
      <c r="N411" s="168">
        <f>ROUND(J411*L411,2)</f>
        <v>415257.45</v>
      </c>
      <c r="O411" s="227"/>
      <c r="Q411" s="939"/>
      <c r="R411" s="230"/>
      <c r="S411" s="227"/>
      <c r="T411" s="227"/>
      <c r="U411" s="178" t="s">
        <v>624</v>
      </c>
      <c r="V411" s="179">
        <v>254</v>
      </c>
      <c r="W411" s="180">
        <v>228</v>
      </c>
      <c r="X411" s="227"/>
      <c r="Y411" s="178"/>
      <c r="Z411" s="181"/>
      <c r="AA411" s="227"/>
      <c r="AB411" s="182">
        <f>SUM(AH411:AS411)</f>
        <v>629.84963184386731</v>
      </c>
      <c r="AC411" s="182">
        <f>SUM(AT411:BE411)</f>
        <v>631.560190465711</v>
      </c>
      <c r="AD411" s="182">
        <f>SUM(BF411:BQ411)</f>
        <v>630.16326282562341</v>
      </c>
      <c r="AE411" s="182">
        <f>SUM(BR411:CC411)</f>
        <v>630.91776352569207</v>
      </c>
      <c r="AF411" s="182">
        <f>SUM(CD411:CO411)</f>
        <v>633.96083176834668</v>
      </c>
      <c r="AH411" s="168">
        <v>51.207395440797832</v>
      </c>
      <c r="AI411" s="168">
        <v>54.101279700875615</v>
      </c>
      <c r="AJ411" s="168">
        <v>55.057122795521359</v>
      </c>
      <c r="AK411" s="168">
        <v>56.899829957945926</v>
      </c>
      <c r="AL411" s="168">
        <v>53.747595874239551</v>
      </c>
      <c r="AM411" s="168">
        <v>55.306454233430891</v>
      </c>
      <c r="AN411" s="168">
        <v>51.871490196128413</v>
      </c>
      <c r="AO411" s="168">
        <v>46.612825822911397</v>
      </c>
      <c r="AP411" s="168">
        <v>53.939282199661214</v>
      </c>
      <c r="AQ411" s="168">
        <v>52.634181596654216</v>
      </c>
      <c r="AR411" s="168">
        <v>44.338896798405223</v>
      </c>
      <c r="AS411" s="168">
        <v>54.1332772272957</v>
      </c>
      <c r="AT411" s="168">
        <v>51.219786486412879</v>
      </c>
      <c r="AU411" s="168">
        <v>54.585344709700642</v>
      </c>
      <c r="AV411" s="168">
        <v>55.476054159785242</v>
      </c>
      <c r="AW411" s="168">
        <v>57.242134740278111</v>
      </c>
      <c r="AX411" s="168">
        <v>53.998732834064782</v>
      </c>
      <c r="AY411" s="168">
        <v>55.503015230837384</v>
      </c>
      <c r="AZ411" s="168">
        <v>52.008652353896437</v>
      </c>
      <c r="BA411" s="168">
        <v>46.621938346791154</v>
      </c>
      <c r="BB411" s="168">
        <v>53.988233703009804</v>
      </c>
      <c r="BC411" s="168">
        <v>52.641102276623727</v>
      </c>
      <c r="BD411" s="168">
        <v>44.184615285858101</v>
      </c>
      <c r="BE411" s="168">
        <v>54.09058033845281</v>
      </c>
      <c r="BF411" s="168">
        <v>51.14548205817578</v>
      </c>
      <c r="BG411" s="168">
        <v>54.523678253231033</v>
      </c>
      <c r="BH411" s="168">
        <v>55.416935585488133</v>
      </c>
      <c r="BI411" s="168">
        <v>57.128595477746714</v>
      </c>
      <c r="BJ411" s="168">
        <v>53.909267349144173</v>
      </c>
      <c r="BK411" s="168">
        <v>55.408325903532663</v>
      </c>
      <c r="BL411" s="168">
        <v>51.915472565366045</v>
      </c>
      <c r="BM411" s="168">
        <v>46.427809568050606</v>
      </c>
      <c r="BN411" s="168">
        <v>53.86799417867941</v>
      </c>
      <c r="BO411" s="168">
        <v>52.514518382909714</v>
      </c>
      <c r="BP411" s="168">
        <v>43.925874354376447</v>
      </c>
      <c r="BQ411" s="168">
        <v>53.979309148922638</v>
      </c>
      <c r="BR411" s="168">
        <v>51.041044484043056</v>
      </c>
      <c r="BS411" s="168">
        <v>54.470067738439298</v>
      </c>
      <c r="BT411" s="168">
        <v>55.406760129555991</v>
      </c>
      <c r="BU411" s="168">
        <v>57.118859905838626</v>
      </c>
      <c r="BV411" s="168">
        <v>53.951085954609745</v>
      </c>
      <c r="BW411" s="168">
        <v>55.479488322148548</v>
      </c>
      <c r="BX411" s="168">
        <v>52.005021921875148</v>
      </c>
      <c r="BY411" s="168">
        <v>46.462266467450434</v>
      </c>
      <c r="BZ411" s="168">
        <v>54.024875830722095</v>
      </c>
      <c r="CA411" s="168">
        <v>52.707095400222585</v>
      </c>
      <c r="CB411" s="168">
        <v>44.027383968667706</v>
      </c>
      <c r="CC411" s="168">
        <v>54.223813402118942</v>
      </c>
      <c r="CD411" s="168">
        <v>51.250250437475437</v>
      </c>
      <c r="CE411" s="168">
        <v>54.722984427538485</v>
      </c>
      <c r="CF411" s="168">
        <v>55.66374245787479</v>
      </c>
      <c r="CG411" s="168">
        <v>57.378260125685102</v>
      </c>
      <c r="CH411" s="168">
        <v>54.214886172621085</v>
      </c>
      <c r="CI411" s="168">
        <v>55.765815621749006</v>
      </c>
      <c r="CJ411" s="168">
        <v>52.283257900383099</v>
      </c>
      <c r="CK411" s="168">
        <v>46.67194165761866</v>
      </c>
      <c r="CL411" s="168">
        <v>54.315383995002946</v>
      </c>
      <c r="CM411" s="168">
        <v>52.986936681672091</v>
      </c>
      <c r="CN411" s="168">
        <v>44.187514467188606</v>
      </c>
      <c r="CO411" s="168">
        <v>54.519857823537308</v>
      </c>
    </row>
    <row r="412" spans="1:93" x14ac:dyDescent="0.2">
      <c r="A412" s="118">
        <f t="shared" si="38"/>
        <v>9</v>
      </c>
      <c r="B412" s="234" t="s">
        <v>216</v>
      </c>
      <c r="C412" s="223"/>
      <c r="D412" s="172">
        <f>SUMIF($AH$6:$CP$6,1,$AH412:$CP412)</f>
        <v>89.603254849183244</v>
      </c>
      <c r="E412" s="225" t="s">
        <v>545</v>
      </c>
      <c r="F412" s="173">
        <f>'Exhibit MJC-3 - E-13c cal yr'!F414</f>
        <v>1513.3</v>
      </c>
      <c r="G412" s="233" t="s">
        <v>375</v>
      </c>
      <c r="H412" s="257">
        <f>ROUND(D412*F412,2)</f>
        <v>135596.60999999999</v>
      </c>
      <c r="I412" s="308"/>
      <c r="J412" s="172">
        <f>SUMIF($AH$6:$CP$6,1,$AH412:$CP412)</f>
        <v>89.603254849183244</v>
      </c>
      <c r="K412" s="225" t="s">
        <v>545</v>
      </c>
      <c r="L412" s="183">
        <f>L408</f>
        <v>1574.62</v>
      </c>
      <c r="M412" s="233" t="s">
        <v>375</v>
      </c>
      <c r="N412" s="257">
        <f>ROUND(J412*L412,2)</f>
        <v>141091.07999999999</v>
      </c>
      <c r="O412" s="227"/>
      <c r="P412" s="1231"/>
      <c r="Q412" s="939"/>
      <c r="R412" s="259"/>
      <c r="S412" s="176"/>
      <c r="T412" s="227"/>
      <c r="U412" s="178" t="s">
        <v>624</v>
      </c>
      <c r="V412" s="179">
        <v>254</v>
      </c>
      <c r="W412" s="180">
        <v>228</v>
      </c>
      <c r="X412" s="227"/>
      <c r="Y412" s="178"/>
      <c r="Z412" s="181"/>
      <c r="AA412" s="227"/>
      <c r="AB412" s="182">
        <f>SUM(AH412:AS412)</f>
        <v>89.451558256010443</v>
      </c>
      <c r="AC412" s="182">
        <f>SUM(AT412:BE412)</f>
        <v>89.694492643007308</v>
      </c>
      <c r="AD412" s="182">
        <f>SUM(BF412:BQ412)</f>
        <v>89.496100284166147</v>
      </c>
      <c r="AE412" s="182">
        <f>SUM(BR412:CC412)</f>
        <v>89.603254849183244</v>
      </c>
      <c r="AF412" s="182">
        <f>SUM(CD412:CO412)</f>
        <v>90.035432915855949</v>
      </c>
      <c r="AH412" s="168">
        <v>7.2724997917384924</v>
      </c>
      <c r="AI412" s="168">
        <v>7.683490674941341</v>
      </c>
      <c r="AJ412" s="168">
        <v>7.8192399870652594</v>
      </c>
      <c r="AK412" s="168">
        <v>8.0809421755794357</v>
      </c>
      <c r="AL412" s="168">
        <v>7.6332603218173301</v>
      </c>
      <c r="AM412" s="168">
        <v>7.8546501619953117</v>
      </c>
      <c r="AN412" s="168">
        <v>7.3668148594794403</v>
      </c>
      <c r="AO412" s="168">
        <v>6.6199767274120145</v>
      </c>
      <c r="AP412" s="168">
        <v>7.6604837091758977</v>
      </c>
      <c r="AQ412" s="168">
        <v>7.4751326718527951</v>
      </c>
      <c r="AR412" s="168">
        <v>6.2970321953811235</v>
      </c>
      <c r="AS412" s="168">
        <v>7.6880349795720102</v>
      </c>
      <c r="AT412" s="168">
        <v>7.2742595742050504</v>
      </c>
      <c r="AU412" s="168">
        <v>7.7522378284640743</v>
      </c>
      <c r="AV412" s="168">
        <v>7.8787368279636443</v>
      </c>
      <c r="AW412" s="168">
        <v>8.1295564711668771</v>
      </c>
      <c r="AX412" s="168">
        <v>7.6689269178686441</v>
      </c>
      <c r="AY412" s="168">
        <v>7.8825658526957945</v>
      </c>
      <c r="AZ412" s="168">
        <v>7.386294697405499</v>
      </c>
      <c r="BA412" s="168">
        <v>6.6212708925896671</v>
      </c>
      <c r="BB412" s="168">
        <v>7.6674358260497097</v>
      </c>
      <c r="BC412" s="168">
        <v>7.4761155502672061</v>
      </c>
      <c r="BD412" s="168">
        <v>6.2751210581672563</v>
      </c>
      <c r="BE412" s="168">
        <v>7.6819711461638693</v>
      </c>
      <c r="BF412" s="168">
        <v>7.2637068223177907</v>
      </c>
      <c r="BG412" s="168">
        <v>7.7434799276184636</v>
      </c>
      <c r="BH412" s="168">
        <v>7.8703407786125172</v>
      </c>
      <c r="BI412" s="168">
        <v>8.1134315685818912</v>
      </c>
      <c r="BJ412" s="168">
        <v>7.6562209851639613</v>
      </c>
      <c r="BK412" s="168">
        <v>7.8691180272952694</v>
      </c>
      <c r="BL412" s="168">
        <v>7.3730612574531582</v>
      </c>
      <c r="BM412" s="168">
        <v>6.593700626794889</v>
      </c>
      <c r="BN412" s="168">
        <v>7.6503593489486139</v>
      </c>
      <c r="BO412" s="168">
        <v>7.458138042667998</v>
      </c>
      <c r="BP412" s="168">
        <v>6.2383745422760111</v>
      </c>
      <c r="BQ412" s="168">
        <v>7.6661683564355734</v>
      </c>
      <c r="BR412" s="168">
        <v>7.2488745460500397</v>
      </c>
      <c r="BS412" s="168">
        <v>7.7358661356202232</v>
      </c>
      <c r="BT412" s="168">
        <v>7.8688956552956535</v>
      </c>
      <c r="BU412" s="168">
        <v>8.1120489178130999</v>
      </c>
      <c r="BV412" s="168">
        <v>7.662160084329642</v>
      </c>
      <c r="BW412" s="168">
        <v>7.8792245494120197</v>
      </c>
      <c r="BX412" s="168">
        <v>7.3857791016425924</v>
      </c>
      <c r="BY412" s="168">
        <v>6.5985942128004282</v>
      </c>
      <c r="BZ412" s="168">
        <v>7.6726397592679998</v>
      </c>
      <c r="CA412" s="168">
        <v>7.4854879265323433</v>
      </c>
      <c r="CB412" s="168">
        <v>6.2527909882295285</v>
      </c>
      <c r="CC412" s="168">
        <v>7.7008929721896608</v>
      </c>
      <c r="CD412" s="168">
        <v>7.278586079700025</v>
      </c>
      <c r="CE412" s="168">
        <v>7.7717854897089804</v>
      </c>
      <c r="CF412" s="168">
        <v>7.9053924134902713</v>
      </c>
      <c r="CG412" s="168">
        <v>8.1488890661661131</v>
      </c>
      <c r="CH412" s="168">
        <v>7.6996251226123666</v>
      </c>
      <c r="CI412" s="168">
        <v>7.9198888950360962</v>
      </c>
      <c r="CJ412" s="168">
        <v>7.4252943138172212</v>
      </c>
      <c r="CK412" s="168">
        <v>6.6283723876852285</v>
      </c>
      <c r="CL412" s="168">
        <v>7.7138978733752364</v>
      </c>
      <c r="CM412" s="168">
        <v>7.5252311246298582</v>
      </c>
      <c r="CN412" s="168">
        <v>6.2755328013430383</v>
      </c>
      <c r="CO412" s="168">
        <v>7.7429373482915356</v>
      </c>
    </row>
    <row r="413" spans="1:93" x14ac:dyDescent="0.2">
      <c r="A413" s="118">
        <f t="shared" si="38"/>
        <v>10</v>
      </c>
      <c r="B413" s="226"/>
      <c r="C413" s="223" t="s">
        <v>374</v>
      </c>
      <c r="D413" s="204">
        <f>SUM(D406:D412)</f>
        <v>1744.0303624253395</v>
      </c>
      <c r="E413" s="225" t="s">
        <v>625</v>
      </c>
      <c r="F413" s="183"/>
      <c r="G413" s="233"/>
      <c r="H413" s="204">
        <f>SUM(H406:H408)+SUM(H410:H412)</f>
        <v>1013873.21</v>
      </c>
      <c r="I413" s="308"/>
      <c r="J413" s="204">
        <f>SUM(J406:J412)</f>
        <v>1744.0303624253395</v>
      </c>
      <c r="K413" s="225" t="s">
        <v>625</v>
      </c>
      <c r="L413" s="183"/>
      <c r="M413" s="233"/>
      <c r="N413" s="204">
        <f>SUM(N406:N408)+SUM(N410:N412)</f>
        <v>1054959.83</v>
      </c>
      <c r="O413" s="227"/>
      <c r="P413" s="182"/>
      <c r="Q413" s="1022"/>
      <c r="R413" s="227"/>
      <c r="S413" s="263"/>
      <c r="T413" s="197"/>
      <c r="U413" s="178"/>
      <c r="V413" s="179"/>
      <c r="W413" s="180"/>
      <c r="X413" s="227"/>
      <c r="Y413" s="178" t="s">
        <v>623</v>
      </c>
      <c r="Z413" s="181" t="s">
        <v>451</v>
      </c>
      <c r="AA413" s="227"/>
      <c r="AB413" s="309">
        <f>SUM(AB406:AB412)</f>
        <v>1741.0777524468838</v>
      </c>
      <c r="AC413" s="309">
        <f>SUM(AC406:AC412)</f>
        <v>1745.8062073195647</v>
      </c>
      <c r="AD413" s="309">
        <f>SUM(AD406:AD412)</f>
        <v>1741.9447148093368</v>
      </c>
      <c r="AE413" s="309">
        <f>SUM(AE406:AE412)</f>
        <v>1744.0303624253395</v>
      </c>
      <c r="AF413" s="309">
        <f>SUM(AF406:AF412)</f>
        <v>1752.4422406715057</v>
      </c>
      <c r="AH413" s="309">
        <f t="shared" ref="AH413:CO413" si="39">SUM(AH406:AH412)</f>
        <v>141.55133615260073</v>
      </c>
      <c r="AI413" s="309">
        <f t="shared" si="39"/>
        <v>149.55082880710566</v>
      </c>
      <c r="AJ413" s="309">
        <f t="shared" si="39"/>
        <v>152.19304222246609</v>
      </c>
      <c r="AK413" s="309">
        <f t="shared" si="39"/>
        <v>157.28679203602036</v>
      </c>
      <c r="AL413" s="309">
        <f t="shared" si="39"/>
        <v>148.57314935660946</v>
      </c>
      <c r="AM413" s="309">
        <f t="shared" si="39"/>
        <v>152.8822629468778</v>
      </c>
      <c r="AN413" s="309">
        <f t="shared" si="39"/>
        <v>143.38707685254823</v>
      </c>
      <c r="AO413" s="309">
        <f t="shared" si="39"/>
        <v>128.85068104488539</v>
      </c>
      <c r="AP413" s="309">
        <f t="shared" si="39"/>
        <v>149.10302312292882</v>
      </c>
      <c r="AQ413" s="309">
        <f t="shared" si="39"/>
        <v>145.49536581915544</v>
      </c>
      <c r="AR413" s="309">
        <f t="shared" si="39"/>
        <v>122.56491530803669</v>
      </c>
      <c r="AS413" s="309">
        <f t="shared" si="39"/>
        <v>149.63927877764903</v>
      </c>
      <c r="AT413" s="309">
        <f t="shared" si="39"/>
        <v>141.58558841339314</v>
      </c>
      <c r="AU413" s="309">
        <f t="shared" si="39"/>
        <v>150.88891773340382</v>
      </c>
      <c r="AV413" s="309">
        <f t="shared" si="39"/>
        <v>153.35108382675628</v>
      </c>
      <c r="AW413" s="309">
        <f t="shared" si="39"/>
        <v>158.23301667590786</v>
      </c>
      <c r="AX413" s="309">
        <f t="shared" si="39"/>
        <v>149.26736104057733</v>
      </c>
      <c r="AY413" s="309">
        <f t="shared" si="39"/>
        <v>153.42561164834697</v>
      </c>
      <c r="AZ413" s="309">
        <f t="shared" si="39"/>
        <v>143.76623081135648</v>
      </c>
      <c r="BA413" s="309">
        <f t="shared" si="39"/>
        <v>128.87587056916794</v>
      </c>
      <c r="BB413" s="309">
        <f t="shared" si="39"/>
        <v>149.23833855239022</v>
      </c>
      <c r="BC413" s="309">
        <f t="shared" si="39"/>
        <v>145.5144964835514</v>
      </c>
      <c r="BD413" s="309">
        <f t="shared" si="39"/>
        <v>122.13843874041011</v>
      </c>
      <c r="BE413" s="309">
        <f t="shared" si="39"/>
        <v>149.52125282430293</v>
      </c>
      <c r="BF413" s="309">
        <f t="shared" si="39"/>
        <v>141.38019052098957</v>
      </c>
      <c r="BG413" s="309">
        <f t="shared" si="39"/>
        <v>150.71845467364597</v>
      </c>
      <c r="BH413" s="309">
        <f t="shared" si="39"/>
        <v>153.18766381464363</v>
      </c>
      <c r="BI413" s="309">
        <f t="shared" si="39"/>
        <v>157.91916290188257</v>
      </c>
      <c r="BJ413" s="309">
        <f t="shared" si="39"/>
        <v>149.02005381432534</v>
      </c>
      <c r="BK413" s="309">
        <f t="shared" si="39"/>
        <v>153.16386428385019</v>
      </c>
      <c r="BL413" s="309">
        <f t="shared" si="39"/>
        <v>143.50865622754188</v>
      </c>
      <c r="BM413" s="309">
        <f t="shared" si="39"/>
        <v>128.33924518957474</v>
      </c>
      <c r="BN413" s="309">
        <f t="shared" si="39"/>
        <v>148.90596341046373</v>
      </c>
      <c r="BO413" s="309">
        <f t="shared" si="39"/>
        <v>145.16458375832144</v>
      </c>
      <c r="BP413" s="309">
        <f t="shared" si="39"/>
        <v>121.42320758574337</v>
      </c>
      <c r="BQ413" s="309">
        <f t="shared" si="39"/>
        <v>149.21366862835424</v>
      </c>
      <c r="BR413" s="309">
        <f t="shared" si="39"/>
        <v>141.09149631899459</v>
      </c>
      <c r="BS413" s="309">
        <f t="shared" si="39"/>
        <v>150.57026045413383</v>
      </c>
      <c r="BT413" s="309">
        <f t="shared" si="39"/>
        <v>153.15953605358962</v>
      </c>
      <c r="BU413" s="309">
        <f t="shared" si="39"/>
        <v>157.89225110135189</v>
      </c>
      <c r="BV413" s="309">
        <f t="shared" si="39"/>
        <v>149.13565195066354</v>
      </c>
      <c r="BW413" s="309">
        <f t="shared" si="39"/>
        <v>153.360576796803</v>
      </c>
      <c r="BX413" s="309">
        <f t="shared" si="39"/>
        <v>143.75619529795063</v>
      </c>
      <c r="BY413" s="309">
        <f t="shared" si="39"/>
        <v>128.43449354399183</v>
      </c>
      <c r="BZ413" s="309">
        <f t="shared" si="39"/>
        <v>149.33962747936064</v>
      </c>
      <c r="CA413" s="309">
        <f t="shared" si="39"/>
        <v>145.69691964219652</v>
      </c>
      <c r="CB413" s="309">
        <f t="shared" si="39"/>
        <v>121.70380810079742</v>
      </c>
      <c r="CC413" s="309">
        <f t="shared" si="39"/>
        <v>149.88954568550594</v>
      </c>
      <c r="CD413" s="309">
        <f t="shared" si="39"/>
        <v>141.66979915952214</v>
      </c>
      <c r="CE413" s="309">
        <f t="shared" si="39"/>
        <v>151.26939179969642</v>
      </c>
      <c r="CF413" s="309">
        <f t="shared" si="39"/>
        <v>153.86990594504775</v>
      </c>
      <c r="CG413" s="309">
        <f t="shared" si="39"/>
        <v>158.60930471053217</v>
      </c>
      <c r="CH413" s="309">
        <f t="shared" si="39"/>
        <v>149.86486836589842</v>
      </c>
      <c r="CI413" s="309">
        <f t="shared" si="39"/>
        <v>154.15206426626958</v>
      </c>
      <c r="CJ413" s="309">
        <f t="shared" si="39"/>
        <v>144.52531612873105</v>
      </c>
      <c r="CK413" s="309">
        <f t="shared" si="39"/>
        <v>129.01409348401762</v>
      </c>
      <c r="CL413" s="309">
        <f t="shared" si="39"/>
        <v>150.14267200961285</v>
      </c>
      <c r="CM413" s="309">
        <f t="shared" si="39"/>
        <v>146.47047797217704</v>
      </c>
      <c r="CN413" s="309">
        <f t="shared" si="39"/>
        <v>122.14645287562531</v>
      </c>
      <c r="CO413" s="309">
        <f t="shared" si="39"/>
        <v>150.70789395437549</v>
      </c>
    </row>
    <row r="414" spans="1:93" x14ac:dyDescent="0.2">
      <c r="A414" s="118">
        <f t="shared" si="38"/>
        <v>11</v>
      </c>
      <c r="B414" s="226"/>
      <c r="C414" s="223"/>
      <c r="D414" s="168"/>
      <c r="E414" s="237"/>
      <c r="F414" s="183"/>
      <c r="G414" s="233"/>
      <c r="H414" s="103"/>
      <c r="I414" s="308"/>
      <c r="J414" s="168"/>
      <c r="K414" s="237"/>
      <c r="L414" s="183"/>
      <c r="M414" s="233"/>
      <c r="N414" s="103"/>
      <c r="O414" s="227"/>
      <c r="R414" s="227"/>
      <c r="S414" s="263"/>
      <c r="T414" s="197"/>
      <c r="U414" s="178"/>
      <c r="V414" s="179"/>
      <c r="W414" s="180"/>
      <c r="X414" s="227"/>
      <c r="Y414" s="178"/>
      <c r="Z414" s="181"/>
      <c r="AA414" s="227"/>
      <c r="AB414" s="193">
        <f>SUM(AH414:AS414)</f>
        <v>0</v>
      </c>
      <c r="AC414" s="193">
        <f>SUM(AT414:BE414)</f>
        <v>0</v>
      </c>
      <c r="AD414" s="193">
        <f>SUM(BF414:BQ414)</f>
        <v>0</v>
      </c>
      <c r="AE414" s="193">
        <f>SUM(BR414:CC414)</f>
        <v>0</v>
      </c>
      <c r="AF414" s="193">
        <f>SUM(CD414:CO414)</f>
        <v>0</v>
      </c>
      <c r="AH414" s="193">
        <v>0</v>
      </c>
      <c r="AI414" s="193">
        <v>0</v>
      </c>
      <c r="AJ414" s="193">
        <v>0</v>
      </c>
      <c r="AK414" s="193">
        <v>0</v>
      </c>
      <c r="AL414" s="193">
        <v>0</v>
      </c>
      <c r="AM414" s="193">
        <v>0</v>
      </c>
      <c r="AN414" s="193">
        <v>0</v>
      </c>
      <c r="AO414" s="193">
        <v>0</v>
      </c>
      <c r="AP414" s="193">
        <v>0</v>
      </c>
      <c r="AQ414" s="193">
        <v>0</v>
      </c>
      <c r="AR414" s="193">
        <v>0</v>
      </c>
      <c r="AS414" s="193">
        <v>0</v>
      </c>
      <c r="AT414" s="193">
        <v>0</v>
      </c>
      <c r="AU414" s="193">
        <v>0</v>
      </c>
      <c r="AV414" s="193">
        <v>0</v>
      </c>
      <c r="AW414" s="193">
        <v>0</v>
      </c>
      <c r="AX414" s="193">
        <v>0</v>
      </c>
      <c r="AY414" s="193">
        <v>0</v>
      </c>
      <c r="AZ414" s="193">
        <v>0</v>
      </c>
      <c r="BA414" s="193">
        <v>0</v>
      </c>
      <c r="BB414" s="193">
        <v>0</v>
      </c>
      <c r="BC414" s="193">
        <v>0</v>
      </c>
      <c r="BD414" s="193">
        <v>0</v>
      </c>
      <c r="BE414" s="193">
        <v>0</v>
      </c>
      <c r="BF414" s="193">
        <v>0</v>
      </c>
      <c r="BG414" s="193">
        <v>0</v>
      </c>
      <c r="BH414" s="193">
        <v>0</v>
      </c>
      <c r="BI414" s="193">
        <v>0</v>
      </c>
      <c r="BJ414" s="193">
        <v>0</v>
      </c>
      <c r="BK414" s="193">
        <v>0</v>
      </c>
      <c r="BL414" s="193">
        <v>0</v>
      </c>
      <c r="BM414" s="193">
        <v>0</v>
      </c>
      <c r="BN414" s="193">
        <v>0</v>
      </c>
      <c r="BO414" s="193">
        <v>0</v>
      </c>
      <c r="BP414" s="193">
        <v>0</v>
      </c>
      <c r="BQ414" s="193">
        <v>0</v>
      </c>
      <c r="BR414" s="193">
        <v>0</v>
      </c>
      <c r="BS414" s="193">
        <v>0</v>
      </c>
      <c r="BT414" s="193">
        <v>0</v>
      </c>
      <c r="BU414" s="193">
        <v>0</v>
      </c>
      <c r="BV414" s="193">
        <v>0</v>
      </c>
      <c r="BW414" s="193">
        <v>0</v>
      </c>
      <c r="BX414" s="193">
        <v>0</v>
      </c>
      <c r="BY414" s="193">
        <v>0</v>
      </c>
      <c r="BZ414" s="193">
        <v>0</v>
      </c>
      <c r="CA414" s="193">
        <v>0</v>
      </c>
      <c r="CB414" s="193">
        <v>0</v>
      </c>
      <c r="CC414" s="193">
        <v>0</v>
      </c>
      <c r="CD414" s="193">
        <v>0</v>
      </c>
      <c r="CE414" s="193">
        <v>0</v>
      </c>
      <c r="CF414" s="193">
        <v>0</v>
      </c>
      <c r="CG414" s="193">
        <v>0</v>
      </c>
      <c r="CH414" s="193">
        <v>0</v>
      </c>
      <c r="CI414" s="193">
        <v>0</v>
      </c>
      <c r="CJ414" s="193">
        <v>0</v>
      </c>
      <c r="CK414" s="193">
        <v>0</v>
      </c>
      <c r="CL414" s="193">
        <v>0</v>
      </c>
      <c r="CM414" s="193">
        <v>0</v>
      </c>
      <c r="CN414" s="193">
        <v>0</v>
      </c>
      <c r="CO414" s="193">
        <v>0</v>
      </c>
    </row>
    <row r="415" spans="1:93" x14ac:dyDescent="0.2">
      <c r="A415" s="118">
        <f t="shared" si="38"/>
        <v>12</v>
      </c>
      <c r="B415" s="239" t="s">
        <v>594</v>
      </c>
      <c r="C415" s="223"/>
      <c r="D415" s="168"/>
      <c r="E415" s="225"/>
      <c r="F415" s="183"/>
      <c r="G415" s="233"/>
      <c r="H415" s="168"/>
      <c r="I415" s="308"/>
      <c r="J415" s="168"/>
      <c r="K415" s="225"/>
      <c r="L415" s="183"/>
      <c r="M415" s="233"/>
      <c r="N415" s="168"/>
      <c r="O415" s="227"/>
      <c r="R415" s="227"/>
      <c r="S415" s="263"/>
      <c r="T415" s="927"/>
      <c r="U415" s="178"/>
      <c r="V415" s="179"/>
      <c r="W415" s="180"/>
      <c r="X415" s="227"/>
      <c r="Y415" s="178"/>
      <c r="Z415" s="181"/>
      <c r="AA415" s="227"/>
      <c r="AB415" s="227"/>
      <c r="AD415" s="260"/>
      <c r="AE415" s="260"/>
      <c r="AF415" s="260"/>
      <c r="AG415" s="114"/>
    </row>
    <row r="416" spans="1:93" x14ac:dyDescent="0.2">
      <c r="A416" s="118">
        <f t="shared" si="38"/>
        <v>13</v>
      </c>
      <c r="B416" s="228" t="s">
        <v>543</v>
      </c>
      <c r="C416" s="223"/>
      <c r="D416" s="168"/>
      <c r="E416" s="225"/>
      <c r="F416" s="183"/>
      <c r="G416" s="233"/>
      <c r="H416" s="168"/>
      <c r="I416" s="308"/>
      <c r="J416" s="168"/>
      <c r="K416" s="225"/>
      <c r="L416" s="857">
        <v>0</v>
      </c>
      <c r="M416" s="233"/>
      <c r="N416" s="168"/>
      <c r="O416" s="227"/>
      <c r="R416" s="227"/>
      <c r="S416" s="263"/>
      <c r="T416" s="227"/>
      <c r="U416" s="178"/>
      <c r="V416" s="179"/>
      <c r="W416" s="180"/>
      <c r="X416" s="227"/>
      <c r="Y416" s="178"/>
      <c r="Z416" s="181"/>
      <c r="AA416" s="227"/>
      <c r="AB416" s="227"/>
      <c r="AD416" s="114"/>
      <c r="AE416" s="260"/>
      <c r="AF416" s="114"/>
      <c r="AG416" s="114"/>
    </row>
    <row r="417" spans="1:93" x14ac:dyDescent="0.2">
      <c r="A417" s="118">
        <f t="shared" si="38"/>
        <v>14</v>
      </c>
      <c r="B417" s="234" t="s">
        <v>149</v>
      </c>
      <c r="C417" s="223"/>
      <c r="D417" s="172">
        <f>SUMIF($AH$6:$CP$6,1,$AH417:$CP417)</f>
        <v>67319.505608535808</v>
      </c>
      <c r="E417" s="225" t="s">
        <v>596</v>
      </c>
      <c r="F417" s="173">
        <f>'Exhibit MJC-3 - E-13c cal yr'!F419</f>
        <v>12.16</v>
      </c>
      <c r="G417" s="233" t="s">
        <v>375</v>
      </c>
      <c r="H417" s="168">
        <f>ROUND(D417*F417,2)</f>
        <v>818605.19</v>
      </c>
      <c r="I417" s="308"/>
      <c r="J417" s="172">
        <f>SUMIF($AH$6:$CP$6,1,$AH417:$CP417)</f>
        <v>67319.505608535808</v>
      </c>
      <c r="K417" s="225" t="s">
        <v>596</v>
      </c>
      <c r="L417" s="173">
        <f>ROUND(F417*(1+'Exhibit MJC-2 - Old E-8a'!$V$27)+L416,2)</f>
        <v>12.65</v>
      </c>
      <c r="M417" s="233" t="s">
        <v>375</v>
      </c>
      <c r="N417" s="168">
        <f>ROUND(J417*L417,2)</f>
        <v>851591.75</v>
      </c>
      <c r="O417" s="227"/>
      <c r="Q417" s="1022"/>
      <c r="R417" s="227"/>
      <c r="S417" s="263"/>
      <c r="T417" s="197"/>
      <c r="U417" s="184" t="s">
        <v>623</v>
      </c>
      <c r="V417" s="179">
        <v>252</v>
      </c>
      <c r="W417" s="180">
        <v>226</v>
      </c>
      <c r="X417" s="227"/>
      <c r="Y417" s="184"/>
      <c r="Z417" s="181"/>
      <c r="AA417" s="227"/>
      <c r="AB417" s="182">
        <f>SUM(AH417:AS417)</f>
        <v>66067.988057592578</v>
      </c>
      <c r="AC417" s="182">
        <f>SUM(AT417:BE417)</f>
        <v>66023.050726794012</v>
      </c>
      <c r="AD417" s="182">
        <f>SUM(BF417:BQ417)</f>
        <v>66448.765308056085</v>
      </c>
      <c r="AE417" s="182">
        <f>SUM(BR417:CC417)</f>
        <v>67319.505608535808</v>
      </c>
      <c r="AF417" s="182">
        <f>SUM(CD417:CO417)</f>
        <v>67433.229393219066</v>
      </c>
      <c r="AH417" s="168">
        <v>10354.339623920152</v>
      </c>
      <c r="AI417" s="168">
        <v>7482.879664034449</v>
      </c>
      <c r="AJ417" s="168">
        <v>3827.493208503608</v>
      </c>
      <c r="AK417" s="168">
        <v>4994.5551275759954</v>
      </c>
      <c r="AL417" s="168">
        <v>4495.9251715177925</v>
      </c>
      <c r="AM417" s="168">
        <v>5865.8366927331253</v>
      </c>
      <c r="AN417" s="168">
        <v>5791.4759792706072</v>
      </c>
      <c r="AO417" s="168">
        <v>5015.1688448984096</v>
      </c>
      <c r="AP417" s="168">
        <v>4609.3299841421758</v>
      </c>
      <c r="AQ417" s="168">
        <v>4630.2071660816337</v>
      </c>
      <c r="AR417" s="168">
        <v>5677.3636012417628</v>
      </c>
      <c r="AS417" s="168">
        <v>3323.4129936728605</v>
      </c>
      <c r="AT417" s="168">
        <v>10559.64808609638</v>
      </c>
      <c r="AU417" s="168">
        <v>7538.7112621790511</v>
      </c>
      <c r="AV417" s="168">
        <v>3771.8776824274432</v>
      </c>
      <c r="AW417" s="168">
        <v>5034.5577895486413</v>
      </c>
      <c r="AX417" s="168">
        <v>4460.6407896918499</v>
      </c>
      <c r="AY417" s="168">
        <v>5717.7730392035728</v>
      </c>
      <c r="AZ417" s="168">
        <v>5832.1984416920404</v>
      </c>
      <c r="BA417" s="168">
        <v>4950.8614896882527</v>
      </c>
      <c r="BB417" s="168">
        <v>4588.7233817711785</v>
      </c>
      <c r="BC417" s="168">
        <v>4643.1968809597965</v>
      </c>
      <c r="BD417" s="168">
        <v>5632.997217938344</v>
      </c>
      <c r="BE417" s="168">
        <v>3291.8646655974762</v>
      </c>
      <c r="BF417" s="168">
        <v>10544.538169705589</v>
      </c>
      <c r="BG417" s="168">
        <v>7638.8451345854764</v>
      </c>
      <c r="BH417" s="168">
        <v>3836.145416650168</v>
      </c>
      <c r="BI417" s="168">
        <v>5017.9969103449193</v>
      </c>
      <c r="BJ417" s="168">
        <v>4495.8878835851938</v>
      </c>
      <c r="BK417" s="168">
        <v>5807.2656074045672</v>
      </c>
      <c r="BL417" s="168">
        <v>5876.3160209640891</v>
      </c>
      <c r="BM417" s="168">
        <v>4994.1959574183002</v>
      </c>
      <c r="BN417" s="168">
        <v>4610.9274542960993</v>
      </c>
      <c r="BO417" s="168">
        <v>4625.2124773865944</v>
      </c>
      <c r="BP417" s="168">
        <v>5642.7281749608201</v>
      </c>
      <c r="BQ417" s="168">
        <v>3358.7061007542725</v>
      </c>
      <c r="BR417" s="168">
        <v>10673.224239835999</v>
      </c>
      <c r="BS417" s="168">
        <v>7688.371190482585</v>
      </c>
      <c r="BT417" s="168">
        <v>3923.6834280824937</v>
      </c>
      <c r="BU417" s="168">
        <v>5141.0250583487414</v>
      </c>
      <c r="BV417" s="168">
        <v>4481.2318022424988</v>
      </c>
      <c r="BW417" s="168">
        <v>5936.2105018138718</v>
      </c>
      <c r="BX417" s="168">
        <v>5995.6456662428627</v>
      </c>
      <c r="BY417" s="168">
        <v>5064.1827364413239</v>
      </c>
      <c r="BZ417" s="168">
        <v>4656.9776752942571</v>
      </c>
      <c r="CA417" s="168">
        <v>4693.8532756922923</v>
      </c>
      <c r="CB417" s="168">
        <v>5712.861778599794</v>
      </c>
      <c r="CC417" s="168">
        <v>3352.2382554590899</v>
      </c>
      <c r="CD417" s="168">
        <v>10733.31190606874</v>
      </c>
      <c r="CE417" s="168">
        <v>7635.158483904871</v>
      </c>
      <c r="CF417" s="168">
        <v>3858.0509948479753</v>
      </c>
      <c r="CG417" s="168">
        <v>5197.561188128283</v>
      </c>
      <c r="CH417" s="168">
        <v>4538.6948504641896</v>
      </c>
      <c r="CI417" s="168">
        <v>5870.092711610554</v>
      </c>
      <c r="CJ417" s="168">
        <v>5981.9365182393603</v>
      </c>
      <c r="CK417" s="168">
        <v>5064.1176335183591</v>
      </c>
      <c r="CL417" s="168">
        <v>4722.9434887056459</v>
      </c>
      <c r="CM417" s="168">
        <v>4704.7241680243214</v>
      </c>
      <c r="CN417" s="168">
        <v>5774.5750042702057</v>
      </c>
      <c r="CO417" s="168">
        <v>3352.0624454365543</v>
      </c>
    </row>
    <row r="418" spans="1:93" x14ac:dyDescent="0.2">
      <c r="A418" s="118">
        <f t="shared" si="38"/>
        <v>15</v>
      </c>
      <c r="B418" s="234" t="s">
        <v>148</v>
      </c>
      <c r="C418" s="223"/>
      <c r="D418" s="172">
        <f>SUMIF($AH$6:$CP$6,1,$AH418:$CP418)</f>
        <v>346466.63298563985</v>
      </c>
      <c r="E418" s="225" t="s">
        <v>596</v>
      </c>
      <c r="F418" s="173">
        <f>'Exhibit MJC-3 - E-13c cal yr'!F420</f>
        <v>10.86</v>
      </c>
      <c r="G418" s="233" t="s">
        <v>375</v>
      </c>
      <c r="H418" s="168">
        <f>ROUND(D418*F418,2)</f>
        <v>3762627.63</v>
      </c>
      <c r="I418" s="308"/>
      <c r="J418" s="172">
        <f>SUMIF($AH$6:$CP$6,1,$AH418:$CP418)</f>
        <v>346466.63298563985</v>
      </c>
      <c r="K418" s="225" t="s">
        <v>596</v>
      </c>
      <c r="L418" s="310">
        <f>ROUND(L417-DVC!G29,2)</f>
        <v>11.31</v>
      </c>
      <c r="M418" s="233" t="s">
        <v>375</v>
      </c>
      <c r="N418" s="168">
        <f>ROUND(J418*L418,2)</f>
        <v>3918537.62</v>
      </c>
      <c r="O418" s="227"/>
      <c r="Q418" s="1022"/>
      <c r="R418" s="227"/>
      <c r="S418" s="263"/>
      <c r="T418" s="197"/>
      <c r="U418" s="184" t="s">
        <v>623</v>
      </c>
      <c r="V418" s="179">
        <v>252</v>
      </c>
      <c r="W418" s="180">
        <v>226</v>
      </c>
      <c r="X418" s="227"/>
      <c r="Y418" s="184"/>
      <c r="Z418" s="181"/>
      <c r="AA418" s="227"/>
      <c r="AB418" s="182">
        <f>SUM(AH418:AS418)</f>
        <v>340025.57154173707</v>
      </c>
      <c r="AC418" s="182">
        <f>SUM(AT418:BE418)</f>
        <v>339794.29703137936</v>
      </c>
      <c r="AD418" s="182">
        <f>SUM(BF418:BQ418)</f>
        <v>341985.28010900994</v>
      </c>
      <c r="AE418" s="182">
        <f>SUM(BR418:CC418)</f>
        <v>346466.63298563985</v>
      </c>
      <c r="AF418" s="182">
        <f>SUM(CD418:CO418)</f>
        <v>347051.92392640689</v>
      </c>
      <c r="AH418" s="168">
        <v>30599.827686544009</v>
      </c>
      <c r="AI418" s="168">
        <v>47451.807734447255</v>
      </c>
      <c r="AJ418" s="168">
        <v>24722.948452015808</v>
      </c>
      <c r="AK418" s="168">
        <v>25028.799307011224</v>
      </c>
      <c r="AL418" s="168">
        <v>22414.855254012127</v>
      </c>
      <c r="AM418" s="168">
        <v>27424.167216350717</v>
      </c>
      <c r="AN418" s="168">
        <v>26551.885193867016</v>
      </c>
      <c r="AO418" s="168">
        <v>25661.295173046285</v>
      </c>
      <c r="AP418" s="168">
        <v>26411.473752739163</v>
      </c>
      <c r="AQ418" s="168">
        <v>30187.533444545865</v>
      </c>
      <c r="AR418" s="168">
        <v>30662.96247566738</v>
      </c>
      <c r="AS418" s="168">
        <v>22908.015851490287</v>
      </c>
      <c r="AT418" s="168">
        <v>31520.365134683194</v>
      </c>
      <c r="AU418" s="168">
        <v>47939.084659722663</v>
      </c>
      <c r="AV418" s="168">
        <v>24498.933554299445</v>
      </c>
      <c r="AW418" s="168">
        <v>25205.967329127623</v>
      </c>
      <c r="AX418" s="168">
        <v>22294.833849784376</v>
      </c>
      <c r="AY418" s="168">
        <v>26794.068700729869</v>
      </c>
      <c r="AZ418" s="168">
        <v>26757.809611739747</v>
      </c>
      <c r="BA418" s="168">
        <v>25291.926713013141</v>
      </c>
      <c r="BB418" s="168">
        <v>26243.218899136427</v>
      </c>
      <c r="BC418" s="168">
        <v>30224.908136023838</v>
      </c>
      <c r="BD418" s="168">
        <v>30369.439472014816</v>
      </c>
      <c r="BE418" s="168">
        <v>22653.740971104184</v>
      </c>
      <c r="BF418" s="168">
        <v>31403.078119196893</v>
      </c>
      <c r="BG418" s="168">
        <v>48519.69351990494</v>
      </c>
      <c r="BH418" s="168">
        <v>24869.860178628649</v>
      </c>
      <c r="BI418" s="168">
        <v>25114.241649634183</v>
      </c>
      <c r="BJ418" s="168">
        <v>22445.610515815624</v>
      </c>
      <c r="BK418" s="168">
        <v>27184.485645496898</v>
      </c>
      <c r="BL418" s="168">
        <v>26942.147519922786</v>
      </c>
      <c r="BM418" s="168">
        <v>25508.543096872359</v>
      </c>
      <c r="BN418" s="168">
        <v>26368.021453287551</v>
      </c>
      <c r="BO418" s="168">
        <v>30101.93444968147</v>
      </c>
      <c r="BP418" s="168">
        <v>30418.01960927355</v>
      </c>
      <c r="BQ418" s="168">
        <v>23109.644351295108</v>
      </c>
      <c r="BR418" s="168">
        <v>31792.757113262618</v>
      </c>
      <c r="BS418" s="168">
        <v>48849.235306147937</v>
      </c>
      <c r="BT418" s="168">
        <v>25442.802637659395</v>
      </c>
      <c r="BU418" s="168">
        <v>25740.341256102212</v>
      </c>
      <c r="BV418" s="168">
        <v>22379.312846388664</v>
      </c>
      <c r="BW418" s="168">
        <v>27796.897055917289</v>
      </c>
      <c r="BX418" s="168">
        <v>27499.352424356774</v>
      </c>
      <c r="BY418" s="168">
        <v>25876.971735187995</v>
      </c>
      <c r="BZ418" s="168">
        <v>26643.046385452515</v>
      </c>
      <c r="CA418" s="168">
        <v>30561.568853838482</v>
      </c>
      <c r="CB418" s="168">
        <v>30809.397347636539</v>
      </c>
      <c r="CC418" s="168">
        <v>23074.950023689446</v>
      </c>
      <c r="CD418" s="168">
        <v>31940.429445505782</v>
      </c>
      <c r="CE418" s="168">
        <v>48536.306840528494</v>
      </c>
      <c r="CF418" s="168">
        <v>25029.52862255149</v>
      </c>
      <c r="CG418" s="168">
        <v>26045.423989005289</v>
      </c>
      <c r="CH418" s="168">
        <v>22680.057052341246</v>
      </c>
      <c r="CI418" s="168">
        <v>27503.121160450246</v>
      </c>
      <c r="CJ418" s="168">
        <v>27453.754338481333</v>
      </c>
      <c r="CK418" s="168">
        <v>25899.115827595906</v>
      </c>
      <c r="CL418" s="168">
        <v>27042.85390126628</v>
      </c>
      <c r="CM418" s="168">
        <v>30659.066162077273</v>
      </c>
      <c r="CN418" s="168">
        <v>31168.572202291674</v>
      </c>
      <c r="CO418" s="168">
        <v>23093.694384311908</v>
      </c>
    </row>
    <row r="419" spans="1:93" x14ac:dyDescent="0.2">
      <c r="A419" s="118">
        <f t="shared" si="38"/>
        <v>16</v>
      </c>
      <c r="B419" s="234" t="s">
        <v>597</v>
      </c>
      <c r="C419" s="223"/>
      <c r="D419" s="172">
        <f>SUMIF($AH$6:$CP$6,1,$AH419:$CP419)</f>
        <v>0</v>
      </c>
      <c r="E419" s="225" t="s">
        <v>596</v>
      </c>
      <c r="F419" s="173">
        <f>'Exhibit MJC-3 - E-13c cal yr'!F421</f>
        <v>5.98</v>
      </c>
      <c r="G419" s="233" t="s">
        <v>375</v>
      </c>
      <c r="H419" s="174">
        <f>ROUND(D419*F419,2)</f>
        <v>0</v>
      </c>
      <c r="I419" s="229"/>
      <c r="J419" s="172">
        <f>SUMIF($AH$6:$CP$6,1,$AH419:$CP419)</f>
        <v>0</v>
      </c>
      <c r="K419" s="225" t="s">
        <v>596</v>
      </c>
      <c r="L419" s="310">
        <f>ROUND(L417-DVC!G30,2)</f>
        <v>6.18</v>
      </c>
      <c r="M419" s="233" t="s">
        <v>375</v>
      </c>
      <c r="N419" s="174">
        <f>ROUND(J419*L419,2)</f>
        <v>0</v>
      </c>
      <c r="O419" s="227"/>
      <c r="R419" s="227"/>
      <c r="S419" s="227"/>
      <c r="T419" s="927"/>
      <c r="U419" s="184" t="s">
        <v>623</v>
      </c>
      <c r="V419" s="179">
        <v>252</v>
      </c>
      <c r="W419" s="180">
        <v>226</v>
      </c>
      <c r="X419" s="227"/>
      <c r="Y419" s="184"/>
      <c r="Z419" s="181"/>
      <c r="AA419" s="227"/>
      <c r="AB419" s="182">
        <f>SUM(AH419:AS419)</f>
        <v>0</v>
      </c>
      <c r="AC419" s="182">
        <f>SUM(AT419:BE419)</f>
        <v>0</v>
      </c>
      <c r="AD419" s="182">
        <f>SUM(BF419:BQ419)</f>
        <v>0</v>
      </c>
      <c r="AE419" s="182">
        <f>SUM(BR419:CC419)</f>
        <v>0</v>
      </c>
      <c r="AF419" s="182">
        <f>SUM(CD419:CO419)</f>
        <v>0</v>
      </c>
      <c r="AH419" s="168"/>
      <c r="AI419" s="168"/>
      <c r="AJ419" s="168"/>
      <c r="AK419" s="168"/>
      <c r="AL419" s="168"/>
      <c r="AM419" s="168"/>
      <c r="AN419" s="168"/>
      <c r="AO419" s="168"/>
      <c r="AP419" s="168"/>
      <c r="AQ419" s="168"/>
      <c r="AR419" s="168"/>
      <c r="AS419" s="168"/>
      <c r="AT419" s="168"/>
      <c r="AU419" s="168"/>
      <c r="AV419" s="168"/>
      <c r="AW419" s="168"/>
      <c r="AX419" s="168"/>
      <c r="AY419" s="168"/>
      <c r="AZ419" s="168"/>
      <c r="BA419" s="168"/>
      <c r="BB419" s="168"/>
      <c r="BC419" s="168"/>
      <c r="BD419" s="168"/>
      <c r="BE419" s="168"/>
      <c r="BF419" s="168"/>
      <c r="BG419" s="168"/>
      <c r="BH419" s="168"/>
      <c r="BI419" s="168"/>
      <c r="BJ419" s="168"/>
      <c r="BK419" s="168"/>
      <c r="BL419" s="168"/>
      <c r="BM419" s="168"/>
      <c r="BN419" s="168"/>
      <c r="BO419" s="168"/>
      <c r="BP419" s="168"/>
      <c r="BQ419" s="168"/>
      <c r="BR419" s="168"/>
      <c r="BS419" s="168"/>
      <c r="BT419" s="168"/>
      <c r="BU419" s="168"/>
      <c r="BV419" s="168"/>
      <c r="BW419" s="168"/>
      <c r="BX419" s="168"/>
      <c r="BY419" s="168"/>
      <c r="BZ419" s="168"/>
      <c r="CA419" s="168"/>
      <c r="CB419" s="168"/>
      <c r="CC419" s="168"/>
      <c r="CD419" s="168"/>
      <c r="CE419" s="168"/>
      <c r="CF419" s="168"/>
      <c r="CG419" s="168"/>
      <c r="CH419" s="168"/>
      <c r="CI419" s="168"/>
      <c r="CJ419" s="168"/>
      <c r="CK419" s="168"/>
      <c r="CL419" s="168"/>
      <c r="CM419" s="168"/>
      <c r="CN419" s="168"/>
      <c r="CO419" s="168"/>
    </row>
    <row r="420" spans="1:93" x14ac:dyDescent="0.2">
      <c r="A420" s="118">
        <f t="shared" si="38"/>
        <v>17</v>
      </c>
      <c r="B420" s="234" t="s">
        <v>598</v>
      </c>
      <c r="C420" s="223"/>
      <c r="D420" s="172">
        <f>SUMIF($AH$6:$CP$6,1,$AH420:$CP420)</f>
        <v>0</v>
      </c>
      <c r="E420" s="225" t="s">
        <v>596</v>
      </c>
      <c r="F420" s="173">
        <f>'Exhibit MJC-3 - E-13c cal yr'!F422</f>
        <v>3.55</v>
      </c>
      <c r="G420" s="233" t="s">
        <v>375</v>
      </c>
      <c r="H420" s="174">
        <f>ROUND(D420*F420,2)</f>
        <v>0</v>
      </c>
      <c r="I420" s="229"/>
      <c r="J420" s="172">
        <f>SUMIF($AH$6:$CP$6,1,$AH420:$CP420)</f>
        <v>0</v>
      </c>
      <c r="K420" s="225" t="s">
        <v>596</v>
      </c>
      <c r="L420" s="310">
        <f>ROUND(L417-DVC!G31,2)</f>
        <v>3.61</v>
      </c>
      <c r="M420" s="233" t="s">
        <v>375</v>
      </c>
      <c r="N420" s="174">
        <f>ROUND(J420*L420,2)</f>
        <v>0</v>
      </c>
      <c r="O420" s="227"/>
      <c r="R420" s="227"/>
      <c r="S420" s="262"/>
      <c r="T420" s="247"/>
      <c r="U420" s="184" t="s">
        <v>623</v>
      </c>
      <c r="V420" s="179">
        <v>252</v>
      </c>
      <c r="W420" s="180">
        <v>226</v>
      </c>
      <c r="X420" s="227"/>
      <c r="Y420" s="184"/>
      <c r="Z420" s="181"/>
      <c r="AA420" s="227"/>
      <c r="AB420" s="182">
        <f>SUM(AH420:AS420)</f>
        <v>0</v>
      </c>
      <c r="AC420" s="182">
        <f>SUM(AT420:BE420)</f>
        <v>0</v>
      </c>
      <c r="AD420" s="182">
        <f>SUM(BF420:BQ420)</f>
        <v>0</v>
      </c>
      <c r="AE420" s="182">
        <f>SUM(BR420:CC420)</f>
        <v>0</v>
      </c>
      <c r="AF420" s="182">
        <f>SUM(CD420:CO420)</f>
        <v>0</v>
      </c>
      <c r="AH420" s="168"/>
      <c r="AI420" s="168"/>
      <c r="AJ420" s="168"/>
      <c r="AK420" s="168"/>
      <c r="AL420" s="168"/>
      <c r="AM420" s="168"/>
      <c r="AN420" s="168"/>
      <c r="AO420" s="168"/>
      <c r="AP420" s="168"/>
      <c r="AQ420" s="168"/>
      <c r="AR420" s="168"/>
      <c r="AS420" s="168"/>
      <c r="AT420" s="168"/>
      <c r="AU420" s="168"/>
      <c r="AV420" s="168"/>
      <c r="AW420" s="168"/>
      <c r="AX420" s="168"/>
      <c r="AY420" s="168"/>
      <c r="AZ420" s="168"/>
      <c r="BA420" s="168"/>
      <c r="BB420" s="168"/>
      <c r="BC420" s="168"/>
      <c r="BD420" s="168"/>
      <c r="BE420" s="168"/>
      <c r="BF420" s="168"/>
      <c r="BG420" s="168"/>
      <c r="BH420" s="168"/>
      <c r="BI420" s="168"/>
      <c r="BJ420" s="168"/>
      <c r="BK420" s="168"/>
      <c r="BL420" s="168"/>
      <c r="BM420" s="168"/>
      <c r="BN420" s="168"/>
      <c r="BO420" s="168"/>
      <c r="BP420" s="168"/>
      <c r="BQ420" s="168"/>
      <c r="BR420" s="168"/>
      <c r="BS420" s="168"/>
      <c r="BT420" s="168"/>
      <c r="BU420" s="168"/>
      <c r="BV420" s="168"/>
      <c r="BW420" s="168"/>
      <c r="BX420" s="168"/>
      <c r="BY420" s="168"/>
      <c r="BZ420" s="168"/>
      <c r="CA420" s="168"/>
      <c r="CB420" s="168"/>
      <c r="CC420" s="168"/>
      <c r="CD420" s="168"/>
      <c r="CE420" s="168"/>
      <c r="CF420" s="168"/>
      <c r="CG420" s="168"/>
      <c r="CH420" s="168"/>
      <c r="CI420" s="168"/>
      <c r="CJ420" s="168"/>
      <c r="CK420" s="168"/>
      <c r="CL420" s="168"/>
      <c r="CM420" s="168"/>
      <c r="CN420" s="168"/>
      <c r="CO420" s="168"/>
    </row>
    <row r="421" spans="1:93" x14ac:dyDescent="0.2">
      <c r="A421" s="118">
        <f t="shared" si="38"/>
        <v>18</v>
      </c>
      <c r="B421" s="226" t="s">
        <v>546</v>
      </c>
      <c r="C421" s="223"/>
      <c r="D421" s="168"/>
      <c r="E421" s="225"/>
      <c r="F421" s="183"/>
      <c r="G421" s="233"/>
      <c r="H421" s="168"/>
      <c r="I421" s="308"/>
      <c r="J421" s="168"/>
      <c r="K421" s="225"/>
      <c r="L421" s="183"/>
      <c r="M421" s="233"/>
      <c r="N421" s="168"/>
      <c r="O421" s="227"/>
      <c r="R421" s="227"/>
      <c r="S421" s="262"/>
      <c r="T421" s="247"/>
      <c r="U421" s="178"/>
      <c r="V421" s="179"/>
      <c r="W421" s="180"/>
      <c r="X421" s="227"/>
      <c r="Y421" s="178"/>
      <c r="Z421" s="181"/>
      <c r="AA421" s="227"/>
      <c r="AB421" s="227"/>
      <c r="AE421" s="260"/>
      <c r="AF421" s="241"/>
      <c r="AG421" s="114"/>
    </row>
    <row r="422" spans="1:93" x14ac:dyDescent="0.2">
      <c r="A422" s="118">
        <f t="shared" si="38"/>
        <v>19</v>
      </c>
      <c r="B422" s="234" t="s">
        <v>149</v>
      </c>
      <c r="C422" s="223"/>
      <c r="D422" s="168"/>
      <c r="E422" s="225"/>
      <c r="F422" s="183"/>
      <c r="G422" s="233"/>
      <c r="H422" s="168"/>
      <c r="I422" s="308"/>
      <c r="J422" s="168"/>
      <c r="K422" s="225"/>
      <c r="L422" s="857">
        <v>0</v>
      </c>
      <c r="M422" s="233"/>
      <c r="N422" s="168"/>
      <c r="O422" s="227"/>
      <c r="R422" s="227"/>
      <c r="S422" s="262"/>
      <c r="T422" s="858" t="s">
        <v>558</v>
      </c>
      <c r="U422" s="178" t="s">
        <v>624</v>
      </c>
      <c r="V422" s="179">
        <v>254</v>
      </c>
      <c r="W422" s="180">
        <v>228</v>
      </c>
      <c r="X422" s="227"/>
      <c r="Y422" s="178"/>
      <c r="Z422" s="181"/>
      <c r="AA422" s="227"/>
      <c r="AB422" s="182">
        <f>SUM(AH422:AS422)</f>
        <v>0</v>
      </c>
      <c r="AC422" s="182">
        <f>SUM(AT422:BE422)</f>
        <v>0</v>
      </c>
      <c r="AD422" s="182">
        <f>SUM(BF422:BQ422)</f>
        <v>0</v>
      </c>
      <c r="AE422" s="182">
        <f>SUM(BR422:CC422)</f>
        <v>0</v>
      </c>
      <c r="AF422" s="182">
        <f>SUM(CD422:CO422)</f>
        <v>0</v>
      </c>
      <c r="AG422" s="114"/>
    </row>
    <row r="423" spans="1:93" x14ac:dyDescent="0.2">
      <c r="A423" s="118">
        <f t="shared" si="38"/>
        <v>20</v>
      </c>
      <c r="B423" s="243" t="s">
        <v>559</v>
      </c>
      <c r="C423" s="223"/>
      <c r="D423" s="172">
        <f>SUMIF($AH$6:$CP$6,1,$AH423:$CP423)</f>
        <v>608723.28058436874</v>
      </c>
      <c r="E423" s="225" t="s">
        <v>596</v>
      </c>
      <c r="F423" s="173">
        <f>'Exhibit MJC-3 - E-13c cal yr'!F425</f>
        <v>2.75</v>
      </c>
      <c r="G423" s="233" t="s">
        <v>375</v>
      </c>
      <c r="H423" s="168">
        <f>ROUND(D423*F423,2)</f>
        <v>1673989.02</v>
      </c>
      <c r="I423" s="308"/>
      <c r="J423" s="172">
        <f>SUMIF($AH$6:$CP$6,1,$AH423:$CP423)</f>
        <v>608723.28058436874</v>
      </c>
      <c r="K423" s="225" t="s">
        <v>596</v>
      </c>
      <c r="L423" s="173">
        <f>ROUND(F423*(1+'Exhibit MJC-2 - Old E-8a'!$V$27)+L422,2)</f>
        <v>2.86</v>
      </c>
      <c r="M423" s="233" t="s">
        <v>375</v>
      </c>
      <c r="N423" s="168">
        <f>ROUND(J423*L423,2)</f>
        <v>1740948.58</v>
      </c>
      <c r="O423" s="227"/>
      <c r="Q423" s="1022"/>
      <c r="R423" s="182"/>
      <c r="S423" s="262"/>
      <c r="T423" s="859">
        <f>'MFR E-14C'!X277</f>
        <v>0.27689624131691365</v>
      </c>
      <c r="U423" s="178" t="s">
        <v>624</v>
      </c>
      <c r="V423" s="179">
        <v>254</v>
      </c>
      <c r="W423" s="180">
        <v>228</v>
      </c>
      <c r="X423" s="227"/>
      <c r="Y423" s="178"/>
      <c r="Z423" s="181"/>
      <c r="AA423" s="227"/>
      <c r="AB423" s="182">
        <f>SUM(AH423:AS423)</f>
        <v>597406.68129516556</v>
      </c>
      <c r="AC423" s="182">
        <f>SUM(AT423:BE423)</f>
        <v>597000.34439210687</v>
      </c>
      <c r="AD423" s="182">
        <f>SUM(BF423:BQ423)</f>
        <v>600849.78407761746</v>
      </c>
      <c r="AE423" s="182">
        <f>SUM(BR423:CC423)</f>
        <v>608723.28058436874</v>
      </c>
      <c r="AF423" s="182">
        <f>SUM(CD423:CO423)</f>
        <v>609751.60535691574</v>
      </c>
      <c r="AH423" s="168">
        <v>85730.427988201336</v>
      </c>
      <c r="AI423" s="168">
        <v>92449.622590966479</v>
      </c>
      <c r="AJ423" s="168">
        <v>56724.34341466138</v>
      </c>
      <c r="AK423" s="168">
        <v>31021.702776679154</v>
      </c>
      <c r="AL423" s="168">
        <v>36457.808167038733</v>
      </c>
      <c r="AM423" s="168">
        <v>41924.282904508822</v>
      </c>
      <c r="AN423" s="168">
        <v>39349.549744849537</v>
      </c>
      <c r="AO423" s="168">
        <v>29779.545839687886</v>
      </c>
      <c r="AP423" s="168">
        <v>45017.905057061515</v>
      </c>
      <c r="AQ423" s="168">
        <v>44973.730388447068</v>
      </c>
      <c r="AR423" s="168">
        <v>24216.379769657648</v>
      </c>
      <c r="AS423" s="168">
        <v>69761.382653405977</v>
      </c>
      <c r="AT423" s="168">
        <v>88541.843992941809</v>
      </c>
      <c r="AU423" s="168">
        <v>93170.16516110189</v>
      </c>
      <c r="AV423" s="168">
        <v>56028.945493357569</v>
      </c>
      <c r="AW423" s="168">
        <v>31152.973950061525</v>
      </c>
      <c r="AX423" s="168">
        <v>36157.923891884864</v>
      </c>
      <c r="AY423" s="168">
        <v>40855.039078919515</v>
      </c>
      <c r="AZ423" s="168">
        <v>39564.807033961333</v>
      </c>
      <c r="BA423" s="168">
        <v>29266.837074669744</v>
      </c>
      <c r="BB423" s="168">
        <v>44630.252402570593</v>
      </c>
      <c r="BC423" s="168">
        <v>44905.820823110684</v>
      </c>
      <c r="BD423" s="168">
        <v>23919.301610135317</v>
      </c>
      <c r="BE423" s="168">
        <v>68806.43387939212</v>
      </c>
      <c r="BF423" s="168">
        <v>88011.433036293121</v>
      </c>
      <c r="BG423" s="168">
        <v>94237.562491708639</v>
      </c>
      <c r="BH423" s="168">
        <v>56854.456484605173</v>
      </c>
      <c r="BI423" s="168">
        <v>31023.223909728214</v>
      </c>
      <c r="BJ423" s="168">
        <v>36384.529772382193</v>
      </c>
      <c r="BK423" s="168">
        <v>41425.405899880854</v>
      </c>
      <c r="BL423" s="168">
        <v>39808.979428851395</v>
      </c>
      <c r="BM423" s="168">
        <v>29503.036631266077</v>
      </c>
      <c r="BN423" s="168">
        <v>44809.378391764258</v>
      </c>
      <c r="BO423" s="168">
        <v>44698.348206003851</v>
      </c>
      <c r="BP423" s="168">
        <v>23944.851244482459</v>
      </c>
      <c r="BQ423" s="168">
        <v>70148.578580651287</v>
      </c>
      <c r="BR423" s="168">
        <v>89175.843997527089</v>
      </c>
      <c r="BS423" s="168">
        <v>94978.579583724684</v>
      </c>
      <c r="BT423" s="168">
        <v>58228.490253368516</v>
      </c>
      <c r="BU423" s="168">
        <v>31831.094884135378</v>
      </c>
      <c r="BV423" s="168">
        <v>36316.234691101679</v>
      </c>
      <c r="BW423" s="168">
        <v>42403.979251358774</v>
      </c>
      <c r="BX423" s="168">
        <v>40675.280609232439</v>
      </c>
      <c r="BY423" s="168">
        <v>29961.322243961986</v>
      </c>
      <c r="BZ423" s="168">
        <v>45325.042701564184</v>
      </c>
      <c r="CA423" s="168">
        <v>45429.846174137805</v>
      </c>
      <c r="CB423" s="168">
        <v>24278.777990974842</v>
      </c>
      <c r="CC423" s="168">
        <v>70118.788203281423</v>
      </c>
      <c r="CD423" s="168">
        <v>89732.01366024217</v>
      </c>
      <c r="CE423" s="168">
        <v>94460.776459374567</v>
      </c>
      <c r="CF423" s="168">
        <v>57332.235487117265</v>
      </c>
      <c r="CG423" s="168">
        <v>32237.814614208921</v>
      </c>
      <c r="CH423" s="168">
        <v>36837.557168220788</v>
      </c>
      <c r="CI423" s="168">
        <v>41995.399631477238</v>
      </c>
      <c r="CJ423" s="168">
        <v>40647.788106201704</v>
      </c>
      <c r="CK423" s="168">
        <v>30014.120096337065</v>
      </c>
      <c r="CL423" s="168">
        <v>46050.684079898019</v>
      </c>
      <c r="CM423" s="168">
        <v>45616.902337773085</v>
      </c>
      <c r="CN423" s="168">
        <v>24584.476152863976</v>
      </c>
      <c r="CO423" s="168">
        <v>70241.837563200941</v>
      </c>
    </row>
    <row r="424" spans="1:93" x14ac:dyDescent="0.2">
      <c r="A424" s="118">
        <f t="shared" si="38"/>
        <v>21</v>
      </c>
      <c r="B424" s="243" t="s">
        <v>599</v>
      </c>
      <c r="C424" s="223"/>
      <c r="D424" s="172">
        <f>SUMIF($AH$6:$CP$6,1,$AH424:$CP424)</f>
        <v>634911.21995928185</v>
      </c>
      <c r="E424" s="225" t="s">
        <v>596</v>
      </c>
      <c r="F424" s="173">
        <f>'Exhibit MJC-3 - E-13c cal yr'!F426</f>
        <v>5.28</v>
      </c>
      <c r="G424" s="233" t="s">
        <v>375</v>
      </c>
      <c r="H424" s="168">
        <f>ROUND(D424*F424,2)</f>
        <v>3352331.24</v>
      </c>
      <c r="I424" s="308"/>
      <c r="J424" s="172">
        <f>SUMIF($AH$6:$CP$6,1,$AH424:$CP424)</f>
        <v>634911.21995928185</v>
      </c>
      <c r="K424" s="225" t="s">
        <v>596</v>
      </c>
      <c r="L424" s="173">
        <f>ROUND(F424*(1+'Exhibit MJC-2 - Old E-8a'!$V$27)+L422,2)</f>
        <v>5.49</v>
      </c>
      <c r="M424" s="233" t="s">
        <v>375</v>
      </c>
      <c r="N424" s="168">
        <f>ROUND(J424*L424,2)</f>
        <v>3485662.6</v>
      </c>
      <c r="O424" s="227"/>
      <c r="Q424" s="1022"/>
      <c r="R424" s="182"/>
      <c r="S424" s="262"/>
      <c r="T424" s="859">
        <f>'MFR E-14C'!X278</f>
        <v>0.53364843567677722</v>
      </c>
      <c r="U424" s="178" t="s">
        <v>624</v>
      </c>
      <c r="V424" s="179">
        <v>254</v>
      </c>
      <c r="W424" s="180">
        <v>228</v>
      </c>
      <c r="X424" s="227"/>
      <c r="Y424" s="178"/>
      <c r="Z424" s="181"/>
      <c r="AA424" s="227"/>
      <c r="AB424" s="182"/>
      <c r="AC424" s="182"/>
      <c r="AD424" s="182"/>
      <c r="AE424" s="182"/>
      <c r="AF424" s="182"/>
      <c r="AH424" s="168">
        <v>54142.36299810229</v>
      </c>
      <c r="AI424" s="168">
        <v>53412.307063689317</v>
      </c>
      <c r="AJ424" s="168">
        <v>44657.114687118905</v>
      </c>
      <c r="AK424" s="168">
        <v>43935.356419880227</v>
      </c>
      <c r="AL424" s="168">
        <v>42237.379697433127</v>
      </c>
      <c r="AM424" s="168">
        <v>58048.31075581981</v>
      </c>
      <c r="AN424" s="168">
        <v>55466.225094739391</v>
      </c>
      <c r="AO424" s="168">
        <v>38978.463045210738</v>
      </c>
      <c r="AP424" s="168">
        <v>64698.573469317831</v>
      </c>
      <c r="AQ424" s="168">
        <v>63348.213767468791</v>
      </c>
      <c r="AR424" s="168">
        <v>31612.063237253285</v>
      </c>
      <c r="AS424" s="168">
        <v>72571.397991287289</v>
      </c>
      <c r="AT424" s="168">
        <v>56107.017636352335</v>
      </c>
      <c r="AU424" s="168">
        <v>53999.856063528146</v>
      </c>
      <c r="AV424" s="168">
        <v>44247.648340432759</v>
      </c>
      <c r="AW424" s="168">
        <v>44260.477555527788</v>
      </c>
      <c r="AX424" s="168">
        <v>42026.131779289179</v>
      </c>
      <c r="AY424" s="168">
        <v>56747.956210271353</v>
      </c>
      <c r="AZ424" s="168">
        <v>55945.10938541231</v>
      </c>
      <c r="BA424" s="168">
        <v>38434.182909574745</v>
      </c>
      <c r="BB424" s="168">
        <v>64334.881826224177</v>
      </c>
      <c r="BC424" s="168">
        <v>63452.50538320122</v>
      </c>
      <c r="BD424" s="168">
        <v>31328.773617043604</v>
      </c>
      <c r="BE424" s="168">
        <v>71799.40956070392</v>
      </c>
      <c r="BF424" s="168">
        <v>55779.197037035985</v>
      </c>
      <c r="BG424" s="168">
        <v>54632.016200114376</v>
      </c>
      <c r="BH424" s="168">
        <v>44911.861246715314</v>
      </c>
      <c r="BI424" s="168">
        <v>44087.617295677337</v>
      </c>
      <c r="BJ424" s="168">
        <v>42298.536381527214</v>
      </c>
      <c r="BK424" s="168">
        <v>57554.364992966184</v>
      </c>
      <c r="BL424" s="168">
        <v>56305.280658330426</v>
      </c>
      <c r="BM424" s="168">
        <v>38751.500913275195</v>
      </c>
      <c r="BN424" s="168">
        <v>64614.351754081494</v>
      </c>
      <c r="BO424" s="168">
        <v>63175.609003229372</v>
      </c>
      <c r="BP424" s="168">
        <v>31367.43887845166</v>
      </c>
      <c r="BQ424" s="168">
        <v>73221.222684950961</v>
      </c>
      <c r="BR424" s="168">
        <v>56474.730914039297</v>
      </c>
      <c r="BS424" s="168">
        <v>55020.002784469798</v>
      </c>
      <c r="BT424" s="168">
        <v>45962.462622844272</v>
      </c>
      <c r="BU424" s="168">
        <v>45201.491369891766</v>
      </c>
      <c r="BV424" s="168">
        <v>42187.310475943683</v>
      </c>
      <c r="BW424" s="168">
        <v>58869.43759255013</v>
      </c>
      <c r="BX424" s="168">
        <v>57487.05204581072</v>
      </c>
      <c r="BY424" s="168">
        <v>39323.832294336498</v>
      </c>
      <c r="BZ424" s="168">
        <v>65308.299506938347</v>
      </c>
      <c r="CA424" s="168">
        <v>64160.948567697589</v>
      </c>
      <c r="CB424" s="168">
        <v>31780.971201337048</v>
      </c>
      <c r="CC424" s="168">
        <v>73134.680583422713</v>
      </c>
      <c r="CD424" s="168">
        <v>56761.093346166403</v>
      </c>
      <c r="CE424" s="168">
        <v>54654.995933854771</v>
      </c>
      <c r="CF424" s="168">
        <v>45200.851896340464</v>
      </c>
      <c r="CG424" s="168">
        <v>45724.449205062781</v>
      </c>
      <c r="CH424" s="168">
        <v>42742.482689704128</v>
      </c>
      <c r="CI424" s="168">
        <v>58232.9210025254</v>
      </c>
      <c r="CJ424" s="168">
        <v>57379.60164216972</v>
      </c>
      <c r="CK424" s="168">
        <v>39347.053211854138</v>
      </c>
      <c r="CL424" s="168">
        <v>66273.350832278244</v>
      </c>
      <c r="CM424" s="168">
        <v>64348.346680745519</v>
      </c>
      <c r="CN424" s="168">
        <v>32143.668119111258</v>
      </c>
      <c r="CO424" s="168">
        <v>73174.969825171938</v>
      </c>
    </row>
    <row r="425" spans="1:93" x14ac:dyDescent="0.2">
      <c r="A425" s="118">
        <f t="shared" si="38"/>
        <v>22</v>
      </c>
      <c r="B425" s="243" t="s">
        <v>145</v>
      </c>
      <c r="C425" s="223"/>
      <c r="D425" s="172">
        <f>SUMIF($AH$6:$CP$6,1,$AH425:$CP425)</f>
        <v>745317.10733794118</v>
      </c>
      <c r="E425" s="225" t="s">
        <v>596</v>
      </c>
      <c r="F425" s="173">
        <f>'Exhibit MJC-3 - E-13c cal yr'!F427</f>
        <v>1.86</v>
      </c>
      <c r="G425" s="233" t="s">
        <v>375</v>
      </c>
      <c r="H425" s="168">
        <f>ROUND(D425*F425,2)</f>
        <v>1386289.82</v>
      </c>
      <c r="I425" s="308"/>
      <c r="J425" s="172">
        <f>SUMIF($AH$6:$CP$6,1,$AH425:$CP425)</f>
        <v>745317.10733794118</v>
      </c>
      <c r="K425" s="225" t="s">
        <v>596</v>
      </c>
      <c r="L425" s="173">
        <f>ROUND(F425*(1+'Exhibit MJC-2 - Old E-8a'!$V$27)+L422,2)</f>
        <v>1.94</v>
      </c>
      <c r="M425" s="233" t="s">
        <v>375</v>
      </c>
      <c r="N425" s="168">
        <f>ROUND(J425*L425,2)</f>
        <v>1445915.19</v>
      </c>
      <c r="O425" s="227"/>
      <c r="Q425" s="1022"/>
      <c r="R425" s="182"/>
      <c r="S425" s="262"/>
      <c r="T425" s="859">
        <f>'MFR E-14C'!X279</f>
        <v>0.18945532300630932</v>
      </c>
      <c r="U425" s="178" t="s">
        <v>624</v>
      </c>
      <c r="V425" s="179">
        <v>254</v>
      </c>
      <c r="W425" s="180">
        <v>228</v>
      </c>
      <c r="X425" s="227"/>
      <c r="Y425" s="178"/>
      <c r="Z425" s="181"/>
      <c r="AA425" s="227"/>
      <c r="AB425" s="182">
        <f>SUM(AH425:AS425)</f>
        <v>731461.1315339033</v>
      </c>
      <c r="AC425" s="182">
        <f>SUM(AT425:BE425)</f>
        <v>730963.61508455453</v>
      </c>
      <c r="AD425" s="182">
        <f>SUM(BF425:BQ425)</f>
        <v>735676.84578031872</v>
      </c>
      <c r="AE425" s="182">
        <f>SUM(BR425:CC425)</f>
        <v>745317.10733794118</v>
      </c>
      <c r="AF425" s="182">
        <f>SUM(CD425:CO425)</f>
        <v>746576.18197714817</v>
      </c>
      <c r="AH425" s="168">
        <v>67688.971356012509</v>
      </c>
      <c r="AI425" s="168">
        <v>64012.979195914028</v>
      </c>
      <c r="AJ425" s="168">
        <v>52257.912213313408</v>
      </c>
      <c r="AK425" s="168">
        <v>51081.401039316617</v>
      </c>
      <c r="AL425" s="168">
        <v>49725.627890479685</v>
      </c>
      <c r="AM425" s="168">
        <v>67713.78825457317</v>
      </c>
      <c r="AN425" s="168">
        <v>64381.076434498325</v>
      </c>
      <c r="AO425" s="168">
        <v>46068.479012547177</v>
      </c>
      <c r="AP425" s="168">
        <v>73906.459706747453</v>
      </c>
      <c r="AQ425" s="168">
        <v>73378.963832222289</v>
      </c>
      <c r="AR425" s="168">
        <v>37283.877016058264</v>
      </c>
      <c r="AS425" s="168">
        <v>83961.59558222034</v>
      </c>
      <c r="AT425" s="168">
        <v>70089.721941105265</v>
      </c>
      <c r="AU425" s="168">
        <v>64689.35397384211</v>
      </c>
      <c r="AV425" s="168">
        <v>51767.447318422375</v>
      </c>
      <c r="AW425" s="168">
        <v>51451.157572183256</v>
      </c>
      <c r="AX425" s="168">
        <v>49463.460677335155</v>
      </c>
      <c r="AY425" s="168">
        <v>66184.33699655869</v>
      </c>
      <c r="AZ425" s="168">
        <v>64927.493791237786</v>
      </c>
      <c r="BA425" s="168">
        <v>45411.258190067245</v>
      </c>
      <c r="BB425" s="168">
        <v>73491.007551859861</v>
      </c>
      <c r="BC425" s="168">
        <v>73490.452518762133</v>
      </c>
      <c r="BD425" s="168">
        <v>36939.109099545334</v>
      </c>
      <c r="BE425" s="168">
        <v>83058.815453635369</v>
      </c>
      <c r="BF425" s="168">
        <v>69694.20438265914</v>
      </c>
      <c r="BG425" s="168">
        <v>65453.789832146664</v>
      </c>
      <c r="BH425" s="168">
        <v>52547.455522812386</v>
      </c>
      <c r="BI425" s="168">
        <v>51252.299233253791</v>
      </c>
      <c r="BJ425" s="168">
        <v>49787.513961220691</v>
      </c>
      <c r="BK425" s="168">
        <v>67128.079033506059</v>
      </c>
      <c r="BL425" s="168">
        <v>65347.904319928595</v>
      </c>
      <c r="BM425" s="168">
        <v>45789.748072291208</v>
      </c>
      <c r="BN425" s="168">
        <v>73810.251576184877</v>
      </c>
      <c r="BO425" s="168">
        <v>73172.107367078686</v>
      </c>
      <c r="BP425" s="168">
        <v>36987.406034429318</v>
      </c>
      <c r="BQ425" s="168">
        <v>84706.086444807399</v>
      </c>
      <c r="BR425" s="168">
        <v>70566.284506994547</v>
      </c>
      <c r="BS425" s="168">
        <v>65920.16920225801</v>
      </c>
      <c r="BT425" s="168">
        <v>53777.310910775501</v>
      </c>
      <c r="BU425" s="168">
        <v>52547.64669968783</v>
      </c>
      <c r="BV425" s="168">
        <v>49657.330166904845</v>
      </c>
      <c r="BW425" s="168">
        <v>68662.612706806642</v>
      </c>
      <c r="BX425" s="168">
        <v>66719.995053706501</v>
      </c>
      <c r="BY425" s="168">
        <v>46466.804278097785</v>
      </c>
      <c r="BZ425" s="168">
        <v>74602.961815142859</v>
      </c>
      <c r="CA425" s="168">
        <v>74313.872664735914</v>
      </c>
      <c r="CB425" s="168">
        <v>37475.616329546523</v>
      </c>
      <c r="CC425" s="168">
        <v>84606.503003284262</v>
      </c>
      <c r="CD425" s="168">
        <v>70928.402188021719</v>
      </c>
      <c r="CE425" s="168">
        <v>65485.005859361911</v>
      </c>
      <c r="CF425" s="168">
        <v>52887.091471373074</v>
      </c>
      <c r="CG425" s="168">
        <v>53156.248808591969</v>
      </c>
      <c r="CH425" s="168">
        <v>50311.855691136821</v>
      </c>
      <c r="CI425" s="168">
        <v>67921.198513854266</v>
      </c>
      <c r="CJ425" s="168">
        <v>66596.029133618329</v>
      </c>
      <c r="CK425" s="168">
        <v>46495.337182393763</v>
      </c>
      <c r="CL425" s="168">
        <v>75705.359025260666</v>
      </c>
      <c r="CM425" s="168">
        <v>74531.649325732229</v>
      </c>
      <c r="CN425" s="168">
        <v>37904.140587169808</v>
      </c>
      <c r="CO425" s="168">
        <v>84653.864190633496</v>
      </c>
    </row>
    <row r="426" spans="1:93" x14ac:dyDescent="0.2">
      <c r="A426" s="118">
        <f t="shared" si="38"/>
        <v>23</v>
      </c>
      <c r="B426" s="234" t="s">
        <v>148</v>
      </c>
      <c r="C426" s="223"/>
      <c r="D426" s="168"/>
      <c r="E426" s="225"/>
      <c r="F426" s="183"/>
      <c r="G426" s="233"/>
      <c r="H426" s="168"/>
      <c r="I426" s="308"/>
      <c r="J426" s="168"/>
      <c r="K426" s="225"/>
      <c r="L426" s="183"/>
      <c r="M426" s="233"/>
      <c r="N426" s="168"/>
      <c r="O426" s="227"/>
      <c r="S426" s="262"/>
      <c r="T426" s="247"/>
      <c r="U426" s="178"/>
      <c r="V426" s="179"/>
      <c r="W426" s="180"/>
      <c r="X426" s="264"/>
      <c r="Y426" s="178"/>
      <c r="Z426" s="181"/>
      <c r="AA426" s="264"/>
      <c r="AB426" s="264"/>
      <c r="AD426" s="242"/>
      <c r="AE426" s="260"/>
    </row>
    <row r="427" spans="1:93" x14ac:dyDescent="0.2">
      <c r="A427" s="118">
        <f t="shared" si="38"/>
        <v>24</v>
      </c>
      <c r="B427" s="243" t="s">
        <v>559</v>
      </c>
      <c r="C427" s="223"/>
      <c r="D427" s="172">
        <f>SUMIF($AH$6:$CP$6,1,$AH427:$CP427)</f>
        <v>2436268.8402590877</v>
      </c>
      <c r="E427" s="225" t="s">
        <v>596</v>
      </c>
      <c r="F427" s="173">
        <f>'Exhibit MJC-3 - E-13c cal yr'!F429</f>
        <v>2.75</v>
      </c>
      <c r="G427" s="233" t="s">
        <v>375</v>
      </c>
      <c r="H427" s="168">
        <f>ROUND(D427*F427,2)</f>
        <v>6699739.3099999996</v>
      </c>
      <c r="I427" s="308"/>
      <c r="J427" s="172">
        <f>SUMIF($AH$6:$CP$6,1,$AH427:$CP427)</f>
        <v>2436268.8402590877</v>
      </c>
      <c r="K427" s="225" t="s">
        <v>596</v>
      </c>
      <c r="L427" s="183">
        <f>L423</f>
        <v>2.86</v>
      </c>
      <c r="M427" s="233" t="s">
        <v>375</v>
      </c>
      <c r="N427" s="168">
        <f>ROUND(J427*L427,2)</f>
        <v>6967728.8799999999</v>
      </c>
      <c r="O427" s="227"/>
      <c r="P427" s="262"/>
      <c r="Q427" s="247"/>
      <c r="R427" s="182"/>
      <c r="S427" s="106"/>
      <c r="T427" s="264"/>
      <c r="U427" s="178" t="s">
        <v>624</v>
      </c>
      <c r="V427" s="179">
        <v>254</v>
      </c>
      <c r="W427" s="180">
        <v>228</v>
      </c>
      <c r="X427" s="264"/>
      <c r="Y427" s="178"/>
      <c r="Z427" s="181"/>
      <c r="AA427" s="264"/>
      <c r="AB427" s="182">
        <f>SUM(AH427:AS427)</f>
        <v>2390976.867526392</v>
      </c>
      <c r="AC427" s="182">
        <f>SUM(AT427:BE427)</f>
        <v>2389350.6015905496</v>
      </c>
      <c r="AD427" s="182">
        <f>SUM(BF427:BQ427)</f>
        <v>2404757.0600871961</v>
      </c>
      <c r="AE427" s="182">
        <f>SUM(BR427:CC427)</f>
        <v>2436268.8402590877</v>
      </c>
      <c r="AF427" s="182">
        <f>SUM(CD427:CO427)</f>
        <v>2440384.463368847</v>
      </c>
      <c r="AH427" s="168">
        <v>172276.57617891137</v>
      </c>
      <c r="AI427" s="168">
        <v>469619.60686862009</v>
      </c>
      <c r="AJ427" s="168">
        <v>276438.80231457239</v>
      </c>
      <c r="AK427" s="168">
        <v>218053.59909574583</v>
      </c>
      <c r="AL427" s="168">
        <v>137146.86562351498</v>
      </c>
      <c r="AM427" s="168">
        <v>148656.14534509153</v>
      </c>
      <c r="AN427" s="168">
        <v>141948.93394372653</v>
      </c>
      <c r="AO427" s="168">
        <v>168959.483654696</v>
      </c>
      <c r="AP427" s="168">
        <v>160262.22857456378</v>
      </c>
      <c r="AQ427" s="168">
        <v>155063.76946910017</v>
      </c>
      <c r="AR427" s="168">
        <v>127312.80266265423</v>
      </c>
      <c r="AS427" s="168">
        <v>215238.05379519466</v>
      </c>
      <c r="AT427" s="168">
        <v>176850.86869297017</v>
      </c>
      <c r="AU427" s="168">
        <v>473039.5565193721</v>
      </c>
      <c r="AV427" s="168">
        <v>273543.76106173999</v>
      </c>
      <c r="AW427" s="168">
        <v>219721.06026869506</v>
      </c>
      <c r="AX427" s="168">
        <v>136253.59033823991</v>
      </c>
      <c r="AY427" s="168">
        <v>144997.44067931353</v>
      </c>
      <c r="AZ427" s="168">
        <v>142896.52377767902</v>
      </c>
      <c r="BA427" s="168">
        <v>168207.68381441748</v>
      </c>
      <c r="BB427" s="168">
        <v>159360.98673132528</v>
      </c>
      <c r="BC427" s="168">
        <v>155311.93263631294</v>
      </c>
      <c r="BD427" s="168">
        <v>126149.45874854608</v>
      </c>
      <c r="BE427" s="168">
        <v>213017.7383219375</v>
      </c>
      <c r="BF427" s="168">
        <v>175899.37288991912</v>
      </c>
      <c r="BG427" s="168">
        <v>478250.05722477462</v>
      </c>
      <c r="BH427" s="168">
        <v>277448.51435252005</v>
      </c>
      <c r="BI427" s="168">
        <v>218621.75059656939</v>
      </c>
      <c r="BJ427" s="168">
        <v>137040.03153297381</v>
      </c>
      <c r="BK427" s="168">
        <v>146966.86548867112</v>
      </c>
      <c r="BL427" s="168">
        <v>143712.41969185226</v>
      </c>
      <c r="BM427" s="168">
        <v>169219.30602236543</v>
      </c>
      <c r="BN427" s="168">
        <v>159899.36044330621</v>
      </c>
      <c r="BO427" s="168">
        <v>154485.01875929741</v>
      </c>
      <c r="BP427" s="168">
        <v>126182.13124821289</v>
      </c>
      <c r="BQ427" s="168">
        <v>217032.23183673396</v>
      </c>
      <c r="BR427" s="168">
        <v>178189.741128903</v>
      </c>
      <c r="BS427" s="168">
        <v>481764.97845548869</v>
      </c>
      <c r="BT427" s="168">
        <v>283913.24917953805</v>
      </c>
      <c r="BU427" s="168">
        <v>224114.3882386823</v>
      </c>
      <c r="BV427" s="168">
        <v>136670.22779458293</v>
      </c>
      <c r="BW427" s="168">
        <v>150324.92561799649</v>
      </c>
      <c r="BX427" s="168">
        <v>146729.2673064502</v>
      </c>
      <c r="BY427" s="168">
        <v>171550.16038707798</v>
      </c>
      <c r="BZ427" s="168">
        <v>161589.14455014013</v>
      </c>
      <c r="CA427" s="168">
        <v>156869.0606920484</v>
      </c>
      <c r="CB427" s="168">
        <v>127828.05809708001</v>
      </c>
      <c r="CC427" s="168">
        <v>216725.63881109908</v>
      </c>
      <c r="CD427" s="168">
        <v>179563.8782545373</v>
      </c>
      <c r="CE427" s="168">
        <v>479580.21987987659</v>
      </c>
      <c r="CF427" s="168">
        <v>279668.10018758423</v>
      </c>
      <c r="CG427" s="168">
        <v>227057.69120361062</v>
      </c>
      <c r="CH427" s="168">
        <v>138700.78036536142</v>
      </c>
      <c r="CI427" s="168">
        <v>148964.04863612732</v>
      </c>
      <c r="CJ427" s="168">
        <v>146714.8917750456</v>
      </c>
      <c r="CK427" s="168">
        <v>171699.30964345211</v>
      </c>
      <c r="CL427" s="168">
        <v>164225.02713916978</v>
      </c>
      <c r="CM427" s="168">
        <v>157566.9964519832</v>
      </c>
      <c r="CN427" s="168">
        <v>129488.18380529352</v>
      </c>
      <c r="CO427" s="168">
        <v>217155.3360268056</v>
      </c>
    </row>
    <row r="428" spans="1:93" x14ac:dyDescent="0.2">
      <c r="A428" s="118">
        <f t="shared" si="38"/>
        <v>25</v>
      </c>
      <c r="B428" s="243" t="s">
        <v>599</v>
      </c>
      <c r="C428" s="223"/>
      <c r="D428" s="172">
        <f>SUMIF($AH$6:$CP$6,1,$AH428:$CP428)</f>
        <v>2638947.7404091447</v>
      </c>
      <c r="E428" s="225" t="s">
        <v>596</v>
      </c>
      <c r="F428" s="173">
        <f>'Exhibit MJC-3 - E-13c cal yr'!F430</f>
        <v>5.28</v>
      </c>
      <c r="G428" s="233" t="s">
        <v>375</v>
      </c>
      <c r="H428" s="168">
        <f>ROUND(D428*F428,2)</f>
        <v>13933644.07</v>
      </c>
      <c r="I428" s="308"/>
      <c r="J428" s="172">
        <f>SUMIF($AH$6:$CP$6,1,$AH428:$CP428)</f>
        <v>2638947.7404091447</v>
      </c>
      <c r="K428" s="225" t="s">
        <v>596</v>
      </c>
      <c r="L428" s="183">
        <f>L424</f>
        <v>5.49</v>
      </c>
      <c r="M428" s="233" t="s">
        <v>375</v>
      </c>
      <c r="N428" s="168">
        <f>ROUND(J428*L428,2)</f>
        <v>14487823.09</v>
      </c>
      <c r="O428" s="227"/>
      <c r="P428" s="262"/>
      <c r="Q428" s="247"/>
      <c r="R428" s="182"/>
      <c r="S428" s="263"/>
      <c r="T428" s="197"/>
      <c r="U428" s="178" t="s">
        <v>624</v>
      </c>
      <c r="V428" s="179">
        <v>254</v>
      </c>
      <c r="W428" s="180">
        <v>228</v>
      </c>
      <c r="X428" s="264"/>
      <c r="Y428" s="178"/>
      <c r="Z428" s="181"/>
      <c r="AA428" s="264"/>
      <c r="AB428" s="182"/>
      <c r="AC428" s="182"/>
      <c r="AD428" s="182"/>
      <c r="AE428" s="182"/>
      <c r="AF428" s="182"/>
      <c r="AH428" s="168">
        <v>79310.168622866331</v>
      </c>
      <c r="AI428" s="168">
        <v>298295.9509542617</v>
      </c>
      <c r="AJ428" s="168">
        <v>188860.05894889944</v>
      </c>
      <c r="AK428" s="168">
        <v>255525.84673765476</v>
      </c>
      <c r="AL428" s="168">
        <v>166327.79098509165</v>
      </c>
      <c r="AM428" s="168">
        <v>211500.08668180631</v>
      </c>
      <c r="AN428" s="168">
        <v>203136.87944794865</v>
      </c>
      <c r="AO428" s="168">
        <v>299256.59455226001</v>
      </c>
      <c r="AP428" s="168">
        <v>244602.69921756265</v>
      </c>
      <c r="AQ428" s="168">
        <v>236567.07421643165</v>
      </c>
      <c r="AR428" s="168">
        <v>192050.77961942207</v>
      </c>
      <c r="AS428" s="168">
        <v>214453.89260039065</v>
      </c>
      <c r="AT428" s="168">
        <v>82402.051562663983</v>
      </c>
      <c r="AU428" s="168">
        <v>301858.3518948222</v>
      </c>
      <c r="AV428" s="168">
        <v>187546.08934642334</v>
      </c>
      <c r="AW428" s="168">
        <v>257854.01477969915</v>
      </c>
      <c r="AX428" s="168">
        <v>165847.79051739234</v>
      </c>
      <c r="AY428" s="168">
        <v>207194.90602440183</v>
      </c>
      <c r="AZ428" s="168">
        <v>205276.43644192486</v>
      </c>
      <c r="BA428" s="168">
        <v>295702.25911331852</v>
      </c>
      <c r="BB428" s="168">
        <v>243720.12819499665</v>
      </c>
      <c r="BC428" s="168">
        <v>237413.3204826354</v>
      </c>
      <c r="BD428" s="168">
        <v>190678.70845469661</v>
      </c>
      <c r="BE428" s="168">
        <v>212632.20697081069</v>
      </c>
      <c r="BF428" s="168">
        <v>81908.057283109389</v>
      </c>
      <c r="BG428" s="168">
        <v>305338.54722999956</v>
      </c>
      <c r="BH428" s="168">
        <v>190331.31358658019</v>
      </c>
      <c r="BI428" s="168">
        <v>256804.54347043793</v>
      </c>
      <c r="BJ428" s="168">
        <v>166896.16946727017</v>
      </c>
      <c r="BK428" s="168">
        <v>210105.62403119617</v>
      </c>
      <c r="BL428" s="168">
        <v>206564.38352485228</v>
      </c>
      <c r="BM428" s="168">
        <v>298096.04577415599</v>
      </c>
      <c r="BN428" s="168">
        <v>244739.48852168833</v>
      </c>
      <c r="BO428" s="168">
        <v>236338.97531332562</v>
      </c>
      <c r="BP428" s="168">
        <v>190882.85587451421</v>
      </c>
      <c r="BQ428" s="168">
        <v>216808.41750171717</v>
      </c>
      <c r="BR428" s="168">
        <v>82867.840308849074</v>
      </c>
      <c r="BS428" s="168">
        <v>307358.38183084922</v>
      </c>
      <c r="BT428" s="168">
        <v>194650.2347879289</v>
      </c>
      <c r="BU428" s="168">
        <v>263134.14414493635</v>
      </c>
      <c r="BV428" s="168">
        <v>166346.03460498404</v>
      </c>
      <c r="BW428" s="168">
        <v>214763.82958086571</v>
      </c>
      <c r="BX428" s="168">
        <v>210766.867040015</v>
      </c>
      <c r="BY428" s="168">
        <v>302296.97251039237</v>
      </c>
      <c r="BZ428" s="168">
        <v>247206.48585986305</v>
      </c>
      <c r="CA428" s="168">
        <v>239872.04307532558</v>
      </c>
      <c r="CB428" s="168">
        <v>193278.84164858246</v>
      </c>
      <c r="CC428" s="168">
        <v>216406.06501655284</v>
      </c>
      <c r="CD428" s="168">
        <v>83273.269928232025</v>
      </c>
      <c r="CE428" s="168">
        <v>305373.87923047098</v>
      </c>
      <c r="CF428" s="168">
        <v>191406.00885452243</v>
      </c>
      <c r="CG428" s="168">
        <v>266182.52810311236</v>
      </c>
      <c r="CH428" s="168">
        <v>168522.33161789572</v>
      </c>
      <c r="CI428" s="168">
        <v>212427.1531363767</v>
      </c>
      <c r="CJ428" s="168">
        <v>210367.89227740152</v>
      </c>
      <c r="CK428" s="168">
        <v>302453.22895516839</v>
      </c>
      <c r="CL428" s="168">
        <v>250845.84644694539</v>
      </c>
      <c r="CM428" s="168">
        <v>240564.5897995636</v>
      </c>
      <c r="CN428" s="168">
        <v>195481.98405089934</v>
      </c>
      <c r="CO428" s="168">
        <v>216507.03942601662</v>
      </c>
    </row>
    <row r="429" spans="1:93" x14ac:dyDescent="0.2">
      <c r="A429" s="118">
        <f t="shared" si="38"/>
        <v>26</v>
      </c>
      <c r="B429" s="243" t="s">
        <v>145</v>
      </c>
      <c r="C429" s="223"/>
      <c r="D429" s="172">
        <f>SUMIF($AH$6:$CP$6,1,$AH429:$CP429)</f>
        <v>3405348.5014528972</v>
      </c>
      <c r="E429" s="225" t="s">
        <v>596</v>
      </c>
      <c r="F429" s="173">
        <f>'Exhibit MJC-3 - E-13c cal yr'!F431</f>
        <v>1.86</v>
      </c>
      <c r="G429" s="233" t="s">
        <v>375</v>
      </c>
      <c r="H429" s="168">
        <f>ROUND(D429*F429,2)</f>
        <v>6333948.21</v>
      </c>
      <c r="I429" s="308"/>
      <c r="J429" s="172">
        <f>SUMIF($AH$6:$CP$6,1,$AH429:$CP429)</f>
        <v>3405348.5014528972</v>
      </c>
      <c r="K429" s="225" t="s">
        <v>596</v>
      </c>
      <c r="L429" s="183">
        <f>L425</f>
        <v>1.94</v>
      </c>
      <c r="M429" s="233" t="s">
        <v>375</v>
      </c>
      <c r="N429" s="168">
        <f>ROUND(J429*L429,2)</f>
        <v>6606376.0899999999</v>
      </c>
      <c r="O429" s="227"/>
      <c r="P429" s="262"/>
      <c r="Q429" s="247"/>
      <c r="R429" s="182"/>
      <c r="S429" s="263"/>
      <c r="T429" s="197"/>
      <c r="U429" s="178" t="s">
        <v>624</v>
      </c>
      <c r="V429" s="179">
        <v>254</v>
      </c>
      <c r="W429" s="180">
        <v>228</v>
      </c>
      <c r="X429" s="227"/>
      <c r="Y429" s="178"/>
      <c r="Z429" s="181"/>
      <c r="AA429" s="227"/>
      <c r="AB429" s="182">
        <f>SUM(AH429:AS429)</f>
        <v>3342040.647687166</v>
      </c>
      <c r="AC429" s="182">
        <f>SUM(AT429:BE429)</f>
        <v>3339767.4986093319</v>
      </c>
      <c r="AD429" s="182">
        <f>SUM(BF429:BQ429)</f>
        <v>3361302.2157502687</v>
      </c>
      <c r="AE429" s="182">
        <f>SUM(BR429:CC429)</f>
        <v>3405348.5014528972</v>
      </c>
      <c r="AF429" s="182">
        <f>SUM(CD429:CO429)</f>
        <v>3411101.204421374</v>
      </c>
      <c r="AH429" s="168">
        <v>149332.70818353374</v>
      </c>
      <c r="AI429" s="168">
        <v>423286.66406212829</v>
      </c>
      <c r="AJ429" s="168">
        <v>252545.90920232626</v>
      </c>
      <c r="AK429" s="168">
        <v>317748.79873009434</v>
      </c>
      <c r="AL429" s="168">
        <v>216005.64844217111</v>
      </c>
      <c r="AM429" s="168">
        <v>275712.87802972202</v>
      </c>
      <c r="AN429" s="168">
        <v>264248.18537934561</v>
      </c>
      <c r="AO429" s="168">
        <v>325469.67481702403</v>
      </c>
      <c r="AP429" s="168">
        <v>307815.95500077069</v>
      </c>
      <c r="AQ429" s="168">
        <v>298183.54784165777</v>
      </c>
      <c r="AR429" s="168">
        <v>242451.27522687096</v>
      </c>
      <c r="AS429" s="168">
        <v>269239.40277152124</v>
      </c>
      <c r="AT429" s="168">
        <v>153243.13385506696</v>
      </c>
      <c r="AU429" s="168">
        <v>426876.58790292568</v>
      </c>
      <c r="AV429" s="168">
        <v>250222.03578951766</v>
      </c>
      <c r="AW429" s="168">
        <v>320831.45089913975</v>
      </c>
      <c r="AX429" s="168">
        <v>215124.7229212393</v>
      </c>
      <c r="AY429" s="168">
        <v>269747.28639650164</v>
      </c>
      <c r="AZ429" s="168">
        <v>266733.98485647369</v>
      </c>
      <c r="BA429" s="168">
        <v>323391.96476938005</v>
      </c>
      <c r="BB429" s="168">
        <v>306697.14662908774</v>
      </c>
      <c r="BC429" s="168">
        <v>299241.26228547859</v>
      </c>
      <c r="BD429" s="168">
        <v>240711.22937784041</v>
      </c>
      <c r="BE429" s="168">
        <v>266946.69292668113</v>
      </c>
      <c r="BF429" s="168">
        <v>152490.43799893878</v>
      </c>
      <c r="BG429" s="168">
        <v>431932.88117957744</v>
      </c>
      <c r="BH429" s="168">
        <v>253988.45674982769</v>
      </c>
      <c r="BI429" s="168">
        <v>319507.64040064241</v>
      </c>
      <c r="BJ429" s="168">
        <v>216507.10008619679</v>
      </c>
      <c r="BK429" s="168">
        <v>273567.91798880126</v>
      </c>
      <c r="BL429" s="168">
        <v>268433.44301693887</v>
      </c>
      <c r="BM429" s="168">
        <v>325849.09687490726</v>
      </c>
      <c r="BN429" s="168">
        <v>307979.79883345379</v>
      </c>
      <c r="BO429" s="168">
        <v>297887.01330630429</v>
      </c>
      <c r="BP429" s="168">
        <v>240968.83740301678</v>
      </c>
      <c r="BQ429" s="168">
        <v>272189.5919116633</v>
      </c>
      <c r="BR429" s="168">
        <v>154459.75555053388</v>
      </c>
      <c r="BS429" s="168">
        <v>434928.91141788202</v>
      </c>
      <c r="BT429" s="168">
        <v>259807.64399739681</v>
      </c>
      <c r="BU429" s="168">
        <v>327365.5706547841</v>
      </c>
      <c r="BV429" s="168">
        <v>215818.05827982261</v>
      </c>
      <c r="BW429" s="168">
        <v>279668.00728776329</v>
      </c>
      <c r="BX429" s="168">
        <v>273923.79108592548</v>
      </c>
      <c r="BY429" s="168">
        <v>330269.53034526453</v>
      </c>
      <c r="BZ429" s="168">
        <v>311085.54879349697</v>
      </c>
      <c r="CA429" s="168">
        <v>302341.57607630757</v>
      </c>
      <c r="CB429" s="168">
        <v>243994.75229109605</v>
      </c>
      <c r="CC429" s="168">
        <v>271685.35567262385</v>
      </c>
      <c r="CD429" s="168">
        <v>155576.84168463229</v>
      </c>
      <c r="CE429" s="168">
        <v>432396.9721619701</v>
      </c>
      <c r="CF429" s="168">
        <v>255585.66617916478</v>
      </c>
      <c r="CG429" s="168">
        <v>331122.28129101964</v>
      </c>
      <c r="CH429" s="168">
        <v>218690.61473341801</v>
      </c>
      <c r="CI429" s="168">
        <v>276692.99583705963</v>
      </c>
      <c r="CJ429" s="168">
        <v>273462.37673227739</v>
      </c>
      <c r="CK429" s="168">
        <v>330098.84755192976</v>
      </c>
      <c r="CL429" s="168">
        <v>315667.12295509002</v>
      </c>
      <c r="CM429" s="168">
        <v>303216.41500063473</v>
      </c>
      <c r="CN429" s="168">
        <v>246777.72092812663</v>
      </c>
      <c r="CO429" s="168">
        <v>271813.34936605184</v>
      </c>
    </row>
    <row r="430" spans="1:93" x14ac:dyDescent="0.2">
      <c r="A430" s="118">
        <f t="shared" si="38"/>
        <v>27</v>
      </c>
      <c r="B430" s="847" t="s">
        <v>600</v>
      </c>
      <c r="C430" s="848"/>
      <c r="D430" s="185">
        <f>'MFR E-13c'!D392</f>
        <v>2083353.5792699324</v>
      </c>
      <c r="E430" s="849" t="s">
        <v>596</v>
      </c>
      <c r="F430" s="173">
        <f>'Exhibit MJC-3 - E-13c cal yr'!F432</f>
        <v>-1.3</v>
      </c>
      <c r="G430" s="850" t="s">
        <v>375</v>
      </c>
      <c r="H430" s="174">
        <f>ROUND(D430*F430,0)</f>
        <v>-2708360</v>
      </c>
      <c r="I430" s="851"/>
      <c r="J430" s="185">
        <f>+D430</f>
        <v>2083353.5792699324</v>
      </c>
      <c r="K430" s="849" t="s">
        <v>596</v>
      </c>
      <c r="L430" s="183">
        <f>ROUND(-DVC!G29,2)</f>
        <v>-1.34</v>
      </c>
      <c r="M430" s="850" t="s">
        <v>375</v>
      </c>
      <c r="N430" s="174">
        <f>ROUND(J430*L430,0)</f>
        <v>-2791694</v>
      </c>
      <c r="O430" s="852"/>
      <c r="P430" s="1155"/>
      <c r="Q430" s="854"/>
      <c r="T430" s="927"/>
      <c r="U430" s="178"/>
      <c r="V430" s="179"/>
      <c r="W430" s="180"/>
      <c r="X430" s="852"/>
      <c r="Y430" s="178"/>
      <c r="Z430" s="181"/>
      <c r="AA430" s="852"/>
      <c r="AB430" s="182"/>
      <c r="AC430" s="182"/>
      <c r="AD430" s="182"/>
      <c r="AE430" s="182"/>
      <c r="AF430" s="182"/>
      <c r="AH430" s="168"/>
      <c r="AI430" s="168"/>
      <c r="AJ430" s="168"/>
      <c r="AK430" s="168"/>
      <c r="AL430" s="168"/>
      <c r="AM430" s="168"/>
      <c r="AN430" s="168"/>
      <c r="AO430" s="168"/>
      <c r="AP430" s="168"/>
      <c r="AQ430" s="168"/>
      <c r="AR430" s="168"/>
      <c r="AS430" s="168"/>
      <c r="AT430" s="168"/>
      <c r="AU430" s="168"/>
      <c r="AV430" s="168"/>
      <c r="AW430" s="168"/>
      <c r="AX430" s="168"/>
      <c r="AY430" s="168"/>
      <c r="AZ430" s="168"/>
      <c r="BA430" s="168"/>
      <c r="BB430" s="168"/>
      <c r="BC430" s="168"/>
      <c r="BD430" s="168"/>
      <c r="BE430" s="168"/>
      <c r="BF430" s="168"/>
      <c r="BG430" s="168"/>
      <c r="BH430" s="168"/>
      <c r="BI430" s="168"/>
      <c r="BJ430" s="168"/>
      <c r="BK430" s="168"/>
      <c r="BL430" s="168"/>
      <c r="BM430" s="168"/>
      <c r="BN430" s="168"/>
      <c r="BO430" s="168"/>
      <c r="BP430" s="168"/>
      <c r="BQ430" s="168"/>
      <c r="BR430" s="168"/>
      <c r="BS430" s="168"/>
      <c r="BT430" s="168"/>
      <c r="BU430" s="168"/>
      <c r="BV430" s="168"/>
      <c r="BW430" s="168"/>
      <c r="BX430" s="168"/>
      <c r="BY430" s="168"/>
      <c r="BZ430" s="168"/>
      <c r="CA430" s="168"/>
      <c r="CB430" s="168"/>
      <c r="CC430" s="168"/>
      <c r="CD430" s="168"/>
      <c r="CE430" s="168"/>
      <c r="CF430" s="168"/>
      <c r="CG430" s="168"/>
      <c r="CH430" s="168"/>
      <c r="CI430" s="168"/>
      <c r="CJ430" s="168"/>
      <c r="CK430" s="168"/>
      <c r="CL430" s="168"/>
      <c r="CM430" s="168"/>
      <c r="CN430" s="168"/>
      <c r="CO430" s="168"/>
    </row>
    <row r="431" spans="1:93" x14ac:dyDescent="0.2">
      <c r="A431" s="118">
        <f t="shared" si="38"/>
        <v>28</v>
      </c>
      <c r="B431" s="847" t="s">
        <v>626</v>
      </c>
      <c r="C431" s="848"/>
      <c r="D431" s="185">
        <f>'MFR E-13c'!D393</f>
        <v>555594.16113921197</v>
      </c>
      <c r="E431" s="849" t="s">
        <v>596</v>
      </c>
      <c r="F431" s="173">
        <f>'Exhibit MJC-3 - E-13c cal yr'!F433</f>
        <v>-6.18</v>
      </c>
      <c r="G431" s="850" t="s">
        <v>375</v>
      </c>
      <c r="H431" s="174">
        <f>ROUND(D431*F431,0)</f>
        <v>-3433572</v>
      </c>
      <c r="I431" s="851"/>
      <c r="J431" s="185">
        <f>+D431</f>
        <v>555594.16113921197</v>
      </c>
      <c r="K431" s="849" t="s">
        <v>596</v>
      </c>
      <c r="L431" s="183">
        <f>ROUND(-DVC!G30,2)</f>
        <v>-6.47</v>
      </c>
      <c r="M431" s="850" t="s">
        <v>375</v>
      </c>
      <c r="N431" s="174">
        <f>ROUND(J431*L431,0)</f>
        <v>-3594694</v>
      </c>
      <c r="O431" s="852"/>
      <c r="P431" s="853"/>
      <c r="Q431" s="854"/>
      <c r="T431" s="852"/>
      <c r="U431" s="178" t="s">
        <v>624</v>
      </c>
      <c r="V431" s="179">
        <v>228</v>
      </c>
      <c r="W431" s="180">
        <v>228</v>
      </c>
      <c r="X431" s="852"/>
      <c r="Y431" s="178"/>
      <c r="Z431" s="181"/>
      <c r="AA431" s="852"/>
      <c r="AB431" s="182"/>
      <c r="AC431" s="182"/>
      <c r="AD431" s="182"/>
      <c r="AE431" s="182"/>
      <c r="AF431" s="182"/>
      <c r="AH431" s="168"/>
      <c r="AI431" s="168"/>
      <c r="AJ431" s="168"/>
      <c r="AK431" s="168"/>
      <c r="AL431" s="168"/>
      <c r="AM431" s="168"/>
      <c r="AN431" s="168"/>
      <c r="AO431" s="168"/>
      <c r="AP431" s="168"/>
      <c r="AQ431" s="168"/>
      <c r="AR431" s="168"/>
      <c r="AS431" s="168"/>
      <c r="AT431" s="168"/>
      <c r="AU431" s="168"/>
      <c r="AV431" s="168"/>
      <c r="AW431" s="168"/>
      <c r="AX431" s="168"/>
      <c r="AY431" s="168"/>
      <c r="AZ431" s="168"/>
      <c r="BA431" s="168"/>
      <c r="BB431" s="168"/>
      <c r="BC431" s="168"/>
      <c r="BD431" s="168"/>
      <c r="BE431" s="168"/>
      <c r="BF431" s="168"/>
      <c r="BG431" s="168"/>
      <c r="BH431" s="168"/>
      <c r="BI431" s="168"/>
      <c r="BJ431" s="168"/>
      <c r="BK431" s="168"/>
      <c r="BL431" s="168"/>
      <c r="BM431" s="168"/>
      <c r="BN431" s="168"/>
      <c r="BO431" s="168"/>
      <c r="BP431" s="168"/>
      <c r="BQ431" s="168"/>
      <c r="BR431" s="168"/>
      <c r="BS431" s="168"/>
      <c r="BT431" s="168"/>
      <c r="BU431" s="168"/>
      <c r="BV431" s="168"/>
      <c r="BW431" s="168"/>
      <c r="BX431" s="168"/>
      <c r="BY431" s="168"/>
      <c r="BZ431" s="168"/>
      <c r="CA431" s="168"/>
      <c r="CB431" s="168"/>
      <c r="CC431" s="168"/>
      <c r="CD431" s="168"/>
      <c r="CE431" s="168"/>
      <c r="CF431" s="168"/>
      <c r="CG431" s="168"/>
      <c r="CH431" s="168"/>
      <c r="CI431" s="168"/>
      <c r="CJ431" s="168"/>
      <c r="CK431" s="168"/>
      <c r="CL431" s="168"/>
      <c r="CM431" s="168"/>
      <c r="CN431" s="168"/>
      <c r="CO431" s="168"/>
    </row>
    <row r="432" spans="1:93" x14ac:dyDescent="0.2">
      <c r="A432" s="118">
        <f t="shared" si="38"/>
        <v>29</v>
      </c>
      <c r="B432" s="234" t="s">
        <v>216</v>
      </c>
      <c r="C432" s="223"/>
      <c r="D432" s="168"/>
      <c r="E432" s="225"/>
      <c r="F432" s="183"/>
      <c r="G432" s="233"/>
      <c r="H432" s="168"/>
      <c r="I432" s="308"/>
      <c r="J432" s="168"/>
      <c r="K432" s="225"/>
      <c r="L432" s="183"/>
      <c r="M432" s="233"/>
      <c r="N432" s="168"/>
      <c r="O432" s="227"/>
      <c r="P432" s="262"/>
      <c r="Q432" s="247"/>
      <c r="S432" s="263"/>
      <c r="T432" s="227"/>
      <c r="U432" s="178"/>
      <c r="V432" s="179"/>
      <c r="W432" s="180"/>
      <c r="X432" s="264"/>
      <c r="Y432" s="178"/>
      <c r="Z432" s="181"/>
      <c r="AA432" s="264"/>
      <c r="AB432" s="264"/>
      <c r="AC432" s="264"/>
      <c r="AE432" s="244"/>
    </row>
    <row r="433" spans="1:93" x14ac:dyDescent="0.2">
      <c r="A433" s="118">
        <f t="shared" si="38"/>
        <v>30</v>
      </c>
      <c r="B433" s="243" t="s">
        <v>559</v>
      </c>
      <c r="C433" s="223"/>
      <c r="D433" s="172">
        <f>SUMIF($AH$6:$CP$6,1,$AH433:$CP433)</f>
        <v>2481812.8883460429</v>
      </c>
      <c r="E433" s="225" t="s">
        <v>596</v>
      </c>
      <c r="F433" s="173">
        <f>'Exhibit MJC-3 - E-13c cal yr'!F435</f>
        <v>2.75</v>
      </c>
      <c r="G433" s="233" t="s">
        <v>375</v>
      </c>
      <c r="H433" s="168">
        <f>ROUND(D433*F433,2)</f>
        <v>6824985.4400000004</v>
      </c>
      <c r="I433" s="308"/>
      <c r="J433" s="172">
        <f>SUMIF($AH$6:$CP$6,1,$AH433:$CP433)</f>
        <v>2481812.8883460429</v>
      </c>
      <c r="K433" s="225" t="s">
        <v>596</v>
      </c>
      <c r="L433" s="183">
        <f>L427</f>
        <v>2.86</v>
      </c>
      <c r="M433" s="233" t="s">
        <v>375</v>
      </c>
      <c r="N433" s="168">
        <f>ROUND(J433*L433,2)</f>
        <v>7097984.8600000003</v>
      </c>
      <c r="O433" s="227"/>
      <c r="P433" s="262"/>
      <c r="Q433" s="247"/>
      <c r="R433" s="182"/>
      <c r="S433" s="263"/>
      <c r="T433" s="197"/>
      <c r="U433" s="178" t="s">
        <v>624</v>
      </c>
      <c r="V433" s="179">
        <v>254</v>
      </c>
      <c r="W433" s="180">
        <v>228</v>
      </c>
      <c r="X433" s="264"/>
      <c r="Y433" s="178"/>
      <c r="Z433" s="181"/>
      <c r="AA433" s="264"/>
      <c r="AB433" s="182">
        <f>SUM(AH433:AS433)</f>
        <v>2435674.2193251527</v>
      </c>
      <c r="AC433" s="182">
        <f>SUM(AT433:BE433)</f>
        <v>2434017.5516812722</v>
      </c>
      <c r="AD433" s="182">
        <f>SUM(BF433:BQ433)</f>
        <v>2449712.0212853253</v>
      </c>
      <c r="AE433" s="182">
        <f>SUM(BR433:CC433)</f>
        <v>2481812.8883460429</v>
      </c>
      <c r="AF433" s="182">
        <f>SUM(CD433:CO433)</f>
        <v>2486005.449654791</v>
      </c>
      <c r="AH433" s="168">
        <v>149988.30016128521</v>
      </c>
      <c r="AI433" s="168">
        <v>95093.61424954822</v>
      </c>
      <c r="AJ433" s="168">
        <v>472894.88311307022</v>
      </c>
      <c r="AK433" s="168">
        <v>285840.0631283035</v>
      </c>
      <c r="AL433" s="168">
        <v>236629.27895375638</v>
      </c>
      <c r="AM433" s="168">
        <v>166351.4821022441</v>
      </c>
      <c r="AN433" s="168">
        <v>170906.89598975328</v>
      </c>
      <c r="AO433" s="168">
        <v>177900.02282411745</v>
      </c>
      <c r="AP433" s="168">
        <v>160600.83692535042</v>
      </c>
      <c r="AQ433" s="168">
        <v>131529.91433722302</v>
      </c>
      <c r="AR433" s="168">
        <v>108052.70890254337</v>
      </c>
      <c r="AS433" s="168">
        <v>279886.2186379577</v>
      </c>
      <c r="AT433" s="168">
        <v>151012.16368664475</v>
      </c>
      <c r="AU433" s="168">
        <v>95558.90146764474</v>
      </c>
      <c r="AV433" s="168">
        <v>470604.45563152415</v>
      </c>
      <c r="AW433" s="168">
        <v>289168.97164592642</v>
      </c>
      <c r="AX433" s="168">
        <v>236402.7717860234</v>
      </c>
      <c r="AY433" s="168">
        <v>163343.88932739323</v>
      </c>
      <c r="AZ433" s="168">
        <v>173135.84778226246</v>
      </c>
      <c r="BA433" s="168">
        <v>176412.22238308433</v>
      </c>
      <c r="BB433" s="168">
        <v>160404.87249325815</v>
      </c>
      <c r="BC433" s="168">
        <v>132334.1144131168</v>
      </c>
      <c r="BD433" s="168">
        <v>107570.8252986867</v>
      </c>
      <c r="BE433" s="168">
        <v>278068.5157657073</v>
      </c>
      <c r="BF433" s="168">
        <v>151376.13462948837</v>
      </c>
      <c r="BG433" s="168">
        <v>96782.308926627156</v>
      </c>
      <c r="BH433" s="168">
        <v>476810.32204671873</v>
      </c>
      <c r="BI433" s="168">
        <v>287529.14110373391</v>
      </c>
      <c r="BJ433" s="168">
        <v>237524.36698436717</v>
      </c>
      <c r="BK433" s="168">
        <v>165364.47668744792</v>
      </c>
      <c r="BL433" s="168">
        <v>173936.23749142</v>
      </c>
      <c r="BM433" s="168">
        <v>177483.63597373365</v>
      </c>
      <c r="BN433" s="168">
        <v>160809.1156735952</v>
      </c>
      <c r="BO433" s="168">
        <v>131516.38496853015</v>
      </c>
      <c r="BP433" s="168">
        <v>107505.29848863088</v>
      </c>
      <c r="BQ433" s="168">
        <v>283074.59831103199</v>
      </c>
      <c r="BR433" s="168">
        <v>153452.81431537023</v>
      </c>
      <c r="BS433" s="168">
        <v>97445.016460536674</v>
      </c>
      <c r="BT433" s="168">
        <v>487169.02592099452</v>
      </c>
      <c r="BU433" s="168">
        <v>294405.79423077602</v>
      </c>
      <c r="BV433" s="168">
        <v>236575.75252601132</v>
      </c>
      <c r="BW433" s="168">
        <v>168880.95614256684</v>
      </c>
      <c r="BX433" s="168">
        <v>177320.12320963759</v>
      </c>
      <c r="BY433" s="168">
        <v>179813.30313180189</v>
      </c>
      <c r="BZ433" s="168">
        <v>162284.38545986946</v>
      </c>
      <c r="CA433" s="168">
        <v>133356.18286842993</v>
      </c>
      <c r="CB433" s="168">
        <v>108741.41400646532</v>
      </c>
      <c r="CC433" s="168">
        <v>282368.12007358356</v>
      </c>
      <c r="CD433" s="168">
        <v>154054.70289074682</v>
      </c>
      <c r="CE433" s="168">
        <v>96865.815475422132</v>
      </c>
      <c r="CF433" s="168">
        <v>479946.4443430145</v>
      </c>
      <c r="CG433" s="168">
        <v>298230.76380448346</v>
      </c>
      <c r="CH433" s="168">
        <v>240042.71954098978</v>
      </c>
      <c r="CI433" s="168">
        <v>167333.8820595154</v>
      </c>
      <c r="CJ433" s="168">
        <v>177275.01120465368</v>
      </c>
      <c r="CK433" s="168">
        <v>180223.05630652959</v>
      </c>
      <c r="CL433" s="168">
        <v>164957.4222236436</v>
      </c>
      <c r="CM433" s="168">
        <v>133974.08744112434</v>
      </c>
      <c r="CN433" s="168">
        <v>110180.14386566594</v>
      </c>
      <c r="CO433" s="168">
        <v>282921.40049900179</v>
      </c>
    </row>
    <row r="434" spans="1:93" x14ac:dyDescent="0.2">
      <c r="A434" s="118">
        <f t="shared" si="38"/>
        <v>31</v>
      </c>
      <c r="B434" s="243" t="s">
        <v>599</v>
      </c>
      <c r="C434" s="223"/>
      <c r="D434" s="172">
        <f>SUMIF($AH$6:$CP$6,1,$AH434:$CP434)</f>
        <v>2442122.169550058</v>
      </c>
      <c r="E434" s="225" t="s">
        <v>596</v>
      </c>
      <c r="F434" s="173">
        <f>'Exhibit MJC-3 - E-13c cal yr'!F436</f>
        <v>5.28</v>
      </c>
      <c r="G434" s="233" t="s">
        <v>375</v>
      </c>
      <c r="H434" s="168">
        <f>ROUND(D434*F434,2)</f>
        <v>12894405.060000001</v>
      </c>
      <c r="I434" s="308"/>
      <c r="J434" s="172">
        <f>SUMIF($AH$6:$CP$6,1,$AH434:$CP434)</f>
        <v>2442122.169550058</v>
      </c>
      <c r="K434" s="225" t="s">
        <v>596</v>
      </c>
      <c r="L434" s="183">
        <f>L428</f>
        <v>5.49</v>
      </c>
      <c r="M434" s="233" t="s">
        <v>375</v>
      </c>
      <c r="N434" s="168">
        <f>ROUND(J434*L434,2)</f>
        <v>13407250.710000001</v>
      </c>
      <c r="O434" s="227"/>
      <c r="P434" s="262"/>
      <c r="Q434" s="247"/>
      <c r="R434" s="182"/>
      <c r="S434" s="263"/>
      <c r="T434" s="197"/>
      <c r="U434" s="178" t="s">
        <v>624</v>
      </c>
      <c r="V434" s="179">
        <v>254</v>
      </c>
      <c r="W434" s="180">
        <v>228</v>
      </c>
      <c r="X434" s="264"/>
      <c r="Y434" s="178"/>
      <c r="Z434" s="181"/>
      <c r="AA434" s="264"/>
      <c r="AB434" s="182"/>
      <c r="AC434" s="182"/>
      <c r="AD434" s="182"/>
      <c r="AE434" s="182"/>
      <c r="AF434" s="182"/>
      <c r="AH434" s="168">
        <v>11969.975508594302</v>
      </c>
      <c r="AI434" s="168">
        <v>43098.441851172181</v>
      </c>
      <c r="AJ434" s="168">
        <v>285955.70622411784</v>
      </c>
      <c r="AK434" s="168">
        <v>263690.72901575139</v>
      </c>
      <c r="AL434" s="168">
        <v>260900.28768540753</v>
      </c>
      <c r="AM434" s="168">
        <v>230641.03008703914</v>
      </c>
      <c r="AN434" s="168">
        <v>222040.10148790217</v>
      </c>
      <c r="AO434" s="168">
        <v>224176.46266355042</v>
      </c>
      <c r="AP434" s="168">
        <v>220204.13228890981</v>
      </c>
      <c r="AQ434" s="168">
        <v>186586.96493347175</v>
      </c>
      <c r="AR434" s="168">
        <v>146083.98967636874</v>
      </c>
      <c r="AS434" s="168">
        <v>301373.55783510144</v>
      </c>
      <c r="AT434" s="168">
        <v>12461.886631801357</v>
      </c>
      <c r="AU434" s="168">
        <v>43774.721379423863</v>
      </c>
      <c r="AV434" s="168">
        <v>284681.19270868931</v>
      </c>
      <c r="AW434" s="168">
        <v>266894.09458205278</v>
      </c>
      <c r="AX434" s="168">
        <v>260815.46891867759</v>
      </c>
      <c r="AY434" s="168">
        <v>226539.09821960886</v>
      </c>
      <c r="AZ434" s="168">
        <v>225018.24792156427</v>
      </c>
      <c r="BA434" s="168">
        <v>222089.82319820669</v>
      </c>
      <c r="BB434" s="168">
        <v>220002.84023154082</v>
      </c>
      <c r="BC434" s="168">
        <v>187780.67010752327</v>
      </c>
      <c r="BD434" s="168">
        <v>145463.4603639539</v>
      </c>
      <c r="BE434" s="168">
        <v>299569.7018254901</v>
      </c>
      <c r="BF434" s="168">
        <v>12374.545858836147</v>
      </c>
      <c r="BG434" s="168">
        <v>44235.242911966452</v>
      </c>
      <c r="BH434" s="168">
        <v>288642.44228017476</v>
      </c>
      <c r="BI434" s="168">
        <v>265555.51262300473</v>
      </c>
      <c r="BJ434" s="168">
        <v>262210.6982655293</v>
      </c>
      <c r="BK434" s="168">
        <v>229503.90940328129</v>
      </c>
      <c r="BL434" s="168">
        <v>226219.02340495458</v>
      </c>
      <c r="BM434" s="168">
        <v>223675.39207617988</v>
      </c>
      <c r="BN434" s="168">
        <v>220715.95137816487</v>
      </c>
      <c r="BO434" s="168">
        <v>186757.41099261635</v>
      </c>
      <c r="BP434" s="168">
        <v>145485.71351963605</v>
      </c>
      <c r="BQ434" s="168">
        <v>305158.83711040905</v>
      </c>
      <c r="BR434" s="168">
        <v>12523.760424812132</v>
      </c>
      <c r="BS434" s="168">
        <v>44531.299166349476</v>
      </c>
      <c r="BT434" s="168">
        <v>295142.89535329811</v>
      </c>
      <c r="BU434" s="168">
        <v>272077.36562861135</v>
      </c>
      <c r="BV434" s="168">
        <v>261354.78691463117</v>
      </c>
      <c r="BW434" s="168">
        <v>234578.35262157879</v>
      </c>
      <c r="BX434" s="168">
        <v>230786.12914604048</v>
      </c>
      <c r="BY434" s="168">
        <v>226815.49939687434</v>
      </c>
      <c r="BZ434" s="168">
        <v>222915.20569333064</v>
      </c>
      <c r="CA434" s="168">
        <v>189517.63260809414</v>
      </c>
      <c r="CB434" s="168">
        <v>147277.81381001795</v>
      </c>
      <c r="CC434" s="168">
        <v>304601.42878641968</v>
      </c>
      <c r="CD434" s="168">
        <v>12584.007913987956</v>
      </c>
      <c r="CE434" s="168">
        <v>44224.432984695646</v>
      </c>
      <c r="CF434" s="168">
        <v>290247.27499543864</v>
      </c>
      <c r="CG434" s="168">
        <v>275196.02405130141</v>
      </c>
      <c r="CH434" s="168">
        <v>264758.64779868396</v>
      </c>
      <c r="CI434" s="168">
        <v>232021.70750550224</v>
      </c>
      <c r="CJ434" s="168">
        <v>230342.23039700175</v>
      </c>
      <c r="CK434" s="168">
        <v>226929.29721422846</v>
      </c>
      <c r="CL434" s="168">
        <v>226194.93498652824</v>
      </c>
      <c r="CM434" s="168">
        <v>190063.01351627085</v>
      </c>
      <c r="CN434" s="168">
        <v>148956.2206420688</v>
      </c>
      <c r="CO434" s="168">
        <v>304729.88876534876</v>
      </c>
    </row>
    <row r="435" spans="1:93" x14ac:dyDescent="0.2">
      <c r="A435" s="118">
        <f t="shared" si="38"/>
        <v>32</v>
      </c>
      <c r="B435" s="243" t="s">
        <v>145</v>
      </c>
      <c r="C435" s="223"/>
      <c r="D435" s="172">
        <f>SUMIF($AH$6:$CP$6,1,$AH435:$CP435)</f>
        <v>2948056.3210333781</v>
      </c>
      <c r="E435" s="225" t="s">
        <v>596</v>
      </c>
      <c r="F435" s="173">
        <f>'Exhibit MJC-3 - E-13c cal yr'!F437</f>
        <v>1.86</v>
      </c>
      <c r="G435" s="233" t="s">
        <v>375</v>
      </c>
      <c r="H435" s="168">
        <f>ROUND(D435*F435,2)</f>
        <v>5483384.7599999998</v>
      </c>
      <c r="I435" s="308"/>
      <c r="J435" s="172">
        <f>SUMIF($AH$6:$CP$6,1,$AH435:$CP435)</f>
        <v>2948056.3210333781</v>
      </c>
      <c r="K435" s="225" t="s">
        <v>596</v>
      </c>
      <c r="L435" s="183">
        <f>L429</f>
        <v>1.94</v>
      </c>
      <c r="M435" s="233" t="s">
        <v>375</v>
      </c>
      <c r="N435" s="168">
        <f>ROUND(J435*L435,2)</f>
        <v>5719229.2599999998</v>
      </c>
      <c r="O435" s="227"/>
      <c r="P435" s="262"/>
      <c r="Q435" s="247"/>
      <c r="R435" s="182"/>
      <c r="S435" s="227"/>
      <c r="T435" s="927"/>
      <c r="U435" s="178" t="s">
        <v>624</v>
      </c>
      <c r="V435" s="179">
        <v>254</v>
      </c>
      <c r="W435" s="180">
        <v>228</v>
      </c>
      <c r="X435" s="227"/>
      <c r="Y435" s="178"/>
      <c r="Z435" s="181"/>
      <c r="AA435" s="227"/>
      <c r="AB435" s="182">
        <f>SUM(AH435:AS435)</f>
        <v>2893249.854562914</v>
      </c>
      <c r="AC435" s="182">
        <f>SUM(AT435:BE435)</f>
        <v>2891281.9586178456</v>
      </c>
      <c r="AD435" s="182">
        <f>SUM(BF435:BQ435)</f>
        <v>2909924.8549210923</v>
      </c>
      <c r="AE435" s="182">
        <f>SUM(BR435:CC435)</f>
        <v>2948056.3210333781</v>
      </c>
      <c r="AF435" s="182">
        <f>SUM(CD435:CO435)</f>
        <v>2953036.513909969</v>
      </c>
      <c r="AH435" s="168">
        <v>157623.42717958579</v>
      </c>
      <c r="AI435" s="168">
        <v>80480.122255470691</v>
      </c>
      <c r="AJ435" s="168">
        <v>325742.72593685857</v>
      </c>
      <c r="AK435" s="168">
        <v>299930.403250031</v>
      </c>
      <c r="AL435" s="168">
        <v>299383.63487059606</v>
      </c>
      <c r="AM435" s="168">
        <v>262071.40319659421</v>
      </c>
      <c r="AN435" s="168">
        <v>251411.20736537001</v>
      </c>
      <c r="AO435" s="168">
        <v>247474.08823952556</v>
      </c>
      <c r="AP435" s="168">
        <v>249522.59685174871</v>
      </c>
      <c r="AQ435" s="168">
        <v>210965.48368850027</v>
      </c>
      <c r="AR435" s="168">
        <v>164685.45577733431</v>
      </c>
      <c r="AS435" s="168">
        <v>343959.30595129885</v>
      </c>
      <c r="AT435" s="168">
        <v>158566.65393169946</v>
      </c>
      <c r="AU435" s="168">
        <v>80629.82101266025</v>
      </c>
      <c r="AV435" s="168">
        <v>324167.94220292679</v>
      </c>
      <c r="AW435" s="168">
        <v>303581.67161920527</v>
      </c>
      <c r="AX435" s="168">
        <v>299232.43079240795</v>
      </c>
      <c r="AY435" s="168">
        <v>257407.79891365435</v>
      </c>
      <c r="AZ435" s="168">
        <v>254779.61069292808</v>
      </c>
      <c r="BA435" s="168">
        <v>245427.04505221537</v>
      </c>
      <c r="BB435" s="168">
        <v>249292.55686061943</v>
      </c>
      <c r="BC435" s="168">
        <v>212313.36717811346</v>
      </c>
      <c r="BD435" s="168">
        <v>163984.41263860432</v>
      </c>
      <c r="BE435" s="168">
        <v>341898.64772281109</v>
      </c>
      <c r="BF435" s="168">
        <v>158985.01988700274</v>
      </c>
      <c r="BG435" s="168">
        <v>81768.697292800571</v>
      </c>
      <c r="BH435" s="168">
        <v>328707.88853107166</v>
      </c>
      <c r="BI435" s="168">
        <v>302055.07857032737</v>
      </c>
      <c r="BJ435" s="168">
        <v>300845.35772509163</v>
      </c>
      <c r="BK435" s="168">
        <v>260775.35340521223</v>
      </c>
      <c r="BL435" s="168">
        <v>256137.95940843213</v>
      </c>
      <c r="BM435" s="168">
        <v>247111.21567311732</v>
      </c>
      <c r="BN435" s="168">
        <v>250099.03538634151</v>
      </c>
      <c r="BO435" s="168">
        <v>211154.99579765354</v>
      </c>
      <c r="BP435" s="168">
        <v>164008.29305364471</v>
      </c>
      <c r="BQ435" s="168">
        <v>348275.96019039629</v>
      </c>
      <c r="BR435" s="168">
        <v>161186.19353978377</v>
      </c>
      <c r="BS435" s="168">
        <v>82387.505657054135</v>
      </c>
      <c r="BT435" s="168">
        <v>336131.36840475362</v>
      </c>
      <c r="BU435" s="168">
        <v>309480.34711826028</v>
      </c>
      <c r="BV435" s="168">
        <v>299873.21312560752</v>
      </c>
      <c r="BW435" s="168">
        <v>266548.56123532302</v>
      </c>
      <c r="BX435" s="168">
        <v>261317.39961203554</v>
      </c>
      <c r="BY435" s="168">
        <v>250568.44887175941</v>
      </c>
      <c r="BZ435" s="168">
        <v>252598.72376621253</v>
      </c>
      <c r="CA435" s="168">
        <v>214282.79711310222</v>
      </c>
      <c r="CB435" s="168">
        <v>166034.44503250797</v>
      </c>
      <c r="CC435" s="168">
        <v>347647.31755697762</v>
      </c>
      <c r="CD435" s="168">
        <v>161814.34268525511</v>
      </c>
      <c r="CE435" s="168">
        <v>81813.377589968732</v>
      </c>
      <c r="CF435" s="168">
        <v>330547.48665937106</v>
      </c>
      <c r="CG435" s="168">
        <v>313023.61177027528</v>
      </c>
      <c r="CH435" s="168">
        <v>303774.82771204313</v>
      </c>
      <c r="CI435" s="168">
        <v>263639.57253748272</v>
      </c>
      <c r="CJ435" s="168">
        <v>260810.33634439565</v>
      </c>
      <c r="CK435" s="168">
        <v>250693.09267625041</v>
      </c>
      <c r="CL435" s="168">
        <v>256310.97816868703</v>
      </c>
      <c r="CM435" s="168">
        <v>214895.65017914859</v>
      </c>
      <c r="CN435" s="168">
        <v>167923.38114070817</v>
      </c>
      <c r="CO435" s="168">
        <v>347789.85644638317</v>
      </c>
    </row>
    <row r="436" spans="1:93" x14ac:dyDescent="0.2">
      <c r="A436" s="118">
        <f t="shared" si="38"/>
        <v>33</v>
      </c>
      <c r="B436" s="847" t="s">
        <v>627</v>
      </c>
      <c r="C436" s="848"/>
      <c r="D436" s="172">
        <f t="shared" ref="D436:D437" si="40">SUMIF($AH$6:$CP$6,1,$AH436:$CP436)</f>
        <v>1995648.1351424274</v>
      </c>
      <c r="E436" s="849" t="s">
        <v>596</v>
      </c>
      <c r="F436" s="173">
        <f>'Exhibit MJC-3 - E-13c cal yr'!F438</f>
        <v>-6.18</v>
      </c>
      <c r="G436" s="850" t="s">
        <v>375</v>
      </c>
      <c r="H436" s="174">
        <f>ROUND(D436*F436,2)</f>
        <v>-12333105.48</v>
      </c>
      <c r="I436" s="851"/>
      <c r="J436" s="172">
        <f t="shared" ref="J436:J437" si="41">SUMIF($AH$6:$CP$6,1,$AH436:$CP436)</f>
        <v>1995648.1351424274</v>
      </c>
      <c r="K436" s="849" t="s">
        <v>596</v>
      </c>
      <c r="L436" s="183">
        <f>ROUND(-DVC!G30,2)</f>
        <v>-6.47</v>
      </c>
      <c r="M436" s="850" t="s">
        <v>375</v>
      </c>
      <c r="N436" s="174">
        <f>ROUND(J436*L436,2)</f>
        <v>-12911843.43</v>
      </c>
      <c r="O436" s="852"/>
      <c r="P436" s="1297"/>
      <c r="Q436" s="854"/>
      <c r="T436" s="852"/>
      <c r="U436" s="178" t="s">
        <v>624</v>
      </c>
      <c r="V436" s="179">
        <v>254</v>
      </c>
      <c r="W436" s="180">
        <v>228</v>
      </c>
      <c r="X436" s="852"/>
      <c r="Y436" s="178"/>
      <c r="Z436" s="181"/>
      <c r="AA436" s="852"/>
      <c r="AB436" s="182"/>
      <c r="AC436" s="182"/>
      <c r="AD436" s="182"/>
      <c r="AE436" s="182"/>
      <c r="AF436" s="182"/>
      <c r="AH436" s="168">
        <f>AH434-AH437</f>
        <v>11969.975508594302</v>
      </c>
      <c r="AI436" s="168">
        <f t="shared" ref="AI436:CO436" si="42">AI434-AI437</f>
        <v>43098.441851172181</v>
      </c>
      <c r="AJ436" s="168">
        <f t="shared" si="42"/>
        <v>214395.37063045707</v>
      </c>
      <c r="AK436" s="168">
        <f t="shared" si="42"/>
        <v>221911.47737202872</v>
      </c>
      <c r="AL436" s="168">
        <f t="shared" si="42"/>
        <v>227181.0843517794</v>
      </c>
      <c r="AM436" s="168">
        <f t="shared" si="42"/>
        <v>189707.41670967219</v>
      </c>
      <c r="AN436" s="168">
        <f t="shared" si="42"/>
        <v>175013.86823880597</v>
      </c>
      <c r="AO436" s="168">
        <f t="shared" si="42"/>
        <v>184676.99642611467</v>
      </c>
      <c r="AP436" s="168">
        <f t="shared" si="42"/>
        <v>175535.67270910391</v>
      </c>
      <c r="AQ436" s="168">
        <f t="shared" si="42"/>
        <v>144844.05785474391</v>
      </c>
      <c r="AR436" s="168">
        <f t="shared" si="42"/>
        <v>109331.98723643474</v>
      </c>
      <c r="AS436" s="168">
        <f t="shared" si="42"/>
        <v>260881.26621759785</v>
      </c>
      <c r="AT436" s="168">
        <f t="shared" si="42"/>
        <v>12461.886631801357</v>
      </c>
      <c r="AU436" s="168">
        <f t="shared" si="42"/>
        <v>43774.721379423863</v>
      </c>
      <c r="AV436" s="168">
        <f t="shared" si="42"/>
        <v>213415.27176221035</v>
      </c>
      <c r="AW436" s="168">
        <f t="shared" si="42"/>
        <v>224590.95530794523</v>
      </c>
      <c r="AX436" s="168">
        <f t="shared" si="42"/>
        <v>227093.74609590392</v>
      </c>
      <c r="AY436" s="168">
        <f t="shared" si="42"/>
        <v>186318.29667842115</v>
      </c>
      <c r="AZ436" s="168">
        <f t="shared" si="42"/>
        <v>177344.01542225326</v>
      </c>
      <c r="BA436" s="168">
        <f t="shared" si="42"/>
        <v>182943.21239770073</v>
      </c>
      <c r="BB436" s="168">
        <f t="shared" si="42"/>
        <v>175358.87335170514</v>
      </c>
      <c r="BC436" s="168">
        <f t="shared" si="42"/>
        <v>145755.73116412666</v>
      </c>
      <c r="BD436" s="168">
        <f t="shared" si="42"/>
        <v>108854.99208390978</v>
      </c>
      <c r="BE436" s="168">
        <f t="shared" si="42"/>
        <v>259303.77143173123</v>
      </c>
      <c r="BF436" s="168">
        <f t="shared" si="42"/>
        <v>12374.545858836147</v>
      </c>
      <c r="BG436" s="168">
        <f t="shared" si="42"/>
        <v>44235.242911966452</v>
      </c>
      <c r="BH436" s="168">
        <f t="shared" si="42"/>
        <v>216364.87252080531</v>
      </c>
      <c r="BI436" s="168">
        <f t="shared" si="42"/>
        <v>223451.45902325262</v>
      </c>
      <c r="BJ436" s="168">
        <f t="shared" si="42"/>
        <v>228297.67899656316</v>
      </c>
      <c r="BK436" s="168">
        <f t="shared" si="42"/>
        <v>188744.34415921022</v>
      </c>
      <c r="BL436" s="168">
        <f t="shared" si="42"/>
        <v>178276.43359047227</v>
      </c>
      <c r="BM436" s="168">
        <f t="shared" si="42"/>
        <v>184237.30661953875</v>
      </c>
      <c r="BN436" s="168">
        <f t="shared" si="42"/>
        <v>175914.0917034781</v>
      </c>
      <c r="BO436" s="168">
        <f t="shared" si="42"/>
        <v>144949.49364596899</v>
      </c>
      <c r="BP436" s="168">
        <f t="shared" si="42"/>
        <v>108861.52556220924</v>
      </c>
      <c r="BQ436" s="168">
        <f t="shared" si="42"/>
        <v>264128.54372342874</v>
      </c>
      <c r="BR436" s="168">
        <f t="shared" si="42"/>
        <v>12523.760424812132</v>
      </c>
      <c r="BS436" s="168">
        <f t="shared" si="42"/>
        <v>44531.299166349476</v>
      </c>
      <c r="BT436" s="168">
        <f t="shared" si="42"/>
        <v>221336.2557009756</v>
      </c>
      <c r="BU436" s="168">
        <f t="shared" si="42"/>
        <v>229003.91140239217</v>
      </c>
      <c r="BV436" s="168">
        <f t="shared" si="42"/>
        <v>227604.87756177981</v>
      </c>
      <c r="BW436" s="168">
        <f t="shared" si="42"/>
        <v>192978.59327382644</v>
      </c>
      <c r="BX436" s="168">
        <f t="shared" si="42"/>
        <v>181944.28466289863</v>
      </c>
      <c r="BY436" s="168">
        <f t="shared" si="42"/>
        <v>186882.42144572915</v>
      </c>
      <c r="BZ436" s="168">
        <f t="shared" si="42"/>
        <v>177731.16348952867</v>
      </c>
      <c r="CA436" s="168">
        <f t="shared" si="42"/>
        <v>147150.45555173222</v>
      </c>
      <c r="CB436" s="168">
        <f t="shared" si="42"/>
        <v>110251.90189707502</v>
      </c>
      <c r="CC436" s="168">
        <f t="shared" si="42"/>
        <v>263709.21056532807</v>
      </c>
      <c r="CD436" s="168">
        <f t="shared" si="42"/>
        <v>12584.007913987956</v>
      </c>
      <c r="CE436" s="168">
        <f t="shared" si="42"/>
        <v>44224.432984695646</v>
      </c>
      <c r="CF436" s="168">
        <f t="shared" si="42"/>
        <v>217612.34986780473</v>
      </c>
      <c r="CG436" s="168">
        <f t="shared" si="42"/>
        <v>231593.44785916558</v>
      </c>
      <c r="CH436" s="168">
        <f t="shared" si="42"/>
        <v>230540.44103439077</v>
      </c>
      <c r="CI436" s="168">
        <f t="shared" si="42"/>
        <v>190842.66570468424</v>
      </c>
      <c r="CJ436" s="168">
        <f t="shared" si="42"/>
        <v>181557.23403101962</v>
      </c>
      <c r="CK436" s="168">
        <f t="shared" si="42"/>
        <v>186944.40833521995</v>
      </c>
      <c r="CL436" s="168">
        <f t="shared" si="42"/>
        <v>180310.81946898549</v>
      </c>
      <c r="CM436" s="168">
        <f t="shared" si="42"/>
        <v>147542.07175343292</v>
      </c>
      <c r="CN436" s="168">
        <f t="shared" si="42"/>
        <v>111481.29633397641</v>
      </c>
      <c r="CO436" s="168">
        <f t="shared" si="42"/>
        <v>263786.23622991133</v>
      </c>
    </row>
    <row r="437" spans="1:93" x14ac:dyDescent="0.2">
      <c r="A437" s="118">
        <f t="shared" si="38"/>
        <v>34</v>
      </c>
      <c r="B437" s="847" t="s">
        <v>628</v>
      </c>
      <c r="C437" s="848"/>
      <c r="D437" s="172">
        <f t="shared" si="40"/>
        <v>446474.03440763085</v>
      </c>
      <c r="E437" s="849" t="s">
        <v>596</v>
      </c>
      <c r="F437" s="173">
        <f>'Exhibit MJC-3 - E-13c cal yr'!F439</f>
        <v>-8.61</v>
      </c>
      <c r="G437" s="850" t="s">
        <v>375</v>
      </c>
      <c r="H437" s="174">
        <f>ROUND(D437*F437,2)</f>
        <v>-3844141.44</v>
      </c>
      <c r="I437" s="851"/>
      <c r="J437" s="172">
        <f t="shared" si="41"/>
        <v>446474.03440763085</v>
      </c>
      <c r="K437" s="849" t="s">
        <v>596</v>
      </c>
      <c r="L437" s="183">
        <f>ROUND(-DVC!G31,2)</f>
        <v>-9.0399999999999991</v>
      </c>
      <c r="M437" s="850" t="s">
        <v>375</v>
      </c>
      <c r="N437" s="174">
        <f>ROUND(J437*L437,2)</f>
        <v>-4036125.27</v>
      </c>
      <c r="O437" s="852"/>
      <c r="P437" s="853"/>
      <c r="Q437" s="854"/>
      <c r="T437" s="852"/>
      <c r="U437" s="178" t="s">
        <v>624</v>
      </c>
      <c r="V437" s="179">
        <v>254</v>
      </c>
      <c r="W437" s="180">
        <v>228</v>
      </c>
      <c r="X437" s="852"/>
      <c r="Y437" s="178"/>
      <c r="Z437" s="181"/>
      <c r="AA437" s="852"/>
      <c r="AB437" s="182"/>
      <c r="AC437" s="182"/>
      <c r="AD437" s="182"/>
      <c r="AE437" s="182"/>
      <c r="AF437" s="182"/>
      <c r="AH437" s="168">
        <v>0</v>
      </c>
      <c r="AI437" s="168">
        <v>0</v>
      </c>
      <c r="AJ437" s="168">
        <v>71560.33559366077</v>
      </c>
      <c r="AK437" s="168">
        <v>41779.251643722666</v>
      </c>
      <c r="AL437" s="168">
        <v>33719.203333628131</v>
      </c>
      <c r="AM437" s="168">
        <v>40933.613377366935</v>
      </c>
      <c r="AN437" s="168">
        <v>47026.233249096185</v>
      </c>
      <c r="AO437" s="168">
        <v>39499.46623743575</v>
      </c>
      <c r="AP437" s="168">
        <v>44668.459579805894</v>
      </c>
      <c r="AQ437" s="168">
        <v>41742.907078727862</v>
      </c>
      <c r="AR437" s="168">
        <v>36752.002439933996</v>
      </c>
      <c r="AS437" s="168">
        <v>40492.291617503586</v>
      </c>
      <c r="AT437" s="168">
        <v>0</v>
      </c>
      <c r="AU437" s="168">
        <v>0</v>
      </c>
      <c r="AV437" s="168">
        <v>71265.920946478946</v>
      </c>
      <c r="AW437" s="168">
        <v>42303.139274107562</v>
      </c>
      <c r="AX437" s="168">
        <v>33721.722822773692</v>
      </c>
      <c r="AY437" s="168">
        <v>40220.80154118772</v>
      </c>
      <c r="AZ437" s="168">
        <v>47674.232499311009</v>
      </c>
      <c r="BA437" s="168">
        <v>39146.610800505965</v>
      </c>
      <c r="BB437" s="168">
        <v>44643.966879835672</v>
      </c>
      <c r="BC437" s="168">
        <v>42024.938943396599</v>
      </c>
      <c r="BD437" s="168">
        <v>36608.468280044115</v>
      </c>
      <c r="BE437" s="168">
        <v>40265.930393758856</v>
      </c>
      <c r="BF437" s="168">
        <v>0</v>
      </c>
      <c r="BG437" s="168">
        <v>0</v>
      </c>
      <c r="BH437" s="168">
        <v>72277.569759369449</v>
      </c>
      <c r="BI437" s="168">
        <v>42104.053599752107</v>
      </c>
      <c r="BJ437" s="168">
        <v>33913.019268966134</v>
      </c>
      <c r="BK437" s="168">
        <v>40759.565244071055</v>
      </c>
      <c r="BL437" s="168">
        <v>47942.5898144823</v>
      </c>
      <c r="BM437" s="168">
        <v>39438.085456641129</v>
      </c>
      <c r="BN437" s="168">
        <v>44801.859674686762</v>
      </c>
      <c r="BO437" s="168">
        <v>41807.917346647366</v>
      </c>
      <c r="BP437" s="168">
        <v>36624.18795742681</v>
      </c>
      <c r="BQ437" s="168">
        <v>41030.293386980338</v>
      </c>
      <c r="BR437" s="168">
        <v>0</v>
      </c>
      <c r="BS437" s="168">
        <v>0</v>
      </c>
      <c r="BT437" s="168">
        <v>73806.639652322527</v>
      </c>
      <c r="BU437" s="168">
        <v>43073.454226219175</v>
      </c>
      <c r="BV437" s="168">
        <v>33749.909352851362</v>
      </c>
      <c r="BW437" s="168">
        <v>41599.759347752341</v>
      </c>
      <c r="BX437" s="168">
        <v>48841.844483141853</v>
      </c>
      <c r="BY437" s="168">
        <v>39933.077951145176</v>
      </c>
      <c r="BZ437" s="168">
        <v>45184.042203801982</v>
      </c>
      <c r="CA437" s="168">
        <v>42367.177056361921</v>
      </c>
      <c r="CB437" s="168">
        <v>37025.911912942931</v>
      </c>
      <c r="CC437" s="168">
        <v>40892.2182210916</v>
      </c>
      <c r="CD437" s="168">
        <v>0</v>
      </c>
      <c r="CE437" s="168">
        <v>0</v>
      </c>
      <c r="CF437" s="168">
        <v>72634.92512763392</v>
      </c>
      <c r="CG437" s="168">
        <v>43602.576192135843</v>
      </c>
      <c r="CH437" s="168">
        <v>34218.206764293194</v>
      </c>
      <c r="CI437" s="168">
        <v>41179.041800817991</v>
      </c>
      <c r="CJ437" s="168">
        <v>48784.996365982144</v>
      </c>
      <c r="CK437" s="168">
        <v>39984.888879008504</v>
      </c>
      <c r="CL437" s="168">
        <v>45884.115517542741</v>
      </c>
      <c r="CM437" s="168">
        <v>42520.941762837938</v>
      </c>
      <c r="CN437" s="168">
        <v>37474.924308092384</v>
      </c>
      <c r="CO437" s="168">
        <v>40943.652535437417</v>
      </c>
    </row>
    <row r="438" spans="1:93" x14ac:dyDescent="0.2">
      <c r="A438" s="118">
        <f t="shared" si="38"/>
        <v>35</v>
      </c>
      <c r="B438" s="243"/>
      <c r="C438" s="225" t="s">
        <v>603</v>
      </c>
      <c r="D438" s="204">
        <f>SUM(D417:D420,D425,D429,D435)</f>
        <v>7512508.068418392</v>
      </c>
      <c r="E438" s="233" t="s">
        <v>629</v>
      </c>
      <c r="F438" s="205" t="s">
        <v>374</v>
      </c>
      <c r="G438" s="233"/>
      <c r="H438" s="204">
        <f>SUM(H415:H437)</f>
        <v>40844770.829999998</v>
      </c>
      <c r="I438" s="308"/>
      <c r="J438" s="204">
        <f>SUM(J417:J420,J425,J429,J435)</f>
        <v>7512508.068418392</v>
      </c>
      <c r="K438" s="233" t="s">
        <v>629</v>
      </c>
      <c r="L438" s="205" t="s">
        <v>374</v>
      </c>
      <c r="M438" s="233"/>
      <c r="N438" s="204">
        <f>SUM(N415:N437)</f>
        <v>42394691.929999992</v>
      </c>
      <c r="O438" s="227"/>
      <c r="P438" s="312"/>
      <c r="Q438" s="1022"/>
      <c r="U438" s="184"/>
      <c r="V438" s="179"/>
      <c r="W438" s="180"/>
      <c r="Y438" s="184" t="s">
        <v>623</v>
      </c>
      <c r="Z438" s="181" t="s">
        <v>146</v>
      </c>
      <c r="AB438" s="204">
        <f>SUM(AB417:AB420,AB425,AB429,AB435)</f>
        <v>7372845.1933833128</v>
      </c>
      <c r="AC438" s="204">
        <f>SUM(AC417:AC420,AC425,AC429,AC435)</f>
        <v>7367830.420069905</v>
      </c>
      <c r="AD438" s="204">
        <f>SUM(AD417:AD420,AD425,AD429,AD435)</f>
        <v>7415337.9618687453</v>
      </c>
      <c r="AE438" s="204">
        <f>SUM(AE417:AE420,AE425,AE429,AE435)</f>
        <v>7512508.068418392</v>
      </c>
      <c r="AF438" s="204">
        <f>SUM(AF417:AF420,AF425,AF429,AF435)</f>
        <v>7525199.0536281168</v>
      </c>
      <c r="AH438" s="204">
        <f t="shared" ref="AH438:CO438" si="43">SUM(AH417:AH420,AH425,AH429,AH435)</f>
        <v>415599.27402959624</v>
      </c>
      <c r="AI438" s="204">
        <f t="shared" si="43"/>
        <v>622714.45291199477</v>
      </c>
      <c r="AJ438" s="204">
        <f t="shared" si="43"/>
        <v>659096.98901301762</v>
      </c>
      <c r="AK438" s="204">
        <f t="shared" si="43"/>
        <v>698783.95745402924</v>
      </c>
      <c r="AL438" s="204">
        <f t="shared" si="43"/>
        <v>592025.69162877672</v>
      </c>
      <c r="AM438" s="204">
        <f t="shared" si="43"/>
        <v>638788.07338997326</v>
      </c>
      <c r="AN438" s="204">
        <f t="shared" si="43"/>
        <v>612383.83035235154</v>
      </c>
      <c r="AO438" s="204">
        <f t="shared" si="43"/>
        <v>649688.70608704141</v>
      </c>
      <c r="AP438" s="204">
        <f t="shared" si="43"/>
        <v>662265.81529614818</v>
      </c>
      <c r="AQ438" s="204">
        <f t="shared" si="43"/>
        <v>617345.73597300786</v>
      </c>
      <c r="AR438" s="204">
        <f t="shared" si="43"/>
        <v>480760.93409717269</v>
      </c>
      <c r="AS438" s="204">
        <f t="shared" si="43"/>
        <v>723391.7331502036</v>
      </c>
      <c r="AT438" s="204">
        <f t="shared" si="43"/>
        <v>423979.52294865123</v>
      </c>
      <c r="AU438" s="204">
        <f t="shared" si="43"/>
        <v>627673.55881132977</v>
      </c>
      <c r="AV438" s="204">
        <f t="shared" si="43"/>
        <v>654428.23654759373</v>
      </c>
      <c r="AW438" s="204">
        <f t="shared" si="43"/>
        <v>706104.80520920455</v>
      </c>
      <c r="AX438" s="204">
        <f t="shared" si="43"/>
        <v>590576.08903045859</v>
      </c>
      <c r="AY438" s="204">
        <f t="shared" si="43"/>
        <v>625851.26404664805</v>
      </c>
      <c r="AZ438" s="204">
        <f t="shared" si="43"/>
        <v>619031.09739407129</v>
      </c>
      <c r="BA438" s="204">
        <f t="shared" si="43"/>
        <v>644473.05621436401</v>
      </c>
      <c r="BB438" s="204">
        <f t="shared" si="43"/>
        <v>660312.65332247468</v>
      </c>
      <c r="BC438" s="204">
        <f t="shared" si="43"/>
        <v>619913.18699933786</v>
      </c>
      <c r="BD438" s="204">
        <f t="shared" si="43"/>
        <v>477637.18780594319</v>
      </c>
      <c r="BE438" s="204">
        <f t="shared" si="43"/>
        <v>717849.76173982932</v>
      </c>
      <c r="BF438" s="204">
        <f t="shared" si="43"/>
        <v>423117.27855750313</v>
      </c>
      <c r="BG438" s="204">
        <f t="shared" si="43"/>
        <v>635313.90695901506</v>
      </c>
      <c r="BH438" s="204">
        <f t="shared" si="43"/>
        <v>663949.80639899056</v>
      </c>
      <c r="BI438" s="204">
        <f t="shared" si="43"/>
        <v>702947.25676420261</v>
      </c>
      <c r="BJ438" s="204">
        <f t="shared" si="43"/>
        <v>594081.4701719099</v>
      </c>
      <c r="BK438" s="204">
        <f t="shared" si="43"/>
        <v>634463.10168042104</v>
      </c>
      <c r="BL438" s="204">
        <f t="shared" si="43"/>
        <v>622737.77028618648</v>
      </c>
      <c r="BM438" s="204">
        <f t="shared" si="43"/>
        <v>649252.79967460642</v>
      </c>
      <c r="BN438" s="204">
        <f t="shared" si="43"/>
        <v>662868.0347035639</v>
      </c>
      <c r="BO438" s="204">
        <f t="shared" si="43"/>
        <v>616941.26339810458</v>
      </c>
      <c r="BP438" s="204">
        <f t="shared" si="43"/>
        <v>478025.28427532519</v>
      </c>
      <c r="BQ438" s="204">
        <f t="shared" si="43"/>
        <v>731639.98899891635</v>
      </c>
      <c r="BR438" s="204">
        <f t="shared" si="43"/>
        <v>428678.21495041082</v>
      </c>
      <c r="BS438" s="204">
        <f t="shared" si="43"/>
        <v>639774.19277382467</v>
      </c>
      <c r="BT438" s="204">
        <f t="shared" si="43"/>
        <v>679082.80937866785</v>
      </c>
      <c r="BU438" s="204">
        <f t="shared" si="43"/>
        <v>720274.93078718311</v>
      </c>
      <c r="BV438" s="204">
        <f t="shared" si="43"/>
        <v>592209.14622096613</v>
      </c>
      <c r="BW438" s="204">
        <f t="shared" si="43"/>
        <v>648612.2887876241</v>
      </c>
      <c r="BX438" s="204">
        <f t="shared" si="43"/>
        <v>635456.18384226714</v>
      </c>
      <c r="BY438" s="204">
        <f t="shared" si="43"/>
        <v>658245.93796675105</v>
      </c>
      <c r="BZ438" s="204">
        <f t="shared" si="43"/>
        <v>669587.25843559904</v>
      </c>
      <c r="CA438" s="204">
        <f t="shared" si="43"/>
        <v>626193.66798367654</v>
      </c>
      <c r="CB438" s="204">
        <f t="shared" si="43"/>
        <v>484027.07277938689</v>
      </c>
      <c r="CC438" s="204">
        <f t="shared" si="43"/>
        <v>730366.36451203423</v>
      </c>
      <c r="CD438" s="204">
        <f t="shared" si="43"/>
        <v>430993.32790948363</v>
      </c>
      <c r="CE438" s="204">
        <f t="shared" si="43"/>
        <v>635866.82093573408</v>
      </c>
      <c r="CF438" s="204">
        <f t="shared" si="43"/>
        <v>667907.82392730843</v>
      </c>
      <c r="CG438" s="204">
        <f t="shared" si="43"/>
        <v>728545.12704702048</v>
      </c>
      <c r="CH438" s="204">
        <f t="shared" si="43"/>
        <v>599996.05003940337</v>
      </c>
      <c r="CI438" s="204">
        <f t="shared" si="43"/>
        <v>641626.98076045746</v>
      </c>
      <c r="CJ438" s="204">
        <f t="shared" si="43"/>
        <v>634304.43306701211</v>
      </c>
      <c r="CK438" s="204">
        <f t="shared" si="43"/>
        <v>658250.51087168814</v>
      </c>
      <c r="CL438" s="204">
        <f t="shared" si="43"/>
        <v>679449.25753900968</v>
      </c>
      <c r="CM438" s="204">
        <f t="shared" si="43"/>
        <v>628007.50483561715</v>
      </c>
      <c r="CN438" s="204">
        <f t="shared" si="43"/>
        <v>489548.38986256649</v>
      </c>
      <c r="CO438" s="204">
        <f t="shared" si="43"/>
        <v>730702.82683281694</v>
      </c>
    </row>
    <row r="439" spans="1:93" x14ac:dyDescent="0.2">
      <c r="A439" s="118">
        <f t="shared" si="38"/>
        <v>36</v>
      </c>
      <c r="B439" s="243"/>
      <c r="C439" s="225"/>
      <c r="D439" s="313"/>
      <c r="E439" s="233"/>
      <c r="F439" s="205"/>
      <c r="G439" s="233"/>
      <c r="H439" s="313"/>
      <c r="I439" s="308"/>
      <c r="J439" s="313"/>
      <c r="K439" s="233"/>
      <c r="L439" s="205"/>
      <c r="M439" s="233"/>
      <c r="N439" s="313"/>
      <c r="O439" s="227"/>
      <c r="P439" s="312"/>
      <c r="Q439" s="247"/>
      <c r="U439" s="184"/>
      <c r="V439" s="179"/>
      <c r="W439" s="180"/>
      <c r="Y439" s="184"/>
      <c r="Z439" s="181"/>
      <c r="AB439" s="313"/>
      <c r="AC439" s="313"/>
      <c r="AD439" s="313"/>
      <c r="AE439" s="313"/>
      <c r="AF439" s="313"/>
      <c r="AH439" s="313"/>
      <c r="AI439" s="313"/>
      <c r="AJ439" s="313"/>
      <c r="AK439" s="313"/>
      <c r="AL439" s="313"/>
      <c r="AM439" s="313"/>
      <c r="AN439" s="313"/>
      <c r="AO439" s="313"/>
      <c r="AP439" s="313"/>
      <c r="AQ439" s="313"/>
      <c r="AR439" s="313"/>
      <c r="AS439" s="313"/>
      <c r="AT439" s="313"/>
      <c r="AU439" s="313"/>
      <c r="AV439" s="313"/>
      <c r="AW439" s="313"/>
      <c r="AX439" s="313"/>
      <c r="AY439" s="313"/>
      <c r="AZ439" s="313"/>
      <c r="BA439" s="313"/>
      <c r="BB439" s="313"/>
      <c r="BC439" s="313"/>
      <c r="BD439" s="313"/>
      <c r="BE439" s="313"/>
      <c r="BF439" s="313"/>
      <c r="BG439" s="313"/>
      <c r="BH439" s="313"/>
      <c r="BI439" s="313"/>
      <c r="BJ439" s="313"/>
      <c r="BK439" s="313"/>
      <c r="BL439" s="313"/>
      <c r="BM439" s="313"/>
      <c r="BN439" s="313"/>
      <c r="BO439" s="313"/>
      <c r="BP439" s="313"/>
      <c r="BQ439" s="313"/>
      <c r="BR439" s="313"/>
      <c r="BS439" s="313"/>
      <c r="BT439" s="313"/>
      <c r="BU439" s="313"/>
      <c r="BV439" s="313"/>
      <c r="BW439" s="313"/>
      <c r="BX439" s="313"/>
      <c r="BY439" s="313"/>
      <c r="BZ439" s="313"/>
      <c r="CA439" s="313"/>
      <c r="CB439" s="313"/>
      <c r="CC439" s="313"/>
      <c r="CD439" s="313"/>
      <c r="CE439" s="313"/>
      <c r="CF439" s="313"/>
      <c r="CG439" s="313"/>
      <c r="CH439" s="313"/>
      <c r="CI439" s="313"/>
      <c r="CJ439" s="313"/>
      <c r="CK439" s="313"/>
      <c r="CL439" s="313"/>
      <c r="CM439" s="313"/>
      <c r="CN439" s="313"/>
      <c r="CO439" s="313"/>
    </row>
    <row r="440" spans="1:93" x14ac:dyDescent="0.2">
      <c r="A440" s="118">
        <f t="shared" si="38"/>
        <v>37</v>
      </c>
      <c r="B440" s="243"/>
      <c r="C440" s="225"/>
      <c r="D440" s="313"/>
      <c r="E440" s="233"/>
      <c r="F440" s="205"/>
      <c r="G440" s="233"/>
      <c r="H440" s="940"/>
      <c r="I440" s="297"/>
      <c r="J440" s="168"/>
      <c r="K440" s="233"/>
      <c r="L440" s="205"/>
      <c r="M440" s="233"/>
      <c r="N440" s="1232"/>
      <c r="O440" s="941"/>
      <c r="P440" s="941"/>
      <c r="Q440" s="247"/>
      <c r="U440" s="184"/>
      <c r="V440" s="179"/>
      <c r="W440" s="180"/>
      <c r="Y440" s="184"/>
      <c r="Z440" s="181"/>
      <c r="AB440" s="313"/>
      <c r="AC440" s="313"/>
      <c r="AD440" s="313"/>
      <c r="AE440" s="313"/>
      <c r="AF440" s="313"/>
      <c r="AH440" s="313"/>
      <c r="AI440" s="313"/>
      <c r="AJ440" s="313"/>
      <c r="AK440" s="313"/>
      <c r="AL440" s="313"/>
      <c r="AM440" s="313"/>
      <c r="AN440" s="313"/>
      <c r="AO440" s="313"/>
      <c r="AP440" s="313"/>
      <c r="AQ440" s="313"/>
      <c r="AR440" s="313"/>
      <c r="AS440" s="313"/>
      <c r="AT440" s="313"/>
      <c r="AU440" s="313"/>
      <c r="AV440" s="313"/>
      <c r="AW440" s="313"/>
      <c r="AX440" s="313"/>
      <c r="AY440" s="313"/>
      <c r="AZ440" s="313"/>
      <c r="BA440" s="313"/>
      <c r="BB440" s="313"/>
      <c r="BC440" s="313"/>
      <c r="BD440" s="313"/>
      <c r="BE440" s="313"/>
      <c r="BF440" s="313"/>
      <c r="BG440" s="313"/>
      <c r="BH440" s="313"/>
      <c r="BI440" s="313"/>
      <c r="BJ440" s="313"/>
      <c r="BK440" s="313"/>
      <c r="BL440" s="313"/>
      <c r="BM440" s="313"/>
      <c r="BN440" s="313"/>
      <c r="BO440" s="313"/>
      <c r="BP440" s="313"/>
      <c r="BQ440" s="313"/>
      <c r="BR440" s="313"/>
      <c r="BS440" s="313"/>
      <c r="BT440" s="313"/>
      <c r="BU440" s="313"/>
      <c r="BV440" s="313"/>
      <c r="BW440" s="313"/>
      <c r="BX440" s="313"/>
      <c r="BY440" s="313"/>
      <c r="BZ440" s="313"/>
      <c r="CA440" s="313"/>
      <c r="CB440" s="313"/>
      <c r="CC440" s="313"/>
      <c r="CD440" s="313"/>
      <c r="CE440" s="313"/>
      <c r="CF440" s="313"/>
      <c r="CG440" s="313"/>
      <c r="CH440" s="313"/>
      <c r="CI440" s="313"/>
      <c r="CJ440" s="313"/>
      <c r="CK440" s="313"/>
      <c r="CL440" s="313"/>
      <c r="CM440" s="313"/>
      <c r="CN440" s="313"/>
      <c r="CO440" s="313"/>
    </row>
    <row r="441" spans="1:93" x14ac:dyDescent="0.2">
      <c r="A441" s="118">
        <f t="shared" si="38"/>
        <v>38</v>
      </c>
      <c r="B441" s="243"/>
      <c r="C441" s="225"/>
      <c r="D441" s="313"/>
      <c r="E441" s="233"/>
      <c r="F441" s="205"/>
      <c r="G441" s="233"/>
      <c r="H441" s="313"/>
      <c r="I441" s="308"/>
      <c r="J441" s="313"/>
      <c r="K441" s="233"/>
      <c r="L441" s="205"/>
      <c r="M441" s="233"/>
      <c r="N441" s="1289"/>
      <c r="O441" s="227"/>
      <c r="P441" s="312"/>
      <c r="Q441" s="247"/>
      <c r="U441" s="184"/>
      <c r="V441" s="179"/>
      <c r="W441" s="180"/>
      <c r="Y441" s="184"/>
      <c r="Z441" s="181"/>
      <c r="AB441" s="313"/>
      <c r="AC441" s="313"/>
      <c r="AD441" s="313"/>
      <c r="AE441" s="313"/>
      <c r="AF441" s="313"/>
      <c r="AH441" s="313"/>
      <c r="AI441" s="313"/>
      <c r="AJ441" s="313"/>
      <c r="AK441" s="313"/>
      <c r="AL441" s="313"/>
      <c r="AM441" s="313"/>
      <c r="AN441" s="313"/>
      <c r="AO441" s="313"/>
      <c r="AP441" s="313"/>
      <c r="AQ441" s="313"/>
      <c r="AR441" s="313"/>
      <c r="AS441" s="313"/>
      <c r="AT441" s="313"/>
      <c r="AU441" s="313"/>
      <c r="AV441" s="313"/>
      <c r="AW441" s="313"/>
      <c r="AX441" s="313"/>
      <c r="AY441" s="313"/>
      <c r="AZ441" s="313"/>
      <c r="BA441" s="313"/>
      <c r="BB441" s="313"/>
      <c r="BC441" s="313"/>
      <c r="BD441" s="313"/>
      <c r="BE441" s="313"/>
      <c r="BF441" s="313"/>
      <c r="BG441" s="313"/>
      <c r="BH441" s="313"/>
      <c r="BI441" s="313"/>
      <c r="BJ441" s="313"/>
      <c r="BK441" s="313"/>
      <c r="BL441" s="313"/>
      <c r="BM441" s="313"/>
      <c r="BN441" s="313"/>
      <c r="BO441" s="313"/>
      <c r="BP441" s="313"/>
      <c r="BQ441" s="313"/>
      <c r="BR441" s="313"/>
      <c r="BS441" s="313"/>
      <c r="BT441" s="313"/>
      <c r="BU441" s="313"/>
      <c r="BV441" s="313"/>
      <c r="BW441" s="313"/>
      <c r="BX441" s="313"/>
      <c r="BY441" s="313"/>
      <c r="BZ441" s="313"/>
      <c r="CA441" s="313"/>
      <c r="CB441" s="313"/>
      <c r="CC441" s="313"/>
      <c r="CD441" s="313"/>
      <c r="CE441" s="313"/>
      <c r="CF441" s="313"/>
      <c r="CG441" s="313"/>
      <c r="CH441" s="313"/>
      <c r="CI441" s="313"/>
      <c r="CJ441" s="313"/>
      <c r="CK441" s="313"/>
      <c r="CL441" s="313"/>
      <c r="CM441" s="313"/>
      <c r="CN441" s="313"/>
      <c r="CO441" s="313"/>
    </row>
    <row r="442" spans="1:93" x14ac:dyDescent="0.2">
      <c r="A442" s="118">
        <f t="shared" si="38"/>
        <v>39</v>
      </c>
      <c r="B442" s="243"/>
      <c r="C442" s="225"/>
      <c r="D442" s="313"/>
      <c r="E442" s="233"/>
      <c r="F442" s="205"/>
      <c r="G442" s="233"/>
      <c r="H442" s="313"/>
      <c r="I442" s="308"/>
      <c r="J442" s="313"/>
      <c r="K442" s="233"/>
      <c r="L442" s="205"/>
      <c r="M442" s="233"/>
      <c r="N442" s="313"/>
      <c r="O442" s="227"/>
      <c r="P442" s="312"/>
      <c r="Q442" s="247"/>
      <c r="U442" s="184"/>
      <c r="V442" s="179"/>
      <c r="W442" s="180"/>
      <c r="Y442" s="184"/>
      <c r="Z442" s="181"/>
      <c r="AB442" s="313"/>
      <c r="AC442" s="313"/>
      <c r="AD442" s="313"/>
      <c r="AE442" s="313"/>
      <c r="AF442" s="313"/>
      <c r="AH442" s="313"/>
      <c r="AI442" s="313"/>
      <c r="AJ442" s="313"/>
      <c r="AK442" s="313"/>
      <c r="AL442" s="313"/>
      <c r="AM442" s="313"/>
      <c r="AN442" s="313"/>
      <c r="AO442" s="313"/>
      <c r="AP442" s="313"/>
      <c r="AQ442" s="313"/>
      <c r="AR442" s="313"/>
      <c r="AS442" s="313"/>
      <c r="AT442" s="313"/>
      <c r="AU442" s="313"/>
      <c r="AV442" s="313"/>
      <c r="AW442" s="313"/>
      <c r="AX442" s="313"/>
      <c r="AY442" s="313"/>
      <c r="AZ442" s="313"/>
      <c r="BA442" s="313"/>
      <c r="BB442" s="313"/>
      <c r="BC442" s="313"/>
      <c r="BD442" s="313"/>
      <c r="BE442" s="313"/>
      <c r="BF442" s="313"/>
      <c r="BG442" s="313"/>
      <c r="BH442" s="313"/>
      <c r="BI442" s="313"/>
      <c r="BJ442" s="313"/>
      <c r="BK442" s="313"/>
      <c r="BL442" s="313"/>
      <c r="BM442" s="313"/>
      <c r="BN442" s="313"/>
      <c r="BO442" s="313"/>
      <c r="BP442" s="313"/>
      <c r="BQ442" s="313"/>
      <c r="BR442" s="313"/>
      <c r="BS442" s="313"/>
      <c r="BT442" s="313"/>
      <c r="BU442" s="313"/>
      <c r="BV442" s="313"/>
      <c r="BW442" s="313"/>
      <c r="BX442" s="313"/>
      <c r="BY442" s="313"/>
      <c r="BZ442" s="313"/>
      <c r="CA442" s="313"/>
      <c r="CB442" s="313"/>
      <c r="CC442" s="313"/>
      <c r="CD442" s="313"/>
      <c r="CE442" s="313"/>
      <c r="CF442" s="313"/>
      <c r="CG442" s="313"/>
      <c r="CH442" s="313"/>
      <c r="CI442" s="313"/>
      <c r="CJ442" s="313"/>
      <c r="CK442" s="313"/>
      <c r="CL442" s="313"/>
      <c r="CM442" s="313"/>
      <c r="CN442" s="313"/>
      <c r="CO442" s="313"/>
    </row>
    <row r="443" spans="1:93" x14ac:dyDescent="0.2">
      <c r="A443" s="118">
        <f t="shared" si="38"/>
        <v>40</v>
      </c>
      <c r="B443" s="243"/>
      <c r="C443" s="225"/>
      <c r="D443" s="313"/>
      <c r="E443" s="233"/>
      <c r="F443" s="205"/>
      <c r="G443" s="233"/>
      <c r="H443" s="313"/>
      <c r="I443" s="308"/>
      <c r="J443" s="313"/>
      <c r="K443" s="233"/>
      <c r="L443" s="205"/>
      <c r="M443" s="233"/>
      <c r="N443" s="313"/>
      <c r="O443" s="227"/>
      <c r="P443" s="312"/>
      <c r="Q443" s="247"/>
      <c r="U443" s="184"/>
      <c r="V443" s="179"/>
      <c r="W443" s="180"/>
      <c r="Y443" s="184"/>
      <c r="Z443" s="181"/>
      <c r="AB443" s="313"/>
      <c r="AC443" s="313"/>
      <c r="AD443" s="313"/>
      <c r="AE443" s="313"/>
      <c r="AF443" s="313"/>
      <c r="AH443" s="313"/>
      <c r="AI443" s="313"/>
      <c r="AJ443" s="313"/>
      <c r="AK443" s="313"/>
      <c r="AL443" s="313"/>
      <c r="AM443" s="313"/>
      <c r="AN443" s="313"/>
      <c r="AO443" s="313"/>
      <c r="AP443" s="313"/>
      <c r="AQ443" s="313"/>
      <c r="AR443" s="313"/>
      <c r="AS443" s="313"/>
      <c r="AT443" s="313"/>
      <c r="AU443" s="313"/>
      <c r="AV443" s="313"/>
      <c r="AW443" s="313"/>
      <c r="AX443" s="313"/>
      <c r="AY443" s="313"/>
      <c r="AZ443" s="313"/>
      <c r="BA443" s="313"/>
      <c r="BB443" s="313"/>
      <c r="BC443" s="313"/>
      <c r="BD443" s="313"/>
      <c r="BE443" s="313"/>
      <c r="BF443" s="313"/>
      <c r="BG443" s="313"/>
      <c r="BH443" s="313"/>
      <c r="BI443" s="313"/>
      <c r="BJ443" s="313"/>
      <c r="BK443" s="313"/>
      <c r="BL443" s="313"/>
      <c r="BM443" s="313"/>
      <c r="BN443" s="313"/>
      <c r="BO443" s="313"/>
      <c r="BP443" s="313"/>
      <c r="BQ443" s="313"/>
      <c r="BR443" s="313"/>
      <c r="BS443" s="313"/>
      <c r="BT443" s="313"/>
      <c r="BU443" s="313"/>
      <c r="BV443" s="313"/>
      <c r="BW443" s="313"/>
      <c r="BX443" s="313"/>
      <c r="BY443" s="313"/>
      <c r="BZ443" s="313"/>
      <c r="CA443" s="313"/>
      <c r="CB443" s="313"/>
      <c r="CC443" s="313"/>
      <c r="CD443" s="313"/>
      <c r="CE443" s="313"/>
      <c r="CF443" s="313"/>
      <c r="CG443" s="313"/>
      <c r="CH443" s="313"/>
      <c r="CI443" s="313"/>
      <c r="CJ443" s="313"/>
      <c r="CK443" s="313"/>
      <c r="CL443" s="313"/>
      <c r="CM443" s="313"/>
      <c r="CN443" s="313"/>
      <c r="CO443" s="313"/>
    </row>
    <row r="444" spans="1:93" x14ac:dyDescent="0.2">
      <c r="A444" s="118">
        <f t="shared" si="38"/>
        <v>41</v>
      </c>
      <c r="B444" s="243"/>
      <c r="C444" s="225"/>
      <c r="D444" s="313"/>
      <c r="E444" s="233"/>
      <c r="F444" s="205"/>
      <c r="G444" s="233"/>
      <c r="H444" s="313"/>
      <c r="I444" s="308"/>
      <c r="J444" s="313"/>
      <c r="K444" s="233"/>
      <c r="L444" s="205"/>
      <c r="M444" s="233"/>
      <c r="N444" s="313"/>
      <c r="O444" s="227"/>
      <c r="P444" s="312"/>
      <c r="Q444" s="247"/>
      <c r="U444" s="184"/>
      <c r="V444" s="179"/>
      <c r="W444" s="180"/>
      <c r="Y444" s="184"/>
      <c r="Z444" s="181"/>
      <c r="AB444" s="313"/>
      <c r="AC444" s="313"/>
      <c r="AD444" s="313"/>
      <c r="AE444" s="313"/>
      <c r="AF444" s="313"/>
      <c r="AH444" s="313"/>
      <c r="AI444" s="313"/>
      <c r="AJ444" s="313"/>
      <c r="AK444" s="313"/>
      <c r="AL444" s="313"/>
      <c r="AM444" s="313"/>
      <c r="AN444" s="313"/>
      <c r="AO444" s="313"/>
      <c r="AP444" s="313"/>
      <c r="AQ444" s="313"/>
      <c r="AR444" s="313"/>
      <c r="AS444" s="313"/>
      <c r="AT444" s="313"/>
      <c r="AU444" s="313"/>
      <c r="AV444" s="313"/>
      <c r="AW444" s="313"/>
      <c r="AX444" s="313"/>
      <c r="AY444" s="313"/>
      <c r="AZ444" s="313"/>
      <c r="BA444" s="313"/>
      <c r="BB444" s="313"/>
      <c r="BC444" s="313"/>
      <c r="BD444" s="313"/>
      <c r="BE444" s="313"/>
      <c r="BF444" s="313"/>
      <c r="BG444" s="313"/>
      <c r="BH444" s="313"/>
      <c r="BI444" s="313"/>
      <c r="BJ444" s="313"/>
      <c r="BK444" s="313"/>
      <c r="BL444" s="313"/>
      <c r="BM444" s="313"/>
      <c r="BN444" s="313"/>
      <c r="BO444" s="313"/>
      <c r="BP444" s="313"/>
      <c r="BQ444" s="313"/>
      <c r="BR444" s="313"/>
      <c r="BS444" s="313"/>
      <c r="BT444" s="313"/>
      <c r="BU444" s="313"/>
      <c r="BV444" s="313"/>
      <c r="BW444" s="313"/>
      <c r="BX444" s="313"/>
      <c r="BY444" s="313"/>
      <c r="BZ444" s="313"/>
      <c r="CA444" s="313"/>
      <c r="CB444" s="313"/>
      <c r="CC444" s="313"/>
      <c r="CD444" s="313"/>
      <c r="CE444" s="313"/>
      <c r="CF444" s="313"/>
      <c r="CG444" s="313"/>
      <c r="CH444" s="313"/>
      <c r="CI444" s="313"/>
      <c r="CJ444" s="313"/>
      <c r="CK444" s="313"/>
      <c r="CL444" s="313"/>
      <c r="CM444" s="313"/>
      <c r="CN444" s="313"/>
      <c r="CO444" s="313"/>
    </row>
    <row r="445" spans="1:93" x14ac:dyDescent="0.2">
      <c r="A445" s="118">
        <f t="shared" si="38"/>
        <v>42</v>
      </c>
      <c r="B445" s="243"/>
      <c r="C445" s="225"/>
      <c r="D445" s="313"/>
      <c r="E445" s="233"/>
      <c r="F445" s="205"/>
      <c r="G445" s="233"/>
      <c r="H445" s="313"/>
      <c r="I445" s="308"/>
      <c r="J445" s="313"/>
      <c r="K445" s="233"/>
      <c r="L445" s="205"/>
      <c r="M445" s="233"/>
      <c r="N445" s="313"/>
      <c r="O445" s="227"/>
      <c r="P445" s="312"/>
      <c r="Q445" s="247"/>
      <c r="U445" s="184"/>
      <c r="V445" s="179"/>
      <c r="W445" s="180"/>
      <c r="Y445" s="184"/>
      <c r="Z445" s="181"/>
      <c r="AB445" s="313"/>
      <c r="AC445" s="313"/>
      <c r="AD445" s="313"/>
      <c r="AE445" s="313"/>
      <c r="AF445" s="313"/>
      <c r="AH445" s="313"/>
      <c r="AI445" s="313"/>
      <c r="AJ445" s="313"/>
      <c r="AK445" s="313"/>
      <c r="AL445" s="313"/>
      <c r="AM445" s="313"/>
      <c r="AN445" s="313"/>
      <c r="AO445" s="313"/>
      <c r="AP445" s="313"/>
      <c r="AQ445" s="313"/>
      <c r="AR445" s="313"/>
      <c r="AS445" s="313"/>
      <c r="AT445" s="313"/>
      <c r="AU445" s="313"/>
      <c r="AV445" s="313"/>
      <c r="AW445" s="313"/>
      <c r="AX445" s="313"/>
      <c r="AY445" s="313"/>
      <c r="AZ445" s="313"/>
      <c r="BA445" s="313"/>
      <c r="BB445" s="313"/>
      <c r="BC445" s="313"/>
      <c r="BD445" s="313"/>
      <c r="BE445" s="313"/>
      <c r="BF445" s="313"/>
      <c r="BG445" s="313"/>
      <c r="BH445" s="313"/>
      <c r="BI445" s="313"/>
      <c r="BJ445" s="313"/>
      <c r="BK445" s="313"/>
      <c r="BL445" s="313"/>
      <c r="BM445" s="313"/>
      <c r="BN445" s="313"/>
      <c r="BO445" s="313"/>
      <c r="BP445" s="313"/>
      <c r="BQ445" s="313"/>
      <c r="BR445" s="313"/>
      <c r="BS445" s="313"/>
      <c r="BT445" s="313"/>
      <c r="BU445" s="313"/>
      <c r="BV445" s="313"/>
      <c r="BW445" s="313"/>
      <c r="BX445" s="313"/>
      <c r="BY445" s="313"/>
      <c r="BZ445" s="313"/>
      <c r="CA445" s="313"/>
      <c r="CB445" s="313"/>
      <c r="CC445" s="313"/>
      <c r="CD445" s="313"/>
      <c r="CE445" s="313"/>
      <c r="CF445" s="313"/>
      <c r="CG445" s="313"/>
      <c r="CH445" s="313"/>
      <c r="CI445" s="313"/>
      <c r="CJ445" s="313"/>
      <c r="CK445" s="313"/>
      <c r="CL445" s="313"/>
      <c r="CM445" s="313"/>
      <c r="CN445" s="313"/>
      <c r="CO445" s="313"/>
    </row>
    <row r="446" spans="1:93" x14ac:dyDescent="0.2">
      <c r="A446" s="118">
        <f t="shared" si="38"/>
        <v>43</v>
      </c>
      <c r="B446" s="243"/>
      <c r="C446" s="225"/>
      <c r="D446" s="313"/>
      <c r="E446" s="233"/>
      <c r="F446" s="205"/>
      <c r="G446" s="233"/>
      <c r="H446" s="313"/>
      <c r="I446" s="308"/>
      <c r="J446" s="313"/>
      <c r="K446" s="233"/>
      <c r="L446" s="205"/>
      <c r="M446" s="233"/>
      <c r="N446" s="313"/>
      <c r="O446" s="227"/>
      <c r="P446" s="312"/>
      <c r="Q446" s="247"/>
      <c r="U446" s="184"/>
      <c r="V446" s="179"/>
      <c r="W446" s="180"/>
      <c r="Y446" s="184"/>
      <c r="Z446" s="181"/>
      <c r="AB446" s="313"/>
      <c r="AC446" s="313"/>
      <c r="AD446" s="313"/>
      <c r="AE446" s="313"/>
      <c r="AF446" s="313"/>
      <c r="AH446" s="313"/>
      <c r="AI446" s="313"/>
      <c r="AJ446" s="313"/>
      <c r="AK446" s="313"/>
      <c r="AL446" s="313"/>
      <c r="AM446" s="313"/>
      <c r="AN446" s="313"/>
      <c r="AO446" s="313"/>
      <c r="AP446" s="313"/>
      <c r="AQ446" s="313"/>
      <c r="AR446" s="313"/>
      <c r="AS446" s="313"/>
      <c r="AT446" s="313"/>
      <c r="AU446" s="313"/>
      <c r="AV446" s="313"/>
      <c r="AW446" s="313"/>
      <c r="AX446" s="313"/>
      <c r="AY446" s="313"/>
      <c r="AZ446" s="313"/>
      <c r="BA446" s="313"/>
      <c r="BB446" s="313"/>
      <c r="BC446" s="313"/>
      <c r="BD446" s="313"/>
      <c r="BE446" s="313"/>
      <c r="BF446" s="313"/>
      <c r="BG446" s="313"/>
      <c r="BH446" s="313"/>
      <c r="BI446" s="313"/>
      <c r="BJ446" s="313"/>
      <c r="BK446" s="313"/>
      <c r="BL446" s="313"/>
      <c r="BM446" s="313"/>
      <c r="BN446" s="313"/>
      <c r="BO446" s="313"/>
      <c r="BP446" s="313"/>
      <c r="BQ446" s="313"/>
      <c r="BR446" s="313"/>
      <c r="BS446" s="313"/>
      <c r="BT446" s="313"/>
      <c r="BU446" s="313"/>
      <c r="BV446" s="313"/>
      <c r="BW446" s="313"/>
      <c r="BX446" s="313"/>
      <c r="BY446" s="313"/>
      <c r="BZ446" s="313"/>
      <c r="CA446" s="313"/>
      <c r="CB446" s="313"/>
      <c r="CC446" s="313"/>
      <c r="CD446" s="313"/>
      <c r="CE446" s="313"/>
      <c r="CF446" s="313"/>
      <c r="CG446" s="313"/>
      <c r="CH446" s="313"/>
      <c r="CI446" s="313"/>
      <c r="CJ446" s="313"/>
      <c r="CK446" s="313"/>
      <c r="CL446" s="313"/>
      <c r="CM446" s="313"/>
      <c r="CN446" s="313"/>
      <c r="CO446" s="313"/>
    </row>
    <row r="447" spans="1:93" x14ac:dyDescent="0.2">
      <c r="A447" s="118">
        <f t="shared" si="38"/>
        <v>44</v>
      </c>
      <c r="B447" s="243"/>
      <c r="C447" s="225"/>
      <c r="D447" s="313"/>
      <c r="E447" s="233"/>
      <c r="F447" s="205"/>
      <c r="G447" s="233"/>
      <c r="H447" s="313"/>
      <c r="I447" s="308"/>
      <c r="J447" s="313"/>
      <c r="K447" s="233"/>
      <c r="L447" s="205"/>
      <c r="M447" s="233"/>
      <c r="N447" s="313"/>
      <c r="O447" s="227"/>
      <c r="P447" s="312"/>
      <c r="Q447" s="247"/>
      <c r="U447" s="184"/>
      <c r="V447" s="179"/>
      <c r="W447" s="180"/>
      <c r="Y447" s="184"/>
      <c r="Z447" s="181"/>
      <c r="AB447" s="313"/>
      <c r="AC447" s="313"/>
      <c r="AD447" s="313"/>
      <c r="AE447" s="313"/>
      <c r="AF447" s="313"/>
      <c r="AH447" s="313"/>
      <c r="AI447" s="313"/>
      <c r="AJ447" s="313"/>
      <c r="AK447" s="313"/>
      <c r="AL447" s="313"/>
      <c r="AM447" s="313"/>
      <c r="AN447" s="313"/>
      <c r="AO447" s="313"/>
      <c r="AP447" s="313"/>
      <c r="AQ447" s="313"/>
      <c r="AR447" s="313"/>
      <c r="AS447" s="313"/>
      <c r="AT447" s="313"/>
      <c r="AU447" s="313"/>
      <c r="AV447" s="313"/>
      <c r="AW447" s="313"/>
      <c r="AX447" s="313"/>
      <c r="AY447" s="313"/>
      <c r="AZ447" s="313"/>
      <c r="BA447" s="313"/>
      <c r="BB447" s="313"/>
      <c r="BC447" s="313"/>
      <c r="BD447" s="313"/>
      <c r="BE447" s="313"/>
      <c r="BF447" s="313"/>
      <c r="BG447" s="313"/>
      <c r="BH447" s="313"/>
      <c r="BI447" s="313"/>
      <c r="BJ447" s="313"/>
      <c r="BK447" s="313"/>
      <c r="BL447" s="313"/>
      <c r="BM447" s="313"/>
      <c r="BN447" s="313"/>
      <c r="BO447" s="313"/>
      <c r="BP447" s="313"/>
      <c r="BQ447" s="313"/>
      <c r="BR447" s="313"/>
      <c r="BS447" s="313"/>
      <c r="BT447" s="313"/>
      <c r="BU447" s="313"/>
      <c r="BV447" s="313"/>
      <c r="BW447" s="313"/>
      <c r="BX447" s="313"/>
      <c r="BY447" s="313"/>
      <c r="BZ447" s="313"/>
      <c r="CA447" s="313"/>
      <c r="CB447" s="313"/>
      <c r="CC447" s="313"/>
      <c r="CD447" s="313"/>
      <c r="CE447" s="313"/>
      <c r="CF447" s="313"/>
      <c r="CG447" s="313"/>
      <c r="CH447" s="313"/>
      <c r="CI447" s="313"/>
      <c r="CJ447" s="313"/>
      <c r="CK447" s="313"/>
      <c r="CL447" s="313"/>
      <c r="CM447" s="313"/>
      <c r="CN447" s="313"/>
      <c r="CO447" s="313"/>
    </row>
    <row r="448" spans="1:93" x14ac:dyDescent="0.2">
      <c r="A448" s="118">
        <f t="shared" si="38"/>
        <v>45</v>
      </c>
      <c r="B448" s="314"/>
      <c r="C448" s="223" t="s">
        <v>416</v>
      </c>
      <c r="D448" s="168" t="s">
        <v>416</v>
      </c>
      <c r="E448" s="233" t="s">
        <v>416</v>
      </c>
      <c r="F448" s="205"/>
      <c r="G448" s="233" t="s">
        <v>416</v>
      </c>
      <c r="H448" s="168" t="s">
        <v>416</v>
      </c>
      <c r="I448" s="308"/>
      <c r="J448" s="168" t="s">
        <v>416</v>
      </c>
      <c r="K448" s="233" t="s">
        <v>416</v>
      </c>
      <c r="L448" s="205"/>
      <c r="M448" s="233" t="s">
        <v>416</v>
      </c>
      <c r="N448" s="248"/>
      <c r="O448" s="227"/>
      <c r="P448" s="227"/>
      <c r="Q448" s="227"/>
      <c r="U448" s="184"/>
      <c r="V448" s="179"/>
      <c r="W448" s="180"/>
      <c r="Y448" s="184"/>
      <c r="Z448" s="181"/>
      <c r="AB448" s="193">
        <f>SUM(AH448:AS448)</f>
        <v>0</v>
      </c>
      <c r="AC448" s="193">
        <f>SUM(AT448:BE448)</f>
        <v>0</v>
      </c>
      <c r="AD448" s="193">
        <f>SUM(BF448:BQ448)</f>
        <v>0</v>
      </c>
      <c r="AE448" s="193">
        <f>SUM(BR448:CC448)</f>
        <v>0</v>
      </c>
      <c r="AF448" s="193">
        <f>SUM(CD448:CO448)</f>
        <v>0</v>
      </c>
      <c r="AH448" s="294">
        <v>0</v>
      </c>
      <c r="AI448" s="294">
        <v>0</v>
      </c>
      <c r="AJ448" s="294">
        <v>0</v>
      </c>
      <c r="AK448" s="294">
        <v>0</v>
      </c>
      <c r="AL448" s="294">
        <v>0</v>
      </c>
      <c r="AM448" s="294">
        <v>0</v>
      </c>
      <c r="AN448" s="294">
        <v>0</v>
      </c>
      <c r="AO448" s="294">
        <v>0</v>
      </c>
      <c r="AP448" s="294">
        <v>0</v>
      </c>
      <c r="AQ448" s="294">
        <v>0</v>
      </c>
      <c r="AR448" s="294">
        <v>0</v>
      </c>
      <c r="AS448" s="294">
        <v>0</v>
      </c>
      <c r="AT448" s="294">
        <v>0</v>
      </c>
      <c r="AU448" s="294">
        <v>0</v>
      </c>
      <c r="AV448" s="294">
        <v>0</v>
      </c>
      <c r="AW448" s="294">
        <v>0</v>
      </c>
      <c r="AX448" s="294">
        <v>0</v>
      </c>
      <c r="AY448" s="294">
        <v>0</v>
      </c>
      <c r="AZ448" s="294">
        <v>0</v>
      </c>
      <c r="BA448" s="294">
        <v>0</v>
      </c>
      <c r="BB448" s="294">
        <v>0</v>
      </c>
      <c r="BC448" s="294">
        <v>0</v>
      </c>
      <c r="BD448" s="294">
        <v>0</v>
      </c>
      <c r="BE448" s="294">
        <v>0</v>
      </c>
      <c r="BF448" s="294">
        <v>0</v>
      </c>
      <c r="BG448" s="294">
        <v>0</v>
      </c>
      <c r="BH448" s="294">
        <v>0</v>
      </c>
      <c r="BI448" s="294">
        <v>0</v>
      </c>
      <c r="BJ448" s="294">
        <v>0</v>
      </c>
      <c r="BK448" s="294">
        <v>0</v>
      </c>
      <c r="BL448" s="294">
        <v>0</v>
      </c>
      <c r="BM448" s="294">
        <v>0</v>
      </c>
      <c r="BN448" s="294">
        <v>0</v>
      </c>
      <c r="BO448" s="294">
        <v>0</v>
      </c>
      <c r="BP448" s="294">
        <v>0</v>
      </c>
      <c r="BQ448" s="294">
        <v>0</v>
      </c>
      <c r="BR448" s="294">
        <v>0</v>
      </c>
      <c r="BS448" s="294">
        <v>0</v>
      </c>
      <c r="BT448" s="294">
        <v>0</v>
      </c>
      <c r="BU448" s="294">
        <v>0</v>
      </c>
      <c r="BV448" s="294">
        <v>0</v>
      </c>
      <c r="BW448" s="294">
        <v>0</v>
      </c>
      <c r="BX448" s="294">
        <v>0</v>
      </c>
      <c r="BY448" s="294">
        <v>0</v>
      </c>
      <c r="BZ448" s="294">
        <v>0</v>
      </c>
      <c r="CA448" s="294">
        <v>0</v>
      </c>
      <c r="CB448" s="294">
        <v>0</v>
      </c>
      <c r="CC448" s="294">
        <v>0</v>
      </c>
      <c r="CD448" s="294">
        <v>0</v>
      </c>
      <c r="CE448" s="294">
        <v>0</v>
      </c>
      <c r="CF448" s="294">
        <v>0</v>
      </c>
      <c r="CG448" s="294">
        <v>0</v>
      </c>
      <c r="CH448" s="294">
        <v>0</v>
      </c>
      <c r="CI448" s="294">
        <v>0</v>
      </c>
      <c r="CJ448" s="294">
        <v>0</v>
      </c>
      <c r="CK448" s="294">
        <v>0</v>
      </c>
      <c r="CL448" s="294">
        <v>0</v>
      </c>
      <c r="CM448" s="294">
        <v>0</v>
      </c>
      <c r="CN448" s="294">
        <v>0</v>
      </c>
      <c r="CO448" s="294">
        <v>0</v>
      </c>
    </row>
    <row r="449" spans="1:93" x14ac:dyDescent="0.2">
      <c r="A449" s="215"/>
      <c r="B449" s="215" t="s">
        <v>98</v>
      </c>
      <c r="C449" s="215"/>
      <c r="D449" s="215"/>
      <c r="E449" s="215"/>
      <c r="F449" s="299"/>
      <c r="G449" s="215"/>
      <c r="H449" s="215"/>
      <c r="I449" s="215"/>
      <c r="J449" s="215"/>
      <c r="K449" s="215"/>
      <c r="L449" s="299"/>
      <c r="M449" s="215"/>
      <c r="N449" s="215" t="s">
        <v>99</v>
      </c>
      <c r="O449" s="215"/>
      <c r="P449" s="215"/>
      <c r="Q449" s="215"/>
      <c r="U449" s="215"/>
      <c r="V449" s="215"/>
      <c r="W449" s="215"/>
      <c r="Y449" s="215"/>
      <c r="Z449" s="315"/>
      <c r="AB449" s="193">
        <f>SUM(AH449:AS449)</f>
        <v>-4.7293724492192268E-11</v>
      </c>
      <c r="AC449" s="193">
        <f>SUM(AT449:BE449)</f>
        <v>1.4551915228366852E-10</v>
      </c>
      <c r="AD449" s="193">
        <f>SUM(BF449:BQ449)</f>
        <v>-3.637978807091713E-11</v>
      </c>
      <c r="AE449" s="193">
        <f>SUM(BR449:CC449)</f>
        <v>3.2741809263825417E-11</v>
      </c>
      <c r="AF449" s="193">
        <f>SUM(CD449:CO449)</f>
        <v>-4.0017766878008842E-11</v>
      </c>
      <c r="AH449" s="193">
        <v>0</v>
      </c>
      <c r="AI449" s="193">
        <v>0</v>
      </c>
      <c r="AJ449" s="193">
        <v>-8.0035533756017685E-11</v>
      </c>
      <c r="AK449" s="193">
        <v>3.2741809263825417E-11</v>
      </c>
      <c r="AL449" s="193">
        <v>0</v>
      </c>
      <c r="AM449" s="193">
        <v>0</v>
      </c>
      <c r="AN449" s="193">
        <v>0</v>
      </c>
      <c r="AO449" s="193">
        <v>0</v>
      </c>
      <c r="AP449" s="193">
        <v>0</v>
      </c>
      <c r="AQ449" s="193">
        <v>0</v>
      </c>
      <c r="AR449" s="193">
        <v>0</v>
      </c>
      <c r="AS449" s="193">
        <v>0</v>
      </c>
      <c r="AT449" s="193">
        <v>0</v>
      </c>
      <c r="AU449" s="193">
        <v>0</v>
      </c>
      <c r="AV449" s="193">
        <v>0</v>
      </c>
      <c r="AW449" s="193">
        <v>7.2759576141834259E-11</v>
      </c>
      <c r="AX449" s="193">
        <v>0</v>
      </c>
      <c r="AY449" s="193">
        <v>0</v>
      </c>
      <c r="AZ449" s="193">
        <v>0</v>
      </c>
      <c r="BA449" s="193">
        <v>3.2741809263825417E-11</v>
      </c>
      <c r="BB449" s="193">
        <v>0</v>
      </c>
      <c r="BC449" s="193">
        <v>0</v>
      </c>
      <c r="BD449" s="193">
        <v>4.0017766878008842E-11</v>
      </c>
      <c r="BE449" s="193">
        <v>0</v>
      </c>
      <c r="BF449" s="193">
        <v>0</v>
      </c>
      <c r="BG449" s="193">
        <v>0</v>
      </c>
      <c r="BH449" s="193">
        <v>-8.0035533756017685E-11</v>
      </c>
      <c r="BI449" s="193">
        <v>0</v>
      </c>
      <c r="BJ449" s="193">
        <v>0</v>
      </c>
      <c r="BK449" s="193">
        <v>0</v>
      </c>
      <c r="BL449" s="193">
        <v>0</v>
      </c>
      <c r="BM449" s="193">
        <v>4.3655745685100555E-11</v>
      </c>
      <c r="BN449" s="193">
        <v>0</v>
      </c>
      <c r="BO449" s="193">
        <v>0</v>
      </c>
      <c r="BP449" s="193">
        <v>0</v>
      </c>
      <c r="BQ449" s="193">
        <v>0</v>
      </c>
      <c r="BR449" s="193">
        <v>0</v>
      </c>
      <c r="BS449" s="193">
        <v>0</v>
      </c>
      <c r="BT449" s="193">
        <v>0</v>
      </c>
      <c r="BU449" s="193">
        <v>3.2741809263825417E-11</v>
      </c>
      <c r="BV449" s="193">
        <v>0</v>
      </c>
      <c r="BW449" s="193">
        <v>0</v>
      </c>
      <c r="BX449" s="193">
        <v>0</v>
      </c>
      <c r="BY449" s="193">
        <v>0</v>
      </c>
      <c r="BZ449" s="193">
        <v>0</v>
      </c>
      <c r="CA449" s="193">
        <v>0</v>
      </c>
      <c r="CB449" s="193">
        <v>0</v>
      </c>
      <c r="CC449" s="193">
        <v>0</v>
      </c>
      <c r="CD449" s="193">
        <v>0</v>
      </c>
      <c r="CE449" s="193">
        <v>0</v>
      </c>
      <c r="CF449" s="193">
        <v>0</v>
      </c>
      <c r="CG449" s="193">
        <v>-4.0017766878008842E-11</v>
      </c>
      <c r="CH449" s="193">
        <v>0</v>
      </c>
      <c r="CI449" s="193">
        <v>0</v>
      </c>
      <c r="CJ449" s="193">
        <v>0</v>
      </c>
      <c r="CK449" s="193">
        <v>0</v>
      </c>
      <c r="CL449" s="193">
        <v>0</v>
      </c>
      <c r="CM449" s="193">
        <v>0</v>
      </c>
      <c r="CN449" s="193">
        <v>0</v>
      </c>
      <c r="CO449" s="193">
        <v>0</v>
      </c>
    </row>
    <row r="450" spans="1:93" x14ac:dyDescent="0.2">
      <c r="A450" s="216"/>
      <c r="B450" s="216"/>
      <c r="C450" s="216"/>
      <c r="D450" s="216"/>
      <c r="E450" s="216"/>
      <c r="F450" s="216"/>
      <c r="G450" s="216"/>
      <c r="H450" s="216"/>
      <c r="I450" s="216"/>
      <c r="J450" s="216"/>
      <c r="K450" s="216"/>
      <c r="L450" s="216"/>
      <c r="M450" s="216"/>
      <c r="N450" s="216"/>
      <c r="O450" s="216"/>
      <c r="P450" s="216"/>
      <c r="Q450" s="216"/>
      <c r="R450" s="216"/>
      <c r="S450" s="216"/>
      <c r="T450" s="216"/>
      <c r="U450" s="216"/>
      <c r="V450" s="216"/>
      <c r="W450" s="216"/>
      <c r="X450" s="216"/>
      <c r="Y450" s="216"/>
      <c r="Z450" s="217"/>
      <c r="AA450" s="216"/>
      <c r="AB450" s="216"/>
      <c r="AC450" s="216"/>
      <c r="AD450" s="216"/>
      <c r="AE450" s="216"/>
      <c r="AF450" s="216"/>
      <c r="AG450" s="216"/>
      <c r="AH450" s="216"/>
      <c r="AI450" s="216"/>
      <c r="AJ450" s="216"/>
      <c r="AK450" s="216"/>
      <c r="AL450" s="216"/>
      <c r="AM450" s="216"/>
      <c r="AN450" s="216"/>
      <c r="AO450" s="216"/>
      <c r="AP450" s="216"/>
      <c r="AQ450" s="216"/>
      <c r="AR450" s="216"/>
      <c r="AS450" s="216"/>
      <c r="AT450" s="216"/>
      <c r="AU450" s="216"/>
      <c r="AV450" s="216"/>
      <c r="AW450" s="216"/>
      <c r="AX450" s="216"/>
      <c r="AY450" s="216"/>
      <c r="AZ450" s="216"/>
      <c r="BA450" s="216"/>
      <c r="BB450" s="216"/>
      <c r="BC450" s="216"/>
      <c r="BD450" s="216"/>
      <c r="BE450" s="216"/>
      <c r="BF450" s="216"/>
      <c r="BG450" s="216"/>
      <c r="BH450" s="216"/>
      <c r="BI450" s="216"/>
      <c r="BJ450" s="216"/>
      <c r="BK450" s="216"/>
      <c r="BL450" s="216"/>
      <c r="BM450" s="216"/>
      <c r="BN450" s="216"/>
      <c r="BO450" s="216"/>
      <c r="BP450" s="216"/>
      <c r="BQ450" s="216"/>
      <c r="BR450" s="216"/>
      <c r="BS450" s="216"/>
      <c r="BT450" s="216"/>
      <c r="BU450" s="216"/>
      <c r="BV450" s="216"/>
      <c r="BW450" s="216"/>
      <c r="BX450" s="216"/>
      <c r="BY450" s="216"/>
      <c r="BZ450" s="216"/>
      <c r="CA450" s="216"/>
      <c r="CB450" s="216"/>
      <c r="CC450" s="216"/>
      <c r="CD450" s="216"/>
      <c r="CE450" s="216"/>
      <c r="CF450" s="216"/>
      <c r="CG450" s="216"/>
      <c r="CH450" s="216"/>
      <c r="CI450" s="216"/>
      <c r="CJ450" s="216"/>
      <c r="CK450" s="216"/>
      <c r="CL450" s="216"/>
      <c r="CM450" s="216"/>
      <c r="CN450" s="216"/>
      <c r="CO450" s="216"/>
    </row>
    <row r="451" spans="1:93" x14ac:dyDescent="0.2">
      <c r="A451" s="100" t="s">
        <v>505</v>
      </c>
      <c r="C451" s="102"/>
      <c r="D451" s="103"/>
      <c r="F451" s="268"/>
      <c r="G451" s="104"/>
      <c r="H451" s="102" t="s">
        <v>506</v>
      </c>
      <c r="I451" s="104"/>
      <c r="J451" s="104"/>
      <c r="K451" s="104"/>
      <c r="L451" s="268"/>
      <c r="N451" s="105"/>
      <c r="Q451" s="106" t="s">
        <v>630</v>
      </c>
      <c r="R451" s="105"/>
      <c r="S451" s="105"/>
      <c r="U451" s="114"/>
      <c r="V451" s="114"/>
      <c r="W451" s="114"/>
      <c r="Y451" s="114"/>
      <c r="Z451" s="218"/>
      <c r="AD451" s="114"/>
    </row>
    <row r="452" spans="1:93" ht="10.8" thickBot="1" x14ac:dyDescent="0.25">
      <c r="A452" s="108"/>
      <c r="B452" s="109"/>
      <c r="C452" s="109"/>
      <c r="D452" s="109"/>
      <c r="E452" s="110" t="s">
        <v>416</v>
      </c>
      <c r="F452" s="271" t="s">
        <v>416</v>
      </c>
      <c r="G452" s="109" t="s">
        <v>416</v>
      </c>
      <c r="H452" s="109" t="s">
        <v>416</v>
      </c>
      <c r="I452" s="109" t="s">
        <v>416</v>
      </c>
      <c r="J452" s="109"/>
      <c r="K452" s="109"/>
      <c r="L452" s="271" t="s">
        <v>416</v>
      </c>
      <c r="M452" s="111"/>
      <c r="N452" s="111"/>
      <c r="O452" s="109"/>
      <c r="P452" s="112"/>
      <c r="Q452" s="109"/>
      <c r="U452" s="114"/>
      <c r="V452" s="114"/>
      <c r="W452" s="114"/>
      <c r="Y452" s="114"/>
      <c r="Z452" s="218"/>
      <c r="AD452" s="114"/>
    </row>
    <row r="453" spans="1:93" x14ac:dyDescent="0.2">
      <c r="A453" s="113"/>
      <c r="F453" s="197"/>
      <c r="L453" s="197"/>
      <c r="M453" s="105"/>
      <c r="N453" s="105"/>
      <c r="P453" s="114"/>
      <c r="U453" s="114"/>
      <c r="V453" s="114"/>
      <c r="W453" s="114"/>
      <c r="Y453" s="114"/>
      <c r="Z453" s="218"/>
      <c r="AD453" s="114"/>
    </row>
    <row r="454" spans="1:93" x14ac:dyDescent="0.2">
      <c r="A454" s="100" t="s">
        <v>3</v>
      </c>
      <c r="D454" s="106" t="s">
        <v>4</v>
      </c>
      <c r="E454" s="101" t="s">
        <v>508</v>
      </c>
      <c r="F454" s="197"/>
      <c r="L454" s="197"/>
      <c r="O454" s="100" t="s">
        <v>6</v>
      </c>
      <c r="U454" s="114"/>
      <c r="V454" s="114"/>
      <c r="W454" s="114"/>
      <c r="Y454" s="114"/>
      <c r="Z454" s="218"/>
      <c r="AD454" s="114"/>
    </row>
    <row r="455" spans="1:93" x14ac:dyDescent="0.2">
      <c r="E455" s="101" t="s">
        <v>509</v>
      </c>
      <c r="F455" s="197"/>
      <c r="L455" s="197"/>
      <c r="U455" s="114"/>
      <c r="V455" s="114"/>
      <c r="W455" s="114"/>
      <c r="Y455" s="114"/>
      <c r="Z455" s="218"/>
      <c r="AD455" s="114"/>
    </row>
    <row r="456" spans="1:93" x14ac:dyDescent="0.2">
      <c r="A456" s="100" t="s">
        <v>9</v>
      </c>
      <c r="E456" s="101" t="s">
        <v>510</v>
      </c>
      <c r="F456" s="197"/>
      <c r="L456" s="197"/>
      <c r="O456" s="107" t="str">
        <f>O396</f>
        <v>__X__  Projected Test Year Ended 12/31/26</v>
      </c>
      <c r="U456" s="114"/>
      <c r="V456" s="114"/>
      <c r="W456" s="114"/>
      <c r="Y456" s="114"/>
      <c r="Z456" s="218"/>
      <c r="AD456" s="114"/>
    </row>
    <row r="457" spans="1:93" x14ac:dyDescent="0.2">
      <c r="E457" s="101" t="s">
        <v>512</v>
      </c>
      <c r="F457" s="197"/>
      <c r="L457" s="197"/>
      <c r="U457" s="114"/>
      <c r="V457" s="114"/>
      <c r="W457" s="114"/>
      <c r="Y457" s="114"/>
      <c r="Z457" s="218"/>
      <c r="AD457" s="114"/>
    </row>
    <row r="458" spans="1:93" x14ac:dyDescent="0.2">
      <c r="A458" s="100" t="s">
        <v>491</v>
      </c>
      <c r="C458" s="119" t="s">
        <v>605</v>
      </c>
      <c r="F458" s="197"/>
      <c r="L458" s="197"/>
      <c r="O458" s="100" t="s">
        <v>493</v>
      </c>
      <c r="U458" s="114"/>
      <c r="V458" s="114"/>
      <c r="W458" s="114"/>
      <c r="Y458" s="114"/>
      <c r="Z458" s="218"/>
      <c r="AD458" s="114"/>
    </row>
    <row r="459" spans="1:93" ht="10.8" thickBot="1" x14ac:dyDescent="0.25">
      <c r="A459" s="123"/>
      <c r="B459" s="109"/>
      <c r="C459" s="109"/>
      <c r="D459" s="109"/>
      <c r="E459" s="109"/>
      <c r="F459" s="274"/>
      <c r="G459" s="109"/>
      <c r="H459" s="109"/>
      <c r="I459" s="109"/>
      <c r="J459" s="109"/>
      <c r="K459" s="109"/>
      <c r="L459" s="274"/>
      <c r="M459" s="109"/>
      <c r="N459" s="123"/>
      <c r="O459" s="109"/>
      <c r="P459" s="109"/>
      <c r="Q459" s="109"/>
      <c r="U459" s="114"/>
      <c r="V459" s="114"/>
      <c r="W459" s="114"/>
      <c r="Y459" s="114"/>
      <c r="Z459" s="218"/>
      <c r="AD459" s="114"/>
    </row>
    <row r="460" spans="1:93" ht="15.6" x14ac:dyDescent="0.2">
      <c r="B460" s="124"/>
      <c r="C460" s="125"/>
      <c r="D460" s="125"/>
      <c r="E460" s="125"/>
      <c r="F460" s="276"/>
      <c r="G460" s="125"/>
      <c r="H460" s="125"/>
      <c r="I460" s="126" t="s">
        <v>622</v>
      </c>
      <c r="J460" s="125"/>
      <c r="K460" s="125"/>
      <c r="L460" s="276"/>
      <c r="M460" s="125"/>
      <c r="N460" s="125"/>
      <c r="U460" s="127" t="s">
        <v>530</v>
      </c>
      <c r="V460" s="128"/>
      <c r="W460" s="129"/>
      <c r="Y460" s="130" t="s">
        <v>531</v>
      </c>
      <c r="Z460" s="131"/>
    </row>
    <row r="461" spans="1:93" x14ac:dyDescent="0.2">
      <c r="A461" s="101" t="s">
        <v>30</v>
      </c>
      <c r="B461" s="101" t="s">
        <v>532</v>
      </c>
      <c r="C461" s="132"/>
      <c r="D461" s="133" t="s">
        <v>533</v>
      </c>
      <c r="E461" s="134"/>
      <c r="F461" s="278"/>
      <c r="G461" s="133"/>
      <c r="H461" s="133"/>
      <c r="I461" s="135"/>
      <c r="J461" s="136" t="s">
        <v>534</v>
      </c>
      <c r="K461" s="133"/>
      <c r="L461" s="278"/>
      <c r="M461" s="134"/>
      <c r="N461" s="134"/>
      <c r="O461" s="137"/>
      <c r="Q461" s="118" t="s">
        <v>332</v>
      </c>
      <c r="U461" s="138"/>
      <c r="V461" s="139"/>
      <c r="W461" s="140"/>
      <c r="Y461" s="138"/>
      <c r="Z461" s="141"/>
    </row>
    <row r="462" spans="1:93" x14ac:dyDescent="0.2">
      <c r="A462" s="101" t="s">
        <v>39</v>
      </c>
      <c r="B462" s="102" t="s">
        <v>535</v>
      </c>
      <c r="C462" s="104"/>
      <c r="D462" s="142" t="s">
        <v>536</v>
      </c>
      <c r="E462" s="143"/>
      <c r="F462" s="281" t="s">
        <v>537</v>
      </c>
      <c r="G462" s="142"/>
      <c r="H462" s="142" t="s">
        <v>538</v>
      </c>
      <c r="I462" s="144"/>
      <c r="J462" s="142" t="s">
        <v>536</v>
      </c>
      <c r="K462" s="143"/>
      <c r="L462" s="281" t="s">
        <v>537</v>
      </c>
      <c r="M462" s="142"/>
      <c r="N462" s="142" t="s">
        <v>538</v>
      </c>
      <c r="O462" s="132"/>
      <c r="Q462" s="145" t="s">
        <v>539</v>
      </c>
      <c r="R462" s="132"/>
      <c r="S462" s="132"/>
      <c r="U462" s="138" t="s">
        <v>128</v>
      </c>
      <c r="V462" s="146" t="s">
        <v>343</v>
      </c>
      <c r="W462" s="147" t="s">
        <v>344</v>
      </c>
      <c r="X462" s="118"/>
      <c r="Y462" s="148" t="s">
        <v>128</v>
      </c>
      <c r="Z462" s="149"/>
      <c r="AA462" s="118"/>
      <c r="AH462" s="116"/>
      <c r="AI462" s="116"/>
      <c r="AJ462" s="116"/>
      <c r="AK462" s="116"/>
      <c r="AL462" s="116"/>
      <c r="AM462" s="116"/>
      <c r="AN462" s="116"/>
      <c r="AO462" s="116"/>
      <c r="AP462" s="116"/>
      <c r="AQ462" s="116"/>
      <c r="AR462" s="116"/>
      <c r="AS462" s="116"/>
      <c r="AT462" s="116"/>
      <c r="AU462" s="116"/>
      <c r="AV462" s="116"/>
      <c r="AW462" s="116"/>
      <c r="AX462" s="116"/>
      <c r="AY462" s="116"/>
      <c r="AZ462" s="116"/>
      <c r="BA462" s="116"/>
      <c r="BB462" s="116"/>
      <c r="BC462" s="116"/>
      <c r="BD462" s="116"/>
      <c r="BE462" s="116"/>
      <c r="BF462" s="116"/>
      <c r="BG462" s="116"/>
      <c r="BH462" s="116"/>
      <c r="BI462" s="116"/>
      <c r="BJ462" s="116"/>
      <c r="BK462" s="116"/>
      <c r="BL462" s="116"/>
      <c r="BM462" s="116"/>
      <c r="BN462" s="116"/>
      <c r="BO462" s="116"/>
      <c r="BP462" s="116"/>
      <c r="BQ462" s="116"/>
      <c r="BR462" s="116"/>
      <c r="BS462" s="116"/>
      <c r="BT462" s="116"/>
      <c r="BU462" s="116"/>
      <c r="BV462" s="116"/>
      <c r="BW462" s="116"/>
      <c r="BX462" s="116"/>
      <c r="BY462" s="116"/>
      <c r="BZ462" s="116"/>
      <c r="CA462" s="116"/>
      <c r="CB462" s="116"/>
      <c r="CC462" s="116"/>
      <c r="CD462" s="116"/>
      <c r="CE462" s="116"/>
      <c r="CF462" s="116"/>
      <c r="CG462" s="116"/>
      <c r="CH462" s="116"/>
      <c r="CI462" s="116"/>
      <c r="CJ462" s="116"/>
      <c r="CK462" s="116"/>
      <c r="CL462" s="116"/>
      <c r="CM462" s="116"/>
      <c r="CN462" s="116"/>
      <c r="CO462" s="116"/>
    </row>
    <row r="463" spans="1:93" ht="10.8" thickBot="1" x14ac:dyDescent="0.25">
      <c r="A463" s="109"/>
      <c r="B463" s="110" t="s">
        <v>273</v>
      </c>
      <c r="C463" s="150"/>
      <c r="D463" s="220" t="str">
        <f>+$D$13</f>
        <v>Jan '26-Dec '26</v>
      </c>
      <c r="E463" s="221"/>
      <c r="F463" s="152">
        <f>+$L$13</f>
        <v>46023</v>
      </c>
      <c r="G463" s="153"/>
      <c r="H463" s="153"/>
      <c r="I463" s="153"/>
      <c r="J463" s="153"/>
      <c r="K463" s="151"/>
      <c r="L463" s="152">
        <f>+$L$13</f>
        <v>46023</v>
      </c>
      <c r="M463" s="154"/>
      <c r="N463" s="154"/>
      <c r="O463" s="155"/>
      <c r="P463" s="109"/>
      <c r="Q463" s="156"/>
      <c r="R463" s="132"/>
      <c r="S463" s="132"/>
      <c r="U463" s="157" t="s">
        <v>144</v>
      </c>
      <c r="V463" s="158" t="s">
        <v>540</v>
      </c>
      <c r="W463" s="159" t="s">
        <v>540</v>
      </c>
      <c r="X463" s="118"/>
      <c r="Y463" s="160" t="s">
        <v>144</v>
      </c>
      <c r="Z463" s="159" t="s">
        <v>541</v>
      </c>
      <c r="AA463" s="118"/>
      <c r="AH463" s="116"/>
      <c r="AI463" s="116"/>
      <c r="AJ463" s="116"/>
      <c r="AK463" s="116"/>
      <c r="AL463" s="116"/>
      <c r="AM463" s="116"/>
      <c r="AN463" s="116"/>
      <c r="AO463" s="116"/>
      <c r="AP463" s="116"/>
      <c r="AQ463" s="116"/>
      <c r="AR463" s="116"/>
      <c r="AS463" s="116"/>
      <c r="AT463" s="116"/>
      <c r="AU463" s="116"/>
      <c r="AV463" s="116"/>
      <c r="AW463" s="116"/>
      <c r="AX463" s="116"/>
      <c r="AY463" s="116"/>
      <c r="AZ463" s="116"/>
      <c r="BA463" s="116"/>
      <c r="BB463" s="116"/>
      <c r="BC463" s="116"/>
      <c r="BD463" s="116"/>
      <c r="BE463" s="116"/>
      <c r="BF463" s="116"/>
      <c r="BG463" s="116"/>
      <c r="BH463" s="116"/>
      <c r="BI463" s="116"/>
      <c r="BJ463" s="116"/>
      <c r="BK463" s="116"/>
      <c r="BL463" s="116"/>
      <c r="BM463" s="116"/>
      <c r="BN463" s="116"/>
      <c r="BO463" s="116"/>
      <c r="BP463" s="116"/>
      <c r="BQ463" s="116"/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</row>
    <row r="464" spans="1:93" x14ac:dyDescent="0.2">
      <c r="A464" s="118">
        <v>1</v>
      </c>
      <c r="B464" s="239" t="s">
        <v>551</v>
      </c>
      <c r="C464" s="223"/>
      <c r="D464" s="168"/>
      <c r="E464" s="225"/>
      <c r="F464" s="183"/>
      <c r="G464" s="233"/>
      <c r="H464" s="223"/>
      <c r="I464" s="229"/>
      <c r="J464" s="168"/>
      <c r="K464" s="225"/>
      <c r="L464" s="183"/>
      <c r="M464" s="233"/>
      <c r="N464" s="223"/>
      <c r="O464" s="227"/>
      <c r="P464" s="230"/>
      <c r="Q464" s="230"/>
      <c r="U464" s="184"/>
      <c r="V464" s="179"/>
      <c r="W464" s="180"/>
      <c r="Y464" s="184"/>
      <c r="Z464" s="181"/>
      <c r="AH464" s="116"/>
      <c r="AI464" s="116"/>
      <c r="AJ464" s="116"/>
      <c r="AK464" s="116"/>
      <c r="AL464" s="116"/>
      <c r="AM464" s="116"/>
      <c r="AN464" s="116"/>
      <c r="AO464" s="116"/>
      <c r="AP464" s="116"/>
      <c r="AQ464" s="116"/>
      <c r="AR464" s="116"/>
      <c r="AS464" s="116"/>
      <c r="AT464" s="116"/>
      <c r="AU464" s="116"/>
      <c r="AV464" s="116"/>
      <c r="AW464" s="116"/>
      <c r="AX464" s="116"/>
      <c r="AY464" s="116"/>
      <c r="AZ464" s="116"/>
      <c r="BA464" s="116"/>
      <c r="BB464" s="116"/>
      <c r="BC464" s="116"/>
      <c r="BD464" s="116"/>
      <c r="BE464" s="116"/>
      <c r="BF464" s="116"/>
      <c r="BG464" s="116"/>
      <c r="BH464" s="116"/>
      <c r="BI464" s="116"/>
      <c r="BJ464" s="116"/>
      <c r="BK464" s="116"/>
      <c r="BL464" s="116"/>
      <c r="BM464" s="116"/>
      <c r="BN464" s="116"/>
      <c r="BO464" s="116"/>
      <c r="BP464" s="116"/>
      <c r="BQ464" s="116"/>
      <c r="BR464" s="116"/>
      <c r="BS464" s="116"/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</row>
    <row r="465" spans="1:93" x14ac:dyDescent="0.2">
      <c r="A465" s="118">
        <f t="shared" ref="A465:A508" si="44">+A464+1</f>
        <v>2</v>
      </c>
      <c r="B465" s="228" t="s">
        <v>543</v>
      </c>
      <c r="C465" s="223"/>
      <c r="D465" s="168"/>
      <c r="E465" s="225"/>
      <c r="F465" s="183"/>
      <c r="G465" s="233"/>
      <c r="H465" s="223"/>
      <c r="I465" s="229"/>
      <c r="J465" s="168"/>
      <c r="K465" s="225"/>
      <c r="L465" s="857">
        <v>0</v>
      </c>
      <c r="M465" s="233"/>
      <c r="N465" s="223"/>
      <c r="O465" s="227"/>
      <c r="P465" s="227"/>
      <c r="Q465" s="227"/>
      <c r="U465" s="184"/>
      <c r="V465" s="179"/>
      <c r="W465" s="180"/>
      <c r="Y465" s="184"/>
      <c r="Z465" s="181"/>
      <c r="AH465" s="116"/>
      <c r="AI465" s="116"/>
      <c r="AJ465" s="116"/>
      <c r="AK465" s="116"/>
      <c r="AL465" s="116"/>
      <c r="AM465" s="116"/>
      <c r="AN465" s="116"/>
      <c r="AO465" s="116"/>
      <c r="AP465" s="116"/>
      <c r="AQ465" s="116"/>
      <c r="AR465" s="116"/>
      <c r="AS465" s="116"/>
      <c r="AT465" s="116"/>
      <c r="AU465" s="116"/>
      <c r="AV465" s="116"/>
      <c r="AW465" s="116"/>
      <c r="AX465" s="116"/>
      <c r="AY465" s="116"/>
      <c r="AZ465" s="116"/>
      <c r="BA465" s="116"/>
      <c r="BB465" s="116"/>
      <c r="BC465" s="116"/>
      <c r="BD465" s="116"/>
      <c r="BE465" s="116"/>
      <c r="BF465" s="116"/>
      <c r="BG465" s="116"/>
      <c r="BH465" s="116"/>
      <c r="BI465" s="116"/>
      <c r="BJ465" s="116"/>
      <c r="BK465" s="116"/>
      <c r="BL465" s="116"/>
      <c r="BM465" s="116"/>
      <c r="BN465" s="116"/>
      <c r="BO465" s="116"/>
      <c r="BP465" s="116"/>
      <c r="BQ465" s="116"/>
      <c r="BR465" s="116"/>
      <c r="BS465" s="116"/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</row>
    <row r="466" spans="1:93" x14ac:dyDescent="0.2">
      <c r="A466" s="118">
        <f t="shared" si="44"/>
        <v>3</v>
      </c>
      <c r="B466" s="234" t="s">
        <v>149</v>
      </c>
      <c r="C466" s="223"/>
      <c r="D466" s="172">
        <f>SUMIF($AH$6:$CP$6,1,$AH466:$CP466)</f>
        <v>19461.100774819202</v>
      </c>
      <c r="E466" s="225" t="s">
        <v>555</v>
      </c>
      <c r="F466" s="173">
        <f>'Exhibit MJC-3 - E-13c cal yr'!F468</f>
        <v>17.45</v>
      </c>
      <c r="G466" s="233" t="s">
        <v>375</v>
      </c>
      <c r="H466" s="174">
        <f>ROUND(D466*F466,2)</f>
        <v>339596.21</v>
      </c>
      <c r="I466" s="229"/>
      <c r="J466" s="168">
        <f>D466</f>
        <v>19461.100774819202</v>
      </c>
      <c r="K466" s="225" t="s">
        <v>555</v>
      </c>
      <c r="L466" s="173">
        <f>ROUND(F466*(1+'Exhibit MJC-2 - Old E-8a'!$V$27)+L465,2)</f>
        <v>18.16</v>
      </c>
      <c r="M466" s="233" t="s">
        <v>375</v>
      </c>
      <c r="N466" s="174">
        <f>ROUND(J466*L466,2)</f>
        <v>353413.59</v>
      </c>
      <c r="O466" s="227"/>
      <c r="P466" s="227"/>
      <c r="Q466" s="1022"/>
      <c r="U466" s="184" t="s">
        <v>623</v>
      </c>
      <c r="V466" s="179">
        <v>252</v>
      </c>
      <c r="W466" s="180">
        <v>226</v>
      </c>
      <c r="Y466" s="184"/>
      <c r="Z466" s="181"/>
      <c r="AB466" s="182">
        <f>SUM(AH466:AS466)</f>
        <v>19025.986688695313</v>
      </c>
      <c r="AC466" s="182">
        <f>SUM(AT466:BE466)</f>
        <v>19113.90827504675</v>
      </c>
      <c r="AD466" s="182">
        <f>SUM(BF466:BQ466)</f>
        <v>19203.587968939046</v>
      </c>
      <c r="AE466" s="182">
        <f>SUM(BR466:CC466)</f>
        <v>19461.100774819202</v>
      </c>
      <c r="AF466" s="182">
        <f>SUM(CD466:CO466)</f>
        <v>19494.318989978008</v>
      </c>
      <c r="AH466" s="168">
        <v>3396.9397269427259</v>
      </c>
      <c r="AI466" s="168">
        <v>2158.7772820232472</v>
      </c>
      <c r="AJ466" s="168">
        <v>1127.5864419775153</v>
      </c>
      <c r="AK466" s="168">
        <v>1375.3730389863711</v>
      </c>
      <c r="AL466" s="168">
        <v>1287.8641084981077</v>
      </c>
      <c r="AM466" s="168">
        <v>1681.1131662572584</v>
      </c>
      <c r="AN466" s="168">
        <v>1635.4256637415592</v>
      </c>
      <c r="AO466" s="168">
        <v>1372.1948848461225</v>
      </c>
      <c r="AP466" s="168">
        <v>1261.1537562173291</v>
      </c>
      <c r="AQ466" s="168">
        <v>1266.8659392271727</v>
      </c>
      <c r="AR466" s="168">
        <v>1553.3772708291172</v>
      </c>
      <c r="AS466" s="168">
        <v>909.31540914878519</v>
      </c>
      <c r="AT466" s="168">
        <v>3523.671498889541</v>
      </c>
      <c r="AU466" s="168">
        <v>2184.6742944304738</v>
      </c>
      <c r="AV466" s="168">
        <v>1118.3480218805084</v>
      </c>
      <c r="AW466" s="168">
        <v>1386.9156307802746</v>
      </c>
      <c r="AX466" s="168">
        <v>1282.6852025024027</v>
      </c>
      <c r="AY466" s="168">
        <v>1645.0730316457084</v>
      </c>
      <c r="AZ466" s="168">
        <v>1651.170498790344</v>
      </c>
      <c r="BA466" s="168">
        <v>1354.3669040441764</v>
      </c>
      <c r="BB466" s="168">
        <v>1255.2997277400887</v>
      </c>
      <c r="BC466" s="168">
        <v>1270.2015997884598</v>
      </c>
      <c r="BD466" s="168">
        <v>1540.9732262634977</v>
      </c>
      <c r="BE466" s="168">
        <v>900.52863829127421</v>
      </c>
      <c r="BF466" s="168">
        <v>3503.1151105183467</v>
      </c>
      <c r="BG466" s="168">
        <v>2210.2695762959625</v>
      </c>
      <c r="BH466" s="168">
        <v>1135.1460817687046</v>
      </c>
      <c r="BI466" s="168">
        <v>1381.5114739107471</v>
      </c>
      <c r="BJ466" s="168">
        <v>1291.0109552028071</v>
      </c>
      <c r="BK466" s="168">
        <v>1668.4651716179796</v>
      </c>
      <c r="BL466" s="168">
        <v>1661.8156388039192</v>
      </c>
      <c r="BM466" s="168">
        <v>1365.5610754823288</v>
      </c>
      <c r="BN466" s="168">
        <v>1260.7641164153461</v>
      </c>
      <c r="BO466" s="168">
        <v>1264.6700647724126</v>
      </c>
      <c r="BP466" s="168">
        <v>1542.8889897298325</v>
      </c>
      <c r="BQ466" s="168">
        <v>918.36971442066078</v>
      </c>
      <c r="BR466" s="168">
        <v>3545.7729188146645</v>
      </c>
      <c r="BS466" s="168">
        <v>2225.3238557726886</v>
      </c>
      <c r="BT466" s="168">
        <v>1161.3646130333557</v>
      </c>
      <c r="BU466" s="168">
        <v>1416.0064464300369</v>
      </c>
      <c r="BV466" s="168">
        <v>1287.2444407926359</v>
      </c>
      <c r="BW466" s="168">
        <v>1706.0956037855872</v>
      </c>
      <c r="BX466" s="168">
        <v>1696.2050459715522</v>
      </c>
      <c r="BY466" s="168">
        <v>1385.3293468488289</v>
      </c>
      <c r="BZ466" s="168">
        <v>1273.9366205688102</v>
      </c>
      <c r="CA466" s="168">
        <v>1284.0241024139</v>
      </c>
      <c r="CB466" s="168">
        <v>1562.7783372498745</v>
      </c>
      <c r="CC466" s="168">
        <v>917.01944313726995</v>
      </c>
      <c r="CD466" s="168">
        <v>3562.9860020357269</v>
      </c>
      <c r="CE466" s="168">
        <v>2210.0856122512014</v>
      </c>
      <c r="CF466" s="168">
        <v>1141.8749206898253</v>
      </c>
      <c r="CG466" s="168">
        <v>1432.0809394989019</v>
      </c>
      <c r="CH466" s="168">
        <v>1303.903783857595</v>
      </c>
      <c r="CI466" s="168">
        <v>1687.2858623473387</v>
      </c>
      <c r="CJ466" s="168">
        <v>1692.6706216995954</v>
      </c>
      <c r="CK466" s="168">
        <v>1385.8493648952256</v>
      </c>
      <c r="CL466" s="168">
        <v>1292.4834508062836</v>
      </c>
      <c r="CM466" s="168">
        <v>1287.4975409553915</v>
      </c>
      <c r="CN466" s="168">
        <v>1580.2735404958864</v>
      </c>
      <c r="CO466" s="168">
        <v>917.32735044503659</v>
      </c>
    </row>
    <row r="467" spans="1:93" x14ac:dyDescent="0.2">
      <c r="A467" s="118">
        <f t="shared" si="44"/>
        <v>4</v>
      </c>
      <c r="B467" s="234" t="s">
        <v>148</v>
      </c>
      <c r="C467" s="223"/>
      <c r="D467" s="172">
        <f>SUMIF($AH$6:$CP$6,1,$AH467:$CP467)</f>
        <v>138287.6718135977</v>
      </c>
      <c r="E467" s="225" t="s">
        <v>555</v>
      </c>
      <c r="F467" s="173">
        <f>'Exhibit MJC-3 - E-13c cal yr'!F469</f>
        <v>17.45</v>
      </c>
      <c r="G467" s="233" t="s">
        <v>375</v>
      </c>
      <c r="H467" s="174">
        <f>ROUND(D467*F467,2)</f>
        <v>2413119.87</v>
      </c>
      <c r="I467" s="229"/>
      <c r="J467" s="168">
        <f>D467</f>
        <v>138287.6718135977</v>
      </c>
      <c r="K467" s="225" t="s">
        <v>555</v>
      </c>
      <c r="L467" s="183">
        <f>L466</f>
        <v>18.16</v>
      </c>
      <c r="M467" s="233" t="s">
        <v>375</v>
      </c>
      <c r="N467" s="174">
        <f>ROUND(J467*L467,2)</f>
        <v>2511304.12</v>
      </c>
      <c r="O467" s="227"/>
      <c r="P467" s="227"/>
      <c r="Q467" s="227"/>
      <c r="U467" s="184" t="s">
        <v>623</v>
      </c>
      <c r="V467" s="179">
        <v>252</v>
      </c>
      <c r="W467" s="180">
        <v>226</v>
      </c>
      <c r="Y467" s="184"/>
      <c r="Z467" s="181"/>
      <c r="AB467" s="182">
        <f>SUM(AH467:AS467)</f>
        <v>135483.5903309088</v>
      </c>
      <c r="AC467" s="182">
        <f>SUM(AT467:BE467)</f>
        <v>135707.10686640406</v>
      </c>
      <c r="AD467" s="182">
        <f>SUM(BF467:BQ467)</f>
        <v>136500.41655268756</v>
      </c>
      <c r="AE467" s="182">
        <f>SUM(BR467:CC467)</f>
        <v>138287.6718135977</v>
      </c>
      <c r="AF467" s="182">
        <f>SUM(CD467:CO467)</f>
        <v>138470.46043210541</v>
      </c>
      <c r="AH467" s="168">
        <v>13237.042299701687</v>
      </c>
      <c r="AI467" s="168">
        <v>18814.370686628114</v>
      </c>
      <c r="AJ467" s="168">
        <v>9661.3650854604603</v>
      </c>
      <c r="AK467" s="168">
        <v>9854.3750262305293</v>
      </c>
      <c r="AL467" s="168">
        <v>8830.7145063449334</v>
      </c>
      <c r="AM467" s="168">
        <v>10848.050721995678</v>
      </c>
      <c r="AN467" s="168">
        <v>10554.493941638406</v>
      </c>
      <c r="AO467" s="168">
        <v>10124.063442266286</v>
      </c>
      <c r="AP467" s="168">
        <v>10477.43468494188</v>
      </c>
      <c r="AQ467" s="168">
        <v>11903.801074900097</v>
      </c>
      <c r="AR467" s="168">
        <v>12135.238411234885</v>
      </c>
      <c r="AS467" s="168">
        <v>9042.6404495658589</v>
      </c>
      <c r="AT467" s="168">
        <v>13730.884981887264</v>
      </c>
      <c r="AU467" s="168">
        <v>19040.070667428874</v>
      </c>
      <c r="AV467" s="168">
        <v>9582.2086269866377</v>
      </c>
      <c r="AW467" s="168">
        <v>9937.0762462541825</v>
      </c>
      <c r="AX467" s="168">
        <v>8795.2034302915745</v>
      </c>
      <c r="AY467" s="168">
        <v>10615.487432301106</v>
      </c>
      <c r="AZ467" s="168">
        <v>10656.105876573016</v>
      </c>
      <c r="BA467" s="168">
        <v>9992.5284754188851</v>
      </c>
      <c r="BB467" s="168">
        <v>10428.800487317916</v>
      </c>
      <c r="BC467" s="168">
        <v>11935.143807027833</v>
      </c>
      <c r="BD467" s="168">
        <v>12038.335977489971</v>
      </c>
      <c r="BE467" s="168">
        <v>8955.2608574267852</v>
      </c>
      <c r="BF467" s="168">
        <v>13650.781770093306</v>
      </c>
      <c r="BG467" s="168">
        <v>19263.14097896871</v>
      </c>
      <c r="BH467" s="168">
        <v>9726.137449882619</v>
      </c>
      <c r="BI467" s="168">
        <v>9898.3561412475065</v>
      </c>
      <c r="BJ467" s="168">
        <v>8852.2920195787156</v>
      </c>
      <c r="BK467" s="168">
        <v>10766.434510706407</v>
      </c>
      <c r="BL467" s="168">
        <v>10724.806073880745</v>
      </c>
      <c r="BM467" s="168">
        <v>10075.119150457123</v>
      </c>
      <c r="BN467" s="168">
        <v>10474.197628749638</v>
      </c>
      <c r="BO467" s="168">
        <v>11883.168068766188</v>
      </c>
      <c r="BP467" s="168">
        <v>12053.302236389265</v>
      </c>
      <c r="BQ467" s="168">
        <v>9132.6805239673522</v>
      </c>
      <c r="BR467" s="168">
        <v>13817.008803311568</v>
      </c>
      <c r="BS467" s="168">
        <v>19394.34339473147</v>
      </c>
      <c r="BT467" s="168">
        <v>9950.7825796237285</v>
      </c>
      <c r="BU467" s="168">
        <v>10145.508285494221</v>
      </c>
      <c r="BV467" s="168">
        <v>8826.465526534319</v>
      </c>
      <c r="BW467" s="168">
        <v>11009.259827311154</v>
      </c>
      <c r="BX467" s="168">
        <v>10946.743883500856</v>
      </c>
      <c r="BY467" s="168">
        <v>10220.96959463862</v>
      </c>
      <c r="BZ467" s="168">
        <v>10583.632383413498</v>
      </c>
      <c r="CA467" s="168">
        <v>12065.023628179941</v>
      </c>
      <c r="CB467" s="168">
        <v>12208.681086416334</v>
      </c>
      <c r="CC467" s="168">
        <v>9119.2528204420069</v>
      </c>
      <c r="CD467" s="168">
        <v>13884.083973618035</v>
      </c>
      <c r="CE467" s="168">
        <v>19261.537678915491</v>
      </c>
      <c r="CF467" s="168">
        <v>9783.7913618117054</v>
      </c>
      <c r="CG467" s="168">
        <v>10260.680008777292</v>
      </c>
      <c r="CH467" s="168">
        <v>8940.6964469390132</v>
      </c>
      <c r="CI467" s="168">
        <v>10887.882496334665</v>
      </c>
      <c r="CJ467" s="168">
        <v>10923.933883393483</v>
      </c>
      <c r="CK467" s="168">
        <v>10224.806291416155</v>
      </c>
      <c r="CL467" s="168">
        <v>10737.716055977486</v>
      </c>
      <c r="CM467" s="168">
        <v>12097.660957958522</v>
      </c>
      <c r="CN467" s="168">
        <v>12345.35648809132</v>
      </c>
      <c r="CO467" s="168">
        <v>9122.3147888722269</v>
      </c>
    </row>
    <row r="468" spans="1:93" x14ac:dyDescent="0.2">
      <c r="A468" s="118">
        <f t="shared" si="44"/>
        <v>5</v>
      </c>
      <c r="B468" s="234" t="s">
        <v>216</v>
      </c>
      <c r="C468" s="223"/>
      <c r="D468" s="172">
        <f>SUMIF($AH$6:$CP$6,1,$AH468:$CP468)</f>
        <v>0</v>
      </c>
      <c r="E468" s="225" t="s">
        <v>555</v>
      </c>
      <c r="F468" s="173">
        <f>'Exhibit MJC-3 - E-13c cal yr'!F470</f>
        <v>17.45</v>
      </c>
      <c r="G468" s="233" t="s">
        <v>375</v>
      </c>
      <c r="H468" s="174">
        <f>ROUND(D468*F468,2)</f>
        <v>0</v>
      </c>
      <c r="I468" s="229"/>
      <c r="J468" s="168">
        <f>D468</f>
        <v>0</v>
      </c>
      <c r="K468" s="225" t="s">
        <v>555</v>
      </c>
      <c r="L468" s="183">
        <f>L466</f>
        <v>18.16</v>
      </c>
      <c r="M468" s="233" t="s">
        <v>375</v>
      </c>
      <c r="N468" s="174">
        <f>ROUND(J468*L468,2)</f>
        <v>0</v>
      </c>
      <c r="O468" s="227"/>
      <c r="S468" s="247"/>
      <c r="T468" s="227"/>
      <c r="U468" s="184" t="s">
        <v>623</v>
      </c>
      <c r="V468" s="179">
        <v>252</v>
      </c>
      <c r="W468" s="180">
        <v>226</v>
      </c>
      <c r="Y468" s="184"/>
      <c r="Z468" s="181"/>
      <c r="AB468" s="182">
        <f>SUM(AH468:AS468)</f>
        <v>0</v>
      </c>
      <c r="AC468" s="182">
        <f>SUM(AT468:BE468)</f>
        <v>0</v>
      </c>
      <c r="AD468" s="182">
        <f>SUM(BF468:BQ468)</f>
        <v>0</v>
      </c>
      <c r="AE468" s="182">
        <f>SUM(BR468:CC468)</f>
        <v>0</v>
      </c>
      <c r="AF468" s="182">
        <f>SUM(CD468:CO468)</f>
        <v>0</v>
      </c>
      <c r="AH468" s="168"/>
      <c r="AI468" s="168"/>
      <c r="AJ468" s="168"/>
      <c r="AK468" s="168"/>
      <c r="AL468" s="168"/>
      <c r="AM468" s="168"/>
      <c r="AN468" s="168"/>
      <c r="AO468" s="168"/>
      <c r="AP468" s="168"/>
      <c r="AQ468" s="168"/>
      <c r="AR468" s="168"/>
      <c r="AS468" s="168"/>
      <c r="AT468" s="168"/>
      <c r="AU468" s="168"/>
      <c r="AV468" s="168"/>
      <c r="AW468" s="168"/>
      <c r="AX468" s="168"/>
      <c r="AY468" s="168"/>
      <c r="AZ468" s="168"/>
      <c r="BA468" s="168"/>
      <c r="BB468" s="168"/>
      <c r="BC468" s="168"/>
      <c r="BD468" s="168"/>
      <c r="BE468" s="168"/>
      <c r="BF468" s="168"/>
      <c r="BG468" s="168"/>
      <c r="BH468" s="168"/>
      <c r="BI468" s="168"/>
      <c r="BJ468" s="168"/>
      <c r="BK468" s="168"/>
      <c r="BL468" s="168"/>
      <c r="BM468" s="168"/>
      <c r="BN468" s="168"/>
      <c r="BO468" s="168"/>
      <c r="BP468" s="168"/>
      <c r="BQ468" s="168"/>
      <c r="BR468" s="168"/>
      <c r="BS468" s="168"/>
      <c r="BT468" s="168"/>
      <c r="BU468" s="168"/>
      <c r="BV468" s="168"/>
      <c r="BW468" s="168"/>
      <c r="BX468" s="168"/>
      <c r="BY468" s="168"/>
      <c r="BZ468" s="168"/>
      <c r="CA468" s="168"/>
      <c r="CB468" s="168"/>
      <c r="CC468" s="168"/>
      <c r="CD468" s="168"/>
      <c r="CE468" s="168"/>
      <c r="CF468" s="168"/>
      <c r="CG468" s="168"/>
      <c r="CH468" s="168"/>
      <c r="CI468" s="168"/>
      <c r="CJ468" s="168"/>
      <c r="CK468" s="168"/>
      <c r="CL468" s="168"/>
      <c r="CM468" s="168"/>
      <c r="CN468" s="168"/>
      <c r="CO468" s="168"/>
    </row>
    <row r="469" spans="1:93" x14ac:dyDescent="0.2">
      <c r="A469" s="118">
        <f t="shared" si="44"/>
        <v>6</v>
      </c>
      <c r="B469" s="226" t="s">
        <v>546</v>
      </c>
      <c r="C469" s="223"/>
      <c r="D469" s="168"/>
      <c r="E469" s="225"/>
      <c r="F469" s="183"/>
      <c r="G469" s="233"/>
      <c r="H469" s="174"/>
      <c r="I469" s="229"/>
      <c r="J469" s="168"/>
      <c r="K469" s="225"/>
      <c r="L469" s="183"/>
      <c r="M469" s="233"/>
      <c r="N469" s="174"/>
      <c r="O469" s="227"/>
      <c r="S469" s="227"/>
      <c r="T469" s="227"/>
      <c r="U469" s="184"/>
      <c r="V469" s="179"/>
      <c r="W469" s="180"/>
      <c r="Y469" s="184"/>
      <c r="Z469" s="181"/>
    </row>
    <row r="470" spans="1:93" x14ac:dyDescent="0.2">
      <c r="A470" s="118">
        <f t="shared" si="44"/>
        <v>7</v>
      </c>
      <c r="B470" s="234" t="s">
        <v>149</v>
      </c>
      <c r="C470" s="223"/>
      <c r="D470" s="168"/>
      <c r="E470" s="225"/>
      <c r="F470" s="183"/>
      <c r="G470" s="233"/>
      <c r="H470" s="174"/>
      <c r="I470" s="229"/>
      <c r="J470" s="168"/>
      <c r="K470" s="225"/>
      <c r="L470" s="857">
        <v>0</v>
      </c>
      <c r="M470" s="233"/>
      <c r="N470" s="174"/>
      <c r="O470" s="227"/>
      <c r="S470" s="227"/>
      <c r="T470" s="858" t="s">
        <v>558</v>
      </c>
      <c r="U470" s="184"/>
      <c r="V470" s="179"/>
      <c r="W470" s="180"/>
      <c r="Y470" s="184"/>
      <c r="Z470" s="181"/>
    </row>
    <row r="471" spans="1:93" x14ac:dyDescent="0.2">
      <c r="A471" s="118">
        <f t="shared" si="44"/>
        <v>8</v>
      </c>
      <c r="B471" s="243" t="s">
        <v>559</v>
      </c>
      <c r="C471" s="223"/>
      <c r="D471" s="172">
        <f>SUMIF($AH$6:$CP$6,1,$AH471:$CP471)+(SUM($AE$471:$AE$473)*'TOU Split'!E20)</f>
        <v>45090.427942644761</v>
      </c>
      <c r="E471" s="225" t="s">
        <v>555</v>
      </c>
      <c r="F471" s="173">
        <f>'Exhibit MJC-3 - E-13c cal yr'!F473</f>
        <v>27.03</v>
      </c>
      <c r="G471" s="233" t="s">
        <v>375</v>
      </c>
      <c r="H471" s="174">
        <f>ROUND(D471*F471,2)</f>
        <v>1218794.27</v>
      </c>
      <c r="I471" s="229"/>
      <c r="J471" s="172">
        <f>D471</f>
        <v>45090.427942644761</v>
      </c>
      <c r="K471" s="225" t="s">
        <v>555</v>
      </c>
      <c r="L471" s="173">
        <f>ROUND(F471*(1+'Exhibit MJC-2 - Old E-8a'!$V$27)+L470,2)</f>
        <v>28.13</v>
      </c>
      <c r="M471" s="233" t="s">
        <v>375</v>
      </c>
      <c r="N471" s="174">
        <f>ROUND(J471*L471,2)</f>
        <v>1268393.74</v>
      </c>
      <c r="O471" s="227"/>
      <c r="Q471" s="1022"/>
      <c r="S471" s="227"/>
      <c r="T471" s="859">
        <f>'MFR E-14C'!Z265</f>
        <v>1.4000000000000001</v>
      </c>
      <c r="U471" s="184" t="s">
        <v>624</v>
      </c>
      <c r="V471" s="179">
        <v>254</v>
      </c>
      <c r="W471" s="180">
        <v>228</v>
      </c>
      <c r="Y471" s="184"/>
      <c r="Z471" s="181"/>
      <c r="AB471" s="182">
        <f>SUM(AH471:AS471)</f>
        <v>44099.30529877029</v>
      </c>
      <c r="AC471" s="182">
        <f>SUM(AT471:BE471)</f>
        <v>44260.405791627054</v>
      </c>
      <c r="AD471" s="182">
        <f>SUM(BF471:BQ471)</f>
        <v>44553.551214092397</v>
      </c>
      <c r="AE471" s="182">
        <f>SUM(BR471:CC471)</f>
        <v>45090.427942644761</v>
      </c>
      <c r="AF471" s="182">
        <f>SUM(CD471:CO471)</f>
        <v>45104.327666104989</v>
      </c>
      <c r="AG471" s="241"/>
      <c r="AH471" s="168">
        <v>6503.4381613955811</v>
      </c>
      <c r="AI471" s="168">
        <v>6811.091774675634</v>
      </c>
      <c r="AJ471" s="168">
        <v>4146.2825336975793</v>
      </c>
      <c r="AK471" s="168">
        <v>2276.5172051284326</v>
      </c>
      <c r="AL471" s="168">
        <v>2713.476166308737</v>
      </c>
      <c r="AM471" s="168">
        <v>3089.8809244986264</v>
      </c>
      <c r="AN471" s="168">
        <v>2883.8617723005987</v>
      </c>
      <c r="AO471" s="168">
        <v>2235.6863223711744</v>
      </c>
      <c r="AP471" s="168">
        <v>3235.2844235316793</v>
      </c>
      <c r="AQ471" s="168">
        <v>3303.3378367941482</v>
      </c>
      <c r="AR471" s="168">
        <v>1827.815293777629</v>
      </c>
      <c r="AS471" s="168">
        <v>5072.6328842904677</v>
      </c>
      <c r="AT471" s="168">
        <v>6746.0660288855861</v>
      </c>
      <c r="AU471" s="168">
        <v>6892.7986416435015</v>
      </c>
      <c r="AV471" s="168">
        <v>4112.3116570878865</v>
      </c>
      <c r="AW471" s="168">
        <v>2295.6225009759955</v>
      </c>
      <c r="AX471" s="168">
        <v>2702.5644265574933</v>
      </c>
      <c r="AY471" s="168">
        <v>3023.6392658835093</v>
      </c>
      <c r="AZ471" s="168">
        <v>2911.6257538223799</v>
      </c>
      <c r="BA471" s="168">
        <v>2206.6395934592852</v>
      </c>
      <c r="BB471" s="168">
        <v>3220.2668675406217</v>
      </c>
      <c r="BC471" s="168">
        <v>3312.0355319500554</v>
      </c>
      <c r="BD471" s="168">
        <v>1813.2198038168181</v>
      </c>
      <c r="BE471" s="168">
        <v>5023.6157200039197</v>
      </c>
      <c r="BF471" s="168">
        <v>6706.7108411754953</v>
      </c>
      <c r="BG471" s="168">
        <v>6973.5535278637017</v>
      </c>
      <c r="BH471" s="168">
        <v>4174.080315987585</v>
      </c>
      <c r="BI471" s="168">
        <v>2286.6775415039392</v>
      </c>
      <c r="BJ471" s="168">
        <v>2720.1064415651736</v>
      </c>
      <c r="BK471" s="168">
        <v>3066.6339485344338</v>
      </c>
      <c r="BL471" s="168">
        <v>2930.3970823067957</v>
      </c>
      <c r="BM471" s="168">
        <v>2224.878005692809</v>
      </c>
      <c r="BN471" s="168">
        <v>3234.2848661217063</v>
      </c>
      <c r="BO471" s="168">
        <v>3297.6121203259295</v>
      </c>
      <c r="BP471" s="168">
        <v>1815.4740287425875</v>
      </c>
      <c r="BQ471" s="168">
        <v>5123.1424942722415</v>
      </c>
      <c r="BR471" s="168">
        <v>6788.3791781658192</v>
      </c>
      <c r="BS471" s="168">
        <v>7021.0508218047853</v>
      </c>
      <c r="BT471" s="168">
        <v>4270.4892778150943</v>
      </c>
      <c r="BU471" s="168">
        <v>2343.7736137727907</v>
      </c>
      <c r="BV471" s="168">
        <v>2712.1705522002812</v>
      </c>
      <c r="BW471" s="168">
        <v>3135.798569256664</v>
      </c>
      <c r="BX471" s="168">
        <v>2991.038356870095</v>
      </c>
      <c r="BY471" s="168">
        <v>2257.0860064652074</v>
      </c>
      <c r="BZ471" s="168">
        <v>3268.0767787227778</v>
      </c>
      <c r="CA471" s="168">
        <v>3348.0775427958579</v>
      </c>
      <c r="CB471" s="168">
        <v>1838.8772639148053</v>
      </c>
      <c r="CC471" s="168">
        <v>5115.6099808605813</v>
      </c>
      <c r="CD471" s="168">
        <v>6821.3336110653054</v>
      </c>
      <c r="CE471" s="168">
        <v>6972.9731085668409</v>
      </c>
      <c r="CF471" s="168">
        <v>4198.8231350319311</v>
      </c>
      <c r="CG471" s="168">
        <v>2370.3801117901994</v>
      </c>
      <c r="CH471" s="168">
        <v>2747.2710958483553</v>
      </c>
      <c r="CI471" s="168">
        <v>3101.2263212775529</v>
      </c>
      <c r="CJ471" s="168">
        <v>2984.8058565058359</v>
      </c>
      <c r="CK471" s="168">
        <v>2257.9332601946548</v>
      </c>
      <c r="CL471" s="168">
        <v>3315.6556490051448</v>
      </c>
      <c r="CM471" s="168">
        <v>3357.1344923929782</v>
      </c>
      <c r="CN471" s="168">
        <v>1859.4633769353331</v>
      </c>
      <c r="CO471" s="168">
        <v>5117.3276474908553</v>
      </c>
    </row>
    <row r="472" spans="1:93" x14ac:dyDescent="0.2">
      <c r="A472" s="118">
        <f t="shared" si="44"/>
        <v>9</v>
      </c>
      <c r="B472" s="243" t="s">
        <v>560</v>
      </c>
      <c r="C472" s="223"/>
      <c r="D472" s="172">
        <f>SUMIF($AH$6:$CP$6,1,$AH472:$CP472)+(SUM($AE$471:$AE$473)*'TOU Split'!E21)</f>
        <v>242327.11690325302</v>
      </c>
      <c r="E472" s="225" t="s">
        <v>555</v>
      </c>
      <c r="F472" s="173">
        <f>'Exhibit MJC-3 - E-13c cal yr'!F474</f>
        <v>20.02</v>
      </c>
      <c r="G472" s="233" t="s">
        <v>375</v>
      </c>
      <c r="H472" s="174">
        <f>ROUND(D472*F472,2)</f>
        <v>4851388.88</v>
      </c>
      <c r="I472" s="229"/>
      <c r="J472" s="172">
        <f t="shared" ref="J472:J473" si="45">D472</f>
        <v>242327.11690325302</v>
      </c>
      <c r="K472" s="225" t="s">
        <v>555</v>
      </c>
      <c r="L472" s="173">
        <f>ROUND(F472*(1+'Exhibit MJC-2 - Old E-8a'!$V$27)+L470,2)</f>
        <v>20.83</v>
      </c>
      <c r="M472" s="233" t="s">
        <v>375</v>
      </c>
      <c r="N472" s="174">
        <f>ROUND(J472*L472,2)</f>
        <v>5047673.8499999996</v>
      </c>
      <c r="O472" s="227"/>
      <c r="Q472" s="1022"/>
      <c r="S472" s="227"/>
      <c r="T472" s="859">
        <f>'MFR E-14C'!Z266</f>
        <v>1</v>
      </c>
      <c r="U472" s="184" t="s">
        <v>624</v>
      </c>
      <c r="V472" s="179">
        <v>254</v>
      </c>
      <c r="W472" s="180">
        <v>228</v>
      </c>
      <c r="Y472" s="184"/>
      <c r="Z472" s="181"/>
      <c r="AB472" s="182">
        <f>SUM(AH472:AS472)</f>
        <v>245713.19607383202</v>
      </c>
      <c r="AC472" s="182">
        <f>SUM(AT472:BE472)</f>
        <v>245860.20023268461</v>
      </c>
      <c r="AD472" s="182">
        <f>SUM(BF472:BQ472)</f>
        <v>247429.14256408371</v>
      </c>
      <c r="AE472" s="182">
        <f>SUM(BR472:CC472)</f>
        <v>250595.04865654255</v>
      </c>
      <c r="AF472" s="182">
        <f>SUM(CD472:CO472)</f>
        <v>250958.74169760416</v>
      </c>
      <c r="AH472" s="168">
        <v>22990.532893924024</v>
      </c>
      <c r="AI472" s="168">
        <v>21583.493580581446</v>
      </c>
      <c r="AJ472" s="168">
        <v>17544.47181208749</v>
      </c>
      <c r="AK472" s="168">
        <v>17129.145188037204</v>
      </c>
      <c r="AL472" s="168">
        <v>16712.651807639431</v>
      </c>
      <c r="AM472" s="168">
        <v>22720.303399895045</v>
      </c>
      <c r="AN472" s="168">
        <v>21582.350883099622</v>
      </c>
      <c r="AO472" s="168">
        <v>15494.429194230661</v>
      </c>
      <c r="AP472" s="168">
        <v>24701.960768110788</v>
      </c>
      <c r="AQ472" s="168">
        <v>24589.371608558471</v>
      </c>
      <c r="AR472" s="168">
        <v>12535.112859433335</v>
      </c>
      <c r="AS472" s="168">
        <v>28129.372078234501</v>
      </c>
      <c r="AT472" s="168">
        <v>23848.255198661773</v>
      </c>
      <c r="AU472" s="168">
        <v>21842.412370260266</v>
      </c>
      <c r="AV472" s="168">
        <v>17400.72833048274</v>
      </c>
      <c r="AW472" s="168">
        <v>17272.898718955428</v>
      </c>
      <c r="AX472" s="168">
        <v>16645.444986609491</v>
      </c>
      <c r="AY472" s="168">
        <v>22233.219716664782</v>
      </c>
      <c r="AZ472" s="168">
        <v>21790.131989971804</v>
      </c>
      <c r="BA472" s="168">
        <v>15293.120772764834</v>
      </c>
      <c r="BB472" s="168">
        <v>24587.299109239051</v>
      </c>
      <c r="BC472" s="168">
        <v>24654.1154733683</v>
      </c>
      <c r="BD472" s="168">
        <v>12435.017344027417</v>
      </c>
      <c r="BE472" s="168">
        <v>27857.556221678751</v>
      </c>
      <c r="BF472" s="168">
        <v>23709.129290927878</v>
      </c>
      <c r="BG472" s="168">
        <v>22098.314452627565</v>
      </c>
      <c r="BH472" s="168">
        <v>17662.094623331526</v>
      </c>
      <c r="BI472" s="168">
        <v>17205.594369507598</v>
      </c>
      <c r="BJ472" s="168">
        <v>16753.488533285108</v>
      </c>
      <c r="BK472" s="168">
        <v>22549.365308770317</v>
      </c>
      <c r="BL472" s="168">
        <v>21930.613549033977</v>
      </c>
      <c r="BM472" s="168">
        <v>15419.522130656487</v>
      </c>
      <c r="BN472" s="168">
        <v>24694.328972974923</v>
      </c>
      <c r="BO472" s="168">
        <v>24546.750545585721</v>
      </c>
      <c r="BP472" s="168">
        <v>12450.476763779106</v>
      </c>
      <c r="BQ472" s="168">
        <v>28409.464023603512</v>
      </c>
      <c r="BR472" s="168">
        <v>23997.837900339055</v>
      </c>
      <c r="BS472" s="168">
        <v>22248.827406025732</v>
      </c>
      <c r="BT472" s="168">
        <v>18070.036990854409</v>
      </c>
      <c r="BU472" s="168">
        <v>17635.201011336008</v>
      </c>
      <c r="BV472" s="168">
        <v>16704.610360929604</v>
      </c>
      <c r="BW472" s="168">
        <v>23057.941919243654</v>
      </c>
      <c r="BX472" s="168">
        <v>22384.442951744713</v>
      </c>
      <c r="BY472" s="168">
        <v>15642.739754015374</v>
      </c>
      <c r="BZ472" s="168">
        <v>24952.33611858467</v>
      </c>
      <c r="CA472" s="168">
        <v>24922.404834612451</v>
      </c>
      <c r="CB472" s="168">
        <v>12610.975581771436</v>
      </c>
      <c r="CC472" s="168">
        <v>28367.693827085448</v>
      </c>
      <c r="CD472" s="168">
        <v>24114.336274702571</v>
      </c>
      <c r="CE472" s="168">
        <v>22096.475176842967</v>
      </c>
      <c r="CF472" s="168">
        <v>17766.790742746231</v>
      </c>
      <c r="CG472" s="168">
        <v>17835.395662383991</v>
      </c>
      <c r="CH472" s="168">
        <v>16920.799163887521</v>
      </c>
      <c r="CI472" s="168">
        <v>22803.727604033673</v>
      </c>
      <c r="CJ472" s="168">
        <v>22337.799936107673</v>
      </c>
      <c r="CK472" s="168">
        <v>15648.611647934087</v>
      </c>
      <c r="CL472" s="168">
        <v>25315.609090369671</v>
      </c>
      <c r="CM472" s="168">
        <v>24989.822916046011</v>
      </c>
      <c r="CN472" s="168">
        <v>12752.154644518005</v>
      </c>
      <c r="CO472" s="168">
        <v>28377.218838031735</v>
      </c>
    </row>
    <row r="473" spans="1:93" x14ac:dyDescent="0.2">
      <c r="A473" s="118">
        <f t="shared" si="44"/>
        <v>10</v>
      </c>
      <c r="B473" s="243" t="s">
        <v>561</v>
      </c>
      <c r="C473" s="223"/>
      <c r="D473" s="172">
        <f>SUMIF($AH$6:$CP$6,1,$AH473:$CP473)+(SUM($AE$471:$AE$473)*'TOU Split'!E22)</f>
        <v>66560.973895116738</v>
      </c>
      <c r="E473" s="225" t="s">
        <v>555</v>
      </c>
      <c r="F473" s="173">
        <f>'Exhibit MJC-3 - E-13c cal yr'!F475</f>
        <v>15.5</v>
      </c>
      <c r="G473" s="233"/>
      <c r="H473" s="174">
        <f>ROUND(D473*F473,2)</f>
        <v>1031695.1</v>
      </c>
      <c r="I473" s="229"/>
      <c r="J473" s="172">
        <f t="shared" si="45"/>
        <v>66560.973895116738</v>
      </c>
      <c r="K473" s="225" t="s">
        <v>555</v>
      </c>
      <c r="L473" s="173">
        <f>ROUND(F473*(1+'Exhibit MJC-2 - Old E-8a'!$V$27)+L470,2)</f>
        <v>16.13</v>
      </c>
      <c r="M473" s="233" t="s">
        <v>375</v>
      </c>
      <c r="N473" s="174">
        <f>ROUND(J473*L473,2)</f>
        <v>1073628.51</v>
      </c>
      <c r="O473" s="227"/>
      <c r="Q473" s="1022"/>
      <c r="S473" s="227"/>
      <c r="T473" s="859">
        <f>'MFR E-14C'!Z267</f>
        <v>0.78977426681713392</v>
      </c>
      <c r="U473" s="184" t="s">
        <v>624</v>
      </c>
      <c r="V473" s="179">
        <v>254</v>
      </c>
      <c r="W473" s="180">
        <v>228</v>
      </c>
      <c r="Y473" s="184"/>
      <c r="Z473" s="181"/>
      <c r="AB473" s="182">
        <f>SUM(AH473:AS473)</f>
        <v>57479.626189738818</v>
      </c>
      <c r="AC473" s="182">
        <f>SUM(AT473:BE473)</f>
        <v>57205.488584719045</v>
      </c>
      <c r="AD473" s="182">
        <f>SUM(BF473:BQ473)</f>
        <v>57579.768222703984</v>
      </c>
      <c r="AE473" s="182">
        <f>SUM(BR473:CC473)</f>
        <v>58293.042141827224</v>
      </c>
      <c r="AF473" s="182">
        <f>SUM(CD473:CO473)</f>
        <v>58496.836704339563</v>
      </c>
      <c r="AH473" s="168">
        <v>0</v>
      </c>
      <c r="AI473" s="168">
        <v>0</v>
      </c>
      <c r="AJ473" s="168">
        <v>1656.384072778126</v>
      </c>
      <c r="AK473" s="168">
        <v>3564.0130206671506</v>
      </c>
      <c r="AL473" s="168">
        <v>7703.2434937516546</v>
      </c>
      <c r="AM473" s="168">
        <v>7038.2354141407259</v>
      </c>
      <c r="AN473" s="168">
        <v>6704.9800765416721</v>
      </c>
      <c r="AO473" s="168">
        <v>4763.4987782075868</v>
      </c>
      <c r="AP473" s="168">
        <v>7712.7254797163741</v>
      </c>
      <c r="AQ473" s="168">
        <v>7717.6843000652498</v>
      </c>
      <c r="AR473" s="168">
        <v>4062.4224678711043</v>
      </c>
      <c r="AS473" s="168">
        <v>6556.4390859991718</v>
      </c>
      <c r="AT473" s="168">
        <v>0</v>
      </c>
      <c r="AU473" s="168">
        <v>0</v>
      </c>
      <c r="AV473" s="168">
        <v>1642.8131647424818</v>
      </c>
      <c r="AW473" s="168">
        <v>3593.9234131785779</v>
      </c>
      <c r="AX473" s="168">
        <v>7672.2663326886814</v>
      </c>
      <c r="AY473" s="168">
        <v>6887.3479207555274</v>
      </c>
      <c r="AZ473" s="168">
        <v>6769.5313475967059</v>
      </c>
      <c r="BA473" s="168">
        <v>4701.60992720994</v>
      </c>
      <c r="BB473" s="168">
        <v>7676.9245201800677</v>
      </c>
      <c r="BC473" s="168">
        <v>7738.0049783209888</v>
      </c>
      <c r="BD473" s="168">
        <v>4029.9831691365798</v>
      </c>
      <c r="BE473" s="168">
        <v>6493.0838109094948</v>
      </c>
      <c r="BF473" s="168">
        <v>0</v>
      </c>
      <c r="BG473" s="168">
        <v>0</v>
      </c>
      <c r="BH473" s="168">
        <v>1667.4889127087174</v>
      </c>
      <c r="BI473" s="168">
        <v>3579.9195866509635</v>
      </c>
      <c r="BJ473" s="168">
        <v>7722.0660746775839</v>
      </c>
      <c r="BK473" s="168">
        <v>6985.2826649892659</v>
      </c>
      <c r="BL473" s="168">
        <v>6813.1746957998394</v>
      </c>
      <c r="BM473" s="168">
        <v>4740.4698752811382</v>
      </c>
      <c r="BN473" s="168">
        <v>7710.3425943514076</v>
      </c>
      <c r="BO473" s="168">
        <v>7704.3071420884926</v>
      </c>
      <c r="BP473" s="168">
        <v>4034.9933110350817</v>
      </c>
      <c r="BQ473" s="168">
        <v>6621.7233651214892</v>
      </c>
      <c r="BR473" s="168">
        <v>0</v>
      </c>
      <c r="BS473" s="168">
        <v>0</v>
      </c>
      <c r="BT473" s="168">
        <v>1706.0029955157452</v>
      </c>
      <c r="BU473" s="168">
        <v>3669.3066312718979</v>
      </c>
      <c r="BV473" s="168">
        <v>7699.5370070276549</v>
      </c>
      <c r="BW473" s="168">
        <v>7142.8281804533608</v>
      </c>
      <c r="BX473" s="168">
        <v>6954.1656897747853</v>
      </c>
      <c r="BY473" s="168">
        <v>4809.0943378421971</v>
      </c>
      <c r="BZ473" s="168">
        <v>7790.9005024694607</v>
      </c>
      <c r="CA473" s="168">
        <v>7822.2109769170593</v>
      </c>
      <c r="CB473" s="168">
        <v>4087.0083197223098</v>
      </c>
      <c r="CC473" s="168">
        <v>6611.9875008327581</v>
      </c>
      <c r="CD473" s="168">
        <v>0</v>
      </c>
      <c r="CE473" s="168">
        <v>0</v>
      </c>
      <c r="CF473" s="168">
        <v>1677.3733359354524</v>
      </c>
      <c r="CG473" s="168">
        <v>3710.960568766759</v>
      </c>
      <c r="CH473" s="168">
        <v>7799.1833712896241</v>
      </c>
      <c r="CI473" s="168">
        <v>7064.0783431558229</v>
      </c>
      <c r="CJ473" s="168">
        <v>6939.675123281354</v>
      </c>
      <c r="CK473" s="168">
        <v>4810.8995517779222</v>
      </c>
      <c r="CL473" s="168">
        <v>7904.3256970068696</v>
      </c>
      <c r="CM473" s="168">
        <v>7843.3709917764563</v>
      </c>
      <c r="CN473" s="168">
        <v>4132.7621157133071</v>
      </c>
      <c r="CO473" s="168">
        <v>6614.2076056359901</v>
      </c>
    </row>
    <row r="474" spans="1:93" x14ac:dyDescent="0.2">
      <c r="A474" s="118">
        <f t="shared" si="44"/>
        <v>11</v>
      </c>
      <c r="B474" s="234" t="s">
        <v>148</v>
      </c>
      <c r="C474" s="223"/>
      <c r="D474" s="168"/>
      <c r="E474" s="225"/>
      <c r="F474" s="183"/>
      <c r="G474" s="233"/>
      <c r="H474" s="174"/>
      <c r="I474" s="229"/>
      <c r="J474" s="168"/>
      <c r="K474" s="225"/>
      <c r="L474" s="183"/>
      <c r="M474" s="233"/>
      <c r="N474" s="174"/>
      <c r="O474" s="227"/>
      <c r="S474" s="227"/>
      <c r="T474" s="227"/>
      <c r="U474" s="184"/>
      <c r="V474" s="179"/>
      <c r="W474" s="180"/>
      <c r="Y474" s="184"/>
      <c r="Z474" s="181"/>
    </row>
    <row r="475" spans="1:93" x14ac:dyDescent="0.2">
      <c r="A475" s="118">
        <f t="shared" si="44"/>
        <v>12</v>
      </c>
      <c r="B475" s="243" t="s">
        <v>559</v>
      </c>
      <c r="C475" s="223"/>
      <c r="D475" s="172">
        <f>SUMIF($AH$6:$CP$6,1,$AH475:$CP475)+(SUM($AE$475:$AE$477)*'TOU Split'!E20)</f>
        <v>137455.52596349793</v>
      </c>
      <c r="E475" s="225" t="s">
        <v>555</v>
      </c>
      <c r="F475" s="173">
        <f>'Exhibit MJC-3 - E-13c cal yr'!F477</f>
        <v>27.03</v>
      </c>
      <c r="G475" s="233" t="s">
        <v>375</v>
      </c>
      <c r="H475" s="174">
        <f>ROUND(D475*F475,2)</f>
        <v>3715422.87</v>
      </c>
      <c r="I475" s="229"/>
      <c r="J475" s="172">
        <f t="shared" ref="J475:J477" si="46">D475</f>
        <v>137455.52596349793</v>
      </c>
      <c r="K475" s="225" t="s">
        <v>555</v>
      </c>
      <c r="L475" s="183">
        <f>L471</f>
        <v>28.13</v>
      </c>
      <c r="M475" s="233" t="s">
        <v>375</v>
      </c>
      <c r="N475" s="174">
        <f>ROUND(J475*L475,2)</f>
        <v>3866623.95</v>
      </c>
      <c r="O475" s="227"/>
      <c r="S475" s="106"/>
      <c r="T475" s="264"/>
      <c r="U475" s="184" t="s">
        <v>624</v>
      </c>
      <c r="V475" s="179">
        <v>254</v>
      </c>
      <c r="W475" s="180">
        <v>228</v>
      </c>
      <c r="Y475" s="184"/>
      <c r="Z475" s="181"/>
      <c r="AB475" s="182">
        <f>SUM(AH475:AS475)</f>
        <v>134401.31193501546</v>
      </c>
      <c r="AC475" s="182">
        <f>SUM(AT475:BE475)</f>
        <v>134763.76883288735</v>
      </c>
      <c r="AD475" s="182">
        <f>SUM(BF475:BQ475)</f>
        <v>135722.95669043562</v>
      </c>
      <c r="AE475" s="182">
        <f>SUM(BR475:CC475)</f>
        <v>137455.52596349793</v>
      </c>
      <c r="AF475" s="182">
        <f>SUM(CD475:CO475)</f>
        <v>137405.85268327195</v>
      </c>
      <c r="AG475" s="241"/>
      <c r="AH475" s="168">
        <v>12476.365699308813</v>
      </c>
      <c r="AI475" s="168">
        <v>27951.544106335306</v>
      </c>
      <c r="AJ475" s="168">
        <v>15766.32652366044</v>
      </c>
      <c r="AK475" s="168">
        <v>11573.222284100442</v>
      </c>
      <c r="AL475" s="168">
        <v>7866.6349688923256</v>
      </c>
      <c r="AM475" s="168">
        <v>8714.8346343811318</v>
      </c>
      <c r="AN475" s="168">
        <v>8180.9166910067506</v>
      </c>
      <c r="AO475" s="168">
        <v>6207.4712305253506</v>
      </c>
      <c r="AP475" s="168">
        <v>8692.6203049600335</v>
      </c>
      <c r="AQ475" s="168">
        <v>8413.796991847963</v>
      </c>
      <c r="AR475" s="168">
        <v>6915.8259866733961</v>
      </c>
      <c r="AS475" s="168">
        <v>11641.752513323509</v>
      </c>
      <c r="AT475" s="168">
        <v>12941.829340005468</v>
      </c>
      <c r="AU475" s="168">
        <v>28286.854974459908</v>
      </c>
      <c r="AV475" s="168">
        <v>15637.15155100228</v>
      </c>
      <c r="AW475" s="168">
        <v>11670.348646751791</v>
      </c>
      <c r="AX475" s="168">
        <v>7835.0007593995797</v>
      </c>
      <c r="AY475" s="168">
        <v>8528.0037775151704</v>
      </c>
      <c r="AZ475" s="168">
        <v>8259.6773382825559</v>
      </c>
      <c r="BA475" s="168">
        <v>6126.8218423454427</v>
      </c>
      <c r="BB475" s="168">
        <v>8652.2708657610401</v>
      </c>
      <c r="BC475" s="168">
        <v>8435.9505362186464</v>
      </c>
      <c r="BD475" s="168">
        <v>6860.601660067292</v>
      </c>
      <c r="BE475" s="168">
        <v>11529.257541078199</v>
      </c>
      <c r="BF475" s="168">
        <v>12866.32931957771</v>
      </c>
      <c r="BG475" s="168">
        <v>28618.259078039689</v>
      </c>
      <c r="BH475" s="168">
        <v>15872.028175358309</v>
      </c>
      <c r="BI475" s="168">
        <v>11624.874795704603</v>
      </c>
      <c r="BJ475" s="168">
        <v>7885.8567906401167</v>
      </c>
      <c r="BK475" s="168">
        <v>8649.2678516384476</v>
      </c>
      <c r="BL475" s="168">
        <v>8312.927697223311</v>
      </c>
      <c r="BM475" s="168">
        <v>6177.461513079742</v>
      </c>
      <c r="BN475" s="168">
        <v>8689.9346761557445</v>
      </c>
      <c r="BO475" s="168">
        <v>8399.2132531035077</v>
      </c>
      <c r="BP475" s="168">
        <v>6869.1308738092457</v>
      </c>
      <c r="BQ475" s="168">
        <v>11757.672666105183</v>
      </c>
      <c r="BR475" s="168">
        <v>13023.003991198946</v>
      </c>
      <c r="BS475" s="168">
        <v>28813.179767768474</v>
      </c>
      <c r="BT475" s="168">
        <v>16238.62528002404</v>
      </c>
      <c r="BU475" s="168">
        <v>11915.136399890109</v>
      </c>
      <c r="BV475" s="168">
        <v>7862.8498648516179</v>
      </c>
      <c r="BW475" s="168">
        <v>8844.3427580417501</v>
      </c>
      <c r="BX475" s="168">
        <v>8484.9543942043711</v>
      </c>
      <c r="BY475" s="168">
        <v>6266.8882972340425</v>
      </c>
      <c r="BZ475" s="168">
        <v>8780.7273939406205</v>
      </c>
      <c r="CA475" s="168">
        <v>8527.7516711364333</v>
      </c>
      <c r="CB475" s="168">
        <v>6957.6806865431927</v>
      </c>
      <c r="CC475" s="168">
        <v>11740.385458664368</v>
      </c>
      <c r="CD475" s="168">
        <v>13086.2246363506</v>
      </c>
      <c r="CE475" s="168">
        <v>28615.877137506061</v>
      </c>
      <c r="CF475" s="168">
        <v>15966.113265073871</v>
      </c>
      <c r="CG475" s="168">
        <v>12050.396926392288</v>
      </c>
      <c r="CH475" s="168">
        <v>7964.6098019822612</v>
      </c>
      <c r="CI475" s="168">
        <v>8746.8336852202283</v>
      </c>
      <c r="CJ475" s="168">
        <v>8467.2740855479678</v>
      </c>
      <c r="CK475" s="168">
        <v>6269.2407306223377</v>
      </c>
      <c r="CL475" s="168">
        <v>8908.5631572804268</v>
      </c>
      <c r="CM475" s="168">
        <v>8550.8202578328273</v>
      </c>
      <c r="CN475" s="168">
        <v>7035.5714755505023</v>
      </c>
      <c r="CO475" s="168">
        <v>11744.327523912569</v>
      </c>
    </row>
    <row r="476" spans="1:93" x14ac:dyDescent="0.2">
      <c r="A476" s="118">
        <f t="shared" si="44"/>
        <v>13</v>
      </c>
      <c r="B476" s="243" t="s">
        <v>560</v>
      </c>
      <c r="C476" s="223"/>
      <c r="D476" s="172">
        <f>SUMIF($AH$6:$CP$6,1,$AH476:$CP476)+(SUM($AE$475:$AE$477)*'TOU Split'!E21)</f>
        <v>717950.53059065668</v>
      </c>
      <c r="E476" s="225" t="s">
        <v>555</v>
      </c>
      <c r="F476" s="173">
        <f>'Exhibit MJC-3 - E-13c cal yr'!F478</f>
        <v>20.02</v>
      </c>
      <c r="G476" s="233" t="s">
        <v>375</v>
      </c>
      <c r="H476" s="174">
        <f>ROUND(D476*F476,2)</f>
        <v>14373369.619999999</v>
      </c>
      <c r="I476" s="229"/>
      <c r="J476" s="172">
        <f t="shared" si="46"/>
        <v>717950.53059065668</v>
      </c>
      <c r="K476" s="225" t="s">
        <v>555</v>
      </c>
      <c r="L476" s="183">
        <f>L472</f>
        <v>20.83</v>
      </c>
      <c r="M476" s="233" t="s">
        <v>375</v>
      </c>
      <c r="N476" s="174">
        <f>ROUND(J476*L476,2)</f>
        <v>14954909.550000001</v>
      </c>
      <c r="O476" s="227"/>
      <c r="P476" s="227"/>
      <c r="Q476" s="227"/>
      <c r="S476" s="263"/>
      <c r="T476" s="197"/>
      <c r="U476" s="184" t="s">
        <v>624</v>
      </c>
      <c r="V476" s="179">
        <v>254</v>
      </c>
      <c r="W476" s="180">
        <v>228</v>
      </c>
      <c r="Y476" s="184"/>
      <c r="Z476" s="181"/>
      <c r="AB476" s="182">
        <f>SUM(AH476:AS476)</f>
        <v>728750.47096450988</v>
      </c>
      <c r="AC476" s="182">
        <f>SUM(AT476:BE476)</f>
        <v>728553.42548215587</v>
      </c>
      <c r="AD476" s="182">
        <f>SUM(BF476:BQ476)</f>
        <v>733288.67803624459</v>
      </c>
      <c r="AE476" s="182">
        <f>SUM(BR476:CC476)</f>
        <v>743058.24206558976</v>
      </c>
      <c r="AF476" s="182">
        <f>SUM(CD476:CO476)</f>
        <v>743986.79835766589</v>
      </c>
      <c r="AH476" s="168">
        <v>38443.216244278163</v>
      </c>
      <c r="AI476" s="168">
        <v>95524.032000853069</v>
      </c>
      <c r="AJ476" s="168">
        <v>56421.694421414053</v>
      </c>
      <c r="AK476" s="168">
        <v>67611.811732374219</v>
      </c>
      <c r="AL476" s="168">
        <v>47443.105104461356</v>
      </c>
      <c r="AM476" s="168">
        <v>60646.682954601987</v>
      </c>
      <c r="AN476" s="168">
        <v>57857.375027569957</v>
      </c>
      <c r="AO476" s="168">
        <v>64020.043626095248</v>
      </c>
      <c r="AP476" s="168">
        <v>66329.745836250149</v>
      </c>
      <c r="AQ476" s="168">
        <v>64204.661576637802</v>
      </c>
      <c r="AR476" s="168">
        <v>52165.465790489507</v>
      </c>
      <c r="AS476" s="168">
        <v>58082.636649484542</v>
      </c>
      <c r="AT476" s="168">
        <v>39877.441548698502</v>
      </c>
      <c r="AU476" s="168">
        <v>96669.952454303406</v>
      </c>
      <c r="AV476" s="168">
        <v>55959.426256202867</v>
      </c>
      <c r="AW476" s="168">
        <v>68179.232731006123</v>
      </c>
      <c r="AX476" s="168">
        <v>47252.32148073968</v>
      </c>
      <c r="AY476" s="168">
        <v>59346.523833075371</v>
      </c>
      <c r="AZ476" s="168">
        <v>58414.38892698539</v>
      </c>
      <c r="BA476" s="168">
        <v>63188.275397463673</v>
      </c>
      <c r="BB476" s="168">
        <v>66021.856160547031</v>
      </c>
      <c r="BC476" s="168">
        <v>64373.712579463412</v>
      </c>
      <c r="BD476" s="168">
        <v>51748.913562899514</v>
      </c>
      <c r="BE476" s="168">
        <v>57521.38055077086</v>
      </c>
      <c r="BF476" s="168">
        <v>39644.804602835931</v>
      </c>
      <c r="BG476" s="168">
        <v>97802.521591633951</v>
      </c>
      <c r="BH476" s="168">
        <v>56799.960486307871</v>
      </c>
      <c r="BI476" s="168">
        <v>67913.57037870062</v>
      </c>
      <c r="BJ476" s="168">
        <v>47559.030517688989</v>
      </c>
      <c r="BK476" s="168">
        <v>60190.402594483465</v>
      </c>
      <c r="BL476" s="168">
        <v>58790.988042213496</v>
      </c>
      <c r="BM476" s="168">
        <v>63710.541842079409</v>
      </c>
      <c r="BN476" s="168">
        <v>66309.252927351627</v>
      </c>
      <c r="BO476" s="168">
        <v>64093.374839922282</v>
      </c>
      <c r="BP476" s="168">
        <v>51813.248670308669</v>
      </c>
      <c r="BQ476" s="168">
        <v>58660.981542718211</v>
      </c>
      <c r="BR476" s="168">
        <v>40127.563639104803</v>
      </c>
      <c r="BS476" s="168">
        <v>98468.660468700851</v>
      </c>
      <c r="BT476" s="168">
        <v>58111.872286699967</v>
      </c>
      <c r="BU476" s="168">
        <v>69609.304933310239</v>
      </c>
      <c r="BV476" s="168">
        <v>47420.277416441677</v>
      </c>
      <c r="BW476" s="168">
        <v>61547.932197439601</v>
      </c>
      <c r="BX476" s="168">
        <v>60007.601472946575</v>
      </c>
      <c r="BY476" s="168">
        <v>64632.834738862628</v>
      </c>
      <c r="BZ476" s="168">
        <v>67002.054140699984</v>
      </c>
      <c r="CA476" s="168">
        <v>65074.235875361621</v>
      </c>
      <c r="CB476" s="168">
        <v>52481.17210213418</v>
      </c>
      <c r="CC476" s="168">
        <v>58574.732793887662</v>
      </c>
      <c r="CD476" s="168">
        <v>40322.364352008117</v>
      </c>
      <c r="CE476" s="168">
        <v>97794.381341388973</v>
      </c>
      <c r="CF476" s="168">
        <v>57136.65528795214</v>
      </c>
      <c r="CG476" s="168">
        <v>70399.509167549404</v>
      </c>
      <c r="CH476" s="168">
        <v>48033.984218880527</v>
      </c>
      <c r="CI476" s="168">
        <v>60869.364895511208</v>
      </c>
      <c r="CJ476" s="168">
        <v>59882.562154350271</v>
      </c>
      <c r="CK476" s="168">
        <v>64657.096291200651</v>
      </c>
      <c r="CL476" s="168">
        <v>67977.515324282824</v>
      </c>
      <c r="CM476" s="168">
        <v>65250.269454889189</v>
      </c>
      <c r="CN476" s="168">
        <v>53068.69545757788</v>
      </c>
      <c r="CO476" s="168">
        <v>58594.400412074676</v>
      </c>
    </row>
    <row r="477" spans="1:93" x14ac:dyDescent="0.2">
      <c r="A477" s="118">
        <f t="shared" si="44"/>
        <v>14</v>
      </c>
      <c r="B477" s="243" t="s">
        <v>561</v>
      </c>
      <c r="C477" s="223"/>
      <c r="D477" s="172">
        <f>SUMIF($AH$6:$CP$6,1,$AH477:$CP477)+(SUM($AE$475:$AE$477)*'TOU Split'!E22)</f>
        <v>219541.19531902435</v>
      </c>
      <c r="E477" s="225" t="s">
        <v>555</v>
      </c>
      <c r="F477" s="173">
        <f>'Exhibit MJC-3 - E-13c cal yr'!F479</f>
        <v>15.5</v>
      </c>
      <c r="G477" s="233" t="s">
        <v>375</v>
      </c>
      <c r="H477" s="174">
        <f>ROUND(D477*F477,2)</f>
        <v>3402888.53</v>
      </c>
      <c r="I477" s="229"/>
      <c r="J477" s="172">
        <f t="shared" si="46"/>
        <v>219541.19531902435</v>
      </c>
      <c r="K477" s="225" t="s">
        <v>555</v>
      </c>
      <c r="L477" s="183">
        <f>L473</f>
        <v>16.13</v>
      </c>
      <c r="M477" s="233" t="s">
        <v>375</v>
      </c>
      <c r="N477" s="174">
        <f>ROUND(J477*L477,2)</f>
        <v>3541199.48</v>
      </c>
      <c r="O477" s="227"/>
      <c r="P477" s="227"/>
      <c r="Q477" s="227"/>
      <c r="S477" s="263"/>
      <c r="T477" s="197"/>
      <c r="U477" s="184" t="s">
        <v>624</v>
      </c>
      <c r="V477" s="179">
        <v>254</v>
      </c>
      <c r="W477" s="180">
        <v>228</v>
      </c>
      <c r="Y477" s="184"/>
      <c r="Z477" s="181"/>
      <c r="AB477" s="182">
        <f>SUM(AH477:AS477)</f>
        <v>191804.64516362571</v>
      </c>
      <c r="AC477" s="182">
        <f>SUM(AT477:BE477)</f>
        <v>190836.58433308578</v>
      </c>
      <c r="AD477" s="182">
        <f>SUM(BF477:BQ477)</f>
        <v>191930.66451460301</v>
      </c>
      <c r="AE477" s="182">
        <f>SUM(BR477:CC477)</f>
        <v>194433.48384409133</v>
      </c>
      <c r="AF477" s="182">
        <f>SUM(CD477:CO477)</f>
        <v>195233.51035532134</v>
      </c>
      <c r="AH477" s="168">
        <v>0</v>
      </c>
      <c r="AI477" s="168">
        <v>0</v>
      </c>
      <c r="AJ477" s="168">
        <v>2961.967947052261</v>
      </c>
      <c r="AK477" s="168">
        <v>13669.655032252655</v>
      </c>
      <c r="AL477" s="168">
        <v>23719.61823388873</v>
      </c>
      <c r="AM477" s="168">
        <v>21066.877832206388</v>
      </c>
      <c r="AN477" s="168">
        <v>20404.967352131687</v>
      </c>
      <c r="AO477" s="168">
        <v>28235.533797768861</v>
      </c>
      <c r="AP477" s="168">
        <v>24524.13066674304</v>
      </c>
      <c r="AQ477" s="168">
        <v>23781.55219042367</v>
      </c>
      <c r="AR477" s="168">
        <v>19824.095630203363</v>
      </c>
      <c r="AS477" s="168">
        <v>13616.24648095504</v>
      </c>
      <c r="AT477" s="168">
        <v>0</v>
      </c>
      <c r="AU477" s="168">
        <v>0</v>
      </c>
      <c r="AV477" s="168">
        <v>2937.7002694800221</v>
      </c>
      <c r="AW477" s="168">
        <v>13784.375361594761</v>
      </c>
      <c r="AX477" s="168">
        <v>23624.234200529358</v>
      </c>
      <c r="AY477" s="168">
        <v>20615.240709758426</v>
      </c>
      <c r="AZ477" s="168">
        <v>20601.413361423321</v>
      </c>
      <c r="BA477" s="168">
        <v>27868.689000401933</v>
      </c>
      <c r="BB477" s="168">
        <v>24410.294460336863</v>
      </c>
      <c r="BC477" s="168">
        <v>23844.169065083803</v>
      </c>
      <c r="BD477" s="168">
        <v>19665.796052703499</v>
      </c>
      <c r="BE477" s="168">
        <v>13484.671851773795</v>
      </c>
      <c r="BF477" s="168">
        <v>0</v>
      </c>
      <c r="BG477" s="168">
        <v>0</v>
      </c>
      <c r="BH477" s="168">
        <v>2981.8257689621214</v>
      </c>
      <c r="BI477" s="168">
        <v>13730.664144308532</v>
      </c>
      <c r="BJ477" s="168">
        <v>23777.576214069635</v>
      </c>
      <c r="BK477" s="168">
        <v>20908.379425771727</v>
      </c>
      <c r="BL477" s="168">
        <v>20734.231219948862</v>
      </c>
      <c r="BM477" s="168">
        <v>28099.030484305225</v>
      </c>
      <c r="BN477" s="168">
        <v>24516.553813112241</v>
      </c>
      <c r="BO477" s="168">
        <v>23740.331330873727</v>
      </c>
      <c r="BP477" s="168">
        <v>19690.244896442011</v>
      </c>
      <c r="BQ477" s="168">
        <v>13751.827216808924</v>
      </c>
      <c r="BR477" s="168">
        <v>0</v>
      </c>
      <c r="BS477" s="168">
        <v>0</v>
      </c>
      <c r="BT477" s="168">
        <v>3050.6971621729967</v>
      </c>
      <c r="BU477" s="168">
        <v>14073.505221834117</v>
      </c>
      <c r="BV477" s="168">
        <v>23708.205320594017</v>
      </c>
      <c r="BW477" s="168">
        <v>21379.945369790279</v>
      </c>
      <c r="BX477" s="168">
        <v>21163.302834802522</v>
      </c>
      <c r="BY477" s="168">
        <v>28505.800470446713</v>
      </c>
      <c r="BZ477" s="168">
        <v>24772.703558117722</v>
      </c>
      <c r="CA477" s="168">
        <v>24103.644481866817</v>
      </c>
      <c r="CB477" s="168">
        <v>19944.071403797319</v>
      </c>
      <c r="CC477" s="168">
        <v>13731.608020668815</v>
      </c>
      <c r="CD477" s="168">
        <v>0</v>
      </c>
      <c r="CE477" s="168">
        <v>0</v>
      </c>
      <c r="CF477" s="168">
        <v>2999.5012255508723</v>
      </c>
      <c r="CG477" s="168">
        <v>14233.267532742619</v>
      </c>
      <c r="CH477" s="168">
        <v>24015.03370017284</v>
      </c>
      <c r="CI477" s="168">
        <v>21144.231003328445</v>
      </c>
      <c r="CJ477" s="168">
        <v>21119.204338932741</v>
      </c>
      <c r="CK477" s="168">
        <v>28516.500836179479</v>
      </c>
      <c r="CL477" s="168">
        <v>25133.361317693325</v>
      </c>
      <c r="CM477" s="168">
        <v>24168.847718765825</v>
      </c>
      <c r="CN477" s="168">
        <v>20167.344003913102</v>
      </c>
      <c r="CO477" s="168">
        <v>13736.2186780421</v>
      </c>
    </row>
    <row r="478" spans="1:93" x14ac:dyDescent="0.2">
      <c r="A478" s="118">
        <f t="shared" si="44"/>
        <v>15</v>
      </c>
      <c r="B478" s="234" t="s">
        <v>216</v>
      </c>
      <c r="C478" s="223"/>
      <c r="D478" s="168"/>
      <c r="E478" s="225"/>
      <c r="F478" s="183"/>
      <c r="G478" s="233"/>
      <c r="H478" s="174"/>
      <c r="I478" s="229"/>
      <c r="J478" s="168"/>
      <c r="K478" s="225"/>
      <c r="L478" s="183"/>
      <c r="M478" s="233"/>
      <c r="N478" s="174"/>
      <c r="O478" s="227"/>
      <c r="P478" s="227"/>
      <c r="Q478" s="227"/>
      <c r="S478" s="263"/>
      <c r="T478" s="927"/>
      <c r="U478" s="184"/>
      <c r="V478" s="179"/>
      <c r="W478" s="180"/>
      <c r="Y478" s="184"/>
      <c r="Z478" s="181"/>
    </row>
    <row r="479" spans="1:93" x14ac:dyDescent="0.2">
      <c r="A479" s="118">
        <f t="shared" si="44"/>
        <v>16</v>
      </c>
      <c r="B479" s="243" t="s">
        <v>559</v>
      </c>
      <c r="C479" s="223"/>
      <c r="D479" s="172">
        <f>SUMIF($AH$6:$CP$6,1,$AH479:$CP479)+(SUM($AE$479:$AE$481)*'TOU Split'!E20)</f>
        <v>121461.77740279508</v>
      </c>
      <c r="E479" s="225" t="s">
        <v>555</v>
      </c>
      <c r="F479" s="173">
        <f>'Exhibit MJC-3 - E-13c cal yr'!F481</f>
        <v>27.03</v>
      </c>
      <c r="G479" s="233" t="s">
        <v>375</v>
      </c>
      <c r="H479" s="174">
        <f>ROUND(D479*F479,2)</f>
        <v>3283111.84</v>
      </c>
      <c r="I479" s="229"/>
      <c r="J479" s="172">
        <f t="shared" ref="J479:J481" si="47">D479</f>
        <v>121461.77740279508</v>
      </c>
      <c r="K479" s="225" t="s">
        <v>555</v>
      </c>
      <c r="L479" s="183">
        <f>L475</f>
        <v>28.13</v>
      </c>
      <c r="M479" s="233" t="s">
        <v>375</v>
      </c>
      <c r="N479" s="174">
        <f>ROUND(J479*L479,2)</f>
        <v>3416719.8</v>
      </c>
      <c r="O479" s="227"/>
      <c r="P479" s="227"/>
      <c r="Q479" s="227"/>
      <c r="S479" s="263"/>
      <c r="T479" s="227"/>
      <c r="U479" s="184" t="s">
        <v>624</v>
      </c>
      <c r="V479" s="179">
        <v>254</v>
      </c>
      <c r="W479" s="180">
        <v>228</v>
      </c>
      <c r="Y479" s="184"/>
      <c r="Z479" s="181"/>
      <c r="AB479" s="182">
        <f>SUM(AH479:AS479)</f>
        <v>118794.05994422382</v>
      </c>
      <c r="AC479" s="182">
        <f>SUM(AT479:BE479)</f>
        <v>119046.56252583434</v>
      </c>
      <c r="AD479" s="182">
        <f>SUM(BF479:BQ479)</f>
        <v>119803.59669910584</v>
      </c>
      <c r="AE479" s="182">
        <f>SUM(BR479:CC479)</f>
        <v>121461.77740279508</v>
      </c>
      <c r="AF479" s="182">
        <f>SUM(CD479:CO479)</f>
        <v>121503.99599059613</v>
      </c>
      <c r="AG479" s="241"/>
      <c r="AH479" s="168">
        <v>17250.204822575422</v>
      </c>
      <c r="AI479" s="168">
        <v>5980.9763609804513</v>
      </c>
      <c r="AJ479" s="168">
        <v>21034.588777055829</v>
      </c>
      <c r="AK479" s="168">
        <v>12331.872191258999</v>
      </c>
      <c r="AL479" s="168">
        <v>10366.148416577598</v>
      </c>
      <c r="AM479" s="168">
        <v>7306.328391949769</v>
      </c>
      <c r="AN479" s="168">
        <v>7483.8557645399369</v>
      </c>
      <c r="AO479" s="168">
        <v>7324.1926999511088</v>
      </c>
      <c r="AP479" s="168">
        <v>7051.8653748661172</v>
      </c>
      <c r="AQ479" s="168">
        <v>5788.7104364963361</v>
      </c>
      <c r="AR479" s="168">
        <v>4781.4402854214241</v>
      </c>
      <c r="AS479" s="168">
        <v>12093.876422550837</v>
      </c>
      <c r="AT479" s="168">
        <v>17893.769089044774</v>
      </c>
      <c r="AU479" s="168">
        <v>6052.7250403451289</v>
      </c>
      <c r="AV479" s="168">
        <v>20862.250444085606</v>
      </c>
      <c r="AW479" s="168">
        <v>12435.365398355158</v>
      </c>
      <c r="AX479" s="168">
        <v>10324.462878613826</v>
      </c>
      <c r="AY479" s="168">
        <v>7149.693452644462</v>
      </c>
      <c r="AZ479" s="168">
        <v>7555.9055538724569</v>
      </c>
      <c r="BA479" s="168">
        <v>7229.0345206818974</v>
      </c>
      <c r="BB479" s="168">
        <v>7019.1319983697003</v>
      </c>
      <c r="BC479" s="168">
        <v>5803.9521226967781</v>
      </c>
      <c r="BD479" s="168">
        <v>4743.2594780271202</v>
      </c>
      <c r="BE479" s="168">
        <v>11977.012549097415</v>
      </c>
      <c r="BF479" s="168">
        <v>17789.380451529949</v>
      </c>
      <c r="BG479" s="168">
        <v>6123.6377635171311</v>
      </c>
      <c r="BH479" s="168">
        <v>21175.610261875619</v>
      </c>
      <c r="BI479" s="168">
        <v>12386.910637408528</v>
      </c>
      <c r="BJ479" s="168">
        <v>10391.477703860222</v>
      </c>
      <c r="BK479" s="168">
        <v>7251.3586229960638</v>
      </c>
      <c r="BL479" s="168">
        <v>7604.6186774470634</v>
      </c>
      <c r="BM479" s="168">
        <v>7288.7842469305242</v>
      </c>
      <c r="BN479" s="168">
        <v>7049.6866655574968</v>
      </c>
      <c r="BO479" s="168">
        <v>5778.6767928566142</v>
      </c>
      <c r="BP479" s="168">
        <v>4749.1563768599326</v>
      </c>
      <c r="BQ479" s="168">
        <v>12214.298498266699</v>
      </c>
      <c r="BR479" s="168">
        <v>18006.003644622615</v>
      </c>
      <c r="BS479" s="168">
        <v>6165.3462298937557</v>
      </c>
      <c r="BT479" s="168">
        <v>21664.704492667475</v>
      </c>
      <c r="BU479" s="168">
        <v>12696.199521435497</v>
      </c>
      <c r="BV479" s="168">
        <v>10361.160648565825</v>
      </c>
      <c r="BW479" s="168">
        <v>7414.905194676091</v>
      </c>
      <c r="BX479" s="168">
        <v>7761.9877152312674</v>
      </c>
      <c r="BY479" s="168">
        <v>7394.2988720265112</v>
      </c>
      <c r="BZ479" s="168">
        <v>7123.3420192224685</v>
      </c>
      <c r="CA479" s="168">
        <v>5867.1115010720423</v>
      </c>
      <c r="CB479" s="168">
        <v>4810.3776456842925</v>
      </c>
      <c r="CC479" s="168">
        <v>12196.339917697242</v>
      </c>
      <c r="CD479" s="168">
        <v>18093.414442299203</v>
      </c>
      <c r="CE479" s="168">
        <v>6123.1280839813353</v>
      </c>
      <c r="CF479" s="168">
        <v>21301.133551606385</v>
      </c>
      <c r="CG479" s="168">
        <v>12840.326669813081</v>
      </c>
      <c r="CH479" s="168">
        <v>10495.253385209784</v>
      </c>
      <c r="CI479" s="168">
        <v>7333.1557023314008</v>
      </c>
      <c r="CJ479" s="168">
        <v>7745.81387006762</v>
      </c>
      <c r="CK479" s="168">
        <v>7397.0745071941692</v>
      </c>
      <c r="CL479" s="168">
        <v>7227.0484462305812</v>
      </c>
      <c r="CM479" s="168">
        <v>5882.9827383617012</v>
      </c>
      <c r="CN479" s="168">
        <v>4864.2295148811836</v>
      </c>
      <c r="CO479" s="168">
        <v>12200.435078619692</v>
      </c>
    </row>
    <row r="480" spans="1:93" x14ac:dyDescent="0.2">
      <c r="A480" s="118">
        <f t="shared" si="44"/>
        <v>17</v>
      </c>
      <c r="B480" s="243" t="s">
        <v>560</v>
      </c>
      <c r="C480" s="223"/>
      <c r="D480" s="172">
        <f>SUMIF($AH$6:$CP$6,1,$AH480:$CP480)+(SUM($AE$479:$AE$481)*'TOU Split'!E21)</f>
        <v>641643.93823952379</v>
      </c>
      <c r="E480" s="225" t="s">
        <v>555</v>
      </c>
      <c r="F480" s="173">
        <f>'Exhibit MJC-3 - E-13c cal yr'!F482</f>
        <v>20.02</v>
      </c>
      <c r="G480" s="233" t="s">
        <v>375</v>
      </c>
      <c r="H480" s="174">
        <f>ROUND(D480*F480,2)</f>
        <v>12845711.640000001</v>
      </c>
      <c r="I480" s="229"/>
      <c r="J480" s="172">
        <f t="shared" si="47"/>
        <v>641643.93823952379</v>
      </c>
      <c r="K480" s="225" t="s">
        <v>555</v>
      </c>
      <c r="L480" s="183">
        <f>L476</f>
        <v>20.83</v>
      </c>
      <c r="M480" s="233" t="s">
        <v>375</v>
      </c>
      <c r="N480" s="174">
        <f>ROUND(J480*L480,2)</f>
        <v>13365443.23</v>
      </c>
      <c r="O480" s="227"/>
      <c r="P480" s="227"/>
      <c r="Q480" s="227"/>
      <c r="S480" s="263"/>
      <c r="T480" s="197"/>
      <c r="U480" s="184" t="s">
        <v>624</v>
      </c>
      <c r="V480" s="179">
        <v>254</v>
      </c>
      <c r="W480" s="180">
        <v>228</v>
      </c>
      <c r="Y480" s="184"/>
      <c r="Z480" s="181"/>
      <c r="AB480" s="182">
        <f>SUM(AH480:AS480)</f>
        <v>651979.35836844891</v>
      </c>
      <c r="AC480" s="182">
        <f>SUM(AT480:BE480)</f>
        <v>651490.41612117679</v>
      </c>
      <c r="AD480" s="182">
        <f>SUM(BF480:BQ480)</f>
        <v>655727.44529829698</v>
      </c>
      <c r="AE480" s="182">
        <f>SUM(BR480:CC480)</f>
        <v>664513.46322000585</v>
      </c>
      <c r="AF480" s="182">
        <f>SUM(CD480:CO480)</f>
        <v>665603.45815461955</v>
      </c>
      <c r="AH480" s="168">
        <v>55738.285676267864</v>
      </c>
      <c r="AI480" s="168">
        <v>20249.996491479353</v>
      </c>
      <c r="AJ480" s="168">
        <v>72815.927818474534</v>
      </c>
      <c r="AK480" s="168">
        <v>64352.694385822651</v>
      </c>
      <c r="AL480" s="168">
        <v>63722.339389512206</v>
      </c>
      <c r="AM480" s="168">
        <v>56672.906845927471</v>
      </c>
      <c r="AN480" s="168">
        <v>55088.100495326391</v>
      </c>
      <c r="AO480" s="168">
        <v>52639.798256422349</v>
      </c>
      <c r="AP480" s="168">
        <v>54482.997454079137</v>
      </c>
      <c r="AQ480" s="168">
        <v>46432.007179994223</v>
      </c>
      <c r="AR480" s="168">
        <v>36631.554007772524</v>
      </c>
      <c r="AS480" s="168">
        <v>73152.750367370172</v>
      </c>
      <c r="AT480" s="168">
        <v>57817.749039425231</v>
      </c>
      <c r="AU480" s="168">
        <v>20492.918452328704</v>
      </c>
      <c r="AV480" s="168">
        <v>72219.340181467633</v>
      </c>
      <c r="AW480" s="168">
        <v>64892.763778691377</v>
      </c>
      <c r="AX480" s="168">
        <v>63466.091852720798</v>
      </c>
      <c r="AY480" s="168">
        <v>55457.938554350541</v>
      </c>
      <c r="AZ480" s="168">
        <v>55618.453586071861</v>
      </c>
      <c r="BA480" s="168">
        <v>51955.885699177205</v>
      </c>
      <c r="BB480" s="168">
        <v>54230.098061717792</v>
      </c>
      <c r="BC480" s="168">
        <v>46554.262748113928</v>
      </c>
      <c r="BD480" s="168">
        <v>36339.04333637729</v>
      </c>
      <c r="BE480" s="168">
        <v>72445.870830734493</v>
      </c>
      <c r="BF480" s="168">
        <v>57480.451960404891</v>
      </c>
      <c r="BG480" s="168">
        <v>20733.010087668143</v>
      </c>
      <c r="BH480" s="168">
        <v>73304.105189961498</v>
      </c>
      <c r="BI480" s="168">
        <v>64639.907247714109</v>
      </c>
      <c r="BJ480" s="168">
        <v>63878.042489241765</v>
      </c>
      <c r="BK480" s="168">
        <v>56246.523520660026</v>
      </c>
      <c r="BL480" s="168">
        <v>55977.027231976994</v>
      </c>
      <c r="BM480" s="168">
        <v>52385.313714584961</v>
      </c>
      <c r="BN480" s="168">
        <v>54466.164657733105</v>
      </c>
      <c r="BO480" s="168">
        <v>46351.526005709929</v>
      </c>
      <c r="BP480" s="168">
        <v>36384.220637604114</v>
      </c>
      <c r="BQ480" s="168">
        <v>73881.152555037377</v>
      </c>
      <c r="BR480" s="168">
        <v>58180.397586841886</v>
      </c>
      <c r="BS480" s="168">
        <v>20874.223870638722</v>
      </c>
      <c r="BT480" s="168">
        <v>74997.214125117811</v>
      </c>
      <c r="BU480" s="168">
        <v>66253.901677921356</v>
      </c>
      <c r="BV480" s="168">
        <v>63691.678797625042</v>
      </c>
      <c r="BW480" s="168">
        <v>57515.103185379921</v>
      </c>
      <c r="BX480" s="168">
        <v>57135.408905951168</v>
      </c>
      <c r="BY480" s="168">
        <v>53143.6592149965</v>
      </c>
      <c r="BZ480" s="168">
        <v>55035.228902849107</v>
      </c>
      <c r="CA480" s="168">
        <v>47060.872422647793</v>
      </c>
      <c r="CB480" s="168">
        <v>36853.248813528764</v>
      </c>
      <c r="CC480" s="168">
        <v>73772.525716507749</v>
      </c>
      <c r="CD480" s="168">
        <v>58462.836436826547</v>
      </c>
      <c r="CE480" s="168">
        <v>20731.284448209175</v>
      </c>
      <c r="CF480" s="168">
        <v>73738.632097116555</v>
      </c>
      <c r="CG480" s="168">
        <v>67006.015403103898</v>
      </c>
      <c r="CH480" s="168">
        <v>64515.967871128007</v>
      </c>
      <c r="CI480" s="168">
        <v>56880.997911730126</v>
      </c>
      <c r="CJ480" s="168">
        <v>57016.354445816782</v>
      </c>
      <c r="CK480" s="168">
        <v>53163.608017717102</v>
      </c>
      <c r="CL480" s="168">
        <v>55836.468957543424</v>
      </c>
      <c r="CM480" s="168">
        <v>47188.177702791472</v>
      </c>
      <c r="CN480" s="168">
        <v>37265.818570160496</v>
      </c>
      <c r="CO480" s="168">
        <v>73797.29629247589</v>
      </c>
    </row>
    <row r="481" spans="1:93" x14ac:dyDescent="0.2">
      <c r="A481" s="118">
        <f t="shared" si="44"/>
        <v>18</v>
      </c>
      <c r="B481" s="243" t="s">
        <v>561</v>
      </c>
      <c r="C481" s="223"/>
      <c r="D481" s="172">
        <f>SUMIF($AH$6:$CP$6,1,$AH481:$CP481)+(SUM($AE$479:$AE$481)*'TOU Split'!E22)</f>
        <v>216017.09505103741</v>
      </c>
      <c r="E481" s="225" t="s">
        <v>555</v>
      </c>
      <c r="F481" s="173">
        <f>'Exhibit MJC-3 - E-13c cal yr'!F483</f>
        <v>15.5</v>
      </c>
      <c r="G481" s="233" t="s">
        <v>375</v>
      </c>
      <c r="H481" s="174">
        <f>ROUND(D481*F481,2)</f>
        <v>3348264.97</v>
      </c>
      <c r="I481" s="229"/>
      <c r="J481" s="172">
        <f t="shared" si="47"/>
        <v>216017.09505103741</v>
      </c>
      <c r="K481" s="225" t="s">
        <v>555</v>
      </c>
      <c r="L481" s="183">
        <f>L477</f>
        <v>16.13</v>
      </c>
      <c r="M481" s="233" t="s">
        <v>375</v>
      </c>
      <c r="N481" s="174">
        <f>ROUND(J481*L481,2)</f>
        <v>3484355.74</v>
      </c>
      <c r="O481" s="227"/>
      <c r="P481" s="1235"/>
      <c r="Q481" s="227"/>
      <c r="S481" s="263"/>
      <c r="T481" s="197"/>
      <c r="U481" s="184" t="s">
        <v>624</v>
      </c>
      <c r="V481" s="179">
        <v>254</v>
      </c>
      <c r="W481" s="180">
        <v>228</v>
      </c>
      <c r="Y481" s="184"/>
      <c r="Z481" s="181"/>
      <c r="AB481" s="182">
        <f>SUM(AH481:AS481)</f>
        <v>190565.80289307935</v>
      </c>
      <c r="AC481" s="182">
        <f>SUM(AT481:BE481)</f>
        <v>189546.75758340905</v>
      </c>
      <c r="AD481" s="182">
        <f>SUM(BF481:BQ481)</f>
        <v>190870.38680099946</v>
      </c>
      <c r="AE481" s="182">
        <f>SUM(BR481:CC481)</f>
        <v>193147.57007055532</v>
      </c>
      <c r="AF481" s="182">
        <f>SUM(CD481:CO481)</f>
        <v>193873.49030827219</v>
      </c>
      <c r="AH481" s="168">
        <v>0</v>
      </c>
      <c r="AI481" s="168">
        <v>0</v>
      </c>
      <c r="AJ481" s="168">
        <v>102.90767459973334</v>
      </c>
      <c r="AK481" s="168">
        <v>12694.321945180156</v>
      </c>
      <c r="AL481" s="168">
        <v>26102.459970931344</v>
      </c>
      <c r="AM481" s="168">
        <v>24849.734574367481</v>
      </c>
      <c r="AN481" s="168">
        <v>22511.815283128362</v>
      </c>
      <c r="AO481" s="168">
        <v>22274.043322224941</v>
      </c>
      <c r="AP481" s="168">
        <v>22887.006908173538</v>
      </c>
      <c r="AQ481" s="168">
        <v>19463.552749545343</v>
      </c>
      <c r="AR481" s="168">
        <v>14330.936476123783</v>
      </c>
      <c r="AS481" s="168">
        <v>25349.023988804667</v>
      </c>
      <c r="AT481" s="168">
        <v>0</v>
      </c>
      <c r="AU481" s="168">
        <v>0</v>
      </c>
      <c r="AV481" s="168">
        <v>102.06454249582904</v>
      </c>
      <c r="AW481" s="168">
        <v>12800.856952163856</v>
      </c>
      <c r="AX481" s="168">
        <v>25997.493782686714</v>
      </c>
      <c r="AY481" s="168">
        <v>24316.999600245908</v>
      </c>
      <c r="AZ481" s="168">
        <v>22728.544680336581</v>
      </c>
      <c r="BA481" s="168">
        <v>21984.652054908813</v>
      </c>
      <c r="BB481" s="168">
        <v>22780.769909283645</v>
      </c>
      <c r="BC481" s="168">
        <v>19514.800323009025</v>
      </c>
      <c r="BD481" s="168">
        <v>14216.50093103433</v>
      </c>
      <c r="BE481" s="168">
        <v>25104.07480724436</v>
      </c>
      <c r="BF481" s="168">
        <v>0</v>
      </c>
      <c r="BG481" s="168">
        <v>0</v>
      </c>
      <c r="BH481" s="168">
        <v>103.59759505528487</v>
      </c>
      <c r="BI481" s="168">
        <v>12750.978042806584</v>
      </c>
      <c r="BJ481" s="168">
        <v>26166.240333783328</v>
      </c>
      <c r="BK481" s="168">
        <v>24662.775530804785</v>
      </c>
      <c r="BL481" s="168">
        <v>22875.076210910942</v>
      </c>
      <c r="BM481" s="168">
        <v>22166.360544222833</v>
      </c>
      <c r="BN481" s="168">
        <v>22879.935852169689</v>
      </c>
      <c r="BO481" s="168">
        <v>19429.816332014318</v>
      </c>
      <c r="BP481" s="168">
        <v>14234.175120720818</v>
      </c>
      <c r="BQ481" s="168">
        <v>25601.431238510897</v>
      </c>
      <c r="BR481" s="168">
        <v>0</v>
      </c>
      <c r="BS481" s="168">
        <v>0</v>
      </c>
      <c r="BT481" s="168">
        <v>105.99039438615826</v>
      </c>
      <c r="BU481" s="168">
        <v>13069.357329180211</v>
      </c>
      <c r="BV481" s="168">
        <v>26089.900531336258</v>
      </c>
      <c r="BW481" s="168">
        <v>25219.017829094355</v>
      </c>
      <c r="BX481" s="168">
        <v>23348.450207062429</v>
      </c>
      <c r="BY481" s="168">
        <v>22487.247422381028</v>
      </c>
      <c r="BZ481" s="168">
        <v>23118.986159931148</v>
      </c>
      <c r="CA481" s="168">
        <v>19727.162973744675</v>
      </c>
      <c r="CB481" s="168">
        <v>14417.667554409609</v>
      </c>
      <c r="CC481" s="168">
        <v>25563.7896690294</v>
      </c>
      <c r="CD481" s="168">
        <v>0</v>
      </c>
      <c r="CE481" s="168">
        <v>0</v>
      </c>
      <c r="CF481" s="168">
        <v>104.21169357611697</v>
      </c>
      <c r="CG481" s="168">
        <v>13217.720561799717</v>
      </c>
      <c r="CH481" s="168">
        <v>26427.552487490397</v>
      </c>
      <c r="CI481" s="168">
        <v>24940.977604596213</v>
      </c>
      <c r="CJ481" s="168">
        <v>23299.798465741183</v>
      </c>
      <c r="CK481" s="168">
        <v>22495.688573577328</v>
      </c>
      <c r="CL481" s="168">
        <v>23455.567984056193</v>
      </c>
      <c r="CM481" s="168">
        <v>19780.527305503303</v>
      </c>
      <c r="CN481" s="168">
        <v>14579.072417905287</v>
      </c>
      <c r="CO481" s="168">
        <v>25572.373214026415</v>
      </c>
    </row>
    <row r="482" spans="1:93" x14ac:dyDescent="0.2">
      <c r="A482" s="118">
        <f t="shared" si="44"/>
        <v>19</v>
      </c>
      <c r="B482" s="243"/>
      <c r="C482" s="223" t="s">
        <v>374</v>
      </c>
      <c r="D482" s="204">
        <f>SUM(D466:D481)</f>
        <v>2565797.3538959669</v>
      </c>
      <c r="E482" s="225" t="s">
        <v>617</v>
      </c>
      <c r="F482" s="183"/>
      <c r="G482" s="233"/>
      <c r="H482" s="206">
        <f>SUM(H466:H481)</f>
        <v>50823363.799999997</v>
      </c>
      <c r="I482" s="229"/>
      <c r="J482" s="204">
        <f>SUM(J466:J481)</f>
        <v>2565797.3538959669</v>
      </c>
      <c r="K482" s="225" t="s">
        <v>617</v>
      </c>
      <c r="L482" s="183"/>
      <c r="M482" s="233"/>
      <c r="N482" s="206">
        <f>SUM(N466:N481)</f>
        <v>52883665.56000001</v>
      </c>
      <c r="O482" s="227"/>
      <c r="P482" s="227"/>
      <c r="Q482" s="1022"/>
      <c r="S482" s="227"/>
      <c r="T482" s="927"/>
      <c r="U482" s="184"/>
      <c r="V482" s="179"/>
      <c r="W482" s="180"/>
      <c r="Y482" s="184" t="s">
        <v>623</v>
      </c>
      <c r="Z482" s="181" t="s">
        <v>141</v>
      </c>
      <c r="AB482" s="204">
        <f>SUM(AB466:AB481)</f>
        <v>2518097.3538508485</v>
      </c>
      <c r="AC482" s="204">
        <f>SUM(AC466:AC481)</f>
        <v>2516384.6246290305</v>
      </c>
      <c r="AD482" s="204">
        <f>SUM(AD466:AD481)</f>
        <v>2532610.1945621921</v>
      </c>
      <c r="AE482" s="204">
        <f>SUM(AE466:AE481)</f>
        <v>2565797.3538959669</v>
      </c>
      <c r="AF482" s="204">
        <f>SUM(AF466:AF481)</f>
        <v>2570131.7913398794</v>
      </c>
      <c r="AH482" s="204">
        <f t="shared" ref="AH482:CO482" si="48">SUM(AH466:AH481)</f>
        <v>170036.0255243943</v>
      </c>
      <c r="AI482" s="204">
        <f t="shared" si="48"/>
        <v>199074.28228355665</v>
      </c>
      <c r="AJ482" s="204">
        <f t="shared" si="48"/>
        <v>203239.50310825801</v>
      </c>
      <c r="AK482" s="204">
        <f t="shared" si="48"/>
        <v>216433.00105003882</v>
      </c>
      <c r="AL482" s="204">
        <f t="shared" si="48"/>
        <v>216468.25616680642</v>
      </c>
      <c r="AM482" s="204">
        <f t="shared" si="48"/>
        <v>224634.94886022154</v>
      </c>
      <c r="AN482" s="204">
        <f t="shared" si="48"/>
        <v>214888.14295102493</v>
      </c>
      <c r="AO482" s="204">
        <f t="shared" si="48"/>
        <v>214690.95555490965</v>
      </c>
      <c r="AP482" s="204">
        <f t="shared" si="48"/>
        <v>231356.92565759004</v>
      </c>
      <c r="AQ482" s="204">
        <f t="shared" si="48"/>
        <v>216865.34188449048</v>
      </c>
      <c r="AR482" s="204">
        <f t="shared" si="48"/>
        <v>166763.28447983006</v>
      </c>
      <c r="AS482" s="204">
        <f t="shared" si="48"/>
        <v>243646.68632972756</v>
      </c>
      <c r="AT482" s="204">
        <f t="shared" si="48"/>
        <v>176379.66672549813</v>
      </c>
      <c r="AU482" s="204">
        <f t="shared" si="48"/>
        <v>201462.40689520029</v>
      </c>
      <c r="AV482" s="204">
        <f t="shared" si="48"/>
        <v>201574.34304591449</v>
      </c>
      <c r="AW482" s="204">
        <f t="shared" si="48"/>
        <v>218249.37937870753</v>
      </c>
      <c r="AX482" s="204">
        <f t="shared" si="48"/>
        <v>215597.76933333959</v>
      </c>
      <c r="AY482" s="204">
        <f t="shared" si="48"/>
        <v>219819.1672948405</v>
      </c>
      <c r="AZ482" s="204">
        <f t="shared" si="48"/>
        <v>216956.9489137264</v>
      </c>
      <c r="BA482" s="204">
        <f t="shared" si="48"/>
        <v>211901.62418787606</v>
      </c>
      <c r="BB482" s="204">
        <f t="shared" si="48"/>
        <v>230283.01216803381</v>
      </c>
      <c r="BC482" s="204">
        <f t="shared" si="48"/>
        <v>217436.34876504124</v>
      </c>
      <c r="BD482" s="204">
        <f t="shared" si="48"/>
        <v>165431.64454184333</v>
      </c>
      <c r="BE482" s="204">
        <f t="shared" si="48"/>
        <v>241292.31337900934</v>
      </c>
      <c r="BF482" s="204">
        <f t="shared" si="48"/>
        <v>175350.70334706351</v>
      </c>
      <c r="BG482" s="204">
        <f t="shared" si="48"/>
        <v>203822.70705661483</v>
      </c>
      <c r="BH482" s="204">
        <f t="shared" si="48"/>
        <v>204602.07486119986</v>
      </c>
      <c r="BI482" s="204">
        <f t="shared" si="48"/>
        <v>217398.96435946375</v>
      </c>
      <c r="BJ482" s="204">
        <f t="shared" si="48"/>
        <v>216997.18807359342</v>
      </c>
      <c r="BK482" s="204">
        <f t="shared" si="48"/>
        <v>222944.88915097294</v>
      </c>
      <c r="BL482" s="204">
        <f t="shared" si="48"/>
        <v>218355.67611954594</v>
      </c>
      <c r="BM482" s="204">
        <f t="shared" si="48"/>
        <v>213653.04258277258</v>
      </c>
      <c r="BN482" s="204">
        <f t="shared" si="48"/>
        <v>231285.44677069294</v>
      </c>
      <c r="BO482" s="204">
        <f t="shared" si="48"/>
        <v>216489.44649601911</v>
      </c>
      <c r="BP482" s="204">
        <f t="shared" si="48"/>
        <v>165637.31190542068</v>
      </c>
      <c r="BQ482" s="204">
        <f t="shared" si="48"/>
        <v>246072.74383883254</v>
      </c>
      <c r="BR482" s="204">
        <f t="shared" si="48"/>
        <v>177485.96766239934</v>
      </c>
      <c r="BS482" s="204">
        <f t="shared" si="48"/>
        <v>205210.95581533649</v>
      </c>
      <c r="BT482" s="204">
        <f t="shared" si="48"/>
        <v>209327.78019791079</v>
      </c>
      <c r="BU482" s="204">
        <f t="shared" si="48"/>
        <v>222827.20107187648</v>
      </c>
      <c r="BV482" s="204">
        <f t="shared" si="48"/>
        <v>216364.10046689893</v>
      </c>
      <c r="BW482" s="204">
        <f t="shared" si="48"/>
        <v>227973.17063447242</v>
      </c>
      <c r="BX482" s="204">
        <f t="shared" si="48"/>
        <v>222874.30145806028</v>
      </c>
      <c r="BY482" s="204">
        <f t="shared" si="48"/>
        <v>216745.94805575762</v>
      </c>
      <c r="BZ482" s="204">
        <f t="shared" si="48"/>
        <v>233701.92457852027</v>
      </c>
      <c r="CA482" s="204">
        <f t="shared" si="48"/>
        <v>219802.52001074859</v>
      </c>
      <c r="CB482" s="204">
        <f t="shared" si="48"/>
        <v>167772.53879517212</v>
      </c>
      <c r="CC482" s="204">
        <f t="shared" si="48"/>
        <v>245710.94514881331</v>
      </c>
      <c r="CD482" s="204">
        <f t="shared" si="48"/>
        <v>178347.5797289061</v>
      </c>
      <c r="CE482" s="204">
        <f t="shared" si="48"/>
        <v>203805.74258766207</v>
      </c>
      <c r="CF482" s="204">
        <f t="shared" si="48"/>
        <v>205814.9006170911</v>
      </c>
      <c r="CG482" s="204">
        <f t="shared" si="48"/>
        <v>225356.73355261813</v>
      </c>
      <c r="CH482" s="204">
        <f t="shared" si="48"/>
        <v>219164.25532668593</v>
      </c>
      <c r="CI482" s="204">
        <f t="shared" si="48"/>
        <v>225459.76142986669</v>
      </c>
      <c r="CJ482" s="204">
        <f t="shared" si="48"/>
        <v>222409.89278144451</v>
      </c>
      <c r="CK482" s="204">
        <f t="shared" si="48"/>
        <v>216827.30907270912</v>
      </c>
      <c r="CL482" s="204">
        <f t="shared" si="48"/>
        <v>237104.31513025225</v>
      </c>
      <c r="CM482" s="204">
        <f t="shared" si="48"/>
        <v>220397.11207727366</v>
      </c>
      <c r="CN482" s="204">
        <f t="shared" si="48"/>
        <v>169650.74160574228</v>
      </c>
      <c r="CO482" s="204">
        <f t="shared" si="48"/>
        <v>245793.44742962718</v>
      </c>
    </row>
    <row r="483" spans="1:93" x14ac:dyDescent="0.2">
      <c r="A483" s="118">
        <f t="shared" si="44"/>
        <v>20</v>
      </c>
      <c r="F483" s="197"/>
      <c r="I483" s="229"/>
      <c r="L483" s="197"/>
      <c r="S483" s="227"/>
      <c r="U483" s="184"/>
      <c r="V483" s="179"/>
      <c r="W483" s="180"/>
      <c r="Y483" s="184"/>
      <c r="Z483" s="181"/>
      <c r="AB483" s="193">
        <f>SUM(AH483:AS483)</f>
        <v>0</v>
      </c>
      <c r="AC483" s="193">
        <f>SUM(AT483:BE483)</f>
        <v>0</v>
      </c>
      <c r="AD483" s="193">
        <f>SUM(BF483:BQ483)</f>
        <v>0</v>
      </c>
      <c r="AE483" s="193">
        <f>SUM(BR483:CC483)</f>
        <v>0</v>
      </c>
      <c r="AF483" s="193">
        <f>SUM(CD483:CO483)</f>
        <v>0</v>
      </c>
      <c r="AH483" s="294">
        <v>0</v>
      </c>
      <c r="AI483" s="294">
        <v>0</v>
      </c>
      <c r="AJ483" s="294">
        <v>0</v>
      </c>
      <c r="AK483" s="294">
        <v>0</v>
      </c>
      <c r="AL483" s="294">
        <v>0</v>
      </c>
      <c r="AM483" s="294">
        <v>0</v>
      </c>
      <c r="AN483" s="294">
        <v>0</v>
      </c>
      <c r="AO483" s="294">
        <v>0</v>
      </c>
      <c r="AP483" s="294">
        <v>0</v>
      </c>
      <c r="AQ483" s="294">
        <v>0</v>
      </c>
      <c r="AR483" s="294">
        <v>0</v>
      </c>
      <c r="AS483" s="294">
        <v>0</v>
      </c>
      <c r="AT483" s="294">
        <v>0</v>
      </c>
      <c r="AU483" s="294">
        <v>0</v>
      </c>
      <c r="AV483" s="294">
        <v>0</v>
      </c>
      <c r="AW483" s="294">
        <v>0</v>
      </c>
      <c r="AX483" s="294">
        <v>0</v>
      </c>
      <c r="AY483" s="294">
        <v>0</v>
      </c>
      <c r="AZ483" s="294">
        <v>0</v>
      </c>
      <c r="BA483" s="294">
        <v>0</v>
      </c>
      <c r="BB483" s="294">
        <v>0</v>
      </c>
      <c r="BC483" s="294">
        <v>0</v>
      </c>
      <c r="BD483" s="294">
        <v>0</v>
      </c>
      <c r="BE483" s="294">
        <v>0</v>
      </c>
      <c r="BF483" s="294">
        <v>0</v>
      </c>
      <c r="BG483" s="294">
        <v>0</v>
      </c>
      <c r="BH483" s="294">
        <v>0</v>
      </c>
      <c r="BI483" s="294">
        <v>0</v>
      </c>
      <c r="BJ483" s="294">
        <v>0</v>
      </c>
      <c r="BK483" s="294">
        <v>0</v>
      </c>
      <c r="BL483" s="294">
        <v>0</v>
      </c>
      <c r="BM483" s="294">
        <v>0</v>
      </c>
      <c r="BN483" s="294">
        <v>0</v>
      </c>
      <c r="BO483" s="294">
        <v>0</v>
      </c>
      <c r="BP483" s="294">
        <v>0</v>
      </c>
      <c r="BQ483" s="294">
        <v>0</v>
      </c>
      <c r="BR483" s="294">
        <v>0</v>
      </c>
      <c r="BS483" s="294">
        <v>0</v>
      </c>
      <c r="BT483" s="294">
        <v>0</v>
      </c>
      <c r="BU483" s="294">
        <v>0</v>
      </c>
      <c r="BV483" s="294">
        <v>0</v>
      </c>
      <c r="BW483" s="294">
        <v>0</v>
      </c>
      <c r="BX483" s="294">
        <v>0</v>
      </c>
      <c r="BY483" s="294">
        <v>0</v>
      </c>
      <c r="BZ483" s="294">
        <v>0</v>
      </c>
      <c r="CA483" s="294">
        <v>0</v>
      </c>
      <c r="CB483" s="294">
        <v>0</v>
      </c>
      <c r="CC483" s="294">
        <v>0</v>
      </c>
      <c r="CD483" s="294">
        <v>0</v>
      </c>
      <c r="CE483" s="294">
        <v>0</v>
      </c>
      <c r="CF483" s="294">
        <v>0</v>
      </c>
      <c r="CG483" s="294">
        <v>0</v>
      </c>
      <c r="CH483" s="294">
        <v>0</v>
      </c>
      <c r="CI483" s="294">
        <v>0</v>
      </c>
      <c r="CJ483" s="294">
        <v>0</v>
      </c>
      <c r="CK483" s="294">
        <v>0</v>
      </c>
      <c r="CL483" s="294">
        <v>0</v>
      </c>
      <c r="CM483" s="294">
        <v>0</v>
      </c>
      <c r="CN483" s="294">
        <v>0</v>
      </c>
      <c r="CO483" s="294">
        <v>0</v>
      </c>
    </row>
    <row r="484" spans="1:93" x14ac:dyDescent="0.2">
      <c r="A484" s="118">
        <f t="shared" si="44"/>
        <v>21</v>
      </c>
      <c r="B484" s="246" t="s">
        <v>563</v>
      </c>
      <c r="C484" s="223"/>
      <c r="D484" s="168"/>
      <c r="E484" s="225"/>
      <c r="F484" s="197"/>
      <c r="G484" s="233"/>
      <c r="H484" s="174"/>
      <c r="I484" s="229"/>
      <c r="J484" s="223"/>
      <c r="K484" s="225"/>
      <c r="L484" s="197"/>
      <c r="M484" s="233"/>
      <c r="N484" s="174"/>
      <c r="O484" s="227"/>
      <c r="Q484" s="176"/>
      <c r="S484" s="1235"/>
      <c r="U484" s="184"/>
      <c r="V484" s="179"/>
      <c r="W484" s="180"/>
      <c r="Y484" s="184"/>
      <c r="Z484" s="181"/>
    </row>
    <row r="485" spans="1:93" x14ac:dyDescent="0.2">
      <c r="A485" s="118">
        <f t="shared" si="44"/>
        <v>22</v>
      </c>
      <c r="B485" s="234" t="s">
        <v>582</v>
      </c>
      <c r="C485" s="223"/>
      <c r="D485" s="172">
        <f>SUM(H418,H427:H431,H467,H475:H477)</f>
        <v>48492828.109999999</v>
      </c>
      <c r="E485" s="233" t="s">
        <v>10</v>
      </c>
      <c r="F485" s="248">
        <v>0.01</v>
      </c>
      <c r="G485" s="233" t="s">
        <v>375</v>
      </c>
      <c r="H485" s="174">
        <f>ROUND(D485*-F485,2)</f>
        <v>-484928.28</v>
      </c>
      <c r="I485" s="229"/>
      <c r="J485" s="172">
        <f>SUM(N418,N427:N431,N467,N475:N477)</f>
        <v>50468114.779999994</v>
      </c>
      <c r="K485" s="233" t="s">
        <v>10</v>
      </c>
      <c r="L485" s="248">
        <v>0.01</v>
      </c>
      <c r="M485" s="233" t="s">
        <v>375</v>
      </c>
      <c r="N485" s="174">
        <f>ROUND(J485*-L485,2)</f>
        <v>-504681.15</v>
      </c>
      <c r="O485" s="227"/>
      <c r="P485" s="1231"/>
      <c r="Q485" s="176"/>
      <c r="U485" s="184" t="s">
        <v>623</v>
      </c>
      <c r="V485" s="179">
        <v>252</v>
      </c>
      <c r="W485" s="180">
        <v>226</v>
      </c>
      <c r="Y485" s="184" t="s">
        <v>623</v>
      </c>
      <c r="Z485" s="181" t="s">
        <v>417</v>
      </c>
      <c r="AB485" s="182">
        <f>SUM(AH485:AS485)</f>
        <v>-374327.10420469008</v>
      </c>
      <c r="AC485" s="182">
        <f>SUM(AT485:BE485)</f>
        <v>-385422.82397733594</v>
      </c>
      <c r="AD485" s="182">
        <f>SUM(BF485:BQ485)</f>
        <v>-387905.99371744285</v>
      </c>
      <c r="AE485" s="182">
        <f>SUM(BR485:CC485)</f>
        <v>-393005.14509475132</v>
      </c>
      <c r="AF485" s="182">
        <f>SUM(CD485:CO485)</f>
        <v>-393604.51670770522</v>
      </c>
      <c r="AH485" s="174">
        <v>-19735.59522346015</v>
      </c>
      <c r="AI485" s="174">
        <v>-49193.026828040085</v>
      </c>
      <c r="AJ485" s="174">
        <v>-29224.723587691336</v>
      </c>
      <c r="AK485" s="174">
        <v>-33877.823129566168</v>
      </c>
      <c r="AL485" s="174">
        <v>-25012.842018450519</v>
      </c>
      <c r="AM485" s="174">
        <v>-30263.286131653778</v>
      </c>
      <c r="AN485" s="174">
        <v>-29002.011061542813</v>
      </c>
      <c r="AO485" s="174">
        <v>-34837.230297978305</v>
      </c>
      <c r="AP485" s="174">
        <v>-33151.496918809346</v>
      </c>
      <c r="AQ485" s="174">
        <v>-32680.562990657567</v>
      </c>
      <c r="AR485" s="174">
        <v>-27432.60322700761</v>
      </c>
      <c r="AS485" s="174">
        <v>-29915.902789832409</v>
      </c>
      <c r="AT485" s="174">
        <v>-21023.473467206139</v>
      </c>
      <c r="AU485" s="174">
        <v>-51223.134466371892</v>
      </c>
      <c r="AV485" s="174">
        <v>-29852.969291011512</v>
      </c>
      <c r="AW485" s="174">
        <v>-35199.136834541408</v>
      </c>
      <c r="AX485" s="174">
        <v>-25661.257876630287</v>
      </c>
      <c r="AY485" s="174">
        <v>-30502.779012570652</v>
      </c>
      <c r="AZ485" s="174">
        <v>-30157.936504010602</v>
      </c>
      <c r="BA485" s="174">
        <v>-35481.814169438294</v>
      </c>
      <c r="BB485" s="174">
        <v>-33998.446578349191</v>
      </c>
      <c r="BC485" s="174">
        <v>-33758.840060008326</v>
      </c>
      <c r="BD485" s="174">
        <v>-28034.672397507115</v>
      </c>
      <c r="BE485" s="174">
        <v>-30528.363319690525</v>
      </c>
      <c r="BF485" s="174">
        <v>-20909.06239489952</v>
      </c>
      <c r="BG485" s="174">
        <v>-51819.301159854826</v>
      </c>
      <c r="BH485" s="174">
        <v>-30297.919359492589</v>
      </c>
      <c r="BI485" s="174">
        <v>-35056.509747426004</v>
      </c>
      <c r="BJ485" s="174">
        <v>-25825.797866318637</v>
      </c>
      <c r="BK485" s="174">
        <v>-30934.55831629366</v>
      </c>
      <c r="BL485" s="174">
        <v>-30350.347046622952</v>
      </c>
      <c r="BM485" s="174">
        <v>-35765.383236005284</v>
      </c>
      <c r="BN485" s="174">
        <v>-34142.921973691104</v>
      </c>
      <c r="BO485" s="174">
        <v>-33608.274729250319</v>
      </c>
      <c r="BP485" s="174">
        <v>-28066.916158898763</v>
      </c>
      <c r="BQ485" s="174">
        <v>-31129.001728689156</v>
      </c>
      <c r="BR485" s="174">
        <v>-21166.754087057117</v>
      </c>
      <c r="BS485" s="174">
        <v>-52174.395798066471</v>
      </c>
      <c r="BT485" s="174">
        <v>-30994.890253066027</v>
      </c>
      <c r="BU485" s="174">
        <v>-35927.381677484314</v>
      </c>
      <c r="BV485" s="174">
        <v>-25747.65010936428</v>
      </c>
      <c r="BW485" s="174">
        <v>-31628.833022821775</v>
      </c>
      <c r="BX485" s="174">
        <v>-30975.394146250757</v>
      </c>
      <c r="BY485" s="174">
        <v>-36272.669506842511</v>
      </c>
      <c r="BZ485" s="174">
        <v>-34494.905671621593</v>
      </c>
      <c r="CA485" s="174">
        <v>-34118.170935698647</v>
      </c>
      <c r="CB485" s="174">
        <v>-28425.362266066706</v>
      </c>
      <c r="CC485" s="174">
        <v>-31078.737620411059</v>
      </c>
      <c r="CD485" s="174">
        <v>-21281.842367556506</v>
      </c>
      <c r="CE485" s="174">
        <v>-51845.125501059563</v>
      </c>
      <c r="CF485" s="174">
        <v>-30485.774290367739</v>
      </c>
      <c r="CG485" s="174">
        <v>-36344.360392106828</v>
      </c>
      <c r="CH485" s="174">
        <v>-26087.35564377383</v>
      </c>
      <c r="CI485" s="174">
        <v>-31287.930299043332</v>
      </c>
      <c r="CJ485" s="174">
        <v>-30918.843220775208</v>
      </c>
      <c r="CK485" s="174">
        <v>-36285.092908666986</v>
      </c>
      <c r="CL485" s="174">
        <v>-35004.089735505884</v>
      </c>
      <c r="CM485" s="174">
        <v>-34217.73743500984</v>
      </c>
      <c r="CN485" s="174">
        <v>-28749.980541280893</v>
      </c>
      <c r="CO485" s="174">
        <v>-31096.384372558645</v>
      </c>
    </row>
    <row r="486" spans="1:93" x14ac:dyDescent="0.2">
      <c r="A486" s="118">
        <f t="shared" si="44"/>
        <v>23</v>
      </c>
      <c r="B486" s="234" t="s">
        <v>583</v>
      </c>
      <c r="C486" s="223"/>
      <c r="D486" s="172">
        <f>SUM(H419:H420,H433:H437,H468,H479:H481)</f>
        <v>28502616.789999999</v>
      </c>
      <c r="E486" s="233" t="s">
        <v>10</v>
      </c>
      <c r="F486" s="248">
        <v>0.02</v>
      </c>
      <c r="G486" s="233" t="s">
        <v>375</v>
      </c>
      <c r="H486" s="174">
        <f>ROUND(D486*-F486,2)</f>
        <v>-570052.34</v>
      </c>
      <c r="I486" s="229"/>
      <c r="J486" s="172">
        <f>SUM(N419:N420,N433:N437,N468,N479:N481)</f>
        <v>29543014.899999999</v>
      </c>
      <c r="K486" s="233" t="s">
        <v>10</v>
      </c>
      <c r="L486" s="248">
        <v>0.02</v>
      </c>
      <c r="M486" s="233" t="s">
        <v>375</v>
      </c>
      <c r="N486" s="174">
        <f>ROUND(J486*-L486,2)</f>
        <v>-590860.30000000005</v>
      </c>
      <c r="O486" s="227"/>
      <c r="Q486" s="176"/>
      <c r="U486" s="184" t="s">
        <v>623</v>
      </c>
      <c r="V486" s="179">
        <v>252</v>
      </c>
      <c r="W486" s="180">
        <v>226</v>
      </c>
      <c r="Y486" s="184" t="s">
        <v>623</v>
      </c>
      <c r="Z486" s="181" t="s">
        <v>417</v>
      </c>
      <c r="AB486" s="182">
        <f>SUM(AH486:AS486)</f>
        <v>-78329.50660835045</v>
      </c>
      <c r="AC486" s="182">
        <f>SUM(AT486:BE486)</f>
        <v>-80382.947327447473</v>
      </c>
      <c r="AD486" s="182">
        <f>SUM(BF486:BQ486)</f>
        <v>-80951.666352113825</v>
      </c>
      <c r="AE486" s="182">
        <f>SUM(BR486:CC486)</f>
        <v>-82110.886312003291</v>
      </c>
      <c r="AF486" s="182">
        <f>SUM(CD486:CO486)</f>
        <v>-82202.713360863389</v>
      </c>
      <c r="AH486" s="174">
        <v>0</v>
      </c>
      <c r="AI486" s="174">
        <v>0</v>
      </c>
      <c r="AJ486" s="174">
        <v>-13826.475865151966</v>
      </c>
      <c r="AK486" s="174">
        <v>-6880.4180350335482</v>
      </c>
      <c r="AL486" s="174">
        <v>-6606.4987808806109</v>
      </c>
      <c r="AM486" s="174">
        <v>-7328.8731790302227</v>
      </c>
      <c r="AN486" s="174">
        <v>-8080.6391173987722</v>
      </c>
      <c r="AO486" s="174">
        <v>-7154.1743480388814</v>
      </c>
      <c r="AP486" s="174">
        <v>-7783.9068582213276</v>
      </c>
      <c r="AQ486" s="174">
        <v>-7232.6617380319349</v>
      </c>
      <c r="AR486" s="174">
        <v>-6376.5053239639929</v>
      </c>
      <c r="AS486" s="174">
        <v>-7059.3533625991831</v>
      </c>
      <c r="AT486" s="174">
        <v>0</v>
      </c>
      <c r="AU486" s="174">
        <v>0</v>
      </c>
      <c r="AV486" s="174">
        <v>-14151.003348488644</v>
      </c>
      <c r="AW486" s="174">
        <v>-7155.01986333073</v>
      </c>
      <c r="AX486" s="174">
        <v>-6785.6958882145145</v>
      </c>
      <c r="AY486" s="174">
        <v>-7396.1554802831697</v>
      </c>
      <c r="AZ486" s="174">
        <v>-8412.7838178526508</v>
      </c>
      <c r="BA486" s="174">
        <v>-7282.2116533074168</v>
      </c>
      <c r="BB486" s="174">
        <v>-7989.7092900450498</v>
      </c>
      <c r="BC486" s="174">
        <v>-7477.867053839318</v>
      </c>
      <c r="BD486" s="174">
        <v>-6523.2204228658966</v>
      </c>
      <c r="BE486" s="174">
        <v>-7209.2805092200815</v>
      </c>
      <c r="BF486" s="174">
        <v>0</v>
      </c>
      <c r="BG486" s="174">
        <v>0</v>
      </c>
      <c r="BH486" s="174">
        <v>-14354.864553598884</v>
      </c>
      <c r="BI486" s="174">
        <v>-7124.5484034089641</v>
      </c>
      <c r="BJ486" s="174">
        <v>-6827.1530939600925</v>
      </c>
      <c r="BK486" s="174">
        <v>-7498.4728121074131</v>
      </c>
      <c r="BL486" s="174">
        <v>-8464.1546556417525</v>
      </c>
      <c r="BM486" s="174">
        <v>-7339.5880818244568</v>
      </c>
      <c r="BN486" s="174">
        <v>-8021.6263426554387</v>
      </c>
      <c r="BO486" s="174">
        <v>-7442.7489767207035</v>
      </c>
      <c r="BP486" s="174">
        <v>-6528.9630336384462</v>
      </c>
      <c r="BQ486" s="174">
        <v>-7349.5463985576807</v>
      </c>
      <c r="BR486" s="174">
        <v>0</v>
      </c>
      <c r="BS486" s="174">
        <v>0</v>
      </c>
      <c r="BT486" s="174">
        <v>-14673.337191324303</v>
      </c>
      <c r="BU486" s="174">
        <v>-7298.1673015465603</v>
      </c>
      <c r="BV486" s="174">
        <v>-6803.2242704863393</v>
      </c>
      <c r="BW486" s="174">
        <v>-7662.9991698984186</v>
      </c>
      <c r="BX486" s="174">
        <v>-8634.5788415208735</v>
      </c>
      <c r="BY486" s="174">
        <v>-7441.3574246530516</v>
      </c>
      <c r="BZ486" s="174">
        <v>-8100.8126428479736</v>
      </c>
      <c r="CA486" s="174">
        <v>-7552.4735441277662</v>
      </c>
      <c r="CB486" s="174">
        <v>-6609.3023180155133</v>
      </c>
      <c r="CC486" s="174">
        <v>-7334.6336075824911</v>
      </c>
      <c r="CD486" s="174">
        <v>0</v>
      </c>
      <c r="CE486" s="174">
        <v>0</v>
      </c>
      <c r="CF486" s="174">
        <v>-14441.233065543398</v>
      </c>
      <c r="CG486" s="174">
        <v>-7385.1512460645945</v>
      </c>
      <c r="CH486" s="174">
        <v>-6895.3743303272677</v>
      </c>
      <c r="CI486" s="174">
        <v>-7583.0097552691614</v>
      </c>
      <c r="CJ486" s="174">
        <v>-8621.0672573341963</v>
      </c>
      <c r="CK486" s="174">
        <v>-7448.6068546032457</v>
      </c>
      <c r="CL486" s="174">
        <v>-8223.2838411191915</v>
      </c>
      <c r="CM486" s="174">
        <v>-7576.9012637457272</v>
      </c>
      <c r="CN486" s="174">
        <v>-6687.0432778899603</v>
      </c>
      <c r="CO486" s="174">
        <v>-7341.042468966647</v>
      </c>
    </row>
    <row r="487" spans="1:93" x14ac:dyDescent="0.2">
      <c r="A487" s="118">
        <f t="shared" si="44"/>
        <v>24</v>
      </c>
      <c r="B487" s="234" t="s">
        <v>607</v>
      </c>
      <c r="C487" s="223"/>
      <c r="D487" s="168"/>
      <c r="E487" s="223"/>
      <c r="F487" s="183"/>
      <c r="G487" s="223"/>
      <c r="H487" s="174"/>
      <c r="I487" s="229"/>
      <c r="J487" s="304"/>
      <c r="K487" s="223"/>
      <c r="L487" s="183"/>
      <c r="M487" s="223"/>
      <c r="N487" s="174"/>
      <c r="O487" s="227"/>
      <c r="Q487" s="176"/>
      <c r="U487" s="184" t="s">
        <v>623</v>
      </c>
      <c r="V487" s="179">
        <v>252</v>
      </c>
      <c r="W487" s="180">
        <v>226</v>
      </c>
      <c r="Y487" s="184" t="s">
        <v>623</v>
      </c>
      <c r="Z487" s="181" t="s">
        <v>608</v>
      </c>
    </row>
    <row r="488" spans="1:93" x14ac:dyDescent="0.2">
      <c r="A488" s="118">
        <f t="shared" si="44"/>
        <v>25</v>
      </c>
      <c r="B488" s="171" t="s">
        <v>564</v>
      </c>
      <c r="C488" s="223"/>
      <c r="D488" s="168"/>
      <c r="E488" s="223"/>
      <c r="F488" s="166"/>
      <c r="G488" s="223"/>
      <c r="H488" s="1225">
        <f>'MFR E-5 Yr4'!O22*1000</f>
        <v>3517584.1260000002</v>
      </c>
      <c r="I488" s="162"/>
      <c r="J488" s="208"/>
      <c r="K488" s="166"/>
      <c r="L488" s="166"/>
      <c r="M488" s="143"/>
      <c r="N488" s="174">
        <f>H488</f>
        <v>3517584.1260000002</v>
      </c>
      <c r="O488" s="227"/>
      <c r="Q488" s="176"/>
      <c r="U488" s="184"/>
      <c r="V488" s="179"/>
      <c r="W488" s="180"/>
      <c r="Y488" s="184" t="s">
        <v>623</v>
      </c>
      <c r="Z488" s="181" t="s">
        <v>565</v>
      </c>
    </row>
    <row r="489" spans="1:93" x14ac:dyDescent="0.2">
      <c r="A489" s="118">
        <f t="shared" si="44"/>
        <v>26</v>
      </c>
      <c r="B489" s="171" t="s">
        <v>566</v>
      </c>
      <c r="C489" s="223"/>
      <c r="D489" s="168"/>
      <c r="E489" s="223"/>
      <c r="F489" s="166"/>
      <c r="G489" s="223"/>
      <c r="H489" s="1225">
        <f>'MFR E-5 Yr4'!O23*1000</f>
        <v>1494973.2535499954</v>
      </c>
      <c r="I489" s="162"/>
      <c r="J489" s="208"/>
      <c r="K489" s="166"/>
      <c r="L489" s="166"/>
      <c r="M489" s="143"/>
      <c r="N489" s="174">
        <f>H489</f>
        <v>1494973.2535499954</v>
      </c>
      <c r="O489" s="227"/>
      <c r="Q489" s="176"/>
      <c r="U489" s="184"/>
      <c r="V489" s="179"/>
      <c r="W489" s="180"/>
      <c r="Y489" s="184" t="s">
        <v>623</v>
      </c>
      <c r="Z489" s="181" t="s">
        <v>565</v>
      </c>
    </row>
    <row r="490" spans="1:93" x14ac:dyDescent="0.2">
      <c r="A490" s="118">
        <f t="shared" si="44"/>
        <v>27</v>
      </c>
      <c r="B490" s="234"/>
      <c r="C490" s="223" t="s">
        <v>374</v>
      </c>
      <c r="D490" s="249"/>
      <c r="E490" s="223"/>
      <c r="F490" s="183"/>
      <c r="G490" s="223"/>
      <c r="H490" s="206">
        <f>SUM(H485:H489)</f>
        <v>3957576.7595499954</v>
      </c>
      <c r="I490" s="229"/>
      <c r="J490" s="208"/>
      <c r="K490" s="223"/>
      <c r="L490" s="183"/>
      <c r="M490" s="223"/>
      <c r="N490" s="206">
        <f>SUM(N485:N489)</f>
        <v>3917015.9295499953</v>
      </c>
      <c r="O490" s="227"/>
      <c r="Q490" s="176"/>
      <c r="U490" s="184"/>
      <c r="V490" s="179"/>
      <c r="W490" s="180"/>
      <c r="Y490" s="184"/>
      <c r="Z490" s="181"/>
    </row>
    <row r="491" spans="1:93" x14ac:dyDescent="0.2">
      <c r="A491" s="118">
        <f t="shared" si="44"/>
        <v>28</v>
      </c>
      <c r="B491" s="234"/>
      <c r="C491" s="223"/>
      <c r="E491" s="223"/>
      <c r="F491" s="183"/>
      <c r="G491" s="223"/>
      <c r="H491" s="174"/>
      <c r="I491" s="229"/>
      <c r="J491" s="208"/>
      <c r="K491" s="223"/>
      <c r="L491" s="183"/>
      <c r="M491" s="223"/>
      <c r="N491" s="174"/>
      <c r="O491" s="227"/>
      <c r="Q491" s="227"/>
      <c r="U491" s="184"/>
      <c r="V491" s="179"/>
      <c r="W491" s="180"/>
      <c r="Y491" s="184"/>
      <c r="Z491" s="181"/>
    </row>
    <row r="492" spans="1:93" ht="10.8" thickBot="1" x14ac:dyDescent="0.25">
      <c r="A492" s="118">
        <f t="shared" si="44"/>
        <v>29</v>
      </c>
      <c r="B492" s="246" t="s">
        <v>631</v>
      </c>
      <c r="C492" s="223"/>
      <c r="D492" s="168"/>
      <c r="E492" s="225"/>
      <c r="F492" s="183"/>
      <c r="G492" s="223"/>
      <c r="H492" s="210">
        <f>H413+H438+H482+H490</f>
        <v>96639584.599549994</v>
      </c>
      <c r="I492" s="229"/>
      <c r="J492" s="304"/>
      <c r="K492" s="225"/>
      <c r="L492" s="183"/>
      <c r="M492" s="223"/>
      <c r="N492" s="210">
        <f>N413+N438+N482+N490</f>
        <v>100250333.24954998</v>
      </c>
      <c r="O492" s="227"/>
      <c r="Q492" s="939">
        <f>(N492-H492)/H492</f>
        <v>3.736303984502852E-2</v>
      </c>
      <c r="U492" s="184"/>
      <c r="V492" s="179"/>
      <c r="W492" s="180"/>
      <c r="Y492" s="184" t="s">
        <v>623</v>
      </c>
      <c r="Z492" s="181" t="s">
        <v>121</v>
      </c>
    </row>
    <row r="493" spans="1:93" ht="10.8" thickTop="1" x14ac:dyDescent="0.2">
      <c r="A493" s="118">
        <f t="shared" si="44"/>
        <v>30</v>
      </c>
      <c r="B493" s="223"/>
      <c r="C493" s="223"/>
      <c r="D493" s="168"/>
      <c r="E493" s="225"/>
      <c r="F493" s="183"/>
      <c r="G493" s="223"/>
      <c r="H493" s="223"/>
      <c r="I493" s="229"/>
      <c r="J493" s="223"/>
      <c r="K493" s="225"/>
      <c r="L493" s="223"/>
      <c r="M493" s="223"/>
      <c r="N493" s="174"/>
      <c r="O493" s="227"/>
      <c r="P493" s="262"/>
      <c r="Q493" s="227"/>
      <c r="U493" s="184"/>
      <c r="V493" s="179"/>
      <c r="W493" s="180"/>
      <c r="Y493" s="184"/>
      <c r="Z493" s="181"/>
    </row>
    <row r="494" spans="1:93" x14ac:dyDescent="0.2">
      <c r="A494" s="118">
        <f t="shared" si="44"/>
        <v>31</v>
      </c>
      <c r="B494" s="226"/>
      <c r="C494" s="223"/>
      <c r="D494" s="168"/>
      <c r="E494" s="225"/>
      <c r="F494" s="183"/>
      <c r="G494" s="223"/>
      <c r="H494" s="223"/>
      <c r="I494" s="229"/>
      <c r="J494" s="171" t="s">
        <v>573</v>
      </c>
      <c r="K494" s="166"/>
      <c r="L494" s="166"/>
      <c r="M494" s="143"/>
      <c r="N494" s="174">
        <f>N492-H492</f>
        <v>3610748.6499999911</v>
      </c>
      <c r="Q494" s="227"/>
      <c r="U494" s="184"/>
      <c r="V494" s="179"/>
      <c r="W494" s="180"/>
      <c r="Y494" s="184"/>
      <c r="Z494" s="181"/>
    </row>
    <row r="495" spans="1:93" x14ac:dyDescent="0.2">
      <c r="A495" s="118">
        <f t="shared" si="44"/>
        <v>32</v>
      </c>
      <c r="B495" s="226"/>
      <c r="C495" s="223"/>
      <c r="D495" s="944"/>
      <c r="E495" s="225"/>
      <c r="F495" s="183"/>
      <c r="G495" s="223"/>
      <c r="H495" s="223"/>
      <c r="I495" s="229"/>
      <c r="J495" s="171"/>
      <c r="K495" s="166"/>
      <c r="L495" s="166"/>
      <c r="M495" s="143"/>
      <c r="N495" s="212"/>
      <c r="Q495" s="227"/>
      <c r="U495" s="184"/>
      <c r="V495" s="179"/>
      <c r="W495" s="180"/>
      <c r="Y495" s="184"/>
      <c r="Z495" s="181"/>
    </row>
    <row r="496" spans="1:93" x14ac:dyDescent="0.2">
      <c r="A496" s="118">
        <f t="shared" si="44"/>
        <v>33</v>
      </c>
      <c r="B496" s="226"/>
      <c r="C496" s="223"/>
      <c r="D496" s="944"/>
      <c r="E496" s="225"/>
      <c r="F496" s="183"/>
      <c r="G496" s="223"/>
      <c r="H496" s="223"/>
      <c r="I496" s="229"/>
      <c r="J496" s="171" t="s">
        <v>632</v>
      </c>
      <c r="N496" s="211">
        <f>('Exhibit MJC-2 - Old E-8a'!U27*1000)-N380-N682-N740</f>
        <v>3923578.9944909597</v>
      </c>
      <c r="P496" s="101" t="s">
        <v>672</v>
      </c>
      <c r="Q496" s="939">
        <f>N496/H492</f>
        <v>4.0600122721442554E-2</v>
      </c>
      <c r="U496" s="184"/>
      <c r="V496" s="179"/>
      <c r="W496" s="180"/>
      <c r="Y496" s="184"/>
      <c r="Z496" s="181"/>
    </row>
    <row r="497" spans="1:93" x14ac:dyDescent="0.2">
      <c r="A497" s="118">
        <f t="shared" si="44"/>
        <v>34</v>
      </c>
      <c r="B497" s="226"/>
      <c r="C497" s="223"/>
      <c r="D497" s="944"/>
      <c r="E497" s="225"/>
      <c r="F497" s="183"/>
      <c r="G497" s="223"/>
      <c r="H497" s="223"/>
      <c r="I497" s="229"/>
      <c r="P497" s="250"/>
      <c r="Q497" s="227"/>
      <c r="U497" s="184"/>
      <c r="V497" s="179"/>
      <c r="W497" s="180"/>
      <c r="Y497" s="184"/>
      <c r="Z497" s="181"/>
    </row>
    <row r="498" spans="1:93" x14ac:dyDescent="0.2">
      <c r="A498" s="118">
        <f t="shared" si="44"/>
        <v>35</v>
      </c>
      <c r="B498" s="226"/>
      <c r="C498" s="223"/>
      <c r="D498" s="168"/>
      <c r="E498" s="225"/>
      <c r="F498" s="183"/>
      <c r="G498" s="223"/>
      <c r="H498" s="223"/>
      <c r="I498" s="229"/>
      <c r="J498" s="171" t="s">
        <v>575</v>
      </c>
      <c r="N498" s="214">
        <f>N494-N496</f>
        <v>-312830.34449096862</v>
      </c>
      <c r="Q498" s="227"/>
      <c r="U498" s="184"/>
      <c r="V498" s="179"/>
      <c r="W498" s="180"/>
      <c r="Y498" s="184"/>
      <c r="Z498" s="181"/>
    </row>
    <row r="499" spans="1:93" x14ac:dyDescent="0.2">
      <c r="A499" s="118">
        <f t="shared" si="44"/>
        <v>36</v>
      </c>
      <c r="B499" s="226"/>
      <c r="C499" s="223"/>
      <c r="D499" s="168"/>
      <c r="E499" s="225"/>
      <c r="F499" s="183"/>
      <c r="G499" s="223"/>
      <c r="H499" s="223"/>
      <c r="I499" s="229"/>
      <c r="L499" s="197"/>
      <c r="P499" s="250"/>
      <c r="Q499" s="227"/>
      <c r="U499" s="184"/>
      <c r="V499" s="179"/>
      <c r="W499" s="180"/>
      <c r="Y499" s="184"/>
      <c r="Z499" s="181"/>
    </row>
    <row r="500" spans="1:93" x14ac:dyDescent="0.2">
      <c r="A500" s="118">
        <f t="shared" si="44"/>
        <v>37</v>
      </c>
      <c r="B500" s="226"/>
      <c r="C500" s="223"/>
      <c r="D500" s="168"/>
      <c r="E500" s="225"/>
      <c r="F500" s="1293"/>
      <c r="G500" s="1355"/>
      <c r="H500" s="1356"/>
      <c r="I500" s="229"/>
      <c r="J500" s="171"/>
      <c r="L500" s="197"/>
      <c r="N500" s="1356"/>
      <c r="O500" s="1355"/>
      <c r="P500" s="1359"/>
      <c r="Q500" s="227"/>
      <c r="U500" s="184"/>
      <c r="V500" s="179"/>
      <c r="W500" s="180"/>
      <c r="Y500" s="184"/>
      <c r="Z500" s="181"/>
    </row>
    <row r="501" spans="1:93" x14ac:dyDescent="0.2">
      <c r="A501" s="118">
        <f t="shared" si="44"/>
        <v>38</v>
      </c>
      <c r="B501" s="226"/>
      <c r="C501" s="223"/>
      <c r="D501" s="168"/>
      <c r="E501" s="225"/>
      <c r="F501" s="1357"/>
      <c r="G501" s="1355"/>
      <c r="H501" s="1358"/>
      <c r="I501" s="229"/>
      <c r="L501" s="197"/>
      <c r="N501" s="1358"/>
      <c r="O501" s="1355"/>
      <c r="P501" s="1360"/>
      <c r="Q501" s="247"/>
      <c r="U501" s="184"/>
      <c r="V501" s="179"/>
      <c r="W501" s="180"/>
      <c r="Y501" s="184"/>
      <c r="Z501" s="181"/>
    </row>
    <row r="502" spans="1:93" x14ac:dyDescent="0.2">
      <c r="A502" s="118">
        <f t="shared" si="44"/>
        <v>39</v>
      </c>
      <c r="B502" s="226"/>
      <c r="C502" s="223"/>
      <c r="D502" s="168"/>
      <c r="E502" s="225"/>
      <c r="F502" s="1357"/>
      <c r="G502" s="1355"/>
      <c r="H502" s="1358"/>
      <c r="I502" s="229"/>
      <c r="L502" s="197"/>
      <c r="N502" s="1358"/>
      <c r="O502" s="1355"/>
      <c r="P502" s="1360"/>
      <c r="Q502" s="227"/>
      <c r="U502" s="184"/>
      <c r="V502" s="179"/>
      <c r="W502" s="180"/>
      <c r="Y502" s="184"/>
      <c r="Z502" s="181"/>
    </row>
    <row r="503" spans="1:93" x14ac:dyDescent="0.2">
      <c r="A503" s="118">
        <f t="shared" si="44"/>
        <v>40</v>
      </c>
      <c r="B503" s="226"/>
      <c r="C503" s="223"/>
      <c r="D503" s="168"/>
      <c r="E503" s="225"/>
      <c r="F503" s="183"/>
      <c r="G503" s="223"/>
      <c r="H503" s="223"/>
      <c r="I503" s="229"/>
      <c r="J503" s="234"/>
      <c r="K503" s="225"/>
      <c r="L503" s="183"/>
      <c r="M503" s="223"/>
      <c r="N503" s="329"/>
      <c r="O503" s="227"/>
      <c r="P503" s="1355"/>
      <c r="Q503" s="227"/>
      <c r="U503" s="184"/>
      <c r="V503" s="179"/>
      <c r="W503" s="180"/>
      <c r="Y503" s="184"/>
      <c r="Z503" s="181"/>
    </row>
    <row r="504" spans="1:93" x14ac:dyDescent="0.2">
      <c r="A504" s="118">
        <f t="shared" si="44"/>
        <v>41</v>
      </c>
      <c r="B504" s="226"/>
      <c r="C504" s="223"/>
      <c r="D504" s="168"/>
      <c r="E504" s="225"/>
      <c r="F504" s="183"/>
      <c r="G504" s="223"/>
      <c r="H504" s="223"/>
      <c r="I504" s="229"/>
      <c r="J504" s="234"/>
      <c r="K504" s="225"/>
      <c r="L504" s="183"/>
      <c r="M504" s="223"/>
      <c r="N504" s="174"/>
      <c r="O504" s="227"/>
      <c r="Q504" s="227"/>
      <c r="U504" s="184"/>
      <c r="V504" s="179"/>
      <c r="W504" s="180"/>
      <c r="Y504" s="184"/>
      <c r="Z504" s="181"/>
    </row>
    <row r="505" spans="1:93" x14ac:dyDescent="0.2">
      <c r="A505" s="118">
        <f t="shared" si="44"/>
        <v>42</v>
      </c>
      <c r="B505" s="226"/>
      <c r="C505" s="223"/>
      <c r="D505" s="168"/>
      <c r="E505" s="225"/>
      <c r="F505" s="183"/>
      <c r="G505" s="223"/>
      <c r="H505" s="223"/>
      <c r="I505" s="229"/>
      <c r="J505" s="234"/>
      <c r="K505" s="225"/>
      <c r="L505" s="183"/>
      <c r="M505" s="223"/>
      <c r="N505" s="174"/>
      <c r="O505" s="227"/>
      <c r="Q505" s="227"/>
      <c r="U505" s="184"/>
      <c r="V505" s="179"/>
      <c r="W505" s="180"/>
      <c r="Y505" s="184"/>
      <c r="Z505" s="181"/>
    </row>
    <row r="506" spans="1:93" x14ac:dyDescent="0.2">
      <c r="A506" s="118">
        <f t="shared" si="44"/>
        <v>43</v>
      </c>
      <c r="B506" s="226"/>
      <c r="C506" s="223"/>
      <c r="D506" s="168"/>
      <c r="E506" s="225"/>
      <c r="F506" s="183"/>
      <c r="G506" s="223"/>
      <c r="H506" s="223"/>
      <c r="I506" s="229"/>
      <c r="J506" s="234"/>
      <c r="K506" s="225"/>
      <c r="L506" s="183"/>
      <c r="M506" s="223"/>
      <c r="N506" s="174"/>
      <c r="O506" s="227"/>
      <c r="Q506" s="227"/>
      <c r="U506" s="184"/>
      <c r="V506" s="179"/>
      <c r="W506" s="180"/>
      <c r="Y506" s="184"/>
      <c r="Z506" s="181"/>
    </row>
    <row r="507" spans="1:93" x14ac:dyDescent="0.2">
      <c r="A507" s="118">
        <f t="shared" si="44"/>
        <v>44</v>
      </c>
      <c r="B507" s="226"/>
      <c r="C507" s="223"/>
      <c r="D507" s="168"/>
      <c r="E507" s="225"/>
      <c r="F507" s="183"/>
      <c r="G507" s="223"/>
      <c r="H507" s="223"/>
      <c r="I507" s="229"/>
      <c r="J507" s="234"/>
      <c r="K507" s="225"/>
      <c r="L507" s="183"/>
      <c r="M507" s="223"/>
      <c r="N507" s="174"/>
      <c r="O507" s="227"/>
      <c r="Q507" s="227"/>
      <c r="U507" s="184"/>
      <c r="V507" s="179"/>
      <c r="W507" s="180"/>
      <c r="Y507" s="184"/>
      <c r="Z507" s="181"/>
    </row>
    <row r="508" spans="1:93" x14ac:dyDescent="0.2">
      <c r="A508" s="118">
        <f t="shared" si="44"/>
        <v>45</v>
      </c>
      <c r="B508" s="226"/>
      <c r="C508" s="223"/>
      <c r="D508" s="168"/>
      <c r="E508" s="225"/>
      <c r="F508" s="183"/>
      <c r="G508" s="223"/>
      <c r="H508" s="223"/>
      <c r="I508" s="229"/>
      <c r="J508" s="234"/>
      <c r="K508" s="225"/>
      <c r="L508" s="183"/>
      <c r="M508" s="223"/>
      <c r="N508" s="174"/>
      <c r="O508" s="227"/>
      <c r="Q508" s="227"/>
      <c r="U508" s="184"/>
      <c r="V508" s="179"/>
      <c r="W508" s="180"/>
      <c r="Y508" s="184"/>
      <c r="Z508" s="181"/>
    </row>
    <row r="509" spans="1:93" x14ac:dyDescent="0.2">
      <c r="A509" s="215"/>
      <c r="B509" s="215" t="s">
        <v>98</v>
      </c>
      <c r="C509" s="215"/>
      <c r="D509" s="215"/>
      <c r="E509" s="215"/>
      <c r="F509" s="299"/>
      <c r="G509" s="215"/>
      <c r="H509" s="215"/>
      <c r="I509" s="215"/>
      <c r="J509" s="215"/>
      <c r="K509" s="215"/>
      <c r="L509" s="299"/>
      <c r="M509" s="215"/>
      <c r="N509" s="215" t="s">
        <v>99</v>
      </c>
      <c r="O509" s="215"/>
      <c r="P509" s="215"/>
      <c r="Q509" s="215"/>
      <c r="U509" s="316"/>
      <c r="V509" s="245"/>
      <c r="W509" s="245"/>
      <c r="Y509" s="316"/>
      <c r="Z509" s="317"/>
    </row>
    <row r="510" spans="1:93" x14ac:dyDescent="0.2">
      <c r="A510" s="216"/>
      <c r="B510" s="216"/>
      <c r="C510" s="216"/>
      <c r="D510" s="216"/>
      <c r="E510" s="216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7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  <c r="AO510" s="216"/>
      <c r="AP510" s="216"/>
      <c r="AQ510" s="216"/>
      <c r="AR510" s="216"/>
      <c r="AS510" s="216"/>
      <c r="AT510" s="216"/>
      <c r="AU510" s="216"/>
      <c r="AV510" s="216"/>
      <c r="AW510" s="216"/>
      <c r="AX510" s="216"/>
      <c r="AY510" s="216"/>
      <c r="AZ510" s="216"/>
      <c r="BA510" s="216"/>
      <c r="BB510" s="216"/>
      <c r="BC510" s="216"/>
      <c r="BD510" s="216"/>
      <c r="BE510" s="216"/>
      <c r="BF510" s="216"/>
      <c r="BG510" s="216"/>
      <c r="BH510" s="216"/>
      <c r="BI510" s="216"/>
      <c r="BJ510" s="216"/>
      <c r="BK510" s="216"/>
      <c r="BL510" s="216"/>
      <c r="BM510" s="216"/>
      <c r="BN510" s="216"/>
      <c r="BO510" s="216"/>
      <c r="BP510" s="216"/>
      <c r="BQ510" s="216"/>
      <c r="BR510" s="216"/>
      <c r="BS510" s="216"/>
      <c r="BT510" s="216"/>
      <c r="BU510" s="216"/>
      <c r="BV510" s="216"/>
      <c r="BW510" s="216"/>
      <c r="BX510" s="216"/>
      <c r="BY510" s="216"/>
      <c r="BZ510" s="216"/>
      <c r="CA510" s="216"/>
      <c r="CB510" s="216"/>
      <c r="CC510" s="216"/>
      <c r="CD510" s="216"/>
      <c r="CE510" s="216"/>
      <c r="CF510" s="216"/>
      <c r="CG510" s="216"/>
      <c r="CH510" s="216"/>
      <c r="CI510" s="216"/>
      <c r="CJ510" s="216"/>
      <c r="CK510" s="216"/>
      <c r="CL510" s="216"/>
      <c r="CM510" s="216"/>
      <c r="CN510" s="216"/>
      <c r="CO510" s="216"/>
    </row>
    <row r="511" spans="1:93" x14ac:dyDescent="0.2">
      <c r="A511" s="100" t="s">
        <v>505</v>
      </c>
      <c r="C511" s="102"/>
      <c r="D511" s="103"/>
      <c r="F511" s="268"/>
      <c r="G511" s="104"/>
      <c r="H511" s="269" t="s">
        <v>506</v>
      </c>
      <c r="I511" s="104"/>
      <c r="J511" s="104"/>
      <c r="K511" s="104"/>
      <c r="L511" s="268"/>
      <c r="N511" s="270"/>
      <c r="Q511" s="106" t="s">
        <v>633</v>
      </c>
      <c r="R511" s="105"/>
      <c r="S511" s="105"/>
      <c r="T511" s="114"/>
      <c r="U511" s="114"/>
      <c r="V511" s="114"/>
      <c r="W511" s="114"/>
      <c r="X511" s="114"/>
      <c r="Y511" s="114"/>
      <c r="Z511" s="218"/>
      <c r="AA511" s="114"/>
      <c r="AE511" s="114"/>
    </row>
    <row r="512" spans="1:93" ht="10.8" thickBot="1" x14ac:dyDescent="0.25">
      <c r="A512" s="108"/>
      <c r="B512" s="109"/>
      <c r="C512" s="109"/>
      <c r="D512" s="109"/>
      <c r="E512" s="110" t="s">
        <v>416</v>
      </c>
      <c r="F512" s="271" t="s">
        <v>416</v>
      </c>
      <c r="G512" s="109" t="s">
        <v>416</v>
      </c>
      <c r="H512" s="272" t="s">
        <v>416</v>
      </c>
      <c r="I512" s="109" t="s">
        <v>416</v>
      </c>
      <c r="J512" s="109"/>
      <c r="K512" s="109"/>
      <c r="L512" s="271" t="s">
        <v>416</v>
      </c>
      <c r="M512" s="111"/>
      <c r="N512" s="273"/>
      <c r="O512" s="109"/>
      <c r="P512" s="112"/>
      <c r="Q512" s="109"/>
      <c r="T512" s="114"/>
      <c r="U512" s="114"/>
      <c r="V512" s="114"/>
      <c r="W512" s="114"/>
      <c r="X512" s="114"/>
      <c r="Y512" s="114"/>
      <c r="Z512" s="218"/>
      <c r="AA512" s="114"/>
      <c r="AE512" s="114"/>
    </row>
    <row r="513" spans="1:93" x14ac:dyDescent="0.2">
      <c r="A513" s="113"/>
      <c r="F513" s="197"/>
      <c r="H513" s="203"/>
      <c r="L513" s="197"/>
      <c r="M513" s="105"/>
      <c r="N513" s="270"/>
      <c r="P513" s="114"/>
      <c r="T513" s="114"/>
      <c r="U513" s="114"/>
      <c r="V513" s="114"/>
      <c r="W513" s="114"/>
      <c r="X513" s="114"/>
      <c r="Y513" s="114"/>
      <c r="Z513" s="218"/>
      <c r="AA513" s="114"/>
      <c r="AE513" s="114"/>
    </row>
    <row r="514" spans="1:93" x14ac:dyDescent="0.2">
      <c r="A514" s="100" t="s">
        <v>3</v>
      </c>
      <c r="D514" s="106" t="s">
        <v>4</v>
      </c>
      <c r="E514" s="101" t="s">
        <v>508</v>
      </c>
      <c r="F514" s="197"/>
      <c r="H514" s="203"/>
      <c r="L514" s="197"/>
      <c r="N514" s="203"/>
      <c r="O514" s="100" t="s">
        <v>6</v>
      </c>
      <c r="T514" s="114"/>
      <c r="U514" s="114"/>
      <c r="V514" s="114"/>
      <c r="W514" s="114"/>
      <c r="X514" s="114"/>
      <c r="Y514" s="114"/>
      <c r="Z514" s="218"/>
      <c r="AA514" s="114"/>
      <c r="AE514" s="114"/>
    </row>
    <row r="515" spans="1:93" x14ac:dyDescent="0.2">
      <c r="E515" s="101" t="s">
        <v>509</v>
      </c>
      <c r="F515" s="197"/>
      <c r="H515" s="203"/>
      <c r="L515" s="197"/>
      <c r="N515" s="203"/>
      <c r="T515" s="114"/>
      <c r="U515" s="114"/>
      <c r="V515" s="114"/>
      <c r="W515" s="114"/>
      <c r="X515" s="114"/>
      <c r="Y515" s="114"/>
      <c r="Z515" s="218"/>
      <c r="AA515" s="114"/>
      <c r="AE515" s="114"/>
    </row>
    <row r="516" spans="1:93" x14ac:dyDescent="0.2">
      <c r="A516" s="100" t="s">
        <v>9</v>
      </c>
      <c r="E516" s="101" t="s">
        <v>510</v>
      </c>
      <c r="F516" s="197"/>
      <c r="H516" s="203"/>
      <c r="L516" s="197"/>
      <c r="N516" s="203"/>
      <c r="O516" s="107" t="str">
        <f>O456</f>
        <v>__X__  Projected Test Year Ended 12/31/26</v>
      </c>
      <c r="T516" s="114"/>
      <c r="U516" s="114"/>
      <c r="V516" s="114"/>
      <c r="W516" s="114"/>
      <c r="X516" s="114"/>
      <c r="Y516" s="114"/>
      <c r="Z516" s="218"/>
      <c r="AA516" s="114"/>
      <c r="AE516" s="114"/>
    </row>
    <row r="517" spans="1:93" x14ac:dyDescent="0.2">
      <c r="E517" s="101" t="s">
        <v>512</v>
      </c>
      <c r="F517" s="197"/>
      <c r="H517" s="203"/>
      <c r="L517" s="197"/>
      <c r="N517" s="203"/>
      <c r="T517" s="114"/>
      <c r="U517" s="114"/>
      <c r="V517" s="114"/>
      <c r="W517" s="114"/>
      <c r="X517" s="114"/>
      <c r="Y517" s="114"/>
      <c r="Z517" s="218"/>
      <c r="AA517" s="114"/>
      <c r="AE517" s="114"/>
    </row>
    <row r="518" spans="1:93" x14ac:dyDescent="0.2">
      <c r="A518" s="100" t="s">
        <v>491</v>
      </c>
      <c r="C518" s="119" t="s">
        <v>605</v>
      </c>
      <c r="F518" s="197"/>
      <c r="H518" s="203"/>
      <c r="L518" s="197"/>
      <c r="N518" s="203"/>
      <c r="O518" s="100" t="s">
        <v>493</v>
      </c>
      <c r="T518" s="114"/>
      <c r="U518" s="114"/>
      <c r="V518" s="114"/>
      <c r="W518" s="114"/>
      <c r="X518" s="114"/>
      <c r="Y518" s="114"/>
      <c r="Z518" s="218"/>
      <c r="AA518" s="114"/>
      <c r="AE518" s="114"/>
    </row>
    <row r="519" spans="1:93" ht="10.8" thickBot="1" x14ac:dyDescent="0.25">
      <c r="A519" s="123"/>
      <c r="B519" s="109"/>
      <c r="C519" s="109"/>
      <c r="D519" s="109"/>
      <c r="E519" s="109"/>
      <c r="F519" s="274"/>
      <c r="G519" s="109"/>
      <c r="H519" s="272"/>
      <c r="I519" s="109"/>
      <c r="J519" s="109"/>
      <c r="K519" s="109"/>
      <c r="L519" s="274"/>
      <c r="M519" s="109"/>
      <c r="N519" s="275"/>
      <c r="O519" s="109"/>
      <c r="P519" s="109"/>
      <c r="Q519" s="109"/>
      <c r="T519" s="114"/>
      <c r="U519" s="114"/>
      <c r="V519" s="114"/>
      <c r="W519" s="114"/>
      <c r="X519" s="114"/>
      <c r="Y519" s="114"/>
      <c r="Z519" s="218"/>
      <c r="AA519" s="114"/>
      <c r="AE519" s="114"/>
    </row>
    <row r="520" spans="1:93" ht="15.6" x14ac:dyDescent="0.2">
      <c r="B520" s="124"/>
      <c r="C520" s="125"/>
      <c r="D520" s="125"/>
      <c r="E520" s="125"/>
      <c r="F520" s="276"/>
      <c r="G520" s="125"/>
      <c r="H520" s="277"/>
      <c r="I520" s="126" t="s">
        <v>634</v>
      </c>
      <c r="J520" s="125"/>
      <c r="K520" s="125"/>
      <c r="L520" s="276"/>
      <c r="M520" s="125"/>
      <c r="N520" s="277"/>
      <c r="U520" s="127" t="s">
        <v>530</v>
      </c>
      <c r="V520" s="128"/>
      <c r="W520" s="129"/>
      <c r="X520" s="114"/>
      <c r="Y520" s="130" t="s">
        <v>531</v>
      </c>
      <c r="Z520" s="131"/>
      <c r="AA520" s="114"/>
    </row>
    <row r="521" spans="1:93" x14ac:dyDescent="0.2">
      <c r="A521" s="101" t="s">
        <v>30</v>
      </c>
      <c r="B521" s="101" t="s">
        <v>532</v>
      </c>
      <c r="C521" s="132"/>
      <c r="D521" s="133" t="s">
        <v>533</v>
      </c>
      <c r="E521" s="134"/>
      <c r="F521" s="278"/>
      <c r="G521" s="133"/>
      <c r="H521" s="279"/>
      <c r="I521" s="135"/>
      <c r="J521" s="136" t="s">
        <v>534</v>
      </c>
      <c r="K521" s="133"/>
      <c r="L521" s="278"/>
      <c r="M521" s="134"/>
      <c r="N521" s="280"/>
      <c r="O521" s="137"/>
      <c r="Q521" s="118" t="s">
        <v>332</v>
      </c>
      <c r="U521" s="138"/>
      <c r="V521" s="139"/>
      <c r="W521" s="140"/>
      <c r="X521" s="114"/>
      <c r="Y521" s="138"/>
      <c r="Z521" s="141"/>
      <c r="AA521" s="114"/>
    </row>
    <row r="522" spans="1:93" x14ac:dyDescent="0.2">
      <c r="A522" s="101" t="s">
        <v>39</v>
      </c>
      <c r="B522" s="102" t="s">
        <v>535</v>
      </c>
      <c r="C522" s="104"/>
      <c r="D522" s="142" t="s">
        <v>536</v>
      </c>
      <c r="E522" s="143"/>
      <c r="F522" s="281" t="s">
        <v>537</v>
      </c>
      <c r="G522" s="142"/>
      <c r="H522" s="282" t="s">
        <v>538</v>
      </c>
      <c r="I522" s="144"/>
      <c r="J522" s="142" t="s">
        <v>536</v>
      </c>
      <c r="K522" s="143"/>
      <c r="L522" s="281" t="s">
        <v>537</v>
      </c>
      <c r="M522" s="142"/>
      <c r="N522" s="282" t="s">
        <v>538</v>
      </c>
      <c r="O522" s="132"/>
      <c r="Q522" s="145" t="s">
        <v>539</v>
      </c>
      <c r="R522" s="132"/>
      <c r="S522" s="132"/>
      <c r="U522" s="138" t="s">
        <v>128</v>
      </c>
      <c r="V522" s="146" t="s">
        <v>343</v>
      </c>
      <c r="W522" s="147" t="s">
        <v>344</v>
      </c>
      <c r="X522" s="118"/>
      <c r="Y522" s="148" t="s">
        <v>128</v>
      </c>
      <c r="Z522" s="149"/>
      <c r="AA522" s="118"/>
      <c r="AB522" s="118"/>
      <c r="AH522" s="116"/>
      <c r="AI522" s="116"/>
      <c r="AJ522" s="116"/>
      <c r="AK522" s="116"/>
      <c r="AL522" s="116"/>
      <c r="AM522" s="116"/>
      <c r="AN522" s="116"/>
      <c r="AO522" s="116"/>
      <c r="AP522" s="116"/>
      <c r="AQ522" s="116"/>
      <c r="AR522" s="116"/>
      <c r="AS522" s="116"/>
      <c r="AT522" s="116"/>
      <c r="AU522" s="116"/>
      <c r="AV522" s="116"/>
      <c r="AW522" s="116"/>
      <c r="AX522" s="116"/>
      <c r="AY522" s="116"/>
      <c r="AZ522" s="116"/>
      <c r="BA522" s="116"/>
      <c r="BB522" s="116"/>
      <c r="BC522" s="116"/>
      <c r="BD522" s="116"/>
      <c r="BE522" s="116"/>
      <c r="BF522" s="116"/>
      <c r="BG522" s="116"/>
      <c r="BH522" s="116"/>
      <c r="BI522" s="116"/>
      <c r="BJ522" s="116"/>
      <c r="BK522" s="116"/>
      <c r="BL522" s="116"/>
      <c r="BM522" s="116"/>
      <c r="BN522" s="116"/>
      <c r="BO522" s="116"/>
      <c r="BP522" s="116"/>
      <c r="BQ522" s="116"/>
      <c r="BR522" s="116"/>
      <c r="BS522" s="116"/>
      <c r="BT522" s="116"/>
      <c r="BU522" s="116"/>
      <c r="BV522" s="116"/>
      <c r="BW522" s="116"/>
      <c r="BX522" s="116"/>
      <c r="BY522" s="116"/>
      <c r="BZ522" s="116"/>
      <c r="CA522" s="116"/>
      <c r="CB522" s="116"/>
      <c r="CC522" s="116"/>
      <c r="CD522" s="116"/>
      <c r="CE522" s="116"/>
      <c r="CF522" s="116"/>
      <c r="CG522" s="116"/>
      <c r="CH522" s="116"/>
      <c r="CI522" s="116"/>
      <c r="CJ522" s="116"/>
      <c r="CK522" s="116"/>
      <c r="CL522" s="116"/>
      <c r="CM522" s="116"/>
      <c r="CN522" s="116"/>
      <c r="CO522" s="116"/>
    </row>
    <row r="523" spans="1:93" ht="10.8" thickBot="1" x14ac:dyDescent="0.25">
      <c r="A523" s="109"/>
      <c r="B523" s="110" t="s">
        <v>274</v>
      </c>
      <c r="C523" s="150"/>
      <c r="D523" s="220" t="str">
        <f>+$D$13</f>
        <v>Jan '26-Dec '26</v>
      </c>
      <c r="E523" s="221"/>
      <c r="F523" s="152">
        <f>+$L$13</f>
        <v>46023</v>
      </c>
      <c r="G523" s="153"/>
      <c r="H523" s="153"/>
      <c r="I523" s="153"/>
      <c r="J523" s="153"/>
      <c r="K523" s="151"/>
      <c r="L523" s="152">
        <f>+$L$13</f>
        <v>46023</v>
      </c>
      <c r="M523" s="154"/>
      <c r="N523" s="283"/>
      <c r="O523" s="155"/>
      <c r="P523" s="109"/>
      <c r="Q523" s="156"/>
      <c r="R523" s="132"/>
      <c r="S523" s="132"/>
      <c r="U523" s="157" t="s">
        <v>144</v>
      </c>
      <c r="V523" s="158" t="s">
        <v>540</v>
      </c>
      <c r="W523" s="159" t="s">
        <v>540</v>
      </c>
      <c r="X523" s="118"/>
      <c r="Y523" s="160" t="s">
        <v>144</v>
      </c>
      <c r="Z523" s="159" t="s">
        <v>541</v>
      </c>
      <c r="AA523" s="118"/>
      <c r="AB523" s="118"/>
      <c r="AH523" s="116"/>
      <c r="AI523" s="116"/>
      <c r="AJ523" s="116"/>
      <c r="AK523" s="116"/>
      <c r="AL523" s="116"/>
      <c r="AM523" s="116"/>
      <c r="AN523" s="116"/>
      <c r="AO523" s="116"/>
      <c r="AP523" s="116"/>
      <c r="AQ523" s="116"/>
      <c r="AR523" s="116"/>
      <c r="AS523" s="116"/>
      <c r="AT523" s="116"/>
      <c r="AU523" s="116"/>
      <c r="AV523" s="116"/>
      <c r="AW523" s="116"/>
      <c r="AX523" s="116"/>
      <c r="AY523" s="116"/>
      <c r="AZ523" s="116"/>
      <c r="BA523" s="116"/>
      <c r="BB523" s="116"/>
      <c r="BC523" s="116"/>
      <c r="BD523" s="116"/>
      <c r="BE523" s="116"/>
      <c r="BF523" s="116"/>
      <c r="BG523" s="116"/>
      <c r="BH523" s="116"/>
      <c r="BI523" s="116"/>
      <c r="BJ523" s="116"/>
      <c r="BK523" s="116"/>
      <c r="BL523" s="116"/>
      <c r="BM523" s="116"/>
      <c r="BN523" s="116"/>
      <c r="BO523" s="116"/>
      <c r="BP523" s="116"/>
      <c r="BQ523" s="116"/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6"/>
      <c r="CB523" s="116"/>
      <c r="CC523" s="116"/>
      <c r="CD523" s="116"/>
      <c r="CE523" s="116"/>
      <c r="CF523" s="116"/>
      <c r="CG523" s="116"/>
      <c r="CH523" s="116"/>
      <c r="CI523" s="116"/>
      <c r="CJ523" s="116"/>
      <c r="CK523" s="116"/>
      <c r="CL523" s="116"/>
      <c r="CM523" s="116"/>
      <c r="CN523" s="116"/>
      <c r="CO523" s="116"/>
    </row>
    <row r="524" spans="1:93" x14ac:dyDescent="0.2">
      <c r="A524" s="118">
        <v>1</v>
      </c>
      <c r="B524" s="222" t="s">
        <v>542</v>
      </c>
      <c r="C524" s="223"/>
      <c r="E524" s="225"/>
      <c r="F524" s="284"/>
      <c r="G524" s="227"/>
      <c r="H524" s="285"/>
      <c r="I524" s="308"/>
      <c r="J524" s="226"/>
      <c r="K524" s="225"/>
      <c r="L524" s="284"/>
      <c r="M524" s="227"/>
      <c r="N524" s="285"/>
      <c r="O524" s="227"/>
      <c r="P524" s="227"/>
      <c r="Q524" s="230"/>
      <c r="R524" s="132"/>
      <c r="S524" s="132"/>
      <c r="T524" s="118"/>
      <c r="U524" s="163"/>
      <c r="V524" s="139"/>
      <c r="W524" s="140"/>
      <c r="X524" s="118"/>
      <c r="Y524" s="163"/>
      <c r="Z524" s="141"/>
      <c r="AA524" s="118"/>
      <c r="AB524" s="118"/>
      <c r="AH524" s="116"/>
      <c r="AI524" s="116"/>
      <c r="AJ524" s="116"/>
      <c r="AK524" s="116"/>
      <c r="AL524" s="116"/>
      <c r="AM524" s="116"/>
      <c r="AN524" s="116"/>
      <c r="AO524" s="116"/>
      <c r="AP524" s="116"/>
      <c r="AQ524" s="116"/>
      <c r="AR524" s="116"/>
      <c r="AS524" s="116"/>
      <c r="AT524" s="116"/>
      <c r="AU524" s="116"/>
      <c r="AV524" s="116"/>
      <c r="AW524" s="116"/>
      <c r="AX524" s="116"/>
      <c r="AY524" s="116"/>
      <c r="AZ524" s="116"/>
      <c r="BA524" s="116"/>
      <c r="BB524" s="116"/>
      <c r="BC524" s="116"/>
      <c r="BD524" s="116"/>
      <c r="BE524" s="116"/>
      <c r="BF524" s="116"/>
      <c r="BG524" s="116"/>
      <c r="BH524" s="116"/>
      <c r="BI524" s="116"/>
      <c r="BJ524" s="116"/>
      <c r="BK524" s="116"/>
      <c r="BL524" s="116"/>
      <c r="BM524" s="116"/>
      <c r="BN524" s="116"/>
      <c r="BO524" s="116"/>
      <c r="BP524" s="116"/>
      <c r="BQ524" s="116"/>
      <c r="BR524" s="116"/>
      <c r="BS524" s="116"/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</row>
    <row r="525" spans="1:93" x14ac:dyDescent="0.2">
      <c r="A525" s="118">
        <f t="shared" ref="A525:A569" si="49">+A524+1</f>
        <v>2</v>
      </c>
      <c r="B525" s="228" t="s">
        <v>543</v>
      </c>
      <c r="C525" s="223"/>
      <c r="D525" s="168"/>
      <c r="E525" s="225"/>
      <c r="F525" s="183"/>
      <c r="G525" s="223"/>
      <c r="H525" s="174"/>
      <c r="I525" s="308"/>
      <c r="J525" s="168"/>
      <c r="K525" s="225"/>
      <c r="L525" s="857">
        <v>0</v>
      </c>
      <c r="M525" s="223"/>
      <c r="N525" s="174"/>
      <c r="O525" s="227"/>
      <c r="P525" s="227"/>
      <c r="Q525" s="227"/>
      <c r="R525" s="227"/>
      <c r="S525" s="227"/>
      <c r="T525" s="227"/>
      <c r="U525" s="163"/>
      <c r="V525" s="139"/>
      <c r="W525" s="140"/>
      <c r="X525" s="227"/>
      <c r="Y525" s="163"/>
      <c r="Z525" s="141"/>
      <c r="AA525" s="227"/>
      <c r="AB525" s="118"/>
      <c r="AH525" s="116"/>
      <c r="AI525" s="116"/>
      <c r="AJ525" s="116"/>
      <c r="AK525" s="116"/>
      <c r="AL525" s="116"/>
      <c r="AM525" s="116"/>
      <c r="AN525" s="116"/>
      <c r="AO525" s="116"/>
      <c r="AP525" s="116"/>
      <c r="AQ525" s="116"/>
      <c r="AR525" s="116"/>
      <c r="AS525" s="116"/>
      <c r="AT525" s="116"/>
      <c r="AU525" s="116"/>
      <c r="AV525" s="116"/>
      <c r="AW525" s="116"/>
      <c r="AX525" s="116"/>
      <c r="AY525" s="116"/>
      <c r="AZ525" s="116"/>
      <c r="BA525" s="116"/>
      <c r="BB525" s="116"/>
      <c r="BC525" s="116"/>
      <c r="BD525" s="116"/>
      <c r="BE525" s="116"/>
      <c r="BF525" s="116"/>
      <c r="BG525" s="116"/>
      <c r="BH525" s="116"/>
      <c r="BI525" s="116"/>
      <c r="BJ525" s="116"/>
      <c r="BK525" s="116"/>
      <c r="BL525" s="116"/>
      <c r="BM525" s="116"/>
      <c r="BN525" s="116"/>
      <c r="BO525" s="116"/>
      <c r="BP525" s="116"/>
      <c r="BQ525" s="116"/>
      <c r="BR525" s="116"/>
      <c r="BS525" s="116"/>
      <c r="BT525" s="116"/>
      <c r="BU525" s="116"/>
      <c r="BV525" s="116"/>
      <c r="BW525" s="116"/>
      <c r="BX525" s="116"/>
      <c r="BY525" s="116"/>
      <c r="BZ525" s="116"/>
      <c r="CA525" s="116"/>
      <c r="CB525" s="116"/>
      <c r="CC525" s="116"/>
      <c r="CD525" s="116"/>
      <c r="CE525" s="116"/>
      <c r="CF525" s="116"/>
      <c r="CG525" s="116"/>
      <c r="CH525" s="116"/>
      <c r="CI525" s="116"/>
      <c r="CJ525" s="116"/>
      <c r="CK525" s="116"/>
      <c r="CL525" s="116"/>
      <c r="CM525" s="116"/>
      <c r="CN525" s="116"/>
      <c r="CO525" s="116"/>
    </row>
    <row r="526" spans="1:93" x14ac:dyDescent="0.2">
      <c r="A526" s="118">
        <f t="shared" si="49"/>
        <v>3</v>
      </c>
      <c r="B526" s="232" t="s">
        <v>578</v>
      </c>
      <c r="C526" s="223"/>
      <c r="D526" s="172">
        <f>SUMIF($AH$6:$CP$6,1,$AH526:$CP526)</f>
        <v>770753.79050977225</v>
      </c>
      <c r="E526" s="225" t="s">
        <v>545</v>
      </c>
      <c r="F526" s="173">
        <f>'Exhibit MJC-3 - E-13c cal yr'!F528</f>
        <v>2.1800000000000002</v>
      </c>
      <c r="G526" s="233" t="s">
        <v>375</v>
      </c>
      <c r="H526" s="174">
        <f>ROUND(D526*F526,2)</f>
        <v>1680243.26</v>
      </c>
      <c r="I526" s="308"/>
      <c r="J526" s="172">
        <f>SUMIF($AH$6:$CP$6,1,$AH526:$CP526)</f>
        <v>770753.79050977225</v>
      </c>
      <c r="K526" s="225" t="s">
        <v>545</v>
      </c>
      <c r="L526" s="183">
        <f>ROUND(F526*(1+'Exhibit MJC-2 - Old E-8a'!$V$31)+L525,2)</f>
        <v>2.27</v>
      </c>
      <c r="M526" s="233" t="s">
        <v>375</v>
      </c>
      <c r="N526" s="174">
        <f>ROUND(J526*L526,2)</f>
        <v>1749611.1</v>
      </c>
      <c r="O526" s="227"/>
      <c r="P526" s="227"/>
      <c r="Q526" s="939"/>
      <c r="R526" s="227"/>
      <c r="S526" s="227"/>
      <c r="T526" s="227"/>
      <c r="U526" s="184" t="s">
        <v>125</v>
      </c>
      <c r="V526" s="179">
        <v>259</v>
      </c>
      <c r="W526" s="180">
        <v>233</v>
      </c>
      <c r="X526" s="227"/>
      <c r="Y526" s="184"/>
      <c r="Z526" s="181"/>
      <c r="AA526" s="227"/>
      <c r="AB526" s="182">
        <f>SUM(AH526:AS526)</f>
        <v>737906.96182837524</v>
      </c>
      <c r="AC526" s="182">
        <f>SUM(AT526:BE526)</f>
        <v>748873.78475215437</v>
      </c>
      <c r="AD526" s="182">
        <f>SUM(BF526:BQ526)</f>
        <v>759803.02462192834</v>
      </c>
      <c r="AE526" s="182">
        <f>SUM(BR526:CC526)</f>
        <v>770753.79050977225</v>
      </c>
      <c r="AF526" s="182">
        <f>SUM(CD526:CO526)</f>
        <v>781558.19376215769</v>
      </c>
      <c r="AH526" s="168">
        <v>60795.900529200095</v>
      </c>
      <c r="AI526" s="168">
        <v>61574.789556824311</v>
      </c>
      <c r="AJ526" s="168">
        <v>61783.903624732753</v>
      </c>
      <c r="AK526" s="168">
        <v>61429.608130941982</v>
      </c>
      <c r="AL526" s="168">
        <v>61892.158052995626</v>
      </c>
      <c r="AM526" s="168">
        <v>61803.683770418094</v>
      </c>
      <c r="AN526" s="168">
        <v>61250.108077976103</v>
      </c>
      <c r="AO526" s="168">
        <v>61680.275761550758</v>
      </c>
      <c r="AP526" s="168">
        <v>61353.813222624369</v>
      </c>
      <c r="AQ526" s="168">
        <v>61617.299098552045</v>
      </c>
      <c r="AR526" s="168">
        <v>61204.00216523667</v>
      </c>
      <c r="AS526" s="168">
        <v>61521.419837322414</v>
      </c>
      <c r="AT526" s="168">
        <v>61697.368098304229</v>
      </c>
      <c r="AU526" s="168">
        <v>62488.276023850442</v>
      </c>
      <c r="AV526" s="168">
        <v>62698.922887889516</v>
      </c>
      <c r="AW526" s="168">
        <v>62339.16465294268</v>
      </c>
      <c r="AX526" s="168">
        <v>62813.408139624393</v>
      </c>
      <c r="AY526" s="168">
        <v>62726.567022155556</v>
      </c>
      <c r="AZ526" s="168">
        <v>62164.908647211611</v>
      </c>
      <c r="BA526" s="168">
        <v>62603.945819952954</v>
      </c>
      <c r="BB526" s="168">
        <v>62268.242665854857</v>
      </c>
      <c r="BC526" s="168">
        <v>62534.797993042208</v>
      </c>
      <c r="BD526" s="168">
        <v>62107.503965996351</v>
      </c>
      <c r="BE526" s="168">
        <v>62430.678835329716</v>
      </c>
      <c r="BF526" s="168">
        <v>62612.582232741719</v>
      </c>
      <c r="BG526" s="168">
        <v>63413.102753629566</v>
      </c>
      <c r="BH526" s="168">
        <v>63624.28908681246</v>
      </c>
      <c r="BI526" s="168">
        <v>63253.131267497527</v>
      </c>
      <c r="BJ526" s="168">
        <v>63733.369659126038</v>
      </c>
      <c r="BK526" s="168">
        <v>63642.226990106501</v>
      </c>
      <c r="BL526" s="168">
        <v>63066.619535539234</v>
      </c>
      <c r="BM526" s="168">
        <v>63512.43192785616</v>
      </c>
      <c r="BN526" s="168">
        <v>63169.557083340434</v>
      </c>
      <c r="BO526" s="168">
        <v>63441.121504369105</v>
      </c>
      <c r="BP526" s="168">
        <v>63001.857412825448</v>
      </c>
      <c r="BQ526" s="168">
        <v>63332.735168084211</v>
      </c>
      <c r="BR526" s="168">
        <v>63522.582396834769</v>
      </c>
      <c r="BS526" s="168">
        <v>64334.686144831598</v>
      </c>
      <c r="BT526" s="168">
        <v>64548.490465621246</v>
      </c>
      <c r="BU526" s="168">
        <v>64168.012104677116</v>
      </c>
      <c r="BV526" s="168">
        <v>64656.285555717674</v>
      </c>
      <c r="BW526" s="168">
        <v>64562.775666178735</v>
      </c>
      <c r="BX526" s="168">
        <v>63975.092231946328</v>
      </c>
      <c r="BY526" s="168">
        <v>64427.771860395966</v>
      </c>
      <c r="BZ526" s="168">
        <v>64075.966139916018</v>
      </c>
      <c r="CA526" s="168">
        <v>64350.745064052076</v>
      </c>
      <c r="CB526" s="168">
        <v>63897.539029197891</v>
      </c>
      <c r="CC526" s="168">
        <v>64233.843850402838</v>
      </c>
      <c r="CD526" s="168">
        <v>64429.063901120018</v>
      </c>
      <c r="CE526" s="168">
        <v>65249.942146464266</v>
      </c>
      <c r="CF526" s="168">
        <v>65463.702075479647</v>
      </c>
      <c r="CG526" s="168">
        <v>65071.432155689239</v>
      </c>
      <c r="CH526" s="168">
        <v>65565.080717630277</v>
      </c>
      <c r="CI526" s="168">
        <v>65466.807524866657</v>
      </c>
      <c r="CJ526" s="168">
        <v>64864.922481559988</v>
      </c>
      <c r="CK526" s="168">
        <v>65324.38206883434</v>
      </c>
      <c r="CL526" s="168">
        <v>64966.420793385987</v>
      </c>
      <c r="CM526" s="168">
        <v>65246.837060804552</v>
      </c>
      <c r="CN526" s="168">
        <v>64782.508922936227</v>
      </c>
      <c r="CO526" s="168">
        <v>65127.093913386423</v>
      </c>
    </row>
    <row r="527" spans="1:93" x14ac:dyDescent="0.2">
      <c r="A527" s="118">
        <f t="shared" si="49"/>
        <v>4</v>
      </c>
      <c r="B527" s="234" t="s">
        <v>149</v>
      </c>
      <c r="C527" s="223"/>
      <c r="D527" s="172">
        <f>SUMIF($AH$6:$CP$6,1,$AH527:$CP527)</f>
        <v>13005.372413863875</v>
      </c>
      <c r="E527" s="225" t="s">
        <v>545</v>
      </c>
      <c r="F527" s="173">
        <f>'Exhibit MJC-3 - E-13c cal yr'!F529</f>
        <v>6.29</v>
      </c>
      <c r="G527" s="233" t="s">
        <v>375</v>
      </c>
      <c r="H527" s="187">
        <f>ROUND(D527*F527,2)</f>
        <v>81803.789999999994</v>
      </c>
      <c r="I527" s="308"/>
      <c r="J527" s="172">
        <f>SUMIF($AH$6:$CP$6,1,$AH527:$CP527)</f>
        <v>13005.372413863875</v>
      </c>
      <c r="K527" s="225" t="s">
        <v>545</v>
      </c>
      <c r="L527" s="183">
        <f>ROUND(F527*(1+'Exhibit MJC-2 - Old E-8a'!$V$31)+L525,2)</f>
        <v>6.54</v>
      </c>
      <c r="M527" s="233" t="s">
        <v>375</v>
      </c>
      <c r="N527" s="187">
        <f>ROUND(J527*L527,2)</f>
        <v>85055.14</v>
      </c>
      <c r="O527" s="227"/>
      <c r="P527" s="227"/>
      <c r="Q527" s="939"/>
      <c r="R527" s="227"/>
      <c r="S527" s="227"/>
      <c r="T527" s="227"/>
      <c r="U527" s="184" t="s">
        <v>125</v>
      </c>
      <c r="V527" s="179">
        <v>259</v>
      </c>
      <c r="W527" s="180">
        <v>233</v>
      </c>
      <c r="X527" s="227"/>
      <c r="Y527" s="184"/>
      <c r="Z527" s="181"/>
      <c r="AA527" s="227"/>
      <c r="AB527" s="182">
        <f>SUM(AH527:AS527)</f>
        <v>12451.128964300797</v>
      </c>
      <c r="AC527" s="182">
        <f>SUM(AT527:BE527)</f>
        <v>12636.178480860835</v>
      </c>
      <c r="AD527" s="182">
        <f>SUM(BF527:BQ527)</f>
        <v>12820.593836914873</v>
      </c>
      <c r="AE527" s="182">
        <f>SUM(BR527:CC527)</f>
        <v>13005.372413863875</v>
      </c>
      <c r="AF527" s="182">
        <f>SUM(CD527:CO527)</f>
        <v>13187.681329806926</v>
      </c>
      <c r="AH527" s="168">
        <v>1025.8442285383042</v>
      </c>
      <c r="AI527" s="168">
        <v>1038.9868714912834</v>
      </c>
      <c r="AJ527" s="168">
        <v>1042.5153735416316</v>
      </c>
      <c r="AK527" s="168">
        <v>1036.5371417145066</v>
      </c>
      <c r="AL527" s="168">
        <v>1044.342012829487</v>
      </c>
      <c r="AM527" s="168">
        <v>1042.8491353267902</v>
      </c>
      <c r="AN527" s="168">
        <v>1033.5083339864439</v>
      </c>
      <c r="AO527" s="168">
        <v>1040.7668009498011</v>
      </c>
      <c r="AP527" s="168">
        <v>1035.2582105929439</v>
      </c>
      <c r="AQ527" s="168">
        <v>1039.7041594606962</v>
      </c>
      <c r="AR527" s="168">
        <v>1032.7303623785965</v>
      </c>
      <c r="AS527" s="168">
        <v>1038.0863334903138</v>
      </c>
      <c r="AT527" s="168">
        <v>1041.0552097875379</v>
      </c>
      <c r="AU527" s="168">
        <v>1054.4006545241791</v>
      </c>
      <c r="AV527" s="168">
        <v>1057.9550203260376</v>
      </c>
      <c r="AW527" s="168">
        <v>1051.8846125226023</v>
      </c>
      <c r="AX527" s="168">
        <v>1059.8867958852891</v>
      </c>
      <c r="AY527" s="168">
        <v>1058.4214757176499</v>
      </c>
      <c r="AZ527" s="168">
        <v>1048.9442906224192</v>
      </c>
      <c r="BA527" s="168">
        <v>1056.3524175824625</v>
      </c>
      <c r="BB527" s="168">
        <v>1050.6879050061873</v>
      </c>
      <c r="BC527" s="168">
        <v>1055.1856464920618</v>
      </c>
      <c r="BD527" s="168">
        <v>1047.975668389618</v>
      </c>
      <c r="BE527" s="168">
        <v>1053.4287840047905</v>
      </c>
      <c r="BF527" s="168">
        <v>1056.4981447472469</v>
      </c>
      <c r="BG527" s="168">
        <v>1070.0057883388547</v>
      </c>
      <c r="BH527" s="168">
        <v>1073.5692569141377</v>
      </c>
      <c r="BI527" s="168">
        <v>1067.3064973611608</v>
      </c>
      <c r="BJ527" s="168">
        <v>1075.4098362061543</v>
      </c>
      <c r="BK527" s="168">
        <v>1073.8719334828882</v>
      </c>
      <c r="BL527" s="168">
        <v>1064.1593775369845</v>
      </c>
      <c r="BM527" s="168">
        <v>1071.6818266772768</v>
      </c>
      <c r="BN527" s="168">
        <v>1065.8963020399949</v>
      </c>
      <c r="BO527" s="168">
        <v>1070.4785648498828</v>
      </c>
      <c r="BP527" s="168">
        <v>1063.0666089582558</v>
      </c>
      <c r="BQ527" s="168">
        <v>1068.6496998020355</v>
      </c>
      <c r="BR527" s="168">
        <v>1071.8531013837624</v>
      </c>
      <c r="BS527" s="168">
        <v>1085.5561954345978</v>
      </c>
      <c r="BT527" s="168">
        <v>1089.1638388218894</v>
      </c>
      <c r="BU527" s="168">
        <v>1082.7438084043652</v>
      </c>
      <c r="BV527" s="168">
        <v>1090.9827274324311</v>
      </c>
      <c r="BW527" s="168">
        <v>1089.4048812345827</v>
      </c>
      <c r="BX527" s="168">
        <v>1079.4885603319037</v>
      </c>
      <c r="BY527" s="168">
        <v>1087.1268843007854</v>
      </c>
      <c r="BZ527" s="168">
        <v>1081.1906638520434</v>
      </c>
      <c r="CA527" s="168">
        <v>1085.8271668233838</v>
      </c>
      <c r="CB527" s="168">
        <v>1078.1799604961973</v>
      </c>
      <c r="CC527" s="168">
        <v>1083.8546253479335</v>
      </c>
      <c r="CD527" s="168">
        <v>1087.1486856477227</v>
      </c>
      <c r="CE527" s="168">
        <v>1100.9998368435931</v>
      </c>
      <c r="CF527" s="168">
        <v>1104.6067311829222</v>
      </c>
      <c r="CG527" s="168">
        <v>1097.9877350048346</v>
      </c>
      <c r="CH527" s="168">
        <v>1106.3173513734616</v>
      </c>
      <c r="CI527" s="168">
        <v>1104.6591312181706</v>
      </c>
      <c r="CJ527" s="168">
        <v>1094.503178390017</v>
      </c>
      <c r="CK527" s="168">
        <v>1102.2559045072262</v>
      </c>
      <c r="CL527" s="168">
        <v>1096.2158178358802</v>
      </c>
      <c r="CM527" s="168">
        <v>1100.9474429457248</v>
      </c>
      <c r="CN527" s="168">
        <v>1093.1125669716223</v>
      </c>
      <c r="CO527" s="168">
        <v>1098.9269478857514</v>
      </c>
    </row>
    <row r="528" spans="1:93" x14ac:dyDescent="0.2">
      <c r="A528" s="118">
        <f t="shared" si="49"/>
        <v>5</v>
      </c>
      <c r="B528" s="226"/>
      <c r="C528" s="223" t="s">
        <v>374</v>
      </c>
      <c r="D528" s="204">
        <f>SUM(D526:D527)</f>
        <v>783759.16292363615</v>
      </c>
      <c r="E528" s="237" t="s">
        <v>550</v>
      </c>
      <c r="F528" s="183"/>
      <c r="G528" s="223"/>
      <c r="H528" s="206">
        <f>H526+H527</f>
        <v>1762047.05</v>
      </c>
      <c r="I528" s="308"/>
      <c r="J528" s="204">
        <f>SUM(J526:J527)</f>
        <v>783759.16292363615</v>
      </c>
      <c r="K528" s="237" t="s">
        <v>550</v>
      </c>
      <c r="L528" s="183"/>
      <c r="M528" s="223"/>
      <c r="N528" s="206">
        <f>SUM(N526:N527)</f>
        <v>1834666.24</v>
      </c>
      <c r="O528" s="227"/>
      <c r="P528" s="227"/>
      <c r="Q528" s="939"/>
      <c r="R528" s="227"/>
      <c r="S528" s="227"/>
      <c r="T528" s="227"/>
      <c r="U528" s="178"/>
      <c r="V528" s="179"/>
      <c r="W528" s="180"/>
      <c r="X528" s="227"/>
      <c r="Y528" s="178" t="s">
        <v>125</v>
      </c>
      <c r="Z528" s="181" t="s">
        <v>451</v>
      </c>
      <c r="AA528" s="227"/>
      <c r="AB528" s="204">
        <f>SUM(AB526:AB527)</f>
        <v>750358.09079267608</v>
      </c>
      <c r="AC528" s="204">
        <f>SUM(AC526:AC527)</f>
        <v>761509.96323301527</v>
      </c>
      <c r="AD528" s="204">
        <f>SUM(AD526:AD527)</f>
        <v>772623.61845884321</v>
      </c>
      <c r="AE528" s="204">
        <f>SUM(AE526:AE527)</f>
        <v>783759.16292363615</v>
      </c>
      <c r="AF528" s="204">
        <f>SUM(AF526:AF527)</f>
        <v>794745.87509196461</v>
      </c>
      <c r="AH528" s="204">
        <f t="shared" ref="AH528:CO528" si="50">SUM(AH526:AH527)</f>
        <v>61821.744757738401</v>
      </c>
      <c r="AI528" s="204">
        <f t="shared" si="50"/>
        <v>62613.776428315592</v>
      </c>
      <c r="AJ528" s="204">
        <f t="shared" si="50"/>
        <v>62826.418998274385</v>
      </c>
      <c r="AK528" s="204">
        <f t="shared" si="50"/>
        <v>62466.145272656489</v>
      </c>
      <c r="AL528" s="204">
        <f t="shared" si="50"/>
        <v>62936.500065825116</v>
      </c>
      <c r="AM528" s="204">
        <f t="shared" si="50"/>
        <v>62846.532905744883</v>
      </c>
      <c r="AN528" s="204">
        <f t="shared" si="50"/>
        <v>62283.616411962546</v>
      </c>
      <c r="AO528" s="204">
        <f t="shared" si="50"/>
        <v>62721.042562500559</v>
      </c>
      <c r="AP528" s="204">
        <f t="shared" si="50"/>
        <v>62389.071433217316</v>
      </c>
      <c r="AQ528" s="204">
        <f t="shared" si="50"/>
        <v>62657.003258012744</v>
      </c>
      <c r="AR528" s="204">
        <f t="shared" si="50"/>
        <v>62236.73252761527</v>
      </c>
      <c r="AS528" s="204">
        <f t="shared" si="50"/>
        <v>62559.506170812725</v>
      </c>
      <c r="AT528" s="204">
        <f t="shared" si="50"/>
        <v>62738.423308091769</v>
      </c>
      <c r="AU528" s="204">
        <f t="shared" si="50"/>
        <v>63542.676678374621</v>
      </c>
      <c r="AV528" s="204">
        <f t="shared" si="50"/>
        <v>63756.877908215552</v>
      </c>
      <c r="AW528" s="204">
        <f t="shared" si="50"/>
        <v>63391.049265465284</v>
      </c>
      <c r="AX528" s="204">
        <f t="shared" si="50"/>
        <v>63873.294935509679</v>
      </c>
      <c r="AY528" s="204">
        <f t="shared" si="50"/>
        <v>63784.988497873208</v>
      </c>
      <c r="AZ528" s="204">
        <f t="shared" si="50"/>
        <v>63213.852937834032</v>
      </c>
      <c r="BA528" s="204">
        <f t="shared" si="50"/>
        <v>63660.298237535419</v>
      </c>
      <c r="BB528" s="204">
        <f t="shared" si="50"/>
        <v>63318.930570861048</v>
      </c>
      <c r="BC528" s="204">
        <f t="shared" si="50"/>
        <v>63589.983639534272</v>
      </c>
      <c r="BD528" s="204">
        <f t="shared" si="50"/>
        <v>63155.479634385971</v>
      </c>
      <c r="BE528" s="204">
        <f t="shared" si="50"/>
        <v>63484.107619334507</v>
      </c>
      <c r="BF528" s="204">
        <f t="shared" si="50"/>
        <v>63669.080377488965</v>
      </c>
      <c r="BG528" s="204">
        <f t="shared" si="50"/>
        <v>64483.108541968424</v>
      </c>
      <c r="BH528" s="204">
        <f t="shared" si="50"/>
        <v>64697.858343726599</v>
      </c>
      <c r="BI528" s="204">
        <f t="shared" si="50"/>
        <v>64320.437764858689</v>
      </c>
      <c r="BJ528" s="204">
        <f t="shared" si="50"/>
        <v>64808.779495332194</v>
      </c>
      <c r="BK528" s="204">
        <f t="shared" si="50"/>
        <v>64716.098923589387</v>
      </c>
      <c r="BL528" s="204">
        <f t="shared" si="50"/>
        <v>64130.778913076218</v>
      </c>
      <c r="BM528" s="204">
        <f t="shared" si="50"/>
        <v>64584.113754533435</v>
      </c>
      <c r="BN528" s="204">
        <f t="shared" si="50"/>
        <v>64235.453385380431</v>
      </c>
      <c r="BO528" s="204">
        <f t="shared" si="50"/>
        <v>64511.600069218985</v>
      </c>
      <c r="BP528" s="204">
        <f t="shared" si="50"/>
        <v>64064.924021783707</v>
      </c>
      <c r="BQ528" s="204">
        <f t="shared" si="50"/>
        <v>64401.384867886249</v>
      </c>
      <c r="BR528" s="204">
        <f t="shared" si="50"/>
        <v>64594.435498218532</v>
      </c>
      <c r="BS528" s="204">
        <f t="shared" si="50"/>
        <v>65420.242340266195</v>
      </c>
      <c r="BT528" s="204">
        <f t="shared" si="50"/>
        <v>65637.654304443131</v>
      </c>
      <c r="BU528" s="204">
        <f t="shared" si="50"/>
        <v>65250.755913081484</v>
      </c>
      <c r="BV528" s="204">
        <f t="shared" si="50"/>
        <v>65747.268283150101</v>
      </c>
      <c r="BW528" s="204">
        <f t="shared" si="50"/>
        <v>65652.180547413314</v>
      </c>
      <c r="BX528" s="204">
        <f t="shared" si="50"/>
        <v>65054.580792278233</v>
      </c>
      <c r="BY528" s="204">
        <f t="shared" si="50"/>
        <v>65514.898744696751</v>
      </c>
      <c r="BZ528" s="204">
        <f t="shared" si="50"/>
        <v>65157.156803768063</v>
      </c>
      <c r="CA528" s="204">
        <f t="shared" si="50"/>
        <v>65436.572230875463</v>
      </c>
      <c r="CB528" s="204">
        <f t="shared" si="50"/>
        <v>64975.718989694091</v>
      </c>
      <c r="CC528" s="204">
        <f t="shared" si="50"/>
        <v>65317.698475750774</v>
      </c>
      <c r="CD528" s="204">
        <f t="shared" si="50"/>
        <v>65516.212586767739</v>
      </c>
      <c r="CE528" s="204">
        <f t="shared" si="50"/>
        <v>66350.941983307857</v>
      </c>
      <c r="CF528" s="204">
        <f t="shared" si="50"/>
        <v>66568.308806662564</v>
      </c>
      <c r="CG528" s="204">
        <f t="shared" si="50"/>
        <v>66169.419890694073</v>
      </c>
      <c r="CH528" s="204">
        <f t="shared" si="50"/>
        <v>66671.398069003742</v>
      </c>
      <c r="CI528" s="204">
        <f t="shared" si="50"/>
        <v>66571.466656084827</v>
      </c>
      <c r="CJ528" s="204">
        <f t="shared" si="50"/>
        <v>65959.425659950008</v>
      </c>
      <c r="CK528" s="204">
        <f t="shared" si="50"/>
        <v>66426.637973341567</v>
      </c>
      <c r="CL528" s="204">
        <f t="shared" si="50"/>
        <v>66062.636611221867</v>
      </c>
      <c r="CM528" s="204">
        <f t="shared" si="50"/>
        <v>66347.78450375027</v>
      </c>
      <c r="CN528" s="204">
        <f t="shared" si="50"/>
        <v>65875.621489907848</v>
      </c>
      <c r="CO528" s="204">
        <f t="shared" si="50"/>
        <v>66226.020861272176</v>
      </c>
    </row>
    <row r="529" spans="1:93" x14ac:dyDescent="0.2">
      <c r="A529" s="118">
        <f t="shared" si="49"/>
        <v>6</v>
      </c>
      <c r="B529" s="226"/>
      <c r="C529" s="223"/>
      <c r="D529" s="168"/>
      <c r="E529" s="237"/>
      <c r="F529" s="183"/>
      <c r="G529" s="223"/>
      <c r="H529" s="203"/>
      <c r="I529" s="308"/>
      <c r="J529" s="168"/>
      <c r="K529" s="237"/>
      <c r="L529" s="183"/>
      <c r="M529" s="223"/>
      <c r="N529" s="203"/>
      <c r="O529" s="227"/>
      <c r="P529" s="227"/>
      <c r="Q529" s="176"/>
      <c r="R529" s="227"/>
      <c r="S529" s="227"/>
      <c r="T529" s="227"/>
      <c r="U529" s="178"/>
      <c r="V529" s="179"/>
      <c r="W529" s="180"/>
      <c r="X529" s="227"/>
      <c r="Y529" s="178"/>
      <c r="Z529" s="181"/>
      <c r="AA529" s="227"/>
      <c r="AB529" s="193">
        <f>SUM(AH529:AS529)</f>
        <v>0</v>
      </c>
      <c r="AC529" s="193">
        <f>SUM(AT529:BE529)</f>
        <v>0</v>
      </c>
      <c r="AD529" s="193">
        <f>SUM(BF529:BQ529)</f>
        <v>0</v>
      </c>
      <c r="AE529" s="193">
        <f>SUM(BR529:CC529)</f>
        <v>0</v>
      </c>
      <c r="AF529" s="193">
        <f>SUM(CD529:CO529)</f>
        <v>0</v>
      </c>
      <c r="AH529" s="193">
        <v>0</v>
      </c>
      <c r="AI529" s="193">
        <v>0</v>
      </c>
      <c r="AJ529" s="193">
        <v>0</v>
      </c>
      <c r="AK529" s="193">
        <v>0</v>
      </c>
      <c r="AL529" s="193">
        <v>0</v>
      </c>
      <c r="AM529" s="193">
        <v>0</v>
      </c>
      <c r="AN529" s="193">
        <v>0</v>
      </c>
      <c r="AO529" s="193">
        <v>0</v>
      </c>
      <c r="AP529" s="193">
        <v>0</v>
      </c>
      <c r="AQ529" s="193">
        <v>0</v>
      </c>
      <c r="AR529" s="193">
        <v>0</v>
      </c>
      <c r="AS529" s="193">
        <v>0</v>
      </c>
      <c r="AT529" s="193">
        <v>0</v>
      </c>
      <c r="AU529" s="193">
        <v>0</v>
      </c>
      <c r="AV529" s="193">
        <v>0</v>
      </c>
      <c r="AW529" s="193">
        <v>0</v>
      </c>
      <c r="AX529" s="193">
        <v>0</v>
      </c>
      <c r="AY529" s="193">
        <v>0</v>
      </c>
      <c r="AZ529" s="193">
        <v>0</v>
      </c>
      <c r="BA529" s="193">
        <v>0</v>
      </c>
      <c r="BB529" s="193">
        <v>0</v>
      </c>
      <c r="BC529" s="193">
        <v>0</v>
      </c>
      <c r="BD529" s="193">
        <v>0</v>
      </c>
      <c r="BE529" s="193">
        <v>0</v>
      </c>
      <c r="BF529" s="193">
        <v>0</v>
      </c>
      <c r="BG529" s="193">
        <v>0</v>
      </c>
      <c r="BH529" s="193">
        <v>0</v>
      </c>
      <c r="BI529" s="193">
        <v>0</v>
      </c>
      <c r="BJ529" s="193">
        <v>0</v>
      </c>
      <c r="BK529" s="193">
        <v>0</v>
      </c>
      <c r="BL529" s="193">
        <v>0</v>
      </c>
      <c r="BM529" s="193">
        <v>0</v>
      </c>
      <c r="BN529" s="193">
        <v>0</v>
      </c>
      <c r="BO529" s="193">
        <v>0</v>
      </c>
      <c r="BP529" s="193">
        <v>0</v>
      </c>
      <c r="BQ529" s="193">
        <v>0</v>
      </c>
      <c r="BR529" s="193">
        <v>0</v>
      </c>
      <c r="BS529" s="193">
        <v>0</v>
      </c>
      <c r="BT529" s="193">
        <v>0</v>
      </c>
      <c r="BU529" s="193">
        <v>0</v>
      </c>
      <c r="BV529" s="193">
        <v>0</v>
      </c>
      <c r="BW529" s="193">
        <v>0</v>
      </c>
      <c r="BX529" s="193">
        <v>0</v>
      </c>
      <c r="BY529" s="193">
        <v>0</v>
      </c>
      <c r="BZ529" s="193">
        <v>0</v>
      </c>
      <c r="CA529" s="193">
        <v>0</v>
      </c>
      <c r="CB529" s="193">
        <v>0</v>
      </c>
      <c r="CC529" s="193">
        <v>0</v>
      </c>
      <c r="CD529" s="193">
        <v>0</v>
      </c>
      <c r="CE529" s="193">
        <v>0</v>
      </c>
      <c r="CF529" s="193">
        <v>0</v>
      </c>
      <c r="CG529" s="193">
        <v>0</v>
      </c>
      <c r="CH529" s="193">
        <v>0</v>
      </c>
      <c r="CI529" s="193">
        <v>0</v>
      </c>
      <c r="CJ529" s="193">
        <v>0</v>
      </c>
      <c r="CK529" s="193">
        <v>0</v>
      </c>
      <c r="CL529" s="193">
        <v>0</v>
      </c>
      <c r="CM529" s="193">
        <v>0</v>
      </c>
      <c r="CN529" s="193">
        <v>0</v>
      </c>
      <c r="CO529" s="193">
        <v>0</v>
      </c>
    </row>
    <row r="530" spans="1:93" x14ac:dyDescent="0.2">
      <c r="A530" s="118">
        <f t="shared" si="49"/>
        <v>7</v>
      </c>
      <c r="B530" s="239" t="s">
        <v>635</v>
      </c>
      <c r="C530" s="223"/>
      <c r="D530" s="168"/>
      <c r="E530" s="225"/>
      <c r="F530" s="183"/>
      <c r="G530" s="223"/>
      <c r="H530" s="174"/>
      <c r="I530" s="308"/>
      <c r="J530" s="168"/>
      <c r="K530" s="225"/>
      <c r="L530" s="183"/>
      <c r="M530" s="223"/>
      <c r="N530" s="174"/>
      <c r="O530" s="227"/>
      <c r="P530" s="227"/>
      <c r="Q530" s="176"/>
      <c r="R530" s="227"/>
      <c r="S530" s="227"/>
      <c r="T530" s="227"/>
      <c r="U530" s="178"/>
      <c r="V530" s="179"/>
      <c r="W530" s="180"/>
      <c r="X530" s="227"/>
      <c r="Y530" s="178"/>
      <c r="Z530" s="181"/>
      <c r="AA530" s="227"/>
      <c r="AB530" s="227"/>
      <c r="AC530" s="227"/>
    </row>
    <row r="531" spans="1:93" x14ac:dyDescent="0.2">
      <c r="A531" s="118">
        <f t="shared" si="49"/>
        <v>8</v>
      </c>
      <c r="B531" s="228" t="s">
        <v>543</v>
      </c>
      <c r="C531" s="223"/>
      <c r="D531" s="168"/>
      <c r="E531" s="225"/>
      <c r="F531" s="183"/>
      <c r="G531" s="223"/>
      <c r="H531" s="174"/>
      <c r="I531" s="308"/>
      <c r="J531" s="168"/>
      <c r="K531" s="225"/>
      <c r="L531" s="857">
        <v>0</v>
      </c>
      <c r="M531" s="223"/>
      <c r="N531" s="174"/>
      <c r="O531" s="227"/>
      <c r="P531" s="227"/>
      <c r="Q531" s="176"/>
      <c r="R531" s="230"/>
      <c r="S531" s="230"/>
      <c r="T531" s="227"/>
      <c r="U531" s="184"/>
      <c r="V531" s="179"/>
      <c r="W531" s="180"/>
      <c r="X531" s="227"/>
      <c r="Y531" s="184"/>
      <c r="Z531" s="181"/>
      <c r="AA531" s="227"/>
      <c r="AB531" s="227"/>
      <c r="AC531" s="227"/>
    </row>
    <row r="532" spans="1:93" x14ac:dyDescent="0.2">
      <c r="A532" s="118">
        <f t="shared" si="49"/>
        <v>9</v>
      </c>
      <c r="B532" s="234" t="s">
        <v>149</v>
      </c>
      <c r="C532" s="223"/>
      <c r="D532" s="172">
        <f>SUMIF($AH$6:$CP$6,1,$AH532:$CP532)</f>
        <v>334101.01510327338</v>
      </c>
      <c r="E532" s="225" t="s">
        <v>555</v>
      </c>
      <c r="F532" s="173">
        <f>'Exhibit MJC-3 - E-13c cal yr'!F534</f>
        <v>38.630000000000003</v>
      </c>
      <c r="G532" s="233" t="s">
        <v>375</v>
      </c>
      <c r="H532" s="187">
        <f>ROUND(D532*F532,2)</f>
        <v>12906322.210000001</v>
      </c>
      <c r="I532" s="308"/>
      <c r="J532" s="172">
        <f>SUMIF($AH$6:$CP$6,1,$AH532:$CP532)</f>
        <v>334101.01510327338</v>
      </c>
      <c r="K532" s="225" t="s">
        <v>555</v>
      </c>
      <c r="L532" s="183">
        <f>ROUND(F532*(1+'Exhibit MJC-2 - Old E-8a'!$V$31)+L531,2)</f>
        <v>40.200000000000003</v>
      </c>
      <c r="M532" s="233" t="s">
        <v>375</v>
      </c>
      <c r="N532" s="187">
        <f>ROUND(J532*L532,2)</f>
        <v>13430860.810000001</v>
      </c>
      <c r="O532" s="227"/>
      <c r="P532" s="227"/>
      <c r="Q532" s="939"/>
      <c r="R532" s="230"/>
      <c r="S532" s="259"/>
      <c r="T532" s="227"/>
      <c r="U532" s="184" t="s">
        <v>125</v>
      </c>
      <c r="V532" s="179">
        <v>259</v>
      </c>
      <c r="W532" s="180">
        <v>233</v>
      </c>
      <c r="X532" s="227"/>
      <c r="Y532" s="184" t="s">
        <v>125</v>
      </c>
      <c r="Z532" s="181" t="s">
        <v>141</v>
      </c>
      <c r="AA532" s="227"/>
      <c r="AB532" s="182">
        <f>SUM(AH532:AS532)</f>
        <v>332354.81598162343</v>
      </c>
      <c r="AC532" s="182">
        <f>SUM(AT532:BE532)</f>
        <v>332422.78063432855</v>
      </c>
      <c r="AD532" s="182">
        <f>SUM(BF532:BQ532)</f>
        <v>333499.66776665463</v>
      </c>
      <c r="AE532" s="182">
        <f>SUM(BR532:CC532)</f>
        <v>334101.01510327338</v>
      </c>
      <c r="AF532" s="182">
        <f>SUM(CD532:CO532)</f>
        <v>337305.97524525167</v>
      </c>
      <c r="AH532" s="168">
        <v>34345.651274339769</v>
      </c>
      <c r="AI532" s="168">
        <v>29958.902185970597</v>
      </c>
      <c r="AJ532" s="168">
        <v>23743.66543980423</v>
      </c>
      <c r="AK532" s="168">
        <v>27388.327262132825</v>
      </c>
      <c r="AL532" s="168">
        <v>30694.751927261626</v>
      </c>
      <c r="AM532" s="168">
        <v>27443.462502193506</v>
      </c>
      <c r="AN532" s="168">
        <v>24378.950676322056</v>
      </c>
      <c r="AO532" s="168">
        <v>26939.712896834841</v>
      </c>
      <c r="AP532" s="168">
        <v>25923.782996348058</v>
      </c>
      <c r="AQ532" s="168">
        <v>28557.908821139023</v>
      </c>
      <c r="AR532" s="168">
        <v>28148.665611460419</v>
      </c>
      <c r="AS532" s="168">
        <v>24831.03438781657</v>
      </c>
      <c r="AT532" s="168">
        <v>33285.429390162652</v>
      </c>
      <c r="AU532" s="168">
        <v>29745.869901169124</v>
      </c>
      <c r="AV532" s="168">
        <v>23185.166901094108</v>
      </c>
      <c r="AW532" s="168">
        <v>27314.016957379365</v>
      </c>
      <c r="AX532" s="168">
        <v>30026.885345408133</v>
      </c>
      <c r="AY532" s="168">
        <v>26578.192917354696</v>
      </c>
      <c r="AZ532" s="168">
        <v>24940.550038454363</v>
      </c>
      <c r="BA532" s="168">
        <v>27307.521337452825</v>
      </c>
      <c r="BB532" s="168">
        <v>26312.782815224244</v>
      </c>
      <c r="BC532" s="168">
        <v>29238.063275340606</v>
      </c>
      <c r="BD532" s="168">
        <v>29475.687623904316</v>
      </c>
      <c r="BE532" s="168">
        <v>25012.614131384104</v>
      </c>
      <c r="BF532" s="168">
        <v>33026.394993170325</v>
      </c>
      <c r="BG532" s="168">
        <v>30066.223756790754</v>
      </c>
      <c r="BH532" s="168">
        <v>23476.358458131905</v>
      </c>
      <c r="BI532" s="168">
        <v>27120.144803480332</v>
      </c>
      <c r="BJ532" s="168">
        <v>30135.152978094724</v>
      </c>
      <c r="BK532" s="168">
        <v>26990.488540885719</v>
      </c>
      <c r="BL532" s="168">
        <v>25079.93184668586</v>
      </c>
      <c r="BM532" s="168">
        <v>27520.953635757061</v>
      </c>
      <c r="BN532" s="168">
        <v>26355.527725827735</v>
      </c>
      <c r="BO532" s="168">
        <v>28925.27146878733</v>
      </c>
      <c r="BP532" s="168">
        <v>29363.937038535994</v>
      </c>
      <c r="BQ532" s="168">
        <v>25439.282520506873</v>
      </c>
      <c r="BR532" s="168">
        <v>32940.084430029136</v>
      </c>
      <c r="BS532" s="168">
        <v>29722.478416434937</v>
      </c>
      <c r="BT532" s="168">
        <v>23672.539118981113</v>
      </c>
      <c r="BU532" s="168">
        <v>27454.295147344303</v>
      </c>
      <c r="BV532" s="168">
        <v>29529.704383243465</v>
      </c>
      <c r="BW532" s="168">
        <v>27363.48777176057</v>
      </c>
      <c r="BX532" s="168">
        <v>25430.574488482667</v>
      </c>
      <c r="BY532" s="168">
        <v>27699.758748254153</v>
      </c>
      <c r="BZ532" s="168">
        <v>26423.860321407898</v>
      </c>
      <c r="CA532" s="168">
        <v>29185.532118138282</v>
      </c>
      <c r="CB532" s="168">
        <v>29497.232155176192</v>
      </c>
      <c r="CC532" s="168">
        <v>25181.468004020669</v>
      </c>
      <c r="CD532" s="168">
        <v>33330.037916831941</v>
      </c>
      <c r="CE532" s="168">
        <v>29648.909450721054</v>
      </c>
      <c r="CF532" s="168">
        <v>23287.546669424974</v>
      </c>
      <c r="CG532" s="168">
        <v>28064.471295403007</v>
      </c>
      <c r="CH532" s="168">
        <v>30381.911649636615</v>
      </c>
      <c r="CI532" s="168">
        <v>27249.117838503098</v>
      </c>
      <c r="CJ532" s="168">
        <v>25577.012495731597</v>
      </c>
      <c r="CK532" s="168">
        <v>27956.292858378863</v>
      </c>
      <c r="CL532" s="168">
        <v>27120.128285706123</v>
      </c>
      <c r="CM532" s="168">
        <v>29441.72754562075</v>
      </c>
      <c r="CN532" s="168">
        <v>29941.329642733355</v>
      </c>
      <c r="CO532" s="168">
        <v>25307.489596560219</v>
      </c>
    </row>
    <row r="533" spans="1:93" x14ac:dyDescent="0.2">
      <c r="A533" s="118">
        <f t="shared" si="49"/>
        <v>10</v>
      </c>
      <c r="B533" s="223"/>
      <c r="C533" s="223"/>
      <c r="D533" s="168"/>
      <c r="E533" s="225"/>
      <c r="F533" s="183"/>
      <c r="G533" s="223"/>
      <c r="H533" s="174"/>
      <c r="I533" s="308"/>
      <c r="J533" s="168"/>
      <c r="K533" s="225"/>
      <c r="L533" s="183"/>
      <c r="M533" s="223"/>
      <c r="N533" s="174"/>
      <c r="O533" s="227"/>
      <c r="P533" s="227"/>
      <c r="Q533" s="176"/>
      <c r="R533" s="230"/>
      <c r="S533" s="227"/>
      <c r="T533" s="227"/>
      <c r="U533" s="178"/>
      <c r="V533" s="179"/>
      <c r="W533" s="180"/>
      <c r="X533" s="227"/>
      <c r="Y533" s="178"/>
      <c r="Z533" s="181"/>
      <c r="AA533" s="227"/>
      <c r="AB533" s="193">
        <f>SUM(AH533:AS533)</f>
        <v>0</v>
      </c>
      <c r="AC533" s="193">
        <f>SUM(AT533:BE533)</f>
        <v>0</v>
      </c>
      <c r="AD533" s="193">
        <f>SUM(BF533:BQ533)</f>
        <v>0</v>
      </c>
      <c r="AE533" s="193">
        <f>SUM(BR533:CC533)</f>
        <v>0</v>
      </c>
      <c r="AF533" s="193">
        <f>SUM(CD533:CO533)</f>
        <v>0</v>
      </c>
      <c r="AH533" s="294">
        <v>0</v>
      </c>
      <c r="AI533" s="294">
        <v>0</v>
      </c>
      <c r="AJ533" s="294">
        <v>0</v>
      </c>
      <c r="AK533" s="294">
        <v>0</v>
      </c>
      <c r="AL533" s="294">
        <v>0</v>
      </c>
      <c r="AM533" s="294">
        <v>0</v>
      </c>
      <c r="AN533" s="294">
        <v>0</v>
      </c>
      <c r="AO533" s="294">
        <v>0</v>
      </c>
      <c r="AP533" s="294">
        <v>0</v>
      </c>
      <c r="AQ533" s="294">
        <v>0</v>
      </c>
      <c r="AR533" s="294">
        <v>0</v>
      </c>
      <c r="AS533" s="294">
        <v>0</v>
      </c>
      <c r="AT533" s="294">
        <v>0</v>
      </c>
      <c r="AU533" s="294">
        <v>0</v>
      </c>
      <c r="AV533" s="294">
        <v>0</v>
      </c>
      <c r="AW533" s="294">
        <v>0</v>
      </c>
      <c r="AX533" s="294">
        <v>0</v>
      </c>
      <c r="AY533" s="294">
        <v>0</v>
      </c>
      <c r="AZ533" s="294">
        <v>0</v>
      </c>
      <c r="BA533" s="294">
        <v>0</v>
      </c>
      <c r="BB533" s="294">
        <v>0</v>
      </c>
      <c r="BC533" s="294">
        <v>0</v>
      </c>
      <c r="BD533" s="294">
        <v>0</v>
      </c>
      <c r="BE533" s="294">
        <v>0</v>
      </c>
      <c r="BF533" s="294">
        <v>0</v>
      </c>
      <c r="BG533" s="294">
        <v>0</v>
      </c>
      <c r="BH533" s="294">
        <v>0</v>
      </c>
      <c r="BI533" s="294">
        <v>0</v>
      </c>
      <c r="BJ533" s="294">
        <v>0</v>
      </c>
      <c r="BK533" s="294">
        <v>0</v>
      </c>
      <c r="BL533" s="294">
        <v>0</v>
      </c>
      <c r="BM533" s="294">
        <v>0</v>
      </c>
      <c r="BN533" s="294">
        <v>0</v>
      </c>
      <c r="BO533" s="294">
        <v>0</v>
      </c>
      <c r="BP533" s="294">
        <v>0</v>
      </c>
      <c r="BQ533" s="294">
        <v>0</v>
      </c>
      <c r="BR533" s="294">
        <v>0</v>
      </c>
      <c r="BS533" s="294">
        <v>0</v>
      </c>
      <c r="BT533" s="294">
        <v>0</v>
      </c>
      <c r="BU533" s="294">
        <v>0</v>
      </c>
      <c r="BV533" s="294">
        <v>0</v>
      </c>
      <c r="BW533" s="294">
        <v>0</v>
      </c>
      <c r="BX533" s="294">
        <v>0</v>
      </c>
      <c r="BY533" s="294">
        <v>0</v>
      </c>
      <c r="BZ533" s="294">
        <v>0</v>
      </c>
      <c r="CA533" s="294">
        <v>0</v>
      </c>
      <c r="CB533" s="294">
        <v>0</v>
      </c>
      <c r="CC533" s="294">
        <v>0</v>
      </c>
      <c r="CD533" s="294">
        <v>0</v>
      </c>
      <c r="CE533" s="294">
        <v>0</v>
      </c>
      <c r="CF533" s="294">
        <v>0</v>
      </c>
      <c r="CG533" s="294">
        <v>0</v>
      </c>
      <c r="CH533" s="294">
        <v>0</v>
      </c>
      <c r="CI533" s="294">
        <v>0</v>
      </c>
      <c r="CJ533" s="294">
        <v>0</v>
      </c>
      <c r="CK533" s="294">
        <v>0</v>
      </c>
      <c r="CL533" s="294">
        <v>0</v>
      </c>
      <c r="CM533" s="294">
        <v>0</v>
      </c>
      <c r="CN533" s="294">
        <v>0</v>
      </c>
      <c r="CO533" s="294">
        <v>0</v>
      </c>
    </row>
    <row r="534" spans="1:93" x14ac:dyDescent="0.2">
      <c r="A534" s="118">
        <f t="shared" si="49"/>
        <v>11</v>
      </c>
      <c r="B534" s="246" t="s">
        <v>563</v>
      </c>
      <c r="C534" s="223"/>
      <c r="D534" s="168"/>
      <c r="E534" s="225"/>
      <c r="F534" s="183"/>
      <c r="G534" s="223"/>
      <c r="H534" s="174"/>
      <c r="I534" s="308"/>
      <c r="J534" s="223"/>
      <c r="K534" s="225"/>
      <c r="L534" s="183"/>
      <c r="M534" s="223"/>
      <c r="N534" s="174"/>
      <c r="O534" s="227"/>
      <c r="P534" s="227"/>
      <c r="Q534" s="176"/>
      <c r="R534" s="227"/>
      <c r="S534" s="227"/>
      <c r="T534" s="227"/>
      <c r="U534" s="178"/>
      <c r="V534" s="179"/>
      <c r="W534" s="180"/>
      <c r="X534" s="227"/>
      <c r="Y534" s="178"/>
      <c r="Z534" s="181"/>
      <c r="AA534" s="227"/>
      <c r="AB534" s="227"/>
      <c r="AC534" s="227"/>
    </row>
    <row r="535" spans="1:93" x14ac:dyDescent="0.2">
      <c r="A535" s="118">
        <f t="shared" si="49"/>
        <v>12</v>
      </c>
      <c r="B535" s="223"/>
      <c r="C535" s="223"/>
      <c r="D535" s="168"/>
      <c r="E535" s="225"/>
      <c r="F535" s="183"/>
      <c r="G535" s="223"/>
      <c r="H535" s="174"/>
      <c r="I535" s="308"/>
      <c r="J535" s="223"/>
      <c r="K535" s="225"/>
      <c r="L535" s="183"/>
      <c r="M535" s="223"/>
      <c r="N535" s="174"/>
      <c r="O535" s="227"/>
      <c r="P535" s="227"/>
      <c r="Q535" s="176"/>
      <c r="R535" s="227"/>
      <c r="S535" s="227"/>
      <c r="T535" s="227"/>
      <c r="U535" s="178"/>
      <c r="V535" s="179"/>
      <c r="W535" s="180"/>
      <c r="X535" s="227"/>
      <c r="Y535" s="178"/>
      <c r="Z535" s="181"/>
      <c r="AA535" s="227"/>
      <c r="AB535" s="227"/>
      <c r="AC535" s="227"/>
      <c r="AE535" s="260"/>
      <c r="AF535" s="260"/>
      <c r="AG535" s="260"/>
      <c r="AH535" s="114"/>
      <c r="AI535" s="114"/>
      <c r="AJ535" s="114"/>
      <c r="AK535" s="114"/>
      <c r="AL535" s="114"/>
      <c r="AM535" s="114"/>
      <c r="AN535" s="114"/>
      <c r="AO535" s="114"/>
      <c r="AP535" s="114"/>
      <c r="AQ535" s="114"/>
      <c r="AR535" s="114"/>
      <c r="AS535" s="114"/>
      <c r="AT535" s="114"/>
      <c r="AU535" s="114"/>
      <c r="AV535" s="114"/>
      <c r="AW535" s="114"/>
      <c r="AX535" s="114"/>
      <c r="AY535" s="114"/>
      <c r="AZ535" s="114"/>
      <c r="BA535" s="114"/>
      <c r="BB535" s="114"/>
      <c r="BC535" s="114"/>
      <c r="BD535" s="114"/>
      <c r="BE535" s="114"/>
      <c r="BF535" s="114"/>
      <c r="BG535" s="114"/>
      <c r="BH535" s="114"/>
      <c r="BI535" s="114"/>
      <c r="BJ535" s="114"/>
      <c r="BK535" s="114"/>
      <c r="BL535" s="114"/>
      <c r="BM535" s="114"/>
      <c r="BN535" s="114"/>
      <c r="BO535" s="114"/>
      <c r="BP535" s="114"/>
      <c r="BQ535" s="114"/>
      <c r="BR535" s="114"/>
      <c r="BS535" s="114"/>
      <c r="BT535" s="114"/>
      <c r="BU535" s="114"/>
      <c r="BV535" s="114"/>
      <c r="BW535" s="114"/>
      <c r="BX535" s="114"/>
      <c r="BY535" s="114"/>
      <c r="BZ535" s="114"/>
      <c r="CA535" s="114"/>
      <c r="CB535" s="114"/>
      <c r="CC535" s="114"/>
      <c r="CD535" s="114"/>
      <c r="CE535" s="114"/>
      <c r="CF535" s="114"/>
      <c r="CG535" s="114"/>
      <c r="CH535" s="114"/>
      <c r="CI535" s="114"/>
      <c r="CJ535" s="114"/>
      <c r="CK535" s="114"/>
      <c r="CL535" s="114"/>
      <c r="CM535" s="114"/>
      <c r="CN535" s="114"/>
      <c r="CO535" s="114"/>
    </row>
    <row r="536" spans="1:93" x14ac:dyDescent="0.2">
      <c r="A536" s="118">
        <f t="shared" si="49"/>
        <v>13</v>
      </c>
      <c r="B536" s="171" t="s">
        <v>564</v>
      </c>
      <c r="C536" s="223"/>
      <c r="D536" s="168"/>
      <c r="E536" s="225"/>
      <c r="F536" s="166"/>
      <c r="G536" s="223"/>
      <c r="H536" s="174">
        <f>'MFR E-5 Yr4'!P22*1000</f>
        <v>177868.02600000001</v>
      </c>
      <c r="I536" s="162"/>
      <c r="J536" s="208"/>
      <c r="K536" s="166"/>
      <c r="L536" s="166"/>
      <c r="M536" s="143"/>
      <c r="N536" s="174">
        <f>H536</f>
        <v>177868.02600000001</v>
      </c>
      <c r="O536" s="227"/>
      <c r="P536" s="227"/>
      <c r="Q536" s="176"/>
      <c r="R536" s="227"/>
      <c r="S536" s="227"/>
      <c r="T536" s="227"/>
      <c r="U536" s="178"/>
      <c r="V536" s="179"/>
      <c r="W536" s="180"/>
      <c r="X536" s="227"/>
      <c r="Y536" s="178" t="s">
        <v>125</v>
      </c>
      <c r="Z536" s="181" t="s">
        <v>565</v>
      </c>
      <c r="AA536" s="227"/>
      <c r="AB536" s="227"/>
      <c r="AC536" s="227"/>
      <c r="AE536" s="114"/>
      <c r="AF536" s="114"/>
      <c r="AG536" s="114"/>
      <c r="AH536" s="114"/>
      <c r="AI536" s="114"/>
      <c r="AJ536" s="114"/>
      <c r="AK536" s="114"/>
      <c r="AL536" s="114"/>
      <c r="AM536" s="114"/>
      <c r="AN536" s="114"/>
      <c r="AO536" s="114"/>
      <c r="AP536" s="114"/>
      <c r="AQ536" s="114"/>
      <c r="AR536" s="114"/>
      <c r="AS536" s="114"/>
      <c r="AT536" s="114"/>
      <c r="AU536" s="114"/>
      <c r="AV536" s="114"/>
      <c r="AW536" s="114"/>
      <c r="AX536" s="114"/>
      <c r="AY536" s="114"/>
      <c r="AZ536" s="114"/>
      <c r="BA536" s="114"/>
      <c r="BB536" s="114"/>
      <c r="BC536" s="114"/>
      <c r="BD536" s="114"/>
      <c r="BE536" s="114"/>
      <c r="BF536" s="114"/>
      <c r="BG536" s="114"/>
      <c r="BH536" s="114"/>
      <c r="BI536" s="114"/>
      <c r="BJ536" s="114"/>
      <c r="BK536" s="114"/>
      <c r="BL536" s="114"/>
      <c r="BM536" s="114"/>
      <c r="BN536" s="114"/>
      <c r="BO536" s="114"/>
      <c r="BP536" s="114"/>
      <c r="BQ536" s="114"/>
      <c r="BR536" s="114"/>
      <c r="BS536" s="114"/>
      <c r="BT536" s="114"/>
      <c r="BU536" s="114"/>
      <c r="BV536" s="114"/>
      <c r="BW536" s="114"/>
      <c r="BX536" s="114"/>
      <c r="BY536" s="114"/>
      <c r="BZ536" s="114"/>
      <c r="CA536" s="114"/>
      <c r="CB536" s="114"/>
      <c r="CC536" s="114"/>
      <c r="CD536" s="114"/>
      <c r="CE536" s="114"/>
      <c r="CF536" s="114"/>
      <c r="CG536" s="114"/>
      <c r="CH536" s="114"/>
      <c r="CI536" s="114"/>
      <c r="CJ536" s="114"/>
      <c r="CK536" s="114"/>
      <c r="CL536" s="114"/>
      <c r="CM536" s="114"/>
      <c r="CN536" s="114"/>
      <c r="CO536" s="114"/>
    </row>
    <row r="537" spans="1:93" x14ac:dyDescent="0.2">
      <c r="A537" s="118">
        <f t="shared" si="49"/>
        <v>14</v>
      </c>
      <c r="B537" s="171" t="s">
        <v>566</v>
      </c>
      <c r="C537" s="223"/>
      <c r="D537" s="168"/>
      <c r="E537" s="225"/>
      <c r="F537" s="166"/>
      <c r="G537" s="223"/>
      <c r="H537" s="174">
        <f>'MFR E-5 Yr4'!P23*1000</f>
        <v>75593.911049999762</v>
      </c>
      <c r="I537" s="162"/>
      <c r="J537" s="208"/>
      <c r="K537" s="166"/>
      <c r="L537" s="166"/>
      <c r="M537" s="143"/>
      <c r="N537" s="174">
        <f>H537</f>
        <v>75593.911049999762</v>
      </c>
      <c r="O537" s="227"/>
      <c r="P537" s="227"/>
      <c r="Q537" s="176"/>
      <c r="R537" s="227"/>
      <c r="S537" s="227"/>
      <c r="T537" s="227"/>
      <c r="U537" s="178"/>
      <c r="V537" s="179"/>
      <c r="W537" s="180"/>
      <c r="X537" s="227"/>
      <c r="Y537" s="178" t="s">
        <v>125</v>
      </c>
      <c r="Z537" s="181" t="s">
        <v>565</v>
      </c>
      <c r="AA537" s="227"/>
      <c r="AB537" s="227"/>
      <c r="AC537" s="227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4"/>
      <c r="BJ537" s="114"/>
      <c r="BK537" s="114"/>
      <c r="BL537" s="114"/>
      <c r="BM537" s="114"/>
      <c r="BN537" s="114"/>
      <c r="BO537" s="114"/>
      <c r="BP537" s="114"/>
      <c r="BQ537" s="114"/>
      <c r="BR537" s="114"/>
      <c r="BS537" s="114"/>
      <c r="BT537" s="114"/>
      <c r="BU537" s="114"/>
      <c r="BV537" s="114"/>
      <c r="BW537" s="114"/>
      <c r="BX537" s="114"/>
      <c r="BY537" s="114"/>
      <c r="BZ537" s="114"/>
      <c r="CA537" s="114"/>
      <c r="CB537" s="114"/>
      <c r="CC537" s="114"/>
      <c r="CD537" s="114"/>
      <c r="CE537" s="114"/>
      <c r="CF537" s="114"/>
      <c r="CG537" s="114"/>
      <c r="CH537" s="114"/>
      <c r="CI537" s="114"/>
      <c r="CJ537" s="114"/>
      <c r="CK537" s="114"/>
      <c r="CL537" s="114"/>
      <c r="CM537" s="114"/>
      <c r="CN537" s="114"/>
      <c r="CO537" s="114"/>
    </row>
    <row r="538" spans="1:93" x14ac:dyDescent="0.2">
      <c r="A538" s="118">
        <f>+A536+1</f>
        <v>14</v>
      </c>
      <c r="B538" s="223"/>
      <c r="C538" s="223"/>
      <c r="D538" s="168"/>
      <c r="E538" s="225"/>
      <c r="F538" s="183"/>
      <c r="G538" s="223"/>
      <c r="H538" s="174"/>
      <c r="I538" s="308"/>
      <c r="J538" s="223"/>
      <c r="K538" s="225"/>
      <c r="L538" s="183"/>
      <c r="M538" s="223"/>
      <c r="N538" s="174"/>
      <c r="O538" s="227"/>
      <c r="P538" s="227"/>
      <c r="Q538" s="176"/>
      <c r="R538" s="227"/>
      <c r="S538" s="227"/>
      <c r="T538" s="227"/>
      <c r="U538" s="184"/>
      <c r="V538" s="179"/>
      <c r="W538" s="180"/>
      <c r="X538" s="227"/>
      <c r="Y538" s="184"/>
      <c r="Z538" s="181"/>
      <c r="AA538" s="227"/>
      <c r="AB538" s="227"/>
      <c r="AC538" s="227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4"/>
      <c r="BJ538" s="114"/>
      <c r="BK538" s="114"/>
      <c r="BL538" s="114"/>
      <c r="BM538" s="114"/>
      <c r="BN538" s="114"/>
      <c r="BO538" s="114"/>
      <c r="BP538" s="114"/>
      <c r="BQ538" s="114"/>
      <c r="BR538" s="114"/>
      <c r="BS538" s="114"/>
      <c r="BT538" s="114"/>
      <c r="BU538" s="114"/>
      <c r="BV538" s="114"/>
      <c r="BW538" s="114"/>
      <c r="BX538" s="114"/>
      <c r="BY538" s="114"/>
      <c r="BZ538" s="114"/>
      <c r="CA538" s="114"/>
      <c r="CB538" s="114"/>
      <c r="CC538" s="114"/>
      <c r="CD538" s="114"/>
      <c r="CE538" s="114"/>
      <c r="CF538" s="114"/>
      <c r="CG538" s="114"/>
      <c r="CH538" s="114"/>
      <c r="CI538" s="114"/>
      <c r="CJ538" s="114"/>
      <c r="CK538" s="114"/>
      <c r="CL538" s="114"/>
      <c r="CM538" s="114"/>
      <c r="CN538" s="114"/>
      <c r="CO538" s="114"/>
    </row>
    <row r="539" spans="1:93" ht="10.8" thickBot="1" x14ac:dyDescent="0.25">
      <c r="A539" s="118">
        <f t="shared" si="49"/>
        <v>15</v>
      </c>
      <c r="B539" s="246" t="s">
        <v>636</v>
      </c>
      <c r="C539" s="223"/>
      <c r="D539" s="168"/>
      <c r="E539" s="225"/>
      <c r="F539" s="183"/>
      <c r="G539" s="223"/>
      <c r="H539" s="210">
        <f>H528+H532+H536+H537</f>
        <v>14921831.197050001</v>
      </c>
      <c r="I539" s="308"/>
      <c r="J539" s="223"/>
      <c r="K539" s="225"/>
      <c r="L539" s="183"/>
      <c r="M539" s="223"/>
      <c r="N539" s="210">
        <f>N528+N532+N536+N537</f>
        <v>15518988.987050001</v>
      </c>
      <c r="O539" s="227"/>
      <c r="P539" s="227"/>
      <c r="Q539" s="939">
        <f>(N539-H539)/H539</f>
        <v>4.001906884713019E-2</v>
      </c>
      <c r="R539" s="227"/>
      <c r="S539" s="227"/>
      <c r="T539" s="227"/>
      <c r="U539" s="184"/>
      <c r="V539" s="179"/>
      <c r="W539" s="180"/>
      <c r="X539" s="227"/>
      <c r="Y539" s="184" t="s">
        <v>125</v>
      </c>
      <c r="Z539" s="181" t="s">
        <v>121</v>
      </c>
      <c r="AA539" s="227"/>
      <c r="AB539" s="227"/>
      <c r="AC539" s="227"/>
      <c r="AE539" s="114"/>
      <c r="AF539" s="114"/>
      <c r="AG539" s="238"/>
      <c r="AH539" s="114"/>
      <c r="AI539" s="114"/>
      <c r="AJ539" s="114"/>
      <c r="AK539" s="114"/>
      <c r="AL539" s="114"/>
      <c r="AM539" s="114"/>
      <c r="AN539" s="114"/>
      <c r="AO539" s="114"/>
      <c r="AP539" s="114"/>
      <c r="AQ539" s="114"/>
      <c r="AR539" s="114"/>
      <c r="AS539" s="114"/>
      <c r="AT539" s="114"/>
      <c r="AU539" s="114"/>
      <c r="AV539" s="114"/>
      <c r="AW539" s="114"/>
      <c r="AX539" s="114"/>
      <c r="AY539" s="114"/>
      <c r="AZ539" s="114"/>
      <c r="BA539" s="114"/>
      <c r="BB539" s="114"/>
      <c r="BC539" s="114"/>
      <c r="BD539" s="114"/>
      <c r="BE539" s="114"/>
      <c r="BF539" s="114"/>
      <c r="BG539" s="114"/>
      <c r="BH539" s="114"/>
      <c r="BI539" s="114"/>
      <c r="BJ539" s="114"/>
      <c r="BK539" s="114"/>
      <c r="BL539" s="114"/>
      <c r="BM539" s="114"/>
      <c r="BN539" s="114"/>
      <c r="BO539" s="114"/>
      <c r="BP539" s="114"/>
      <c r="BQ539" s="114"/>
      <c r="BR539" s="114"/>
      <c r="BS539" s="114"/>
      <c r="BT539" s="114"/>
      <c r="BU539" s="114"/>
      <c r="BV539" s="114"/>
      <c r="BW539" s="114"/>
      <c r="BX539" s="114"/>
      <c r="BY539" s="114"/>
      <c r="BZ539" s="114"/>
      <c r="CA539" s="114"/>
      <c r="CB539" s="114"/>
      <c r="CC539" s="114"/>
      <c r="CD539" s="114"/>
      <c r="CE539" s="114"/>
      <c r="CF539" s="114"/>
      <c r="CG539" s="114"/>
      <c r="CH539" s="114"/>
      <c r="CI539" s="114"/>
      <c r="CJ539" s="114"/>
      <c r="CK539" s="114"/>
      <c r="CL539" s="114"/>
      <c r="CM539" s="114"/>
      <c r="CN539" s="114"/>
      <c r="CO539" s="114"/>
    </row>
    <row r="540" spans="1:93" ht="10.8" thickTop="1" x14ac:dyDescent="0.2">
      <c r="A540" s="118">
        <f t="shared" si="49"/>
        <v>16</v>
      </c>
      <c r="B540" s="223"/>
      <c r="C540" s="223"/>
      <c r="D540" s="168"/>
      <c r="E540" s="225"/>
      <c r="F540" s="183"/>
      <c r="G540" s="223"/>
      <c r="H540" s="174"/>
      <c r="I540" s="308"/>
      <c r="J540" s="143"/>
      <c r="K540" s="166"/>
      <c r="L540" s="166"/>
      <c r="M540" s="143"/>
      <c r="N540" s="174"/>
      <c r="O540" s="227"/>
      <c r="P540" s="227"/>
      <c r="Q540" s="176"/>
      <c r="R540" s="227"/>
      <c r="S540" s="227"/>
      <c r="T540" s="227"/>
      <c r="U540" s="184"/>
      <c r="V540" s="179"/>
      <c r="W540" s="180"/>
      <c r="X540" s="227"/>
      <c r="Y540" s="184"/>
      <c r="Z540" s="181"/>
      <c r="AA540" s="227"/>
      <c r="AB540" s="227"/>
      <c r="AC540" s="227"/>
      <c r="AE540" s="114"/>
      <c r="AF540" s="114"/>
      <c r="AG540" s="241"/>
      <c r="AH540" s="114"/>
      <c r="AI540" s="114"/>
      <c r="AJ540" s="114"/>
      <c r="AK540" s="114"/>
      <c r="AL540" s="114"/>
      <c r="AM540" s="114"/>
      <c r="AN540" s="114"/>
      <c r="AO540" s="114"/>
      <c r="AP540" s="114"/>
      <c r="AQ540" s="114"/>
      <c r="AR540" s="114"/>
      <c r="AS540" s="114"/>
      <c r="AT540" s="114"/>
      <c r="AU540" s="114"/>
      <c r="AV540" s="114"/>
      <c r="AW540" s="114"/>
      <c r="AX540" s="114"/>
      <c r="AY540" s="114"/>
      <c r="AZ540" s="114"/>
      <c r="BA540" s="114"/>
      <c r="BB540" s="114"/>
      <c r="BC540" s="114"/>
      <c r="BD540" s="114"/>
      <c r="BE540" s="114"/>
      <c r="BF540" s="114"/>
      <c r="BG540" s="114"/>
      <c r="BH540" s="114"/>
      <c r="BI540" s="114"/>
      <c r="BJ540" s="114"/>
      <c r="BK540" s="114"/>
      <c r="BL540" s="114"/>
      <c r="BM540" s="114"/>
      <c r="BN540" s="114"/>
      <c r="BO540" s="114"/>
      <c r="BP540" s="114"/>
      <c r="BQ540" s="114"/>
      <c r="BR540" s="114"/>
      <c r="BS540" s="114"/>
      <c r="BT540" s="114"/>
      <c r="BU540" s="114"/>
      <c r="BV540" s="114"/>
      <c r="BW540" s="114"/>
      <c r="BX540" s="114"/>
      <c r="BY540" s="114"/>
      <c r="BZ540" s="114"/>
      <c r="CA540" s="114"/>
      <c r="CB540" s="114"/>
      <c r="CC540" s="114"/>
      <c r="CD540" s="114"/>
      <c r="CE540" s="114"/>
      <c r="CF540" s="114"/>
      <c r="CG540" s="114"/>
      <c r="CH540" s="114"/>
      <c r="CI540" s="114"/>
      <c r="CJ540" s="114"/>
      <c r="CK540" s="114"/>
      <c r="CL540" s="114"/>
      <c r="CM540" s="114"/>
      <c r="CN540" s="114"/>
      <c r="CO540" s="114"/>
    </row>
    <row r="541" spans="1:93" x14ac:dyDescent="0.2">
      <c r="A541" s="118">
        <f t="shared" si="49"/>
        <v>17</v>
      </c>
      <c r="B541" s="226"/>
      <c r="C541" s="223"/>
      <c r="D541" s="168"/>
      <c r="E541" s="225"/>
      <c r="F541" s="183"/>
      <c r="G541" s="223"/>
      <c r="H541" s="174"/>
      <c r="I541" s="308"/>
      <c r="J541" s="171" t="s">
        <v>573</v>
      </c>
      <c r="K541" s="166"/>
      <c r="L541" s="166"/>
      <c r="M541" s="143"/>
      <c r="N541" s="174">
        <f>N539-H539</f>
        <v>597157.78999999911</v>
      </c>
      <c r="O541" s="227"/>
      <c r="P541" s="227"/>
      <c r="Q541" s="176"/>
      <c r="R541" s="227"/>
      <c r="S541" s="227"/>
      <c r="T541" s="227"/>
      <c r="U541" s="178"/>
      <c r="V541" s="179"/>
      <c r="W541" s="180"/>
      <c r="X541" s="227"/>
      <c r="Y541" s="178"/>
      <c r="Z541" s="181"/>
      <c r="AA541" s="227"/>
      <c r="AB541" s="227"/>
      <c r="AC541" s="227"/>
      <c r="AE541" s="114"/>
      <c r="AF541" s="114"/>
      <c r="AG541" s="241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4"/>
      <c r="BJ541" s="114"/>
      <c r="BK541" s="114"/>
      <c r="BL541" s="114"/>
      <c r="BM541" s="114"/>
      <c r="BN541" s="114"/>
      <c r="BO541" s="114"/>
      <c r="BP541" s="114"/>
      <c r="BQ541" s="114"/>
      <c r="BR541" s="114"/>
      <c r="BS541" s="114"/>
      <c r="BT541" s="114"/>
      <c r="BU541" s="114"/>
      <c r="BV541" s="114"/>
      <c r="BW541" s="114"/>
      <c r="BX541" s="114"/>
      <c r="BY541" s="114"/>
      <c r="BZ541" s="114"/>
      <c r="CA541" s="114"/>
      <c r="CB541" s="114"/>
      <c r="CC541" s="114"/>
      <c r="CD541" s="114"/>
      <c r="CE541" s="114"/>
      <c r="CF541" s="114"/>
      <c r="CG541" s="114"/>
      <c r="CH541" s="114"/>
      <c r="CI541" s="114"/>
      <c r="CJ541" s="114"/>
      <c r="CK541" s="114"/>
      <c r="CL541" s="114"/>
      <c r="CM541" s="114"/>
      <c r="CN541" s="114"/>
      <c r="CO541" s="114"/>
    </row>
    <row r="542" spans="1:93" x14ac:dyDescent="0.2">
      <c r="A542" s="118">
        <f t="shared" si="49"/>
        <v>18</v>
      </c>
      <c r="B542" s="223"/>
      <c r="C542" s="223"/>
      <c r="D542" s="168"/>
      <c r="E542" s="225"/>
      <c r="F542" s="183"/>
      <c r="G542" s="223"/>
      <c r="H542" s="174"/>
      <c r="I542" s="308"/>
      <c r="J542" s="171"/>
      <c r="K542" s="166"/>
      <c r="L542" s="166"/>
      <c r="M542" s="143"/>
      <c r="N542" s="212"/>
      <c r="O542" s="227"/>
      <c r="P542" s="227"/>
      <c r="Q542" s="176"/>
      <c r="R542" s="227"/>
      <c r="S542" s="227"/>
      <c r="T542" s="227"/>
      <c r="U542" s="178"/>
      <c r="V542" s="179"/>
      <c r="W542" s="180"/>
      <c r="X542" s="227"/>
      <c r="Y542" s="178"/>
      <c r="Z542" s="181"/>
      <c r="AA542" s="227"/>
      <c r="AB542" s="227"/>
      <c r="AC542" s="227"/>
      <c r="AE542" s="114"/>
      <c r="AF542" s="114"/>
      <c r="AG542" s="241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4"/>
      <c r="BJ542" s="114"/>
      <c r="BK542" s="114"/>
      <c r="BL542" s="114"/>
      <c r="BM542" s="114"/>
      <c r="BN542" s="114"/>
      <c r="BO542" s="114"/>
      <c r="BP542" s="114"/>
      <c r="BQ542" s="114"/>
      <c r="BR542" s="114"/>
      <c r="BS542" s="114"/>
      <c r="BT542" s="114"/>
      <c r="BU542" s="114"/>
      <c r="BV542" s="114"/>
      <c r="BW542" s="114"/>
      <c r="BX542" s="114"/>
      <c r="BY542" s="114"/>
      <c r="BZ542" s="114"/>
      <c r="CA542" s="114"/>
      <c r="CB542" s="114"/>
      <c r="CC542" s="114"/>
      <c r="CD542" s="114"/>
      <c r="CE542" s="114"/>
      <c r="CF542" s="114"/>
      <c r="CG542" s="114"/>
      <c r="CH542" s="114"/>
      <c r="CI542" s="114"/>
      <c r="CJ542" s="114"/>
      <c r="CK542" s="114"/>
      <c r="CL542" s="114"/>
      <c r="CM542" s="114"/>
      <c r="CN542" s="114"/>
      <c r="CO542" s="114"/>
    </row>
    <row r="543" spans="1:93" x14ac:dyDescent="0.2">
      <c r="A543" s="118">
        <f t="shared" si="49"/>
        <v>19</v>
      </c>
      <c r="B543" s="226"/>
      <c r="C543" s="223"/>
      <c r="D543" s="168"/>
      <c r="E543" s="225"/>
      <c r="F543" s="183"/>
      <c r="G543" s="233"/>
      <c r="H543" s="174"/>
      <c r="I543" s="308"/>
      <c r="J543" s="171" t="s">
        <v>637</v>
      </c>
      <c r="N543" s="211">
        <f>'Exhibit MJC-2 - Old E-8a'!U31*1000</f>
        <v>605047.98086851218</v>
      </c>
      <c r="P543" s="101" t="s">
        <v>672</v>
      </c>
      <c r="Q543" s="939">
        <f>N543/H539</f>
        <v>4.0547837117211744E-2</v>
      </c>
      <c r="R543" s="227"/>
      <c r="S543" s="227"/>
      <c r="T543" s="227"/>
      <c r="U543" s="178"/>
      <c r="V543" s="179"/>
      <c r="W543" s="180"/>
      <c r="X543" s="227"/>
      <c r="Y543" s="178"/>
      <c r="Z543" s="181"/>
      <c r="AA543" s="227"/>
      <c r="AB543" s="227"/>
      <c r="AC543" s="227"/>
      <c r="AE543" s="114"/>
      <c r="AF543" s="114"/>
      <c r="AG543" s="241"/>
      <c r="AH543" s="114"/>
      <c r="AI543" s="114"/>
      <c r="AJ543" s="114"/>
      <c r="AK543" s="114"/>
      <c r="AL543" s="114"/>
      <c r="AM543" s="114"/>
      <c r="AN543" s="114"/>
      <c r="AO543" s="114"/>
      <c r="AP543" s="114"/>
      <c r="AQ543" s="114"/>
      <c r="AR543" s="114"/>
      <c r="AS543" s="114"/>
      <c r="AT543" s="114"/>
      <c r="AU543" s="114"/>
      <c r="AV543" s="114"/>
      <c r="AW543" s="114"/>
      <c r="AX543" s="114"/>
      <c r="AY543" s="114"/>
      <c r="AZ543" s="114"/>
      <c r="BA543" s="114"/>
      <c r="BB543" s="114"/>
      <c r="BC543" s="114"/>
      <c r="BD543" s="114"/>
      <c r="BE543" s="114"/>
      <c r="BF543" s="114"/>
      <c r="BG543" s="114"/>
      <c r="BH543" s="114"/>
      <c r="BI543" s="114"/>
      <c r="BJ543" s="114"/>
      <c r="BK543" s="114"/>
      <c r="BL543" s="114"/>
      <c r="BM543" s="114"/>
      <c r="BN543" s="114"/>
      <c r="BO543" s="114"/>
      <c r="BP543" s="114"/>
      <c r="BQ543" s="114"/>
      <c r="BR543" s="114"/>
      <c r="BS543" s="114"/>
      <c r="BT543" s="114"/>
      <c r="BU543" s="114"/>
      <c r="BV543" s="114"/>
      <c r="BW543" s="114"/>
      <c r="BX543" s="114"/>
      <c r="BY543" s="114"/>
      <c r="BZ543" s="114"/>
      <c r="CA543" s="114"/>
      <c r="CB543" s="114"/>
      <c r="CC543" s="114"/>
      <c r="CD543" s="114"/>
      <c r="CE543" s="114"/>
      <c r="CF543" s="114"/>
      <c r="CG543" s="114"/>
      <c r="CH543" s="114"/>
      <c r="CI543" s="114"/>
      <c r="CJ543" s="114"/>
      <c r="CK543" s="114"/>
      <c r="CL543" s="114"/>
      <c r="CM543" s="114"/>
      <c r="CN543" s="114"/>
      <c r="CO543" s="114"/>
    </row>
    <row r="544" spans="1:93" x14ac:dyDescent="0.2">
      <c r="A544" s="118">
        <f t="shared" si="49"/>
        <v>20</v>
      </c>
      <c r="B544" s="234"/>
      <c r="C544" s="223"/>
      <c r="D544" s="168"/>
      <c r="E544" s="225"/>
      <c r="F544" s="183"/>
      <c r="G544" s="233"/>
      <c r="H544" s="174"/>
      <c r="I544" s="308"/>
      <c r="Q544" s="176"/>
      <c r="R544" s="227"/>
      <c r="S544" s="227"/>
      <c r="T544" s="227"/>
      <c r="U544" s="178"/>
      <c r="V544" s="179"/>
      <c r="W544" s="180"/>
      <c r="X544" s="227"/>
      <c r="Y544" s="178"/>
      <c r="Z544" s="181"/>
      <c r="AA544" s="227"/>
      <c r="AB544" s="227"/>
      <c r="AC544" s="227"/>
      <c r="AE544" s="114"/>
      <c r="AF544" s="114"/>
      <c r="AG544" s="114"/>
      <c r="AH544" s="114"/>
      <c r="AI544" s="114"/>
      <c r="AJ544" s="114"/>
      <c r="AK544" s="114"/>
      <c r="AL544" s="114"/>
      <c r="AM544" s="114"/>
      <c r="AN544" s="114"/>
      <c r="AO544" s="114"/>
      <c r="AP544" s="114"/>
      <c r="AQ544" s="114"/>
      <c r="AR544" s="114"/>
      <c r="AS544" s="114"/>
      <c r="AT544" s="114"/>
      <c r="AU544" s="114"/>
      <c r="AV544" s="114"/>
      <c r="AW544" s="114"/>
      <c r="AX544" s="114"/>
      <c r="AY544" s="114"/>
      <c r="AZ544" s="114"/>
      <c r="BA544" s="114"/>
      <c r="BB544" s="114"/>
      <c r="BC544" s="114"/>
      <c r="BD544" s="114"/>
      <c r="BE544" s="114"/>
      <c r="BF544" s="114"/>
      <c r="BG544" s="114"/>
      <c r="BH544" s="114"/>
      <c r="BI544" s="114"/>
      <c r="BJ544" s="114"/>
      <c r="BK544" s="114"/>
      <c r="BL544" s="114"/>
      <c r="BM544" s="114"/>
      <c r="BN544" s="114"/>
      <c r="BO544" s="114"/>
      <c r="BP544" s="114"/>
      <c r="BQ544" s="114"/>
      <c r="BR544" s="114"/>
      <c r="BS544" s="114"/>
      <c r="BT544" s="114"/>
      <c r="BU544" s="114"/>
      <c r="BV544" s="114"/>
      <c r="BW544" s="114"/>
      <c r="BX544" s="114"/>
      <c r="BY544" s="114"/>
      <c r="BZ544" s="114"/>
      <c r="CA544" s="114"/>
      <c r="CB544" s="114"/>
      <c r="CC544" s="114"/>
      <c r="CD544" s="114"/>
      <c r="CE544" s="114"/>
      <c r="CF544" s="114"/>
      <c r="CG544" s="114"/>
      <c r="CH544" s="114"/>
      <c r="CI544" s="114"/>
      <c r="CJ544" s="114"/>
      <c r="CK544" s="114"/>
      <c r="CL544" s="114"/>
      <c r="CM544" s="114"/>
      <c r="CN544" s="114"/>
      <c r="CO544" s="114"/>
    </row>
    <row r="545" spans="1:93" x14ac:dyDescent="0.2">
      <c r="A545" s="118">
        <f t="shared" si="49"/>
        <v>21</v>
      </c>
      <c r="B545" s="243"/>
      <c r="C545" s="223"/>
      <c r="D545" s="168"/>
      <c r="E545" s="225"/>
      <c r="F545" s="183"/>
      <c r="G545" s="233"/>
      <c r="H545" s="174"/>
      <c r="I545" s="308"/>
      <c r="J545" s="171" t="s">
        <v>575</v>
      </c>
      <c r="N545" s="214">
        <f>N541-N543</f>
        <v>-7890.1908685130766</v>
      </c>
      <c r="Q545" s="176"/>
      <c r="T545" s="227"/>
      <c r="U545" s="184"/>
      <c r="V545" s="179"/>
      <c r="W545" s="180"/>
      <c r="X545" s="227"/>
      <c r="Y545" s="184"/>
      <c r="Z545" s="181"/>
      <c r="AA545" s="227"/>
      <c r="AB545" s="227"/>
      <c r="AC545" s="26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4"/>
      <c r="BJ545" s="114"/>
      <c r="BK545" s="114"/>
      <c r="BL545" s="114"/>
      <c r="BM545" s="114"/>
      <c r="BN545" s="114"/>
      <c r="BO545" s="114"/>
      <c r="BP545" s="114"/>
      <c r="BQ545" s="114"/>
      <c r="BR545" s="114"/>
      <c r="BS545" s="114"/>
      <c r="BT545" s="114"/>
      <c r="BU545" s="114"/>
      <c r="BV545" s="114"/>
      <c r="BW545" s="114"/>
      <c r="BX545" s="114"/>
      <c r="BY545" s="114"/>
      <c r="BZ545" s="114"/>
      <c r="CA545" s="114"/>
      <c r="CB545" s="114"/>
      <c r="CC545" s="114"/>
      <c r="CD545" s="114"/>
      <c r="CE545" s="114"/>
      <c r="CF545" s="114"/>
      <c r="CG545" s="114"/>
      <c r="CH545" s="114"/>
      <c r="CI545" s="114"/>
      <c r="CJ545" s="114"/>
      <c r="CK545" s="114"/>
      <c r="CL545" s="114"/>
      <c r="CM545" s="114"/>
      <c r="CN545" s="114"/>
      <c r="CO545" s="114"/>
    </row>
    <row r="546" spans="1:93" x14ac:dyDescent="0.2">
      <c r="A546" s="118">
        <f t="shared" si="49"/>
        <v>22</v>
      </c>
      <c r="B546" s="243"/>
      <c r="C546" s="223"/>
      <c r="D546" s="168"/>
      <c r="E546" s="225"/>
      <c r="F546" s="183"/>
      <c r="G546" s="233"/>
      <c r="H546" s="174"/>
      <c r="I546" s="308"/>
      <c r="J546" s="168"/>
      <c r="K546" s="225"/>
      <c r="L546" s="183"/>
      <c r="M546" s="233"/>
      <c r="N546" s="174"/>
      <c r="O546" s="227"/>
      <c r="Q546" s="176"/>
      <c r="T546" s="227"/>
      <c r="U546" s="184"/>
      <c r="V546" s="179"/>
      <c r="W546" s="180"/>
      <c r="X546" s="227"/>
      <c r="Y546" s="184"/>
      <c r="Z546" s="181"/>
      <c r="AA546" s="227"/>
      <c r="AB546" s="227"/>
      <c r="AC546" s="264"/>
      <c r="AD546" s="26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4"/>
      <c r="BJ546" s="114"/>
      <c r="BK546" s="114"/>
      <c r="BL546" s="114"/>
      <c r="BM546" s="114"/>
      <c r="BN546" s="114"/>
      <c r="BO546" s="114"/>
      <c r="BP546" s="114"/>
      <c r="BQ546" s="114"/>
      <c r="BR546" s="114"/>
      <c r="BS546" s="114"/>
      <c r="BT546" s="114"/>
      <c r="BU546" s="114"/>
      <c r="BV546" s="114"/>
      <c r="BW546" s="114"/>
      <c r="BX546" s="114"/>
      <c r="BY546" s="114"/>
      <c r="BZ546" s="114"/>
      <c r="CA546" s="114"/>
      <c r="CB546" s="114"/>
      <c r="CC546" s="114"/>
      <c r="CD546" s="114"/>
      <c r="CE546" s="114"/>
      <c r="CF546" s="114"/>
      <c r="CG546" s="114"/>
      <c r="CH546" s="114"/>
      <c r="CI546" s="114"/>
      <c r="CJ546" s="114"/>
      <c r="CK546" s="114"/>
      <c r="CL546" s="114"/>
      <c r="CM546" s="114"/>
      <c r="CN546" s="114"/>
      <c r="CO546" s="114"/>
    </row>
    <row r="547" spans="1:93" x14ac:dyDescent="0.2">
      <c r="A547" s="118">
        <f t="shared" si="49"/>
        <v>23</v>
      </c>
      <c r="B547" s="234"/>
      <c r="C547" s="223"/>
      <c r="D547" s="168"/>
      <c r="E547" s="225"/>
      <c r="F547" s="183"/>
      <c r="G547" s="233"/>
      <c r="H547" s="174"/>
      <c r="I547" s="308"/>
      <c r="J547" s="168"/>
      <c r="K547" s="225"/>
      <c r="L547" s="183"/>
      <c r="M547" s="233"/>
      <c r="N547" s="174"/>
      <c r="O547" s="227"/>
      <c r="Q547" s="227"/>
      <c r="T547" s="265"/>
      <c r="U547" s="178"/>
      <c r="V547" s="179"/>
      <c r="W547" s="180"/>
      <c r="X547" s="265"/>
      <c r="Y547" s="178"/>
      <c r="Z547" s="181"/>
      <c r="AA547" s="265"/>
      <c r="AB547" s="264"/>
      <c r="AC547" s="264"/>
      <c r="AD547" s="264"/>
      <c r="AE547" s="242"/>
    </row>
    <row r="548" spans="1:93" x14ac:dyDescent="0.2">
      <c r="A548" s="118">
        <f t="shared" si="49"/>
        <v>24</v>
      </c>
      <c r="B548" s="243"/>
      <c r="C548" s="223"/>
      <c r="D548" s="168"/>
      <c r="E548" s="225"/>
      <c r="F548" s="183"/>
      <c r="G548" s="233"/>
      <c r="H548" s="174"/>
      <c r="I548" s="308"/>
      <c r="J548" s="168"/>
      <c r="K548" s="225"/>
      <c r="L548" s="183"/>
      <c r="M548" s="233"/>
      <c r="N548" s="174"/>
      <c r="O548" s="227"/>
      <c r="Q548" s="227"/>
      <c r="T548" s="265"/>
      <c r="U548" s="178"/>
      <c r="V548" s="179"/>
      <c r="W548" s="180"/>
      <c r="X548" s="265"/>
      <c r="Y548" s="178"/>
      <c r="Z548" s="181"/>
      <c r="AA548" s="265"/>
      <c r="AB548" s="264"/>
      <c r="AC548" s="264"/>
      <c r="AD548" s="264"/>
      <c r="AE548" s="242"/>
    </row>
    <row r="549" spans="1:93" x14ac:dyDescent="0.2">
      <c r="A549" s="118">
        <f t="shared" si="49"/>
        <v>25</v>
      </c>
      <c r="B549" s="243"/>
      <c r="C549" s="223"/>
      <c r="D549" s="168"/>
      <c r="E549" s="225"/>
      <c r="F549" s="183"/>
      <c r="G549" s="233"/>
      <c r="H549" s="174"/>
      <c r="I549" s="308"/>
      <c r="J549" s="168"/>
      <c r="K549" s="225"/>
      <c r="L549" s="183"/>
      <c r="M549" s="233"/>
      <c r="N549" s="174"/>
      <c r="O549" s="227"/>
      <c r="Q549" s="227"/>
      <c r="T549" s="265"/>
      <c r="U549" s="178"/>
      <c r="V549" s="179"/>
      <c r="W549" s="180"/>
      <c r="X549" s="265"/>
      <c r="Y549" s="178"/>
      <c r="Z549" s="181"/>
      <c r="AA549" s="265"/>
      <c r="AB549" s="227"/>
      <c r="AC549" s="264"/>
      <c r="AD549" s="264"/>
      <c r="AE549" s="242"/>
    </row>
    <row r="550" spans="1:93" x14ac:dyDescent="0.2">
      <c r="A550" s="118">
        <f t="shared" si="49"/>
        <v>26</v>
      </c>
      <c r="B550" s="234"/>
      <c r="C550" s="223"/>
      <c r="D550" s="168"/>
      <c r="E550" s="225"/>
      <c r="F550" s="183"/>
      <c r="G550" s="233"/>
      <c r="H550" s="174"/>
      <c r="I550" s="308"/>
      <c r="J550" s="168"/>
      <c r="K550" s="225"/>
      <c r="L550" s="183"/>
      <c r="M550" s="233"/>
      <c r="N550" s="174"/>
      <c r="O550" s="227"/>
      <c r="Q550" s="176"/>
      <c r="T550" s="265"/>
      <c r="U550" s="178"/>
      <c r="V550" s="179"/>
      <c r="W550" s="180"/>
      <c r="X550" s="265"/>
      <c r="Y550" s="178"/>
      <c r="Z550" s="181"/>
      <c r="AA550" s="265"/>
      <c r="AB550" s="264"/>
      <c r="AC550" s="264"/>
      <c r="AD550" s="264"/>
      <c r="AF550" s="244"/>
    </row>
    <row r="551" spans="1:93" x14ac:dyDescent="0.2">
      <c r="A551" s="118">
        <f t="shared" si="49"/>
        <v>27</v>
      </c>
      <c r="B551" s="243"/>
      <c r="C551" s="223"/>
      <c r="D551" s="168"/>
      <c r="E551" s="225"/>
      <c r="F551" s="183"/>
      <c r="G551" s="233"/>
      <c r="H551" s="174"/>
      <c r="I551" s="308"/>
      <c r="J551" s="168"/>
      <c r="K551" s="225"/>
      <c r="L551" s="183"/>
      <c r="M551" s="233"/>
      <c r="N551" s="174"/>
      <c r="O551" s="227"/>
      <c r="Q551" s="176"/>
      <c r="T551" s="265"/>
      <c r="U551" s="178"/>
      <c r="V551" s="179"/>
      <c r="W551" s="180"/>
      <c r="X551" s="265"/>
      <c r="Y551" s="178"/>
      <c r="Z551" s="181"/>
      <c r="AA551" s="265"/>
      <c r="AB551" s="264"/>
      <c r="AC551" s="264"/>
      <c r="AD551" s="264"/>
      <c r="AE551" s="242"/>
      <c r="AF551" s="245"/>
    </row>
    <row r="552" spans="1:93" x14ac:dyDescent="0.2">
      <c r="A552" s="118">
        <f t="shared" si="49"/>
        <v>28</v>
      </c>
      <c r="B552" s="243"/>
      <c r="C552" s="223"/>
      <c r="D552" s="168"/>
      <c r="E552" s="225"/>
      <c r="F552" s="183"/>
      <c r="G552" s="233"/>
      <c r="H552" s="174"/>
      <c r="I552" s="308"/>
      <c r="J552" s="168"/>
      <c r="K552" s="225"/>
      <c r="L552" s="183"/>
      <c r="M552" s="233"/>
      <c r="N552" s="174"/>
      <c r="O552" s="227"/>
      <c r="Q552" s="227"/>
      <c r="T552" s="265"/>
      <c r="U552" s="178"/>
      <c r="V552" s="179"/>
      <c r="W552" s="180"/>
      <c r="X552" s="265"/>
      <c r="Y552" s="178"/>
      <c r="Z552" s="181"/>
      <c r="AA552" s="265"/>
      <c r="AB552" s="227"/>
      <c r="AC552" s="264"/>
      <c r="AD552" s="264"/>
      <c r="AF552" s="245"/>
    </row>
    <row r="553" spans="1:93" x14ac:dyDescent="0.2">
      <c r="A553" s="118">
        <f t="shared" si="49"/>
        <v>29</v>
      </c>
      <c r="B553" s="234"/>
      <c r="C553" s="223"/>
      <c r="D553" s="168"/>
      <c r="E553" s="225"/>
      <c r="F553" s="183"/>
      <c r="G553" s="233"/>
      <c r="H553" s="174"/>
      <c r="I553" s="308"/>
      <c r="J553" s="168"/>
      <c r="K553" s="225"/>
      <c r="L553" s="183"/>
      <c r="M553" s="233"/>
      <c r="N553" s="174"/>
      <c r="O553" s="227"/>
      <c r="Q553" s="227"/>
      <c r="T553" s="265"/>
      <c r="U553" s="178"/>
      <c r="V553" s="179"/>
      <c r="W553" s="180"/>
      <c r="X553" s="265"/>
      <c r="Y553" s="178"/>
      <c r="Z553" s="181"/>
      <c r="AA553" s="265"/>
      <c r="AB553" s="264"/>
      <c r="AC553" s="264"/>
      <c r="AD553" s="264"/>
      <c r="AF553" s="245"/>
    </row>
    <row r="554" spans="1:93" x14ac:dyDescent="0.2">
      <c r="A554" s="118">
        <f t="shared" si="49"/>
        <v>30</v>
      </c>
      <c r="B554" s="243"/>
      <c r="C554" s="223"/>
      <c r="D554" s="168"/>
      <c r="E554" s="225"/>
      <c r="F554" s="183"/>
      <c r="G554" s="233"/>
      <c r="H554" s="174"/>
      <c r="I554" s="308"/>
      <c r="J554" s="168"/>
      <c r="K554" s="225"/>
      <c r="L554" s="183"/>
      <c r="M554" s="233"/>
      <c r="N554" s="174"/>
      <c r="O554" s="227"/>
      <c r="Q554" s="227"/>
      <c r="T554" s="265"/>
      <c r="U554" s="178"/>
      <c r="V554" s="179"/>
      <c r="W554" s="180"/>
      <c r="X554" s="265"/>
      <c r="Y554" s="178"/>
      <c r="Z554" s="181"/>
      <c r="AA554" s="265"/>
      <c r="AB554" s="264"/>
      <c r="AC554" s="264"/>
      <c r="AD554" s="264"/>
      <c r="AF554" s="245"/>
    </row>
    <row r="555" spans="1:93" x14ac:dyDescent="0.2">
      <c r="A555" s="118">
        <f t="shared" si="49"/>
        <v>31</v>
      </c>
      <c r="B555" s="243"/>
      <c r="C555" s="223"/>
      <c r="D555" s="168"/>
      <c r="E555" s="225"/>
      <c r="F555" s="183"/>
      <c r="G555" s="233"/>
      <c r="H555" s="174"/>
      <c r="I555" s="308"/>
      <c r="J555" s="168"/>
      <c r="K555" s="225"/>
      <c r="L555" s="183"/>
      <c r="M555" s="233"/>
      <c r="N555" s="174"/>
      <c r="O555" s="227"/>
      <c r="Q555" s="176"/>
      <c r="T555" s="267"/>
      <c r="U555" s="184"/>
      <c r="V555" s="179"/>
      <c r="W555" s="180"/>
      <c r="X555" s="267"/>
      <c r="Y555" s="184"/>
      <c r="Z555" s="181"/>
      <c r="AA555" s="267"/>
      <c r="AB555" s="264"/>
      <c r="AC555" s="264"/>
      <c r="AD555" s="264"/>
      <c r="AF555" s="245"/>
    </row>
    <row r="556" spans="1:93" x14ac:dyDescent="0.2">
      <c r="A556" s="118">
        <f t="shared" si="49"/>
        <v>32</v>
      </c>
      <c r="B556" s="234"/>
      <c r="C556" s="223"/>
      <c r="D556" s="168"/>
      <c r="E556" s="225"/>
      <c r="F556" s="183"/>
      <c r="G556" s="233"/>
      <c r="H556" s="174"/>
      <c r="I556" s="308"/>
      <c r="J556" s="168"/>
      <c r="K556" s="225"/>
      <c r="L556" s="183"/>
      <c r="M556" s="233"/>
      <c r="N556" s="174"/>
      <c r="O556" s="227"/>
      <c r="Q556" s="227"/>
      <c r="U556" s="184"/>
      <c r="V556" s="179"/>
      <c r="W556" s="180"/>
      <c r="Y556" s="184"/>
      <c r="Z556" s="181"/>
      <c r="AB556" s="213"/>
    </row>
    <row r="557" spans="1:93" x14ac:dyDescent="0.2">
      <c r="A557" s="118">
        <f t="shared" si="49"/>
        <v>33</v>
      </c>
      <c r="B557" s="243"/>
      <c r="C557" s="223"/>
      <c r="D557" s="168"/>
      <c r="E557" s="225"/>
      <c r="F557" s="183"/>
      <c r="G557" s="233"/>
      <c r="H557" s="174"/>
      <c r="I557" s="308"/>
      <c r="J557" s="168"/>
      <c r="K557" s="225"/>
      <c r="L557" s="183"/>
      <c r="M557" s="233"/>
      <c r="N557" s="174"/>
      <c r="O557" s="227"/>
      <c r="P557" s="227"/>
      <c r="Q557" s="227"/>
      <c r="U557" s="184"/>
      <c r="V557" s="179"/>
      <c r="W557" s="180"/>
      <c r="Y557" s="184"/>
      <c r="Z557" s="181"/>
    </row>
    <row r="558" spans="1:93" x14ac:dyDescent="0.2">
      <c r="A558" s="118">
        <f t="shared" si="49"/>
        <v>34</v>
      </c>
      <c r="B558" s="243"/>
      <c r="C558" s="223"/>
      <c r="D558" s="168"/>
      <c r="E558" s="225"/>
      <c r="F558" s="183"/>
      <c r="G558" s="233"/>
      <c r="H558" s="174"/>
      <c r="I558" s="308"/>
      <c r="J558" s="168"/>
      <c r="K558" s="225"/>
      <c r="L558" s="183"/>
      <c r="M558" s="233"/>
      <c r="N558" s="174"/>
      <c r="O558" s="227"/>
      <c r="P558" s="227"/>
      <c r="Q558" s="227"/>
      <c r="U558" s="184"/>
      <c r="V558" s="179"/>
      <c r="W558" s="180"/>
      <c r="Y558" s="184"/>
      <c r="Z558" s="181"/>
    </row>
    <row r="559" spans="1:93" x14ac:dyDescent="0.2">
      <c r="A559" s="118">
        <f t="shared" si="49"/>
        <v>35</v>
      </c>
      <c r="B559" s="243"/>
      <c r="C559" s="223"/>
      <c r="D559" s="168"/>
      <c r="E559" s="225"/>
      <c r="F559" s="183"/>
      <c r="G559" s="233"/>
      <c r="H559" s="174"/>
      <c r="I559" s="308"/>
      <c r="J559" s="168"/>
      <c r="K559" s="225"/>
      <c r="L559" s="183"/>
      <c r="M559" s="233"/>
      <c r="N559" s="174"/>
      <c r="O559" s="227"/>
      <c r="P559" s="227"/>
      <c r="Q559" s="227"/>
      <c r="U559" s="184"/>
      <c r="V559" s="179"/>
      <c r="W559" s="180"/>
      <c r="Y559" s="184"/>
      <c r="Z559" s="181"/>
    </row>
    <row r="560" spans="1:93" x14ac:dyDescent="0.2">
      <c r="A560" s="118">
        <f t="shared" si="49"/>
        <v>36</v>
      </c>
      <c r="B560" s="243"/>
      <c r="C560" s="223"/>
      <c r="D560" s="168"/>
      <c r="E560" s="225"/>
      <c r="F560" s="183"/>
      <c r="G560" s="233"/>
      <c r="H560" s="174"/>
      <c r="I560" s="308"/>
      <c r="J560" s="168"/>
      <c r="K560" s="225"/>
      <c r="L560" s="183"/>
      <c r="M560" s="233"/>
      <c r="N560" s="174"/>
      <c r="O560" s="227"/>
      <c r="P560" s="227"/>
      <c r="Q560" s="227"/>
      <c r="U560" s="184"/>
      <c r="V560" s="179"/>
      <c r="W560" s="180"/>
      <c r="Y560" s="184"/>
      <c r="Z560" s="181"/>
    </row>
    <row r="561" spans="1:93" x14ac:dyDescent="0.2">
      <c r="A561" s="118">
        <f t="shared" si="49"/>
        <v>37</v>
      </c>
      <c r="B561" s="243"/>
      <c r="C561" s="223"/>
      <c r="D561" s="168"/>
      <c r="E561" s="225"/>
      <c r="F561" s="183"/>
      <c r="G561" s="233"/>
      <c r="H561" s="174"/>
      <c r="I561" s="308"/>
      <c r="J561" s="168"/>
      <c r="K561" s="225"/>
      <c r="L561" s="183"/>
      <c r="M561" s="233"/>
      <c r="N561" s="174"/>
      <c r="O561" s="227"/>
      <c r="P561" s="227"/>
      <c r="Q561" s="227"/>
      <c r="U561" s="184"/>
      <c r="V561" s="179"/>
      <c r="W561" s="180"/>
      <c r="Y561" s="184"/>
      <c r="Z561" s="181"/>
    </row>
    <row r="562" spans="1:93" x14ac:dyDescent="0.2">
      <c r="A562" s="118">
        <f t="shared" si="49"/>
        <v>38</v>
      </c>
      <c r="B562" s="243"/>
      <c r="C562" s="223"/>
      <c r="D562" s="168"/>
      <c r="E562" s="225"/>
      <c r="F562" s="183"/>
      <c r="G562" s="233"/>
      <c r="H562" s="174"/>
      <c r="I562" s="308"/>
      <c r="J562" s="168"/>
      <c r="K562" s="225"/>
      <c r="L562" s="183"/>
      <c r="M562" s="233"/>
      <c r="N562" s="174"/>
      <c r="O562" s="227"/>
      <c r="P562" s="227"/>
      <c r="Q562" s="227"/>
      <c r="U562" s="184"/>
      <c r="V562" s="179"/>
      <c r="W562" s="180"/>
      <c r="Y562" s="184"/>
      <c r="Z562" s="181"/>
    </row>
    <row r="563" spans="1:93" x14ac:dyDescent="0.2">
      <c r="A563" s="118">
        <f t="shared" si="49"/>
        <v>39</v>
      </c>
      <c r="B563" s="243"/>
      <c r="C563" s="223"/>
      <c r="D563" s="168"/>
      <c r="E563" s="225"/>
      <c r="F563" s="183"/>
      <c r="G563" s="233"/>
      <c r="H563" s="174"/>
      <c r="I563" s="308"/>
      <c r="J563" s="168"/>
      <c r="K563" s="225"/>
      <c r="L563" s="183"/>
      <c r="M563" s="233"/>
      <c r="N563" s="174"/>
      <c r="O563" s="227"/>
      <c r="P563" s="227"/>
      <c r="Q563" s="227"/>
      <c r="U563" s="184"/>
      <c r="V563" s="179"/>
      <c r="W563" s="180"/>
      <c r="Y563" s="184"/>
      <c r="Z563" s="181"/>
    </row>
    <row r="564" spans="1:93" x14ac:dyDescent="0.2">
      <c r="A564" s="118">
        <f t="shared" si="49"/>
        <v>40</v>
      </c>
      <c r="B564" s="243"/>
      <c r="C564" s="223"/>
      <c r="D564" s="168"/>
      <c r="E564" s="225"/>
      <c r="F564" s="183"/>
      <c r="G564" s="233"/>
      <c r="H564" s="174"/>
      <c r="I564" s="308"/>
      <c r="J564" s="168"/>
      <c r="K564" s="225"/>
      <c r="L564" s="183"/>
      <c r="M564" s="233"/>
      <c r="N564" s="174"/>
      <c r="O564" s="227"/>
      <c r="P564" s="227"/>
      <c r="Q564" s="227"/>
      <c r="U564" s="178"/>
      <c r="V564" s="179"/>
      <c r="W564" s="180"/>
      <c r="Y564" s="178"/>
      <c r="Z564" s="181"/>
    </row>
    <row r="565" spans="1:93" x14ac:dyDescent="0.2">
      <c r="A565" s="118">
        <f t="shared" si="49"/>
        <v>41</v>
      </c>
      <c r="B565" s="234"/>
      <c r="C565" s="223"/>
      <c r="D565" s="168"/>
      <c r="E565" s="225"/>
      <c r="F565" s="183"/>
      <c r="G565" s="233"/>
      <c r="H565" s="174"/>
      <c r="I565" s="308"/>
      <c r="J565" s="168"/>
      <c r="K565" s="225"/>
      <c r="L565" s="183"/>
      <c r="M565" s="233"/>
      <c r="N565" s="174"/>
      <c r="O565" s="227"/>
      <c r="P565" s="227"/>
      <c r="Q565" s="227"/>
      <c r="T565" s="213"/>
      <c r="U565" s="178"/>
      <c r="V565" s="179"/>
      <c r="W565" s="180"/>
      <c r="X565" s="213"/>
      <c r="Y565" s="178"/>
      <c r="Z565" s="181"/>
      <c r="AA565" s="213"/>
    </row>
    <row r="566" spans="1:93" x14ac:dyDescent="0.2">
      <c r="A566" s="118">
        <f t="shared" si="49"/>
        <v>42</v>
      </c>
      <c r="B566" s="243"/>
      <c r="C566" s="223"/>
      <c r="D566" s="168"/>
      <c r="E566" s="225"/>
      <c r="F566" s="183"/>
      <c r="G566" s="233"/>
      <c r="H566" s="174"/>
      <c r="I566" s="308"/>
      <c r="J566" s="168"/>
      <c r="K566" s="225"/>
      <c r="L566" s="183"/>
      <c r="M566" s="233"/>
      <c r="N566" s="174"/>
      <c r="O566" s="227"/>
      <c r="P566" s="227"/>
      <c r="Q566" s="227"/>
      <c r="T566" s="182"/>
      <c r="U566" s="184"/>
      <c r="V566" s="179"/>
      <c r="W566" s="180"/>
      <c r="X566" s="182"/>
      <c r="Y566" s="184"/>
      <c r="Z566" s="181"/>
      <c r="AA566" s="182"/>
    </row>
    <row r="567" spans="1:93" x14ac:dyDescent="0.2">
      <c r="A567" s="118">
        <f t="shared" si="49"/>
        <v>43</v>
      </c>
      <c r="B567" s="243"/>
      <c r="C567" s="223"/>
      <c r="D567" s="168"/>
      <c r="E567" s="225"/>
      <c r="F567" s="183"/>
      <c r="G567" s="233"/>
      <c r="H567" s="174"/>
      <c r="I567" s="308"/>
      <c r="J567" s="168"/>
      <c r="K567" s="225"/>
      <c r="L567" s="183"/>
      <c r="M567" s="233"/>
      <c r="N567" s="174"/>
      <c r="O567" s="227"/>
      <c r="P567" s="227"/>
      <c r="Q567" s="227"/>
      <c r="T567" s="250"/>
      <c r="U567" s="184"/>
      <c r="V567" s="179"/>
      <c r="W567" s="180"/>
      <c r="X567" s="250"/>
      <c r="Y567" s="184"/>
      <c r="Z567" s="181"/>
      <c r="AA567" s="250"/>
    </row>
    <row r="568" spans="1:93" x14ac:dyDescent="0.2">
      <c r="A568" s="118">
        <f t="shared" si="49"/>
        <v>44</v>
      </c>
      <c r="B568" s="243"/>
      <c r="C568" s="223"/>
      <c r="D568" s="168"/>
      <c r="E568" s="233"/>
      <c r="F568" s="205"/>
      <c r="G568" s="233"/>
      <c r="H568" s="174"/>
      <c r="I568" s="308"/>
      <c r="J568" s="168"/>
      <c r="K568" s="233"/>
      <c r="L568" s="205"/>
      <c r="M568" s="233"/>
      <c r="N568" s="174"/>
      <c r="O568" s="227"/>
      <c r="P568" s="227"/>
      <c r="Q568" s="227"/>
      <c r="T568" s="103"/>
      <c r="U568" s="184"/>
      <c r="V568" s="179"/>
      <c r="W568" s="180"/>
      <c r="X568" s="103"/>
      <c r="Y568" s="184"/>
      <c r="Z568" s="181"/>
      <c r="AA568" s="103"/>
    </row>
    <row r="569" spans="1:93" x14ac:dyDescent="0.2">
      <c r="A569" s="118">
        <f t="shared" si="49"/>
        <v>45</v>
      </c>
      <c r="B569" s="314"/>
      <c r="C569" s="318" t="s">
        <v>416</v>
      </c>
      <c r="D569" s="257" t="s">
        <v>416</v>
      </c>
      <c r="E569" s="319" t="s">
        <v>416</v>
      </c>
      <c r="F569" s="320"/>
      <c r="G569" s="319" t="s">
        <v>416</v>
      </c>
      <c r="H569" s="187" t="s">
        <v>416</v>
      </c>
      <c r="I569" s="308"/>
      <c r="J569" s="257" t="s">
        <v>416</v>
      </c>
      <c r="K569" s="319" t="s">
        <v>416</v>
      </c>
      <c r="L569" s="320"/>
      <c r="M569" s="319" t="s">
        <v>416</v>
      </c>
      <c r="N569" s="187" t="s">
        <v>416</v>
      </c>
      <c r="O569" s="321"/>
      <c r="P569" s="227"/>
      <c r="Q569" s="227"/>
      <c r="T569" s="103"/>
      <c r="U569" s="252"/>
      <c r="V569" s="253"/>
      <c r="W569" s="254"/>
      <c r="X569" s="103"/>
      <c r="Y569" s="252"/>
      <c r="Z569" s="255"/>
      <c r="AA569" s="103"/>
    </row>
    <row r="570" spans="1:93" x14ac:dyDescent="0.2">
      <c r="A570" s="215"/>
      <c r="B570" s="215" t="s">
        <v>98</v>
      </c>
      <c r="C570" s="215"/>
      <c r="D570" s="215"/>
      <c r="E570" s="215"/>
      <c r="F570" s="299"/>
      <c r="G570" s="215"/>
      <c r="H570" s="300"/>
      <c r="I570" s="215"/>
      <c r="J570" s="215"/>
      <c r="K570" s="215"/>
      <c r="L570" s="299"/>
      <c r="M570" s="215"/>
      <c r="N570" s="300" t="s">
        <v>99</v>
      </c>
      <c r="O570" s="215"/>
      <c r="P570" s="215"/>
      <c r="Q570" s="215"/>
      <c r="Y570" s="101"/>
    </row>
    <row r="571" spans="1:93" x14ac:dyDescent="0.2">
      <c r="A571" s="216"/>
      <c r="B571" s="216"/>
      <c r="C571" s="216"/>
      <c r="D571" s="216"/>
      <c r="E571" s="216"/>
      <c r="F571" s="216"/>
      <c r="G571" s="216"/>
      <c r="H571" s="216"/>
      <c r="I571" s="216"/>
      <c r="J571" s="216"/>
      <c r="K571" s="216"/>
      <c r="L571" s="216"/>
      <c r="M571" s="216"/>
      <c r="N571" s="216"/>
      <c r="O571" s="216"/>
      <c r="P571" s="216"/>
      <c r="Q571" s="216"/>
      <c r="R571" s="216"/>
      <c r="S571" s="216"/>
      <c r="T571" s="216"/>
      <c r="U571" s="216"/>
      <c r="V571" s="216"/>
      <c r="W571" s="216"/>
      <c r="X571" s="216"/>
      <c r="Y571" s="216"/>
      <c r="Z571" s="217"/>
      <c r="AA571" s="216"/>
      <c r="AB571" s="216"/>
      <c r="AC571" s="216"/>
      <c r="AD571" s="216"/>
      <c r="AE571" s="216"/>
      <c r="AF571" s="216"/>
      <c r="AG571" s="216"/>
      <c r="AH571" s="216"/>
      <c r="AI571" s="216"/>
      <c r="AJ571" s="216"/>
      <c r="AK571" s="216"/>
      <c r="AL571" s="216"/>
      <c r="AM571" s="216"/>
      <c r="AN571" s="216"/>
      <c r="AO571" s="216"/>
      <c r="AP571" s="216"/>
      <c r="AQ571" s="216"/>
      <c r="AR571" s="216"/>
      <c r="AS571" s="216"/>
      <c r="AT571" s="216"/>
      <c r="AU571" s="216"/>
      <c r="AV571" s="216"/>
      <c r="AW571" s="216"/>
      <c r="AX571" s="216"/>
      <c r="AY571" s="216"/>
      <c r="AZ571" s="216"/>
      <c r="BA571" s="216"/>
      <c r="BB571" s="216"/>
      <c r="BC571" s="216"/>
      <c r="BD571" s="216"/>
      <c r="BE571" s="216"/>
      <c r="BF571" s="216"/>
      <c r="BG571" s="216"/>
      <c r="BH571" s="216"/>
      <c r="BI571" s="216"/>
      <c r="BJ571" s="216"/>
      <c r="BK571" s="216"/>
      <c r="BL571" s="216"/>
      <c r="BM571" s="216"/>
      <c r="BN571" s="216"/>
      <c r="BO571" s="216"/>
      <c r="BP571" s="216"/>
      <c r="BQ571" s="216"/>
      <c r="BR571" s="216"/>
      <c r="BS571" s="216"/>
      <c r="BT571" s="216"/>
      <c r="BU571" s="216"/>
      <c r="BV571" s="216"/>
      <c r="BW571" s="216"/>
      <c r="BX571" s="216"/>
      <c r="BY571" s="216"/>
      <c r="BZ571" s="216"/>
      <c r="CA571" s="216"/>
      <c r="CB571" s="216"/>
      <c r="CC571" s="216"/>
      <c r="CD571" s="216"/>
      <c r="CE571" s="216"/>
      <c r="CF571" s="216"/>
      <c r="CG571" s="216"/>
      <c r="CH571" s="216"/>
      <c r="CI571" s="216"/>
      <c r="CJ571" s="216"/>
      <c r="CK571" s="216"/>
      <c r="CL571" s="216"/>
      <c r="CM571" s="216"/>
      <c r="CN571" s="216"/>
      <c r="CO571" s="216"/>
    </row>
    <row r="572" spans="1:93" x14ac:dyDescent="0.2">
      <c r="A572" s="100" t="s">
        <v>505</v>
      </c>
      <c r="C572" s="102"/>
      <c r="D572" s="103"/>
      <c r="F572" s="268"/>
      <c r="G572" s="104"/>
      <c r="H572" s="269" t="s">
        <v>506</v>
      </c>
      <c r="I572" s="104"/>
      <c r="J572" s="104"/>
      <c r="K572" s="104"/>
      <c r="L572" s="268"/>
      <c r="N572" s="270"/>
      <c r="Q572" s="106" t="s">
        <v>638</v>
      </c>
      <c r="R572" s="322"/>
      <c r="S572" s="322"/>
      <c r="U572" s="114"/>
      <c r="V572" s="114"/>
      <c r="W572" s="114"/>
      <c r="Y572" s="114"/>
      <c r="Z572" s="218"/>
      <c r="AC572" s="114"/>
    </row>
    <row r="573" spans="1:93" ht="10.8" thickBot="1" x14ac:dyDescent="0.25">
      <c r="A573" s="108"/>
      <c r="B573" s="109"/>
      <c r="C573" s="109"/>
      <c r="D573" s="109"/>
      <c r="E573" s="110" t="s">
        <v>416</v>
      </c>
      <c r="F573" s="271" t="s">
        <v>416</v>
      </c>
      <c r="G573" s="109" t="s">
        <v>416</v>
      </c>
      <c r="H573" s="272" t="s">
        <v>416</v>
      </c>
      <c r="I573" s="109" t="s">
        <v>416</v>
      </c>
      <c r="J573" s="109"/>
      <c r="K573" s="109"/>
      <c r="L573" s="271" t="s">
        <v>416</v>
      </c>
      <c r="M573" s="111"/>
      <c r="N573" s="273"/>
      <c r="O573" s="109"/>
      <c r="P573" s="112"/>
      <c r="Q573" s="109"/>
      <c r="U573" s="114"/>
      <c r="V573" s="114"/>
      <c r="W573" s="114"/>
      <c r="Y573" s="114"/>
      <c r="Z573" s="218"/>
      <c r="AC573" s="114"/>
    </row>
    <row r="574" spans="1:93" x14ac:dyDescent="0.2">
      <c r="A574" s="113"/>
      <c r="F574" s="197"/>
      <c r="H574" s="203"/>
      <c r="L574" s="197"/>
      <c r="M574" s="105"/>
      <c r="N574" s="270"/>
      <c r="P574" s="114"/>
      <c r="U574" s="114"/>
      <c r="V574" s="114"/>
      <c r="W574" s="114"/>
      <c r="Y574" s="114"/>
      <c r="Z574" s="218"/>
      <c r="AC574" s="114"/>
    </row>
    <row r="575" spans="1:93" x14ac:dyDescent="0.2">
      <c r="A575" s="100" t="s">
        <v>3</v>
      </c>
      <c r="D575" s="106" t="s">
        <v>4</v>
      </c>
      <c r="E575" s="101" t="s">
        <v>508</v>
      </c>
      <c r="F575" s="197"/>
      <c r="H575" s="203"/>
      <c r="L575" s="197"/>
      <c r="N575" s="203"/>
      <c r="O575" s="100" t="s">
        <v>6</v>
      </c>
      <c r="U575" s="114"/>
      <c r="V575" s="114"/>
      <c r="W575" s="114"/>
      <c r="Y575" s="114"/>
      <c r="Z575" s="218"/>
      <c r="AC575" s="114"/>
    </row>
    <row r="576" spans="1:93" x14ac:dyDescent="0.2">
      <c r="E576" s="101" t="s">
        <v>509</v>
      </c>
      <c r="F576" s="197"/>
      <c r="H576" s="203"/>
      <c r="L576" s="197"/>
      <c r="N576" s="203"/>
      <c r="U576" s="114"/>
      <c r="V576" s="114"/>
      <c r="W576" s="114"/>
      <c r="Y576" s="114"/>
      <c r="Z576" s="218"/>
      <c r="AC576" s="114"/>
    </row>
    <row r="577" spans="1:93" x14ac:dyDescent="0.2">
      <c r="A577" s="100" t="s">
        <v>9</v>
      </c>
      <c r="E577" s="101" t="s">
        <v>510</v>
      </c>
      <c r="F577" s="197"/>
      <c r="H577" s="203"/>
      <c r="L577" s="197"/>
      <c r="N577" s="203"/>
      <c r="O577" s="107" t="str">
        <f>O516</f>
        <v>__X__  Projected Test Year Ended 12/31/26</v>
      </c>
      <c r="U577" s="114"/>
      <c r="V577" s="114"/>
      <c r="W577" s="114"/>
      <c r="Y577" s="114"/>
      <c r="Z577" s="218"/>
      <c r="AC577" s="114"/>
    </row>
    <row r="578" spans="1:93" x14ac:dyDescent="0.2">
      <c r="E578" s="101" t="s">
        <v>512</v>
      </c>
      <c r="F578" s="197"/>
      <c r="H578" s="203"/>
      <c r="L578" s="197"/>
      <c r="N578" s="203"/>
      <c r="U578" s="114"/>
      <c r="V578" s="114"/>
      <c r="W578" s="114"/>
      <c r="Y578" s="114"/>
      <c r="Z578" s="218"/>
      <c r="AC578" s="114"/>
    </row>
    <row r="579" spans="1:93" x14ac:dyDescent="0.2">
      <c r="A579" s="100" t="s">
        <v>491</v>
      </c>
      <c r="C579" s="119" t="s">
        <v>605</v>
      </c>
      <c r="F579" s="197"/>
      <c r="H579" s="203"/>
      <c r="L579" s="197"/>
      <c r="N579" s="203"/>
      <c r="O579" s="100" t="s">
        <v>493</v>
      </c>
      <c r="U579" s="114"/>
      <c r="V579" s="114"/>
      <c r="W579" s="114"/>
      <c r="Y579" s="114"/>
      <c r="Z579" s="218"/>
      <c r="AC579" s="114"/>
    </row>
    <row r="580" spans="1:93" ht="10.8" thickBot="1" x14ac:dyDescent="0.25">
      <c r="A580" s="123"/>
      <c r="B580" s="109"/>
      <c r="C580" s="109"/>
      <c r="D580" s="109"/>
      <c r="E580" s="109"/>
      <c r="F580" s="274"/>
      <c r="G580" s="109"/>
      <c r="H580" s="272"/>
      <c r="I580" s="109"/>
      <c r="J580" s="109"/>
      <c r="K580" s="109"/>
      <c r="L580" s="274"/>
      <c r="M580" s="109"/>
      <c r="N580" s="275"/>
      <c r="O580" s="109"/>
      <c r="P580" s="109"/>
      <c r="Q580" s="109"/>
      <c r="U580" s="114"/>
      <c r="V580" s="114"/>
      <c r="W580" s="114"/>
      <c r="Y580" s="114"/>
      <c r="Z580" s="218"/>
      <c r="AC580" s="114"/>
    </row>
    <row r="581" spans="1:93" ht="15.6" x14ac:dyDescent="0.2">
      <c r="B581" s="124"/>
      <c r="C581" s="125"/>
      <c r="D581" s="125"/>
      <c r="E581" s="125"/>
      <c r="F581" s="276"/>
      <c r="G581" s="125"/>
      <c r="H581" s="277"/>
      <c r="I581" s="126" t="s">
        <v>639</v>
      </c>
      <c r="J581" s="125"/>
      <c r="K581" s="125"/>
      <c r="L581" s="276"/>
      <c r="M581" s="125"/>
      <c r="N581" s="277"/>
      <c r="U581" s="127" t="s">
        <v>530</v>
      </c>
      <c r="V581" s="128"/>
      <c r="W581" s="129"/>
      <c r="Y581" s="130" t="s">
        <v>531</v>
      </c>
      <c r="Z581" s="131"/>
    </row>
    <row r="582" spans="1:93" x14ac:dyDescent="0.2">
      <c r="A582" s="101" t="s">
        <v>30</v>
      </c>
      <c r="B582" s="101" t="s">
        <v>532</v>
      </c>
      <c r="C582" s="132"/>
      <c r="D582" s="133" t="s">
        <v>533</v>
      </c>
      <c r="E582" s="134"/>
      <c r="F582" s="278"/>
      <c r="G582" s="133"/>
      <c r="H582" s="279"/>
      <c r="I582" s="135"/>
      <c r="J582" s="136" t="s">
        <v>534</v>
      </c>
      <c r="K582" s="133"/>
      <c r="L582" s="278"/>
      <c r="M582" s="134"/>
      <c r="N582" s="280"/>
      <c r="O582" s="137"/>
      <c r="Q582" s="118" t="s">
        <v>332</v>
      </c>
      <c r="U582" s="138"/>
      <c r="V582" s="139"/>
      <c r="W582" s="140"/>
      <c r="Y582" s="138"/>
      <c r="Z582" s="141"/>
    </row>
    <row r="583" spans="1:93" x14ac:dyDescent="0.2">
      <c r="A583" s="101" t="s">
        <v>39</v>
      </c>
      <c r="B583" s="102" t="s">
        <v>535</v>
      </c>
      <c r="C583" s="104"/>
      <c r="D583" s="142" t="s">
        <v>536</v>
      </c>
      <c r="E583" s="143"/>
      <c r="F583" s="281" t="s">
        <v>537</v>
      </c>
      <c r="G583" s="142"/>
      <c r="H583" s="282" t="s">
        <v>538</v>
      </c>
      <c r="I583" s="144"/>
      <c r="J583" s="142" t="s">
        <v>536</v>
      </c>
      <c r="K583" s="143"/>
      <c r="L583" s="281" t="s">
        <v>537</v>
      </c>
      <c r="M583" s="142"/>
      <c r="N583" s="282" t="s">
        <v>538</v>
      </c>
      <c r="O583" s="132"/>
      <c r="Q583" s="145" t="s">
        <v>539</v>
      </c>
      <c r="R583" s="132"/>
      <c r="S583" s="132"/>
      <c r="U583" s="138" t="s">
        <v>128</v>
      </c>
      <c r="V583" s="146" t="s">
        <v>343</v>
      </c>
      <c r="W583" s="147" t="s">
        <v>344</v>
      </c>
      <c r="Y583" s="148" t="s">
        <v>128</v>
      </c>
      <c r="Z583" s="149"/>
      <c r="AH583" s="116"/>
      <c r="AI583" s="116"/>
      <c r="AJ583" s="116"/>
      <c r="AK583" s="116"/>
      <c r="AL583" s="116"/>
      <c r="AM583" s="116"/>
      <c r="AN583" s="116"/>
      <c r="AO583" s="116"/>
      <c r="AP583" s="116"/>
      <c r="AQ583" s="116"/>
      <c r="AR583" s="116"/>
      <c r="AS583" s="116"/>
      <c r="AT583" s="116"/>
      <c r="AU583" s="116"/>
      <c r="AV583" s="116"/>
      <c r="AW583" s="116"/>
      <c r="AX583" s="116"/>
      <c r="AY583" s="116"/>
      <c r="AZ583" s="116"/>
      <c r="BA583" s="116"/>
      <c r="BB583" s="116"/>
      <c r="BC583" s="116"/>
      <c r="BD583" s="116"/>
      <c r="BE583" s="116"/>
      <c r="BF583" s="116"/>
      <c r="BG583" s="116"/>
      <c r="BH583" s="116"/>
      <c r="BI583" s="116"/>
      <c r="BJ583" s="116"/>
      <c r="BK583" s="116"/>
      <c r="BL583" s="116"/>
      <c r="BM583" s="116"/>
      <c r="BN583" s="116"/>
      <c r="BO583" s="116"/>
      <c r="BP583" s="116"/>
      <c r="BQ583" s="116"/>
      <c r="BR583" s="116"/>
      <c r="BS583" s="116"/>
      <c r="BT583" s="116"/>
      <c r="BU583" s="116"/>
      <c r="BV583" s="116"/>
      <c r="BW583" s="116"/>
      <c r="BX583" s="116"/>
      <c r="BY583" s="116"/>
      <c r="BZ583" s="116"/>
      <c r="CA583" s="116"/>
      <c r="CB583" s="116"/>
      <c r="CC583" s="116"/>
      <c r="CD583" s="116"/>
      <c r="CE583" s="116"/>
      <c r="CF583" s="116"/>
      <c r="CG583" s="116"/>
      <c r="CH583" s="116"/>
      <c r="CI583" s="116"/>
      <c r="CJ583" s="116"/>
      <c r="CK583" s="116"/>
      <c r="CL583" s="116"/>
      <c r="CM583" s="116"/>
      <c r="CN583" s="116"/>
      <c r="CO583" s="116"/>
    </row>
    <row r="584" spans="1:93" ht="10.8" thickBot="1" x14ac:dyDescent="0.25">
      <c r="A584" s="109"/>
      <c r="B584" s="110" t="s">
        <v>138</v>
      </c>
      <c r="C584" s="150"/>
      <c r="D584" s="220" t="str">
        <f>+$D$13</f>
        <v>Jan '26-Dec '26</v>
      </c>
      <c r="E584" s="221"/>
      <c r="F584" s="152">
        <f>+$L$13</f>
        <v>46023</v>
      </c>
      <c r="G584" s="153"/>
      <c r="H584" s="153"/>
      <c r="I584" s="153"/>
      <c r="J584" s="153"/>
      <c r="K584" s="151"/>
      <c r="L584" s="152">
        <f>+$L$13</f>
        <v>46023</v>
      </c>
      <c r="M584" s="154"/>
      <c r="N584" s="283"/>
      <c r="O584" s="155"/>
      <c r="P584" s="109"/>
      <c r="Q584" s="156"/>
      <c r="R584" s="132"/>
      <c r="S584" s="132"/>
      <c r="U584" s="157" t="s">
        <v>144</v>
      </c>
      <c r="V584" s="158" t="s">
        <v>540</v>
      </c>
      <c r="W584" s="159" t="s">
        <v>540</v>
      </c>
      <c r="Y584" s="160" t="s">
        <v>144</v>
      </c>
      <c r="Z584" s="159" t="s">
        <v>541</v>
      </c>
      <c r="AH584" s="116"/>
      <c r="AI584" s="116"/>
      <c r="AJ584" s="116"/>
      <c r="AK584" s="116"/>
      <c r="AL584" s="116"/>
      <c r="AM584" s="116"/>
      <c r="AN584" s="116"/>
      <c r="AO584" s="116"/>
      <c r="AP584" s="116"/>
      <c r="AQ584" s="116"/>
      <c r="AR584" s="116"/>
      <c r="AS584" s="116"/>
      <c r="AT584" s="116"/>
      <c r="AU584" s="116"/>
      <c r="AV584" s="116"/>
      <c r="AW584" s="116"/>
      <c r="AX584" s="116"/>
      <c r="AY584" s="116"/>
      <c r="AZ584" s="116"/>
      <c r="BA584" s="116"/>
      <c r="BB584" s="116"/>
      <c r="BC584" s="116"/>
      <c r="BD584" s="116"/>
      <c r="BE584" s="116"/>
      <c r="BF584" s="116"/>
      <c r="BG584" s="116"/>
      <c r="BH584" s="116"/>
      <c r="BI584" s="116"/>
      <c r="BJ584" s="116"/>
      <c r="BK584" s="116"/>
      <c r="BL584" s="116"/>
      <c r="BM584" s="116"/>
      <c r="BN584" s="116"/>
      <c r="BO584" s="116"/>
      <c r="BP584" s="116"/>
      <c r="BQ584" s="116"/>
      <c r="BR584" s="116"/>
      <c r="BS584" s="116"/>
      <c r="BT584" s="116"/>
      <c r="BU584" s="116"/>
      <c r="BV584" s="116"/>
      <c r="BW584" s="116"/>
      <c r="BX584" s="116"/>
      <c r="BY584" s="116"/>
      <c r="BZ584" s="116"/>
      <c r="CA584" s="116"/>
      <c r="CB584" s="116"/>
      <c r="CC584" s="116"/>
      <c r="CD584" s="116"/>
      <c r="CE584" s="116"/>
      <c r="CF584" s="116"/>
      <c r="CG584" s="116"/>
      <c r="CH584" s="116"/>
      <c r="CI584" s="116"/>
      <c r="CJ584" s="116"/>
      <c r="CK584" s="116"/>
      <c r="CL584" s="116"/>
      <c r="CM584" s="116"/>
      <c r="CN584" s="116"/>
      <c r="CO584" s="116"/>
    </row>
    <row r="585" spans="1:93" x14ac:dyDescent="0.2">
      <c r="A585" s="118">
        <v>1</v>
      </c>
      <c r="F585" s="197"/>
      <c r="H585" s="203"/>
      <c r="I585" s="323"/>
      <c r="L585" s="197"/>
      <c r="N585" s="203"/>
      <c r="O585" s="227"/>
      <c r="P585" s="227"/>
      <c r="Q585" s="230"/>
      <c r="R585" s="132"/>
      <c r="S585" s="132"/>
      <c r="U585" s="163"/>
      <c r="V585" s="139"/>
      <c r="W585" s="140"/>
      <c r="Y585" s="163"/>
      <c r="Z585" s="141"/>
      <c r="AH585" s="116"/>
      <c r="AI585" s="116"/>
      <c r="AJ585" s="116"/>
      <c r="AK585" s="116"/>
      <c r="AL585" s="116"/>
      <c r="AM585" s="116"/>
      <c r="AN585" s="116"/>
      <c r="AO585" s="116"/>
      <c r="AP585" s="116"/>
      <c r="AQ585" s="116"/>
      <c r="AR585" s="116"/>
      <c r="AS585" s="116"/>
      <c r="AT585" s="116"/>
      <c r="AU585" s="116"/>
      <c r="AV585" s="116"/>
      <c r="AW585" s="116"/>
      <c r="AX585" s="116"/>
      <c r="AY585" s="116"/>
      <c r="AZ585" s="116"/>
      <c r="BA585" s="116"/>
      <c r="BB585" s="116"/>
      <c r="BC585" s="116"/>
      <c r="BD585" s="116"/>
      <c r="BE585" s="116"/>
      <c r="BF585" s="116"/>
      <c r="BG585" s="116"/>
      <c r="BH585" s="116"/>
      <c r="BI585" s="116"/>
      <c r="BJ585" s="116"/>
      <c r="BK585" s="116"/>
      <c r="BL585" s="116"/>
      <c r="BM585" s="116"/>
      <c r="BN585" s="116"/>
      <c r="BO585" s="116"/>
      <c r="BP585" s="116"/>
      <c r="BQ585" s="116"/>
      <c r="BR585" s="116"/>
      <c r="BS585" s="116"/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</row>
    <row r="586" spans="1:93" x14ac:dyDescent="0.2">
      <c r="A586" s="118">
        <f t="shared" ref="A586:A630" si="51">+A585+1</f>
        <v>2</v>
      </c>
      <c r="B586" s="222" t="s">
        <v>542</v>
      </c>
      <c r="C586" s="223"/>
      <c r="D586" s="226"/>
      <c r="E586" s="225"/>
      <c r="F586" s="284"/>
      <c r="G586" s="227"/>
      <c r="H586" s="285"/>
      <c r="I586" s="308"/>
      <c r="J586" s="226"/>
      <c r="K586" s="225"/>
      <c r="L586" s="857">
        <v>0</v>
      </c>
      <c r="M586" s="227"/>
      <c r="N586" s="285"/>
      <c r="O586" s="227"/>
      <c r="P586" s="227"/>
      <c r="Q586" s="227"/>
      <c r="R586" s="227"/>
      <c r="S586" s="227"/>
      <c r="T586" s="227"/>
      <c r="U586" s="163"/>
      <c r="V586" s="139"/>
      <c r="W586" s="140"/>
      <c r="X586" s="227"/>
      <c r="Y586" s="163"/>
      <c r="Z586" s="141"/>
      <c r="AA586" s="227"/>
      <c r="AH586" s="116"/>
      <c r="AI586" s="116"/>
      <c r="AJ586" s="116"/>
      <c r="AK586" s="116"/>
      <c r="AL586" s="116"/>
      <c r="AM586" s="116"/>
      <c r="AN586" s="116"/>
      <c r="AO586" s="116"/>
      <c r="AP586" s="116"/>
      <c r="AQ586" s="116"/>
      <c r="AR586" s="116"/>
      <c r="AS586" s="116"/>
      <c r="AT586" s="116"/>
      <c r="AU586" s="116"/>
      <c r="AV586" s="116"/>
      <c r="AW586" s="116"/>
      <c r="AX586" s="116"/>
      <c r="AY586" s="116"/>
      <c r="AZ586" s="116"/>
      <c r="BA586" s="116"/>
      <c r="BB586" s="116"/>
      <c r="BC586" s="116"/>
      <c r="BD586" s="116"/>
      <c r="BE586" s="116"/>
      <c r="BF586" s="116"/>
      <c r="BG586" s="116"/>
      <c r="BH586" s="116"/>
      <c r="BI586" s="116"/>
      <c r="BJ586" s="116"/>
      <c r="BK586" s="116"/>
      <c r="BL586" s="116"/>
      <c r="BM586" s="116"/>
      <c r="BN586" s="116"/>
      <c r="BO586" s="116"/>
      <c r="BP586" s="116"/>
      <c r="BQ586" s="116"/>
      <c r="BR586" s="116"/>
      <c r="BS586" s="116"/>
      <c r="BT586" s="116"/>
      <c r="BU586" s="116"/>
      <c r="BV586" s="116"/>
      <c r="BW586" s="116"/>
      <c r="BX586" s="116"/>
      <c r="BY586" s="116"/>
      <c r="BZ586" s="116"/>
      <c r="CA586" s="116"/>
      <c r="CB586" s="116"/>
      <c r="CC586" s="116"/>
      <c r="CD586" s="116"/>
      <c r="CE586" s="116"/>
      <c r="CF586" s="116"/>
      <c r="CG586" s="116"/>
      <c r="CH586" s="116"/>
      <c r="CI586" s="116"/>
      <c r="CJ586" s="116"/>
      <c r="CK586" s="116"/>
      <c r="CL586" s="116"/>
      <c r="CM586" s="116"/>
      <c r="CN586" s="116"/>
      <c r="CO586" s="116"/>
    </row>
    <row r="587" spans="1:93" x14ac:dyDescent="0.2">
      <c r="A587" s="118">
        <f t="shared" si="51"/>
        <v>3</v>
      </c>
      <c r="B587" s="234" t="s">
        <v>148</v>
      </c>
      <c r="C587" s="223"/>
      <c r="D587" s="172">
        <f>SUMIF($AH$6:$CP$6,1,$AH587:$CP587)</f>
        <v>50.961722892793311</v>
      </c>
      <c r="E587" s="233" t="s">
        <v>545</v>
      </c>
      <c r="F587" s="173">
        <f>'Exhibit MJC-3 - E-13c cal yr'!F589</f>
        <v>432.09</v>
      </c>
      <c r="G587" s="233" t="s">
        <v>375</v>
      </c>
      <c r="H587" s="174">
        <f>ROUND(D587*F587,2)</f>
        <v>22020.05</v>
      </c>
      <c r="I587" s="308"/>
      <c r="J587" s="172">
        <f>SUMIF($AH$6:$CP$6,1,$AH587:$CP587)</f>
        <v>50.961722892793311</v>
      </c>
      <c r="K587" s="233" t="s">
        <v>545</v>
      </c>
      <c r="L587" s="183">
        <f>ROUND(F587*(1+'Exhibit MJC-2 - Old E-8a'!V24)+L586,2)</f>
        <v>444.06</v>
      </c>
      <c r="M587" s="233" t="s">
        <v>375</v>
      </c>
      <c r="N587" s="174">
        <f>ROUND(J587*L587,2)</f>
        <v>22630.06</v>
      </c>
      <c r="O587" s="227"/>
      <c r="P587" s="262"/>
      <c r="Q587" s="262"/>
      <c r="R587" s="311"/>
      <c r="S587" s="227"/>
      <c r="T587" s="227"/>
      <c r="U587" s="184" t="s">
        <v>138</v>
      </c>
      <c r="V587" s="179">
        <v>256</v>
      </c>
      <c r="W587" s="180">
        <v>230</v>
      </c>
      <c r="X587" s="227"/>
      <c r="Y587" s="184"/>
      <c r="Z587" s="181"/>
      <c r="AA587" s="227"/>
      <c r="AB587" s="182">
        <f>SUM(AH587:AS587)</f>
        <v>50.412232916970453</v>
      </c>
      <c r="AC587" s="182">
        <f>SUM(AT587:BE587)</f>
        <v>50.638594769349368</v>
      </c>
      <c r="AD587" s="182">
        <f>SUM(BF587:BQ587)</f>
        <v>50.763897535735651</v>
      </c>
      <c r="AE587" s="182">
        <f>SUM(BR587:CC587)</f>
        <v>50.961722892793311</v>
      </c>
      <c r="AF587" s="182">
        <f>SUM(CD587:CO587)</f>
        <v>51.233591326929087</v>
      </c>
      <c r="AH587" s="168">
        <v>5.1847972297730083</v>
      </c>
      <c r="AI587" s="168">
        <v>3.6060930375009992</v>
      </c>
      <c r="AJ587" s="168">
        <v>1.3043970136661396</v>
      </c>
      <c r="AK587" s="168">
        <v>4.5262708290770268</v>
      </c>
      <c r="AL587" s="168">
        <v>4.4253463731842366</v>
      </c>
      <c r="AM587" s="168">
        <v>4.0147431362022603</v>
      </c>
      <c r="AN587" s="168">
        <v>4.6220983526615829</v>
      </c>
      <c r="AO587" s="168">
        <v>4.4694884734779965</v>
      </c>
      <c r="AP587" s="168">
        <v>4.5345286246373497</v>
      </c>
      <c r="AQ587" s="168">
        <v>4.4959003296916569</v>
      </c>
      <c r="AR587" s="168">
        <v>4.7284856730810088</v>
      </c>
      <c r="AS587" s="168">
        <v>4.5000838440171886</v>
      </c>
      <c r="AT587" s="168">
        <v>5.1975836681532552</v>
      </c>
      <c r="AU587" s="168">
        <v>3.6267412122533291</v>
      </c>
      <c r="AV587" s="168">
        <v>1.3129196201605153</v>
      </c>
      <c r="AW587" s="168">
        <v>4.5552395763332338</v>
      </c>
      <c r="AX587" s="168">
        <v>4.4509101401772853</v>
      </c>
      <c r="AY587" s="168">
        <v>4.0370319766140188</v>
      </c>
      <c r="AZ587" s="168">
        <v>4.6442280514964853</v>
      </c>
      <c r="BA587" s="168">
        <v>4.4895522910695682</v>
      </c>
      <c r="BB587" s="168">
        <v>4.5529638685387441</v>
      </c>
      <c r="BC587" s="168">
        <v>4.5126300675263558</v>
      </c>
      <c r="BD587" s="168">
        <v>4.7439647953726167</v>
      </c>
      <c r="BE587" s="168">
        <v>4.5148295016539608</v>
      </c>
      <c r="BF587" s="168">
        <v>5.204722221991096</v>
      </c>
      <c r="BG587" s="168">
        <v>3.6371835868262998</v>
      </c>
      <c r="BH587" s="168">
        <v>1.3129069996595857</v>
      </c>
      <c r="BI587" s="168">
        <v>4.5685470804909745</v>
      </c>
      <c r="BJ587" s="168">
        <v>4.4639875030093288</v>
      </c>
      <c r="BK587" s="168">
        <v>4.0486787196639513</v>
      </c>
      <c r="BL587" s="168">
        <v>4.656493337218965</v>
      </c>
      <c r="BM587" s="168">
        <v>4.5016699727256224</v>
      </c>
      <c r="BN587" s="168">
        <v>4.5645520534774127</v>
      </c>
      <c r="BO587" s="168">
        <v>4.523843096689828</v>
      </c>
      <c r="BP587" s="168">
        <v>4.7547730596629885</v>
      </c>
      <c r="BQ587" s="168">
        <v>4.526539904319602</v>
      </c>
      <c r="BR587" s="168">
        <v>5.2095296265142235</v>
      </c>
      <c r="BS587" s="168">
        <v>3.6470229209183538</v>
      </c>
      <c r="BT587" s="168">
        <v>1.3136483200370848</v>
      </c>
      <c r="BU587" s="168">
        <v>4.5848823926827</v>
      </c>
      <c r="BV587" s="168">
        <v>4.4812798386377022</v>
      </c>
      <c r="BW587" s="168">
        <v>4.0659347518788369</v>
      </c>
      <c r="BX587" s="168">
        <v>4.6757069543328074</v>
      </c>
      <c r="BY587" s="168">
        <v>4.5216161531814247</v>
      </c>
      <c r="BZ587" s="168">
        <v>4.5859235319135898</v>
      </c>
      <c r="CA587" s="168">
        <v>4.5463522402250511</v>
      </c>
      <c r="CB587" s="168">
        <v>4.7791500807819869</v>
      </c>
      <c r="CC587" s="168">
        <v>4.550676081689554</v>
      </c>
      <c r="CD587" s="168">
        <v>5.2333373115476318</v>
      </c>
      <c r="CE587" s="168">
        <v>3.6615270272715144</v>
      </c>
      <c r="CF587" s="168">
        <v>1.318997815025799</v>
      </c>
      <c r="CG587" s="168">
        <v>4.6096760852399568</v>
      </c>
      <c r="CH587" s="168">
        <v>4.5058429091415881</v>
      </c>
      <c r="CI587" s="168">
        <v>4.090329761001831</v>
      </c>
      <c r="CJ587" s="168">
        <v>4.7018757389771979</v>
      </c>
      <c r="CK587" s="168">
        <v>4.5471910973985308</v>
      </c>
      <c r="CL587" s="168">
        <v>4.6116569247459012</v>
      </c>
      <c r="CM587" s="168">
        <v>4.5715633277818579</v>
      </c>
      <c r="CN587" s="168">
        <v>4.8053209229614628</v>
      </c>
      <c r="CO587" s="168">
        <v>4.5762724058358133</v>
      </c>
    </row>
    <row r="588" spans="1:93" x14ac:dyDescent="0.2">
      <c r="A588" s="118">
        <f t="shared" si="51"/>
        <v>4</v>
      </c>
      <c r="B588" s="234" t="s">
        <v>216</v>
      </c>
      <c r="C588" s="223"/>
      <c r="D588" s="172">
        <f>SUMIF($AH$6:$CP$6,1,$AH588:$CP588)</f>
        <v>3.8461677654938358</v>
      </c>
      <c r="E588" s="233" t="s">
        <v>545</v>
      </c>
      <c r="F588" s="173">
        <f>'Exhibit MJC-3 - E-13c cal yr'!F590</f>
        <v>1488.73</v>
      </c>
      <c r="G588" s="233" t="s">
        <v>375</v>
      </c>
      <c r="H588" s="174">
        <f>ROUND(D588*F588,2)</f>
        <v>5725.91</v>
      </c>
      <c r="I588" s="308"/>
      <c r="J588" s="172">
        <f>SUMIF($AH$6:$CP$6,1,$AH588:$CP588)</f>
        <v>3.8461677654938358</v>
      </c>
      <c r="K588" s="233" t="s">
        <v>545</v>
      </c>
      <c r="L588" s="183">
        <f>ROUND(F588*(1+'Exhibit MJC-2 - Old E-8a'!V24)+(L586*(F588/F587)),2)</f>
        <v>1529.98</v>
      </c>
      <c r="M588" s="233" t="s">
        <v>375</v>
      </c>
      <c r="N588" s="174">
        <f>ROUND(J588*L588,2)</f>
        <v>5884.56</v>
      </c>
      <c r="O588" s="227"/>
      <c r="P588" s="262"/>
      <c r="Q588" s="262"/>
      <c r="R588" s="311"/>
      <c r="S588" s="227"/>
      <c r="T588" s="227"/>
      <c r="U588" s="184" t="s">
        <v>138</v>
      </c>
      <c r="V588" s="179">
        <v>256</v>
      </c>
      <c r="W588" s="180">
        <v>230</v>
      </c>
      <c r="X588" s="227"/>
      <c r="Y588" s="184"/>
      <c r="Z588" s="181"/>
      <c r="AA588" s="227"/>
      <c r="AB588" s="182">
        <f>SUM(AH588:AS588)</f>
        <v>3.8046968239222982</v>
      </c>
      <c r="AC588" s="182">
        <f>SUM(AT588:BE588)</f>
        <v>3.8217807373093868</v>
      </c>
      <c r="AD588" s="182">
        <f>SUM(BF588:BQ588)</f>
        <v>3.8312375498668425</v>
      </c>
      <c r="AE588" s="182">
        <f>SUM(BR588:CC588)</f>
        <v>3.8461677654938358</v>
      </c>
      <c r="AF588" s="182">
        <f>SUM(CD588:CO588)</f>
        <v>3.866686137881441</v>
      </c>
      <c r="AH588" s="168">
        <v>0.39130545130362326</v>
      </c>
      <c r="AI588" s="168">
        <v>0.27215796509441503</v>
      </c>
      <c r="AJ588" s="168">
        <v>9.8445057635180355E-2</v>
      </c>
      <c r="AK588" s="168">
        <v>0.34160534559071898</v>
      </c>
      <c r="AL588" s="168">
        <v>0.33398840552333858</v>
      </c>
      <c r="AM588" s="168">
        <v>0.30299948197752913</v>
      </c>
      <c r="AN588" s="168">
        <v>0.34883761152162884</v>
      </c>
      <c r="AO588" s="168">
        <v>0.33731988479079222</v>
      </c>
      <c r="AP588" s="168">
        <v>0.34222857544432833</v>
      </c>
      <c r="AQ588" s="168">
        <v>0.33931323242955902</v>
      </c>
      <c r="AR588" s="168">
        <v>0.35686684325139684</v>
      </c>
      <c r="AS588" s="168">
        <v>0.33962896935978787</v>
      </c>
      <c r="AT588" s="168">
        <v>0.39227046552100037</v>
      </c>
      <c r="AU588" s="168">
        <v>0.27371631790591161</v>
      </c>
      <c r="AV588" s="168">
        <v>9.9088273219661543E-2</v>
      </c>
      <c r="AW588" s="168">
        <v>0.34379166613835732</v>
      </c>
      <c r="AX588" s="168">
        <v>0.33591774642847433</v>
      </c>
      <c r="AY588" s="168">
        <v>0.30468165861237873</v>
      </c>
      <c r="AZ588" s="168">
        <v>0.3505077774714328</v>
      </c>
      <c r="BA588" s="168">
        <v>0.33883413517506172</v>
      </c>
      <c r="BB588" s="168">
        <v>0.34361991460669772</v>
      </c>
      <c r="BC588" s="168">
        <v>0.34057585415293251</v>
      </c>
      <c r="BD588" s="168">
        <v>0.35803507889604658</v>
      </c>
      <c r="BE588" s="168">
        <v>0.34074184918143102</v>
      </c>
      <c r="BF588" s="168">
        <v>0.39280922430121479</v>
      </c>
      <c r="BG588" s="168">
        <v>0.2745044216472679</v>
      </c>
      <c r="BH588" s="168">
        <v>9.9087320729025347E-2</v>
      </c>
      <c r="BI588" s="168">
        <v>0.34479600607479055</v>
      </c>
      <c r="BJ588" s="168">
        <v>0.33690471720825127</v>
      </c>
      <c r="BK588" s="168">
        <v>0.30556065808784544</v>
      </c>
      <c r="BL588" s="168">
        <v>0.35143345941275206</v>
      </c>
      <c r="BM588" s="168">
        <v>0.33974867718683943</v>
      </c>
      <c r="BN588" s="168">
        <v>0.34449449460206893</v>
      </c>
      <c r="BO588" s="168">
        <v>0.34142212050489268</v>
      </c>
      <c r="BP588" s="168">
        <v>0.35885079695569733</v>
      </c>
      <c r="BQ588" s="168">
        <v>0.34162565315619642</v>
      </c>
      <c r="BR588" s="168">
        <v>0.39317204728409239</v>
      </c>
      <c r="BS588" s="168">
        <v>0.27524701289949838</v>
      </c>
      <c r="BT588" s="168">
        <v>9.9143269436761106E-2</v>
      </c>
      <c r="BU588" s="168">
        <v>0.34602885982510945</v>
      </c>
      <c r="BV588" s="168">
        <v>0.33820979914246813</v>
      </c>
      <c r="BW588" s="168">
        <v>0.30686300014179901</v>
      </c>
      <c r="BX588" s="168">
        <v>0.35288354372323077</v>
      </c>
      <c r="BY588" s="168">
        <v>0.34125404929671127</v>
      </c>
      <c r="BZ588" s="168">
        <v>0.34610743637083702</v>
      </c>
      <c r="CA588" s="168">
        <v>0.34312092379056991</v>
      </c>
      <c r="CB588" s="168">
        <v>0.36069057213448957</v>
      </c>
      <c r="CC588" s="168">
        <v>0.34344725144826821</v>
      </c>
      <c r="CD588" s="168">
        <v>0.39496885370170809</v>
      </c>
      <c r="CE588" s="168">
        <v>0.27634166243558594</v>
      </c>
      <c r="CF588" s="168">
        <v>9.9547004907607484E-2</v>
      </c>
      <c r="CG588" s="168">
        <v>0.34790008190490246</v>
      </c>
      <c r="CH588" s="168">
        <v>0.3400636157842708</v>
      </c>
      <c r="CI588" s="168">
        <v>0.30870413290579857</v>
      </c>
      <c r="CJ588" s="168">
        <v>0.3548585463379017</v>
      </c>
      <c r="CK588" s="168">
        <v>0.34318423376592688</v>
      </c>
      <c r="CL588" s="168">
        <v>0.3480495792261058</v>
      </c>
      <c r="CM588" s="168">
        <v>0.34502364737976288</v>
      </c>
      <c r="CN588" s="168">
        <v>0.36266573003482738</v>
      </c>
      <c r="CO588" s="168">
        <v>0.34537904949704257</v>
      </c>
    </row>
    <row r="589" spans="1:93" x14ac:dyDescent="0.2">
      <c r="A589" s="118">
        <f t="shared" si="51"/>
        <v>5</v>
      </c>
      <c r="B589" s="234" t="s">
        <v>640</v>
      </c>
      <c r="C589" s="223"/>
      <c r="D589" s="172">
        <f>SUMIF($AH$6:$CP$6,1,$AH589:$CP589)</f>
        <v>51.92326483416678</v>
      </c>
      <c r="E589" s="233" t="s">
        <v>545</v>
      </c>
      <c r="F589" s="173">
        <f>'Exhibit MJC-3 - E-13c cal yr'!F591</f>
        <v>145.94</v>
      </c>
      <c r="G589" s="233" t="s">
        <v>375</v>
      </c>
      <c r="H589" s="187">
        <f>ROUND(D589*F589,2)</f>
        <v>7577.68</v>
      </c>
      <c r="I589" s="308"/>
      <c r="J589" s="172">
        <f>SUMIF($AH$6:$CP$6,1,$AH589:$CP589)</f>
        <v>51.92326483416678</v>
      </c>
      <c r="K589" s="233" t="s">
        <v>545</v>
      </c>
      <c r="L589" s="183">
        <f>ROUND(F589*(1+'Exhibit MJC-2 - Old E-8a'!V24)+L586,2)</f>
        <v>149.97999999999999</v>
      </c>
      <c r="M589" s="233" t="s">
        <v>375</v>
      </c>
      <c r="N589" s="187">
        <f>ROUND(J589*L589,2)</f>
        <v>7787.45</v>
      </c>
      <c r="O589" s="227"/>
      <c r="P589" s="262"/>
      <c r="Q589" s="262"/>
      <c r="R589" s="311"/>
      <c r="S589" s="227"/>
      <c r="T589" s="227"/>
      <c r="U589" s="184" t="s">
        <v>138</v>
      </c>
      <c r="V589" s="179">
        <v>256</v>
      </c>
      <c r="W589" s="180">
        <v>230</v>
      </c>
      <c r="X589" s="227"/>
      <c r="Y589" s="184"/>
      <c r="Z589" s="181"/>
      <c r="AA589" s="227"/>
      <c r="AB589" s="182">
        <f>SUM(AH589:AS589)</f>
        <v>51.363407122951031</v>
      </c>
      <c r="AC589" s="182">
        <f>SUM(AT589:BE589)</f>
        <v>51.594039953676713</v>
      </c>
      <c r="AD589" s="182">
        <f>SUM(BF589:BQ589)</f>
        <v>51.721706923202362</v>
      </c>
      <c r="AE589" s="182">
        <f>SUM(BR589:CC589)</f>
        <v>51.92326483416678</v>
      </c>
      <c r="AF589" s="182">
        <f>SUM(CD589:CO589)</f>
        <v>52.200262861399452</v>
      </c>
      <c r="AH589" s="168">
        <v>5.282623592598914</v>
      </c>
      <c r="AI589" s="168">
        <v>3.6741325287746029</v>
      </c>
      <c r="AJ589" s="168">
        <v>1.3290082780749348</v>
      </c>
      <c r="AK589" s="168">
        <v>4.6116721654747064</v>
      </c>
      <c r="AL589" s="168">
        <v>4.5088434745650714</v>
      </c>
      <c r="AM589" s="168">
        <v>4.0904930066966427</v>
      </c>
      <c r="AN589" s="168">
        <v>4.7093077555419898</v>
      </c>
      <c r="AO589" s="168">
        <v>4.5538184446756951</v>
      </c>
      <c r="AP589" s="168">
        <v>4.6200857684984324</v>
      </c>
      <c r="AQ589" s="168">
        <v>4.580728637799047</v>
      </c>
      <c r="AR589" s="168">
        <v>4.8177023838938577</v>
      </c>
      <c r="AS589" s="168">
        <v>4.584991086357137</v>
      </c>
      <c r="AT589" s="168">
        <v>5.2956512845335055</v>
      </c>
      <c r="AU589" s="168">
        <v>3.695170291729807</v>
      </c>
      <c r="AV589" s="168">
        <v>1.3376916884654309</v>
      </c>
      <c r="AW589" s="168">
        <v>4.6411874928678243</v>
      </c>
      <c r="AX589" s="168">
        <v>4.534889576784404</v>
      </c>
      <c r="AY589" s="168">
        <v>4.1132023912671132</v>
      </c>
      <c r="AZ589" s="168">
        <v>4.7318549958643432</v>
      </c>
      <c r="BA589" s="168">
        <v>4.5742608248633339</v>
      </c>
      <c r="BB589" s="168">
        <v>4.6388688471904196</v>
      </c>
      <c r="BC589" s="168">
        <v>4.5977740310645894</v>
      </c>
      <c r="BD589" s="168">
        <v>4.8334735650966287</v>
      </c>
      <c r="BE589" s="168">
        <v>4.6000149639493193</v>
      </c>
      <c r="BF589" s="168">
        <v>5.3029245280663995</v>
      </c>
      <c r="BG589" s="168">
        <v>3.705809692238117</v>
      </c>
      <c r="BH589" s="168">
        <v>1.3376788298418423</v>
      </c>
      <c r="BI589" s="168">
        <v>4.6547460820096731</v>
      </c>
      <c r="BJ589" s="168">
        <v>4.5482136823113919</v>
      </c>
      <c r="BK589" s="168">
        <v>4.1250688841859136</v>
      </c>
      <c r="BL589" s="168">
        <v>4.7443517020721533</v>
      </c>
      <c r="BM589" s="168">
        <v>4.5866071420223333</v>
      </c>
      <c r="BN589" s="168">
        <v>4.6506756771279303</v>
      </c>
      <c r="BO589" s="168">
        <v>4.6091986268160516</v>
      </c>
      <c r="BP589" s="168">
        <v>4.8444857589019135</v>
      </c>
      <c r="BQ589" s="168">
        <v>4.6119463176086519</v>
      </c>
      <c r="BR589" s="168">
        <v>5.3078226383352476</v>
      </c>
      <c r="BS589" s="168">
        <v>3.7158346741432289</v>
      </c>
      <c r="BT589" s="168">
        <v>1.3384341373962751</v>
      </c>
      <c r="BU589" s="168">
        <v>4.6713896076389778</v>
      </c>
      <c r="BV589" s="168">
        <v>4.5658322884233202</v>
      </c>
      <c r="BW589" s="168">
        <v>4.1426505019142867</v>
      </c>
      <c r="BX589" s="168">
        <v>4.7639278402636158</v>
      </c>
      <c r="BY589" s="168">
        <v>4.6069296655056027</v>
      </c>
      <c r="BZ589" s="168">
        <v>4.6724503910062998</v>
      </c>
      <c r="CA589" s="168">
        <v>4.6321324711726941</v>
      </c>
      <c r="CB589" s="168">
        <v>4.8693227238156096</v>
      </c>
      <c r="CC589" s="168">
        <v>4.6365378945516209</v>
      </c>
      <c r="CD589" s="168">
        <v>5.332079524973059</v>
      </c>
      <c r="CE589" s="168">
        <v>3.7306124428804108</v>
      </c>
      <c r="CF589" s="168">
        <v>1.343884566252701</v>
      </c>
      <c r="CG589" s="168">
        <v>4.6966511057161835</v>
      </c>
      <c r="CH589" s="168">
        <v>4.5908588130876566</v>
      </c>
      <c r="CI589" s="168">
        <v>4.1675057942282807</v>
      </c>
      <c r="CJ589" s="168">
        <v>4.7905903755616732</v>
      </c>
      <c r="CK589" s="168">
        <v>4.6329871558400129</v>
      </c>
      <c r="CL589" s="168">
        <v>4.6986693195524287</v>
      </c>
      <c r="CM589" s="168">
        <v>4.6578192396267992</v>
      </c>
      <c r="CN589" s="168">
        <v>4.8959873554701696</v>
      </c>
      <c r="CO589" s="168">
        <v>4.6626171682100743</v>
      </c>
    </row>
    <row r="590" spans="1:93" x14ac:dyDescent="0.2">
      <c r="A590" s="118">
        <f t="shared" si="51"/>
        <v>6</v>
      </c>
      <c r="B590" s="234"/>
      <c r="C590" s="225" t="s">
        <v>121</v>
      </c>
      <c r="D590" s="204">
        <f>SUM(D587:D589)</f>
        <v>106.73115549245392</v>
      </c>
      <c r="E590" s="233" t="s">
        <v>641</v>
      </c>
      <c r="F590" s="183"/>
      <c r="G590" s="233"/>
      <c r="H590" s="206">
        <f>SUM(H587:H589)</f>
        <v>35323.64</v>
      </c>
      <c r="I590" s="308"/>
      <c r="J590" s="204">
        <f>SUM(J587:J589)</f>
        <v>106.73115549245392</v>
      </c>
      <c r="K590" s="233" t="s">
        <v>641</v>
      </c>
      <c r="L590" s="183"/>
      <c r="M590" s="233"/>
      <c r="N590" s="206">
        <f>SUM(N587:N589)</f>
        <v>36302.07</v>
      </c>
      <c r="O590" s="227"/>
      <c r="P590" s="262"/>
      <c r="Q590" s="939">
        <f>(N590-H590)/H590</f>
        <v>2.7699014031396546E-2</v>
      </c>
      <c r="R590" s="311"/>
      <c r="S590" s="227"/>
      <c r="T590" s="227"/>
      <c r="U590" s="178"/>
      <c r="V590" s="179"/>
      <c r="W590" s="180"/>
      <c r="X590" s="227"/>
      <c r="Y590" s="178" t="s">
        <v>138</v>
      </c>
      <c r="Z590" s="181" t="s">
        <v>451</v>
      </c>
      <c r="AA590" s="227"/>
      <c r="AB590" s="204">
        <f>SUM(AB587:AB589)</f>
        <v>105.58033686384378</v>
      </c>
      <c r="AC590" s="204">
        <f>SUM(AC587:AC589)</f>
        <v>106.05441546033546</v>
      </c>
      <c r="AD590" s="204">
        <f>SUM(AD587:AD589)</f>
        <v>106.31684200880485</v>
      </c>
      <c r="AE590" s="204">
        <f>SUM(AE587:AE589)</f>
        <v>106.73115549245392</v>
      </c>
      <c r="AF590" s="204">
        <f>SUM(AF587:AF589)</f>
        <v>107.30054032620998</v>
      </c>
      <c r="AH590" s="204">
        <f t="shared" ref="AH590:CO590" si="52">SUM(AH587:AH589)</f>
        <v>10.858726273675545</v>
      </c>
      <c r="AI590" s="204">
        <f t="shared" si="52"/>
        <v>7.5523835313700172</v>
      </c>
      <c r="AJ590" s="204">
        <f t="shared" si="52"/>
        <v>2.7318503493762547</v>
      </c>
      <c r="AK590" s="204">
        <f t="shared" si="52"/>
        <v>9.4795483401424523</v>
      </c>
      <c r="AL590" s="204">
        <f t="shared" si="52"/>
        <v>9.2681782532726462</v>
      </c>
      <c r="AM590" s="204">
        <f t="shared" si="52"/>
        <v>8.4082356248764327</v>
      </c>
      <c r="AN590" s="204">
        <f t="shared" si="52"/>
        <v>9.6802437197252011</v>
      </c>
      <c r="AO590" s="204">
        <f t="shared" si="52"/>
        <v>9.3606268029444841</v>
      </c>
      <c r="AP590" s="204">
        <f t="shared" si="52"/>
        <v>9.4968429685801112</v>
      </c>
      <c r="AQ590" s="204">
        <f t="shared" si="52"/>
        <v>9.4159421999202628</v>
      </c>
      <c r="AR590" s="204">
        <f t="shared" si="52"/>
        <v>9.9030549002262624</v>
      </c>
      <c r="AS590" s="204">
        <f t="shared" si="52"/>
        <v>9.4247038997341139</v>
      </c>
      <c r="AT590" s="204">
        <f t="shared" si="52"/>
        <v>10.88550541820776</v>
      </c>
      <c r="AU590" s="204">
        <f t="shared" si="52"/>
        <v>7.5956278218890478</v>
      </c>
      <c r="AV590" s="204">
        <f t="shared" si="52"/>
        <v>2.7496995818456078</v>
      </c>
      <c r="AW590" s="204">
        <f t="shared" si="52"/>
        <v>9.5402187353394154</v>
      </c>
      <c r="AX590" s="204">
        <f t="shared" si="52"/>
        <v>9.3217174633901632</v>
      </c>
      <c r="AY590" s="204">
        <f t="shared" si="52"/>
        <v>8.4549160264935104</v>
      </c>
      <c r="AZ590" s="204">
        <f t="shared" si="52"/>
        <v>9.726590824832261</v>
      </c>
      <c r="BA590" s="204">
        <f t="shared" si="52"/>
        <v>9.4026472511079646</v>
      </c>
      <c r="BB590" s="204">
        <f t="shared" si="52"/>
        <v>9.5354526303358611</v>
      </c>
      <c r="BC590" s="204">
        <f t="shared" si="52"/>
        <v>9.4509799527438787</v>
      </c>
      <c r="BD590" s="204">
        <f t="shared" si="52"/>
        <v>9.9354734393652926</v>
      </c>
      <c r="BE590" s="204">
        <f t="shared" si="52"/>
        <v>9.4555863147847106</v>
      </c>
      <c r="BF590" s="204">
        <f t="shared" si="52"/>
        <v>10.90045597435871</v>
      </c>
      <c r="BG590" s="204">
        <f t="shared" si="52"/>
        <v>7.6174977007116844</v>
      </c>
      <c r="BH590" s="204">
        <f t="shared" si="52"/>
        <v>2.7496731502304534</v>
      </c>
      <c r="BI590" s="204">
        <f t="shared" si="52"/>
        <v>9.5680891685754386</v>
      </c>
      <c r="BJ590" s="204">
        <f t="shared" si="52"/>
        <v>9.3491059025289722</v>
      </c>
      <c r="BK590" s="204">
        <f t="shared" si="52"/>
        <v>8.4793082619377103</v>
      </c>
      <c r="BL590" s="204">
        <f t="shared" si="52"/>
        <v>9.7522784987038698</v>
      </c>
      <c r="BM590" s="204">
        <f t="shared" si="52"/>
        <v>9.428025791934795</v>
      </c>
      <c r="BN590" s="204">
        <f t="shared" si="52"/>
        <v>9.5597222252074125</v>
      </c>
      <c r="BO590" s="204">
        <f t="shared" si="52"/>
        <v>9.4744638440107725</v>
      </c>
      <c r="BP590" s="204">
        <f t="shared" si="52"/>
        <v>9.9581096155205984</v>
      </c>
      <c r="BQ590" s="204">
        <f t="shared" si="52"/>
        <v>9.4801118750844502</v>
      </c>
      <c r="BR590" s="204">
        <f t="shared" si="52"/>
        <v>10.910524312133564</v>
      </c>
      <c r="BS590" s="204">
        <f t="shared" si="52"/>
        <v>7.6381046079610808</v>
      </c>
      <c r="BT590" s="204">
        <f t="shared" si="52"/>
        <v>2.7512257268701212</v>
      </c>
      <c r="BU590" s="204">
        <f t="shared" si="52"/>
        <v>9.6023008601467872</v>
      </c>
      <c r="BV590" s="204">
        <f t="shared" si="52"/>
        <v>9.3853219262034902</v>
      </c>
      <c r="BW590" s="204">
        <f t="shared" si="52"/>
        <v>8.5154482539349239</v>
      </c>
      <c r="BX590" s="204">
        <f t="shared" si="52"/>
        <v>9.7925183383196543</v>
      </c>
      <c r="BY590" s="204">
        <f t="shared" si="52"/>
        <v>9.4697998679837383</v>
      </c>
      <c r="BZ590" s="204">
        <f t="shared" si="52"/>
        <v>9.6044813592907268</v>
      </c>
      <c r="CA590" s="204">
        <f t="shared" si="52"/>
        <v>9.5216056351883154</v>
      </c>
      <c r="CB590" s="204">
        <f t="shared" si="52"/>
        <v>10.009163376732086</v>
      </c>
      <c r="CC590" s="204">
        <f t="shared" si="52"/>
        <v>9.5306612276894427</v>
      </c>
      <c r="CD590" s="204">
        <f t="shared" si="52"/>
        <v>10.960385690222399</v>
      </c>
      <c r="CE590" s="204">
        <f t="shared" si="52"/>
        <v>7.6684811325875106</v>
      </c>
      <c r="CF590" s="204">
        <f t="shared" si="52"/>
        <v>2.7624293861861076</v>
      </c>
      <c r="CG590" s="204">
        <f t="shared" si="52"/>
        <v>9.6542272728610428</v>
      </c>
      <c r="CH590" s="204">
        <f t="shared" si="52"/>
        <v>9.4367653380135152</v>
      </c>
      <c r="CI590" s="204">
        <f t="shared" si="52"/>
        <v>8.5665396881359115</v>
      </c>
      <c r="CJ590" s="204">
        <f t="shared" si="52"/>
        <v>9.8473246608767724</v>
      </c>
      <c r="CK590" s="204">
        <f t="shared" si="52"/>
        <v>9.5233624870044693</v>
      </c>
      <c r="CL590" s="204">
        <f t="shared" si="52"/>
        <v>9.6583758235244357</v>
      </c>
      <c r="CM590" s="204">
        <f t="shared" si="52"/>
        <v>9.5744062147884197</v>
      </c>
      <c r="CN590" s="204">
        <f t="shared" si="52"/>
        <v>10.06397400846646</v>
      </c>
      <c r="CO590" s="204">
        <f t="shared" si="52"/>
        <v>9.5842686235429291</v>
      </c>
    </row>
    <row r="591" spans="1:93" x14ac:dyDescent="0.2">
      <c r="A591" s="118">
        <f t="shared" si="51"/>
        <v>7</v>
      </c>
      <c r="B591" s="227"/>
      <c r="C591" s="263"/>
      <c r="D591" s="227"/>
      <c r="E591" s="230"/>
      <c r="F591" s="197"/>
      <c r="G591" s="230"/>
      <c r="H591" s="203"/>
      <c r="I591" s="308"/>
      <c r="J591" s="227"/>
      <c r="K591" s="230"/>
      <c r="L591" s="197"/>
      <c r="M591" s="230"/>
      <c r="N591" s="203"/>
      <c r="O591" s="227"/>
      <c r="P591" s="262"/>
      <c r="Q591" s="262"/>
      <c r="R591" s="311"/>
      <c r="S591" s="227"/>
      <c r="T591" s="227"/>
      <c r="U591" s="178"/>
      <c r="V591" s="179"/>
      <c r="W591" s="180"/>
      <c r="X591" s="227"/>
      <c r="Y591" s="178"/>
      <c r="Z591" s="181"/>
      <c r="AA591" s="227"/>
      <c r="AB591" s="193">
        <f>SUM(AH591:AS591)</f>
        <v>-16.128778607833333</v>
      </c>
      <c r="AC591" s="193">
        <f>SUM(AT591:BE591)</f>
        <v>-16.359922817328183</v>
      </c>
      <c r="AD591" s="193">
        <f>SUM(BF591:BQ591)</f>
        <v>-16.820741724638729</v>
      </c>
      <c r="AE591" s="193">
        <f>SUM(BR591:CC591)</f>
        <v>-17.127900643270703</v>
      </c>
      <c r="AF591" s="193">
        <f>SUM(CD591:CO591)</f>
        <v>-17.265107410353998</v>
      </c>
      <c r="AH591" s="193">
        <v>-3.5862264819370528</v>
      </c>
      <c r="AI591" s="193">
        <v>0.1311071435713238</v>
      </c>
      <c r="AJ591" s="193">
        <v>5.0873896376890047</v>
      </c>
      <c r="AK591" s="193">
        <v>-1.3986061645630166</v>
      </c>
      <c r="AL591" s="193">
        <v>-1.6349179314553162</v>
      </c>
      <c r="AM591" s="193">
        <v>-0.55358546288112098</v>
      </c>
      <c r="AN591" s="193">
        <v>-2.3134288602457609</v>
      </c>
      <c r="AO591" s="193">
        <v>-2.7406500755324696</v>
      </c>
      <c r="AP591" s="193">
        <v>-1.8363592594042135</v>
      </c>
      <c r="AQ591" s="193">
        <v>-1.9408095280674678</v>
      </c>
      <c r="AR591" s="193">
        <v>-3.606022704845139</v>
      </c>
      <c r="AS591" s="193">
        <v>-1.7366689201621037</v>
      </c>
      <c r="AT591" s="193">
        <v>-3.6112458440027098</v>
      </c>
      <c r="AU591" s="193">
        <v>0.15661000657502644</v>
      </c>
      <c r="AV591" s="193">
        <v>5.1290372461180365</v>
      </c>
      <c r="AW591" s="193">
        <v>-1.4106622641725384</v>
      </c>
      <c r="AX591" s="193">
        <v>-1.652790545521519</v>
      </c>
      <c r="AY591" s="193">
        <v>-0.57235017379771591</v>
      </c>
      <c r="AZ591" s="193">
        <v>-2.340296127426762</v>
      </c>
      <c r="BA591" s="193">
        <v>-2.7813763585182976</v>
      </c>
      <c r="BB591" s="193">
        <v>-1.8680168042861514</v>
      </c>
      <c r="BC591" s="193">
        <v>-1.9748644024766726</v>
      </c>
      <c r="BD591" s="193">
        <v>-3.6603523811980363</v>
      </c>
      <c r="BE591" s="193">
        <v>-1.7736151686208412</v>
      </c>
      <c r="BF591" s="193">
        <v>-3.6367491520409194</v>
      </c>
      <c r="BG591" s="193">
        <v>0.12598222690677918</v>
      </c>
      <c r="BH591" s="193">
        <v>5.1206676283820638</v>
      </c>
      <c r="BI591" s="193">
        <v>-1.4546575999935474</v>
      </c>
      <c r="BJ591" s="193">
        <v>-1.6928849173650109</v>
      </c>
      <c r="BK591" s="193">
        <v>-0.61019023464244082</v>
      </c>
      <c r="BL591" s="193">
        <v>-2.3792172412507115</v>
      </c>
      <c r="BM591" s="193">
        <v>-2.834325165139906</v>
      </c>
      <c r="BN591" s="193">
        <v>-1.9093628762587986</v>
      </c>
      <c r="BO591" s="193">
        <v>-2.0163258013427745</v>
      </c>
      <c r="BP591" s="193">
        <v>-3.7197350732445873</v>
      </c>
      <c r="BQ591" s="193">
        <v>-1.8139435186488768</v>
      </c>
      <c r="BR591" s="193">
        <v>-3.6616497660835243</v>
      </c>
      <c r="BS591" s="193">
        <v>9.7761527659142367E-2</v>
      </c>
      <c r="BT591" s="193">
        <v>5.1176699284255323</v>
      </c>
      <c r="BU591" s="193">
        <v>-1.4902519423336873</v>
      </c>
      <c r="BV591" s="193">
        <v>-1.7231618418738481</v>
      </c>
      <c r="BW591" s="193">
        <v>-0.63622370452290422</v>
      </c>
      <c r="BX591" s="193">
        <v>-2.4067392366770619</v>
      </c>
      <c r="BY591" s="193">
        <v>-2.8712056551833101</v>
      </c>
      <c r="BZ591" s="193">
        <v>-1.931841600022727</v>
      </c>
      <c r="CA591" s="193">
        <v>-2.0361177086559721</v>
      </c>
      <c r="CB591" s="193">
        <v>-3.7563723885025579</v>
      </c>
      <c r="CC591" s="193">
        <v>-1.8297682554997818</v>
      </c>
      <c r="CD591" s="193">
        <v>-3.6817996105223738</v>
      </c>
      <c r="CE591" s="193">
        <v>0.10330435712146979</v>
      </c>
      <c r="CF591" s="193">
        <v>5.1429630273041642</v>
      </c>
      <c r="CG591" s="193">
        <v>-1.5053382066949297</v>
      </c>
      <c r="CH591" s="193">
        <v>-1.7371402154011486</v>
      </c>
      <c r="CI591" s="193">
        <v>-0.64665079309981532</v>
      </c>
      <c r="CJ591" s="193">
        <v>-2.4220303470595512</v>
      </c>
      <c r="CK591" s="193">
        <v>-2.8949900993192408</v>
      </c>
      <c r="CL591" s="193">
        <v>-1.9444779501491993</v>
      </c>
      <c r="CM591" s="193">
        <v>-2.0491750901585615</v>
      </c>
      <c r="CN591" s="193">
        <v>-3.7884412071234213</v>
      </c>
      <c r="CO591" s="193">
        <v>-1.8413312752513935</v>
      </c>
    </row>
    <row r="592" spans="1:93" x14ac:dyDescent="0.2">
      <c r="A592" s="118">
        <f t="shared" si="51"/>
        <v>8</v>
      </c>
      <c r="B592" s="239" t="s">
        <v>594</v>
      </c>
      <c r="C592" s="225"/>
      <c r="D592" s="173"/>
      <c r="E592" s="233"/>
      <c r="F592" s="183"/>
      <c r="G592" s="233"/>
      <c r="H592" s="174"/>
      <c r="I592" s="308"/>
      <c r="J592" s="173"/>
      <c r="K592" s="233"/>
      <c r="L592" s="183"/>
      <c r="M592" s="233"/>
      <c r="N592" s="174"/>
      <c r="O592" s="227"/>
      <c r="P592" s="262"/>
      <c r="Q592" s="262"/>
      <c r="R592" s="311"/>
      <c r="S592" s="230"/>
      <c r="T592" s="227"/>
      <c r="U592" s="184"/>
      <c r="V592" s="179"/>
      <c r="W592" s="180"/>
      <c r="X592" s="227"/>
      <c r="Y592" s="184"/>
      <c r="Z592" s="181"/>
      <c r="AA592" s="227"/>
    </row>
    <row r="593" spans="1:94" x14ac:dyDescent="0.2">
      <c r="A593" s="118">
        <f t="shared" si="51"/>
        <v>9</v>
      </c>
      <c r="B593" s="228" t="s">
        <v>642</v>
      </c>
      <c r="C593" s="225"/>
      <c r="D593" s="168"/>
      <c r="E593" s="233"/>
      <c r="F593" s="183"/>
      <c r="G593" s="233"/>
      <c r="H593" s="174"/>
      <c r="I593" s="308"/>
      <c r="J593" s="168"/>
      <c r="K593" s="233"/>
      <c r="L593" s="857">
        <v>0</v>
      </c>
      <c r="M593" s="233"/>
      <c r="N593" s="174"/>
      <c r="O593" s="227"/>
      <c r="P593" s="262"/>
      <c r="Q593" s="262"/>
      <c r="R593" s="311"/>
      <c r="S593" s="259"/>
      <c r="T593" s="227"/>
      <c r="U593" s="184"/>
      <c r="V593" s="179"/>
      <c r="W593" s="180"/>
      <c r="X593" s="227"/>
      <c r="Y593" s="184"/>
      <c r="Z593" s="181"/>
      <c r="AA593" s="227"/>
    </row>
    <row r="594" spans="1:94" x14ac:dyDescent="0.2">
      <c r="A594" s="118">
        <f t="shared" si="51"/>
        <v>10</v>
      </c>
      <c r="B594" s="227" t="s">
        <v>643</v>
      </c>
      <c r="C594" s="263"/>
      <c r="D594" s="172">
        <f>SUMIF($AH$6:$CP$6,1,$AH594:$CP594)</f>
        <v>253660.31999999995</v>
      </c>
      <c r="E594" s="233" t="s">
        <v>596</v>
      </c>
      <c r="F594" s="173">
        <f>'Exhibit MJC-3 - E-13c cal yr'!F596</f>
        <v>3.43</v>
      </c>
      <c r="G594" s="233" t="s">
        <v>375</v>
      </c>
      <c r="H594" s="174">
        <f>ROUND(D594*F594,2)</f>
        <v>870054.9</v>
      </c>
      <c r="I594" s="308"/>
      <c r="J594" s="172">
        <f>SUMIF($AH$6:$CP$6,1,$AH594:$CP594)</f>
        <v>253660.31999999995</v>
      </c>
      <c r="K594" s="233" t="s">
        <v>596</v>
      </c>
      <c r="L594" s="183">
        <f>ROUND('MFR E-14D2'!I34+L593,2)</f>
        <v>6.52</v>
      </c>
      <c r="M594" s="233" t="s">
        <v>375</v>
      </c>
      <c r="N594" s="174">
        <f>ROUND(J594*L594,2)</f>
        <v>1653865.29</v>
      </c>
      <c r="O594" s="227"/>
      <c r="P594" s="262"/>
      <c r="Q594" s="939">
        <f>(N594-H594)/H594</f>
        <v>0.90087463446272187</v>
      </c>
      <c r="R594" s="311"/>
      <c r="S594" s="227"/>
      <c r="T594" s="286"/>
      <c r="U594" s="184" t="s">
        <v>138</v>
      </c>
      <c r="V594" s="179">
        <v>256</v>
      </c>
      <c r="W594" s="180">
        <v>230</v>
      </c>
      <c r="X594" s="286"/>
      <c r="Y594" s="184"/>
      <c r="Z594" s="181"/>
      <c r="AA594" s="286"/>
      <c r="AB594" s="182">
        <f>SUM(AH594:AS594)</f>
        <v>253660.31999999995</v>
      </c>
      <c r="AC594" s="182">
        <f>SUM(AT594:BE594)</f>
        <v>253660.31999999995</v>
      </c>
      <c r="AD594" s="182">
        <f>SUM(BF594:BQ594)</f>
        <v>253660.31999999995</v>
      </c>
      <c r="AE594" s="182">
        <f>SUM(BR594:CC594)</f>
        <v>253660.31999999995</v>
      </c>
      <c r="AF594" s="182">
        <f>SUM(CD594:CO594)</f>
        <v>253660.31999999995</v>
      </c>
      <c r="AH594" s="174">
        <v>21138.36</v>
      </c>
      <c r="AI594" s="174">
        <v>21138.36</v>
      </c>
      <c r="AJ594" s="174">
        <v>21138.36</v>
      </c>
      <c r="AK594" s="174">
        <v>21138.36</v>
      </c>
      <c r="AL594" s="174">
        <v>21138.36</v>
      </c>
      <c r="AM594" s="174">
        <v>21138.36</v>
      </c>
      <c r="AN594" s="174">
        <v>21138.36</v>
      </c>
      <c r="AO594" s="174">
        <v>21138.36</v>
      </c>
      <c r="AP594" s="174">
        <v>21138.36</v>
      </c>
      <c r="AQ594" s="174">
        <v>21138.36</v>
      </c>
      <c r="AR594" s="174">
        <v>21138.36</v>
      </c>
      <c r="AS594" s="174">
        <v>21138.36</v>
      </c>
      <c r="AT594" s="174">
        <v>21138.36</v>
      </c>
      <c r="AU594" s="174">
        <v>21138.36</v>
      </c>
      <c r="AV594" s="174">
        <v>21138.36</v>
      </c>
      <c r="AW594" s="174">
        <v>21138.36</v>
      </c>
      <c r="AX594" s="174">
        <v>21138.36</v>
      </c>
      <c r="AY594" s="174">
        <v>21138.36</v>
      </c>
      <c r="AZ594" s="174">
        <v>21138.36</v>
      </c>
      <c r="BA594" s="174">
        <v>21138.36</v>
      </c>
      <c r="BB594" s="174">
        <v>21138.36</v>
      </c>
      <c r="BC594" s="174">
        <v>21138.36</v>
      </c>
      <c r="BD594" s="174">
        <v>21138.36</v>
      </c>
      <c r="BE594" s="174">
        <v>21138.36</v>
      </c>
      <c r="BF594" s="174">
        <v>21138.36</v>
      </c>
      <c r="BG594" s="174">
        <v>21138.36</v>
      </c>
      <c r="BH594" s="174">
        <v>21138.36</v>
      </c>
      <c r="BI594" s="174">
        <v>21138.36</v>
      </c>
      <c r="BJ594" s="174">
        <v>21138.36</v>
      </c>
      <c r="BK594" s="174">
        <v>21138.36</v>
      </c>
      <c r="BL594" s="174">
        <v>21138.36</v>
      </c>
      <c r="BM594" s="174">
        <v>21138.36</v>
      </c>
      <c r="BN594" s="174">
        <v>21138.36</v>
      </c>
      <c r="BO594" s="174">
        <v>21138.36</v>
      </c>
      <c r="BP594" s="174">
        <v>21138.36</v>
      </c>
      <c r="BQ594" s="174">
        <v>21138.36</v>
      </c>
      <c r="BR594" s="174">
        <v>21138.36</v>
      </c>
      <c r="BS594" s="174">
        <v>21138.36</v>
      </c>
      <c r="BT594" s="174">
        <v>21138.36</v>
      </c>
      <c r="BU594" s="174">
        <v>21138.36</v>
      </c>
      <c r="BV594" s="174">
        <v>21138.36</v>
      </c>
      <c r="BW594" s="174">
        <v>21138.36</v>
      </c>
      <c r="BX594" s="174">
        <v>21138.36</v>
      </c>
      <c r="BY594" s="174">
        <v>21138.36</v>
      </c>
      <c r="BZ594" s="174">
        <v>21138.36</v>
      </c>
      <c r="CA594" s="174">
        <v>21138.36</v>
      </c>
      <c r="CB594" s="174">
        <v>21138.36</v>
      </c>
      <c r="CC594" s="174">
        <v>21138.36</v>
      </c>
      <c r="CD594" s="174">
        <v>21138.36</v>
      </c>
      <c r="CE594" s="174">
        <v>21138.36</v>
      </c>
      <c r="CF594" s="174">
        <v>21138.36</v>
      </c>
      <c r="CG594" s="174">
        <v>21138.36</v>
      </c>
      <c r="CH594" s="174">
        <v>21138.36</v>
      </c>
      <c r="CI594" s="174">
        <v>21138.36</v>
      </c>
      <c r="CJ594" s="174">
        <v>21138.36</v>
      </c>
      <c r="CK594" s="174">
        <v>21138.36</v>
      </c>
      <c r="CL594" s="174">
        <v>21138.36</v>
      </c>
      <c r="CM594" s="174">
        <v>21138.36</v>
      </c>
      <c r="CN594" s="174">
        <v>21138.36</v>
      </c>
      <c r="CO594" s="174">
        <v>21138.36</v>
      </c>
    </row>
    <row r="595" spans="1:94" x14ac:dyDescent="0.2">
      <c r="A595" s="118">
        <f t="shared" si="51"/>
        <v>11</v>
      </c>
      <c r="B595" s="227" t="s">
        <v>644</v>
      </c>
      <c r="C595" s="263"/>
      <c r="D595" s="172">
        <f>SUMIF($AH$6:$CP$6,1,$AH595:$CP595)</f>
        <v>272832</v>
      </c>
      <c r="E595" s="233" t="s">
        <v>596</v>
      </c>
      <c r="F595" s="173">
        <f>'Exhibit MJC-3 - E-13c cal yr'!F597</f>
        <v>0</v>
      </c>
      <c r="G595" s="233" t="s">
        <v>375</v>
      </c>
      <c r="H595" s="174">
        <f>ROUND(D603*F595,2)</f>
        <v>0</v>
      </c>
      <c r="I595" s="308"/>
      <c r="J595" s="172">
        <f>SUMIF($AH$6:$CP$6,1,$AH595:$CP595)</f>
        <v>272832</v>
      </c>
      <c r="K595" s="233" t="s">
        <v>596</v>
      </c>
      <c r="L595" s="183">
        <v>0</v>
      </c>
      <c r="M595" s="233" t="s">
        <v>375</v>
      </c>
      <c r="N595" s="174">
        <f>ROUND(J595*L595,2)</f>
        <v>0</v>
      </c>
      <c r="O595" s="227"/>
      <c r="P595" s="262"/>
      <c r="Q595" s="262"/>
      <c r="R595" s="311"/>
      <c r="S595" s="227"/>
      <c r="T595" s="227"/>
      <c r="U595" s="184" t="s">
        <v>138</v>
      </c>
      <c r="V595" s="179">
        <v>256</v>
      </c>
      <c r="W595" s="180">
        <v>230</v>
      </c>
      <c r="X595" s="227"/>
      <c r="Y595" s="184"/>
      <c r="Z595" s="181"/>
      <c r="AA595" s="227"/>
      <c r="AB595" s="182">
        <f>SUM(AH595:AS595)</f>
        <v>272832</v>
      </c>
      <c r="AC595" s="182">
        <f>SUM(AT595:BE595)</f>
        <v>272832</v>
      </c>
      <c r="AD595" s="182">
        <f>SUM(BF595:BQ595)</f>
        <v>272832</v>
      </c>
      <c r="AE595" s="182">
        <f>SUM(BR595:CC595)</f>
        <v>272832</v>
      </c>
      <c r="AF595" s="182">
        <f>SUM(CD595:CO595)</f>
        <v>272832</v>
      </c>
      <c r="AH595" s="174">
        <v>22736</v>
      </c>
      <c r="AI595" s="174">
        <v>22736</v>
      </c>
      <c r="AJ595" s="174">
        <v>22736</v>
      </c>
      <c r="AK595" s="174">
        <v>22736</v>
      </c>
      <c r="AL595" s="174">
        <v>22736</v>
      </c>
      <c r="AM595" s="174">
        <v>22736</v>
      </c>
      <c r="AN595" s="174">
        <v>22736</v>
      </c>
      <c r="AO595" s="174">
        <v>22736</v>
      </c>
      <c r="AP595" s="174">
        <v>22736</v>
      </c>
      <c r="AQ595" s="174">
        <v>22736</v>
      </c>
      <c r="AR595" s="174">
        <v>22736</v>
      </c>
      <c r="AS595" s="174">
        <v>22736</v>
      </c>
      <c r="AT595" s="174">
        <v>22736</v>
      </c>
      <c r="AU595" s="174">
        <v>22736</v>
      </c>
      <c r="AV595" s="174">
        <v>22736</v>
      </c>
      <c r="AW595" s="174">
        <v>22736</v>
      </c>
      <c r="AX595" s="174">
        <v>22736</v>
      </c>
      <c r="AY595" s="174">
        <v>22736</v>
      </c>
      <c r="AZ595" s="174">
        <v>22736</v>
      </c>
      <c r="BA595" s="174">
        <v>22736</v>
      </c>
      <c r="BB595" s="174">
        <v>22736</v>
      </c>
      <c r="BC595" s="174">
        <v>22736</v>
      </c>
      <c r="BD595" s="174">
        <v>22736</v>
      </c>
      <c r="BE595" s="174">
        <v>22736</v>
      </c>
      <c r="BF595" s="174">
        <v>22736</v>
      </c>
      <c r="BG595" s="174">
        <v>22736</v>
      </c>
      <c r="BH595" s="174">
        <v>22736</v>
      </c>
      <c r="BI595" s="174">
        <v>22736</v>
      </c>
      <c r="BJ595" s="174">
        <v>22736</v>
      </c>
      <c r="BK595" s="174">
        <v>22736</v>
      </c>
      <c r="BL595" s="174">
        <v>22736</v>
      </c>
      <c r="BM595" s="174">
        <v>22736</v>
      </c>
      <c r="BN595" s="174">
        <v>22736</v>
      </c>
      <c r="BO595" s="174">
        <v>22736</v>
      </c>
      <c r="BP595" s="174">
        <v>22736</v>
      </c>
      <c r="BQ595" s="174">
        <v>22736</v>
      </c>
      <c r="BR595" s="174">
        <v>22736</v>
      </c>
      <c r="BS595" s="174">
        <v>22736</v>
      </c>
      <c r="BT595" s="174">
        <v>22736</v>
      </c>
      <c r="BU595" s="174">
        <v>22736</v>
      </c>
      <c r="BV595" s="174">
        <v>22736</v>
      </c>
      <c r="BW595" s="174">
        <v>22736</v>
      </c>
      <c r="BX595" s="174">
        <v>22736</v>
      </c>
      <c r="BY595" s="174">
        <v>22736</v>
      </c>
      <c r="BZ595" s="174">
        <v>22736</v>
      </c>
      <c r="CA595" s="174">
        <v>22736</v>
      </c>
      <c r="CB595" s="174">
        <v>22736</v>
      </c>
      <c r="CC595" s="174">
        <v>22736</v>
      </c>
      <c r="CD595" s="174">
        <v>22736</v>
      </c>
      <c r="CE595" s="174">
        <v>22736</v>
      </c>
      <c r="CF595" s="174">
        <v>22736</v>
      </c>
      <c r="CG595" s="174">
        <v>22736</v>
      </c>
      <c r="CH595" s="174">
        <v>22736</v>
      </c>
      <c r="CI595" s="174">
        <v>22736</v>
      </c>
      <c r="CJ595" s="174">
        <v>22736</v>
      </c>
      <c r="CK595" s="174">
        <v>22736</v>
      </c>
      <c r="CL595" s="174">
        <v>22736</v>
      </c>
      <c r="CM595" s="174">
        <v>22736</v>
      </c>
      <c r="CN595" s="174">
        <v>22736</v>
      </c>
      <c r="CO595" s="174">
        <v>22736</v>
      </c>
    </row>
    <row r="596" spans="1:94" x14ac:dyDescent="0.2">
      <c r="A596" s="118">
        <f t="shared" si="51"/>
        <v>12</v>
      </c>
      <c r="B596" s="227"/>
      <c r="C596" s="263"/>
      <c r="D596" s="227"/>
      <c r="E596" s="230"/>
      <c r="F596" s="197"/>
      <c r="G596" s="230"/>
      <c r="H596" s="203"/>
      <c r="I596" s="308"/>
      <c r="J596" s="227"/>
      <c r="K596" s="230"/>
      <c r="L596" s="197"/>
      <c r="M596" s="230"/>
      <c r="N596" s="203"/>
      <c r="O596" s="227"/>
      <c r="P596" s="262"/>
      <c r="Q596" s="262"/>
      <c r="R596" s="311"/>
      <c r="S596" s="227"/>
      <c r="T596" s="227"/>
      <c r="U596" s="184"/>
      <c r="V596" s="179"/>
      <c r="W596" s="180"/>
      <c r="X596" s="227"/>
      <c r="Y596" s="184"/>
      <c r="Z596" s="181"/>
      <c r="AA596" s="227"/>
      <c r="AC596" s="260"/>
      <c r="AD596" s="260"/>
      <c r="AE596" s="260"/>
      <c r="AF596" s="114"/>
    </row>
    <row r="597" spans="1:94" x14ac:dyDescent="0.2">
      <c r="A597" s="118">
        <f t="shared" si="51"/>
        <v>13</v>
      </c>
      <c r="B597" s="227" t="s">
        <v>645</v>
      </c>
      <c r="C597" s="263"/>
      <c r="D597" s="227"/>
      <c r="E597" s="230"/>
      <c r="F597" s="197"/>
      <c r="G597" s="230"/>
      <c r="H597" s="203"/>
      <c r="I597" s="308"/>
      <c r="J597" s="227"/>
      <c r="K597" s="230"/>
      <c r="L597" s="197"/>
      <c r="M597" s="230"/>
      <c r="N597" s="203"/>
      <c r="O597" s="227"/>
      <c r="P597" s="262"/>
      <c r="Q597" s="262"/>
      <c r="R597" s="311"/>
      <c r="S597" s="227"/>
      <c r="T597" s="227"/>
      <c r="U597" s="184"/>
      <c r="V597" s="179"/>
      <c r="W597" s="180"/>
      <c r="X597" s="227"/>
      <c r="Y597" s="184"/>
      <c r="Z597" s="181"/>
      <c r="AA597" s="227"/>
      <c r="AC597" s="114"/>
      <c r="AD597" s="114"/>
      <c r="AE597" s="114"/>
      <c r="AF597" s="114"/>
    </row>
    <row r="598" spans="1:94" x14ac:dyDescent="0.2">
      <c r="A598" s="118">
        <f t="shared" si="51"/>
        <v>14</v>
      </c>
      <c r="B598" s="227" t="s">
        <v>643</v>
      </c>
      <c r="C598" s="263"/>
      <c r="D598" s="227"/>
      <c r="E598" s="230"/>
      <c r="F598" s="197"/>
      <c r="G598" s="230"/>
      <c r="H598" s="203"/>
      <c r="I598" s="308"/>
      <c r="J598" s="227"/>
      <c r="K598" s="230"/>
      <c r="L598" s="936">
        <v>0</v>
      </c>
      <c r="M598" s="230"/>
      <c r="N598" s="203"/>
      <c r="O598" s="227"/>
      <c r="P598" s="262"/>
      <c r="Q598" s="262"/>
      <c r="R598" s="311"/>
      <c r="S598" s="227"/>
      <c r="T598" s="227"/>
      <c r="U598" s="184"/>
      <c r="V598" s="179"/>
      <c r="W598" s="180"/>
      <c r="X598" s="227"/>
      <c r="Y598" s="184"/>
      <c r="Z598" s="181"/>
      <c r="AA598" s="227"/>
      <c r="AB598" s="107" t="s">
        <v>646</v>
      </c>
      <c r="AC598" s="114"/>
      <c r="AD598" s="114"/>
      <c r="AE598" s="114"/>
      <c r="AF598" s="114"/>
      <c r="AH598" s="101">
        <v>1</v>
      </c>
      <c r="AI598" s="101">
        <v>1.2</v>
      </c>
      <c r="AJ598" s="101">
        <v>0.8</v>
      </c>
      <c r="AK598" s="101">
        <v>0.8</v>
      </c>
      <c r="AL598" s="101">
        <v>0.8</v>
      </c>
      <c r="AM598" s="101">
        <v>1</v>
      </c>
      <c r="AN598" s="101">
        <v>1.2</v>
      </c>
      <c r="AO598" s="101">
        <v>1.2</v>
      </c>
      <c r="AP598" s="101">
        <v>1</v>
      </c>
      <c r="AQ598" s="101">
        <v>0.8</v>
      </c>
      <c r="AR598" s="101">
        <v>1</v>
      </c>
      <c r="AS598" s="101">
        <v>1</v>
      </c>
      <c r="AT598" s="101">
        <v>1</v>
      </c>
      <c r="AU598" s="101">
        <v>1.2</v>
      </c>
      <c r="AV598" s="101">
        <v>0.8</v>
      </c>
      <c r="AW598" s="101">
        <v>0.8</v>
      </c>
      <c r="AX598" s="101">
        <v>0.8</v>
      </c>
      <c r="AY598" s="101">
        <v>1</v>
      </c>
      <c r="AZ598" s="101">
        <v>1.2</v>
      </c>
      <c r="BA598" s="101">
        <v>1.2</v>
      </c>
      <c r="BB598" s="101">
        <v>1</v>
      </c>
      <c r="BC598" s="101">
        <v>0.8</v>
      </c>
      <c r="BD598" s="101">
        <v>1</v>
      </c>
      <c r="BE598" s="101">
        <v>1</v>
      </c>
      <c r="BF598" s="101">
        <v>1</v>
      </c>
      <c r="BG598" s="101">
        <v>1.2</v>
      </c>
      <c r="BH598" s="101">
        <v>0.8</v>
      </c>
      <c r="BI598" s="101">
        <v>0.8</v>
      </c>
      <c r="BJ598" s="101">
        <v>0.8</v>
      </c>
      <c r="BK598" s="101">
        <v>1</v>
      </c>
      <c r="BL598" s="101">
        <v>1.2</v>
      </c>
      <c r="BM598" s="101">
        <v>1.2</v>
      </c>
      <c r="BN598" s="101">
        <v>1</v>
      </c>
      <c r="BO598" s="101">
        <v>0.8</v>
      </c>
      <c r="BP598" s="101">
        <v>1</v>
      </c>
      <c r="BQ598" s="101">
        <v>1</v>
      </c>
      <c r="BR598" s="101">
        <v>1</v>
      </c>
      <c r="BS598" s="101">
        <v>1.2</v>
      </c>
      <c r="BT598" s="101">
        <v>0.8</v>
      </c>
      <c r="BU598" s="101">
        <v>0.8</v>
      </c>
      <c r="BV598" s="101">
        <v>0.8</v>
      </c>
      <c r="BW598" s="101">
        <v>1</v>
      </c>
      <c r="BX598" s="101">
        <v>1.2</v>
      </c>
      <c r="BY598" s="101">
        <v>1.2</v>
      </c>
      <c r="BZ598" s="101">
        <v>1</v>
      </c>
      <c r="CA598" s="101">
        <v>0.8</v>
      </c>
      <c r="CB598" s="101">
        <v>1</v>
      </c>
      <c r="CC598" s="101">
        <v>1</v>
      </c>
      <c r="CD598" s="101">
        <v>1</v>
      </c>
      <c r="CE598" s="101">
        <v>1.2</v>
      </c>
      <c r="CF598" s="101">
        <v>0.8</v>
      </c>
      <c r="CG598" s="101">
        <v>0.8</v>
      </c>
      <c r="CH598" s="101">
        <v>0.8</v>
      </c>
      <c r="CI598" s="101">
        <v>1</v>
      </c>
      <c r="CJ598" s="101">
        <v>1.2</v>
      </c>
      <c r="CK598" s="101">
        <v>1.2</v>
      </c>
      <c r="CL598" s="101">
        <v>1</v>
      </c>
      <c r="CM598" s="101">
        <v>0.8</v>
      </c>
      <c r="CN598" s="101">
        <v>1</v>
      </c>
      <c r="CO598" s="101">
        <v>1</v>
      </c>
    </row>
    <row r="599" spans="1:94" x14ac:dyDescent="0.2">
      <c r="A599" s="118">
        <f t="shared" si="51"/>
        <v>15</v>
      </c>
      <c r="B599" s="227" t="s">
        <v>647</v>
      </c>
      <c r="C599" s="263"/>
      <c r="D599" s="172">
        <f>SUMIF($AH$6:$CP$6,1,$AH599:$CP599)</f>
        <v>58299.72</v>
      </c>
      <c r="E599" s="233" t="s">
        <v>596</v>
      </c>
      <c r="F599" s="201">
        <f>'Exhibit MJC-3 - E-13c cal yr'!F601</f>
        <v>1.9570000000000001</v>
      </c>
      <c r="G599" s="233" t="s">
        <v>375</v>
      </c>
      <c r="H599" s="174">
        <f>ROUND(D599*F599,2)</f>
        <v>114092.55</v>
      </c>
      <c r="I599" s="308"/>
      <c r="J599" s="172">
        <f>SUMIF($AH$6:$CP$6,1,$AH599:$CP599)</f>
        <v>58299.72</v>
      </c>
      <c r="K599" s="233" t="s">
        <v>596</v>
      </c>
      <c r="L599" s="201">
        <f>ROUND('MFR E-14D2'!I41+L598,2)</f>
        <v>2.21</v>
      </c>
      <c r="M599" s="233" t="s">
        <v>375</v>
      </c>
      <c r="N599" s="174">
        <f>ROUND(J599*L599,2)</f>
        <v>128842.38</v>
      </c>
      <c r="O599" s="227"/>
      <c r="P599" s="262"/>
      <c r="Q599" s="939">
        <f>(N599-H599)/H599</f>
        <v>0.12927951912723487</v>
      </c>
      <c r="R599" s="311"/>
      <c r="S599" s="227"/>
      <c r="T599" s="227"/>
      <c r="U599" s="184" t="s">
        <v>138</v>
      </c>
      <c r="V599" s="179">
        <v>256</v>
      </c>
      <c r="W599" s="180">
        <v>230</v>
      </c>
      <c r="X599" s="227"/>
      <c r="Y599" s="184"/>
      <c r="Z599" s="181"/>
      <c r="AA599" s="227"/>
      <c r="AB599" s="182">
        <f>SUM(AH599:AS599)</f>
        <v>58299.72</v>
      </c>
      <c r="AC599" s="182">
        <f>SUM(AT599:BE599)</f>
        <v>58299.72</v>
      </c>
      <c r="AD599" s="182">
        <f>SUM(BF599:BQ599)</f>
        <v>58299.72</v>
      </c>
      <c r="AE599" s="182">
        <f>SUM(BR599:CC599)</f>
        <v>58299.72</v>
      </c>
      <c r="AF599" s="182">
        <f>SUM(CD599:CO599)</f>
        <v>58299.72</v>
      </c>
      <c r="AH599" s="174">
        <v>4026</v>
      </c>
      <c r="AI599" s="174">
        <v>11792.36</v>
      </c>
      <c r="AJ599" s="174">
        <v>21138.36</v>
      </c>
      <c r="AK599" s="174">
        <v>180</v>
      </c>
      <c r="AL599" s="174">
        <v>8903</v>
      </c>
      <c r="AM599" s="174">
        <v>5680</v>
      </c>
      <c r="AN599" s="174">
        <v>180</v>
      </c>
      <c r="AO599" s="174">
        <v>5680</v>
      </c>
      <c r="AP599" s="174">
        <v>180</v>
      </c>
      <c r="AQ599" s="174">
        <v>180</v>
      </c>
      <c r="AR599" s="174">
        <v>180</v>
      </c>
      <c r="AS599" s="174">
        <v>180</v>
      </c>
      <c r="AT599" s="174">
        <v>4026</v>
      </c>
      <c r="AU599" s="174">
        <v>11792.36</v>
      </c>
      <c r="AV599" s="174">
        <v>21138.36</v>
      </c>
      <c r="AW599" s="174">
        <v>180</v>
      </c>
      <c r="AX599" s="174">
        <v>8903</v>
      </c>
      <c r="AY599" s="174">
        <v>5680</v>
      </c>
      <c r="AZ599" s="174">
        <v>180</v>
      </c>
      <c r="BA599" s="174">
        <v>5680</v>
      </c>
      <c r="BB599" s="174">
        <v>180</v>
      </c>
      <c r="BC599" s="174">
        <v>180</v>
      </c>
      <c r="BD599" s="174">
        <v>180</v>
      </c>
      <c r="BE599" s="174">
        <v>180</v>
      </c>
      <c r="BF599" s="174">
        <v>4026</v>
      </c>
      <c r="BG599" s="174">
        <v>11792.36</v>
      </c>
      <c r="BH599" s="174">
        <v>21138.36</v>
      </c>
      <c r="BI599" s="174">
        <v>180</v>
      </c>
      <c r="BJ599" s="174">
        <v>8903</v>
      </c>
      <c r="BK599" s="174">
        <v>5680</v>
      </c>
      <c r="BL599" s="174">
        <v>180</v>
      </c>
      <c r="BM599" s="174">
        <v>5680</v>
      </c>
      <c r="BN599" s="174">
        <v>180</v>
      </c>
      <c r="BO599" s="174">
        <v>180</v>
      </c>
      <c r="BP599" s="174">
        <v>180</v>
      </c>
      <c r="BQ599" s="174">
        <v>180</v>
      </c>
      <c r="BR599" s="174">
        <v>4026</v>
      </c>
      <c r="BS599" s="174">
        <v>11792.36</v>
      </c>
      <c r="BT599" s="174">
        <v>21138.36</v>
      </c>
      <c r="BU599" s="174">
        <v>180</v>
      </c>
      <c r="BV599" s="174">
        <v>8903</v>
      </c>
      <c r="BW599" s="174">
        <v>5680</v>
      </c>
      <c r="BX599" s="174">
        <v>180</v>
      </c>
      <c r="BY599" s="174">
        <v>5680</v>
      </c>
      <c r="BZ599" s="174">
        <v>180</v>
      </c>
      <c r="CA599" s="174">
        <v>180</v>
      </c>
      <c r="CB599" s="174">
        <v>180</v>
      </c>
      <c r="CC599" s="174">
        <v>180</v>
      </c>
      <c r="CD599" s="174">
        <v>4026</v>
      </c>
      <c r="CE599" s="174">
        <v>11792.36</v>
      </c>
      <c r="CF599" s="174">
        <v>21138.36</v>
      </c>
      <c r="CG599" s="174">
        <v>180</v>
      </c>
      <c r="CH599" s="174">
        <v>8903</v>
      </c>
      <c r="CI599" s="174">
        <v>5680</v>
      </c>
      <c r="CJ599" s="174">
        <v>180</v>
      </c>
      <c r="CK599" s="174">
        <v>5680</v>
      </c>
      <c r="CL599" s="174">
        <v>180</v>
      </c>
      <c r="CM599" s="174">
        <v>180</v>
      </c>
      <c r="CN599" s="174">
        <v>180</v>
      </c>
      <c r="CO599" s="174">
        <v>180</v>
      </c>
    </row>
    <row r="600" spans="1:94" x14ac:dyDescent="0.2">
      <c r="A600" s="118">
        <f t="shared" si="51"/>
        <v>16</v>
      </c>
      <c r="B600" s="227" t="s">
        <v>648</v>
      </c>
      <c r="C600" s="263"/>
      <c r="D600" s="172">
        <f>+J600</f>
        <v>2074939.8402319269</v>
      </c>
      <c r="E600" s="233" t="s">
        <v>596</v>
      </c>
      <c r="F600" s="201">
        <f>'Exhibit MJC-3 - E-13c cal yr'!F602</f>
        <v>0.93100000000000005</v>
      </c>
      <c r="G600" s="233" t="s">
        <v>375</v>
      </c>
      <c r="H600" s="174">
        <f>ROUND(D600*F600,2)</f>
        <v>1931768.99</v>
      </c>
      <c r="I600" s="308"/>
      <c r="J600" s="172">
        <f>+(BR600*BR$598)+(BS600*BS$598)+(BT600*BT$598)+(BU600*BU$598)+(BV600*BV$598)+(BW600*BW$598)+(BX600*BX$598)+(BY600*BY$598)+(BZ600*BZ$598)+(CA600*CA$598)+(CB600*CB$598)+(CC600*CC$598)</f>
        <v>2074939.8402319269</v>
      </c>
      <c r="K600" s="233" t="s">
        <v>596</v>
      </c>
      <c r="L600" s="201">
        <f>ROUND('MFR E-14D2'!I44+(L598*(F600/F599)),2)</f>
        <v>1.05</v>
      </c>
      <c r="M600" s="233" t="s">
        <v>375</v>
      </c>
      <c r="N600" s="174">
        <f>ROUND(J600*L600,2)</f>
        <v>2178686.83</v>
      </c>
      <c r="O600" s="227"/>
      <c r="P600" s="262"/>
      <c r="Q600" s="939">
        <f>(N600-H600)/H600</f>
        <v>0.12781954844404045</v>
      </c>
      <c r="R600" s="311"/>
      <c r="S600" s="227"/>
      <c r="T600" s="227"/>
      <c r="U600" s="184" t="s">
        <v>138</v>
      </c>
      <c r="V600" s="179">
        <v>256</v>
      </c>
      <c r="W600" s="180">
        <v>230</v>
      </c>
      <c r="X600" s="227"/>
      <c r="Y600" s="184"/>
      <c r="Z600" s="181"/>
      <c r="AA600" s="227"/>
      <c r="AB600" s="182">
        <f>SUM(AH600:AS600)</f>
        <v>2054783.1768634322</v>
      </c>
      <c r="AC600" s="182">
        <f>SUM(AT600:BE600)</f>
        <v>2055992.0023070029</v>
      </c>
      <c r="AD600" s="182">
        <f>SUM(BF600:BQ600)</f>
        <v>2066720.8692792414</v>
      </c>
      <c r="AE600" s="182">
        <f>SUM(BR600:CC600)</f>
        <v>2082866.9833992913</v>
      </c>
      <c r="AF600" s="182">
        <f>SUM(CD600:CO600)</f>
        <v>2103488.4405091479</v>
      </c>
      <c r="AH600" s="174">
        <v>504467.83762824856</v>
      </c>
      <c r="AI600" s="174">
        <v>231336.79781188798</v>
      </c>
      <c r="AJ600" s="174">
        <v>0</v>
      </c>
      <c r="AK600" s="174">
        <v>276842.49583513755</v>
      </c>
      <c r="AL600" s="174">
        <v>71049.018427721327</v>
      </c>
      <c r="AM600" s="174">
        <v>56169.867815307181</v>
      </c>
      <c r="AN600" s="174">
        <v>137519.38422355172</v>
      </c>
      <c r="AO600" s="174">
        <v>103340.7911719523</v>
      </c>
      <c r="AP600" s="174">
        <v>265365.68643678253</v>
      </c>
      <c r="AQ600" s="174">
        <v>163406.75670072544</v>
      </c>
      <c r="AR600" s="174">
        <v>97468.129472857137</v>
      </c>
      <c r="AS600" s="174">
        <v>147816.41133926035</v>
      </c>
      <c r="AT600" s="174">
        <v>504764.61519799643</v>
      </c>
      <c r="AU600" s="174">
        <v>231472.89285606492</v>
      </c>
      <c r="AV600" s="174">
        <v>0</v>
      </c>
      <c r="AW600" s="174">
        <v>277005.36180396349</v>
      </c>
      <c r="AX600" s="174">
        <v>71090.816444263051</v>
      </c>
      <c r="AY600" s="174">
        <v>56202.912452883407</v>
      </c>
      <c r="AZ600" s="174">
        <v>137600.28664308946</v>
      </c>
      <c r="BA600" s="174">
        <v>103401.58638340526</v>
      </c>
      <c r="BB600" s="174">
        <v>265521.80061818485</v>
      </c>
      <c r="BC600" s="174">
        <v>163502.88861740427</v>
      </c>
      <c r="BD600" s="174">
        <v>97525.46980743391</v>
      </c>
      <c r="BE600" s="174">
        <v>147903.37148231399</v>
      </c>
      <c r="BF600" s="174">
        <v>507398.64898931253</v>
      </c>
      <c r="BG600" s="174">
        <v>232680.79729944075</v>
      </c>
      <c r="BH600" s="174">
        <v>0</v>
      </c>
      <c r="BI600" s="174">
        <v>278450.87018826499</v>
      </c>
      <c r="BJ600" s="174">
        <v>71461.792552984509</v>
      </c>
      <c r="BK600" s="174">
        <v>56496.198404619936</v>
      </c>
      <c r="BL600" s="174">
        <v>138318.33183445159</v>
      </c>
      <c r="BM600" s="174">
        <v>103941.17110152726</v>
      </c>
      <c r="BN600" s="174">
        <v>266907.38386649772</v>
      </c>
      <c r="BO600" s="174">
        <v>164356.10241375392</v>
      </c>
      <c r="BP600" s="174">
        <v>98034.390946618747</v>
      </c>
      <c r="BQ600" s="174">
        <v>148675.18168176941</v>
      </c>
      <c r="BR600" s="174">
        <v>511362.66590747418</v>
      </c>
      <c r="BS600" s="174">
        <v>234498.59996577335</v>
      </c>
      <c r="BT600" s="174">
        <v>0</v>
      </c>
      <c r="BU600" s="174">
        <v>280626.24838941253</v>
      </c>
      <c r="BV600" s="174">
        <v>72020.08287410863</v>
      </c>
      <c r="BW600" s="174">
        <v>56937.571054574408</v>
      </c>
      <c r="BX600" s="174">
        <v>139398.93425342889</v>
      </c>
      <c r="BY600" s="174">
        <v>104753.20432542468</v>
      </c>
      <c r="BZ600" s="174">
        <v>268992.57937763387</v>
      </c>
      <c r="CA600" s="174">
        <v>165640.12311792598</v>
      </c>
      <c r="CB600" s="174">
        <v>98800.277858316549</v>
      </c>
      <c r="CC600" s="174">
        <v>149836.69627521816</v>
      </c>
      <c r="CD600" s="174">
        <v>516425.41997032997</v>
      </c>
      <c r="CE600" s="174">
        <v>236820.25701831526</v>
      </c>
      <c r="CF600" s="174">
        <v>0</v>
      </c>
      <c r="CG600" s="174">
        <v>283404.59294582671</v>
      </c>
      <c r="CH600" s="174">
        <v>72733.1188297763</v>
      </c>
      <c r="CI600" s="174">
        <v>57501.282366338113</v>
      </c>
      <c r="CJ600" s="174">
        <v>140779.05557983994</v>
      </c>
      <c r="CK600" s="174">
        <v>105790.31506141197</v>
      </c>
      <c r="CL600" s="174">
        <v>271655.74461224367</v>
      </c>
      <c r="CM600" s="174">
        <v>167280.04574465711</v>
      </c>
      <c r="CN600" s="174">
        <v>99778.451552813407</v>
      </c>
      <c r="CO600" s="174">
        <v>151320.15682759552</v>
      </c>
    </row>
    <row r="601" spans="1:94" x14ac:dyDescent="0.2">
      <c r="A601" s="118">
        <f t="shared" si="51"/>
        <v>17</v>
      </c>
      <c r="B601" s="227" t="s">
        <v>644</v>
      </c>
      <c r="C601" s="263"/>
      <c r="D601" s="172"/>
      <c r="E601" s="230"/>
      <c r="F601" s="197"/>
      <c r="G601" s="230"/>
      <c r="H601" s="203"/>
      <c r="I601" s="308"/>
      <c r="J601" s="172"/>
      <c r="K601" s="230"/>
      <c r="L601" s="197"/>
      <c r="M601" s="230"/>
      <c r="N601" s="203"/>
      <c r="O601" s="227"/>
      <c r="P601" s="262"/>
      <c r="Q601" s="262"/>
      <c r="R601" s="311"/>
      <c r="S601" s="227"/>
      <c r="T601" s="227"/>
      <c r="U601" s="184" t="s">
        <v>138</v>
      </c>
      <c r="V601" s="179">
        <v>256</v>
      </c>
      <c r="W601" s="180">
        <v>230</v>
      </c>
      <c r="X601" s="227"/>
      <c r="Y601" s="184"/>
      <c r="Z601" s="181"/>
      <c r="AA601" s="227"/>
      <c r="AB601" s="182">
        <f>SUM(AH601:AS601)</f>
        <v>0</v>
      </c>
      <c r="AC601" s="182">
        <f>SUM(AT601:BE601)</f>
        <v>0</v>
      </c>
      <c r="AD601" s="182">
        <f>SUM(BF601:BQ601)</f>
        <v>0</v>
      </c>
      <c r="AE601" s="182">
        <f>SUM(BR601:CC601)</f>
        <v>0</v>
      </c>
      <c r="AF601" s="182">
        <f>SUM(CD601:CO601)</f>
        <v>0</v>
      </c>
    </row>
    <row r="602" spans="1:94" x14ac:dyDescent="0.2">
      <c r="A602" s="118">
        <f t="shared" si="51"/>
        <v>18</v>
      </c>
      <c r="B602" s="227" t="s">
        <v>647</v>
      </c>
      <c r="C602" s="263"/>
      <c r="D602" s="172">
        <f>SUMIF($AH$6:$CP$6,1,$AH602:$CP602)</f>
        <v>253432</v>
      </c>
      <c r="E602" s="233" t="s">
        <v>596</v>
      </c>
      <c r="F602" s="201">
        <f>'Exhibit MJC-3 - E-13c cal yr'!F604</f>
        <v>1.9570000000000001</v>
      </c>
      <c r="G602" s="233" t="s">
        <v>375</v>
      </c>
      <c r="H602" s="174">
        <f>ROUND(D602*F602,2)</f>
        <v>495966.42</v>
      </c>
      <c r="I602" s="308"/>
      <c r="J602" s="172">
        <f>SUMIF($AH$6:$CP$6,1,$AH602:$CP602)</f>
        <v>253432</v>
      </c>
      <c r="K602" s="233" t="s">
        <v>596</v>
      </c>
      <c r="L602" s="201">
        <f>L599</f>
        <v>2.21</v>
      </c>
      <c r="M602" s="233" t="s">
        <v>375</v>
      </c>
      <c r="N602" s="174">
        <f>ROUND(J602*L602,2)</f>
        <v>560084.72</v>
      </c>
      <c r="O602" s="227"/>
      <c r="P602" s="262"/>
      <c r="Q602" s="262"/>
      <c r="R602" s="311"/>
      <c r="S602" s="227"/>
      <c r="T602" s="227"/>
      <c r="U602" s="184" t="s">
        <v>138</v>
      </c>
      <c r="V602" s="179">
        <v>256</v>
      </c>
      <c r="W602" s="180">
        <v>230</v>
      </c>
      <c r="X602" s="227"/>
      <c r="Y602" s="184"/>
      <c r="Z602" s="181"/>
      <c r="AA602" s="227"/>
      <c r="AB602" s="182">
        <f>SUM(AH602:AS602)</f>
        <v>253432</v>
      </c>
      <c r="AC602" s="182">
        <f>SUM(AT602:BE602)</f>
        <v>253432</v>
      </c>
      <c r="AD602" s="182">
        <f>SUM(BF602:BQ602)</f>
        <v>253432</v>
      </c>
      <c r="AE602" s="182">
        <f>SUM(BR602:CC602)</f>
        <v>253432</v>
      </c>
      <c r="AF602" s="182">
        <f>SUM(CD602:CO602)</f>
        <v>253432</v>
      </c>
      <c r="AH602" s="174">
        <v>22736</v>
      </c>
      <c r="AI602" s="174">
        <v>19136</v>
      </c>
      <c r="AJ602" s="174">
        <v>19136</v>
      </c>
      <c r="AK602" s="174">
        <v>22736</v>
      </c>
      <c r="AL602" s="174">
        <v>22736</v>
      </c>
      <c r="AM602" s="174">
        <v>19136</v>
      </c>
      <c r="AN602" s="174">
        <v>22736</v>
      </c>
      <c r="AO602" s="174">
        <v>14136</v>
      </c>
      <c r="AP602" s="174">
        <v>22736</v>
      </c>
      <c r="AQ602" s="174">
        <v>22736</v>
      </c>
      <c r="AR602" s="174">
        <v>22736</v>
      </c>
      <c r="AS602" s="174">
        <v>22736</v>
      </c>
      <c r="AT602" s="174">
        <v>22736</v>
      </c>
      <c r="AU602" s="174">
        <v>19136</v>
      </c>
      <c r="AV602" s="174">
        <v>19136</v>
      </c>
      <c r="AW602" s="174">
        <v>22736</v>
      </c>
      <c r="AX602" s="174">
        <v>22736</v>
      </c>
      <c r="AY602" s="174">
        <v>19136</v>
      </c>
      <c r="AZ602" s="174">
        <v>22736</v>
      </c>
      <c r="BA602" s="174">
        <v>14136</v>
      </c>
      <c r="BB602" s="174">
        <v>22736</v>
      </c>
      <c r="BC602" s="174">
        <v>22736</v>
      </c>
      <c r="BD602" s="174">
        <v>22736</v>
      </c>
      <c r="BE602" s="174">
        <v>22736</v>
      </c>
      <c r="BF602" s="174">
        <v>22736</v>
      </c>
      <c r="BG602" s="174">
        <v>19136</v>
      </c>
      <c r="BH602" s="174">
        <v>19136</v>
      </c>
      <c r="BI602" s="174">
        <v>22736</v>
      </c>
      <c r="BJ602" s="174">
        <v>22736</v>
      </c>
      <c r="BK602" s="174">
        <v>19136</v>
      </c>
      <c r="BL602" s="174">
        <v>22736</v>
      </c>
      <c r="BM602" s="174">
        <v>14136</v>
      </c>
      <c r="BN602" s="174">
        <v>22736</v>
      </c>
      <c r="BO602" s="174">
        <v>22736</v>
      </c>
      <c r="BP602" s="174">
        <v>22736</v>
      </c>
      <c r="BQ602" s="174">
        <v>22736</v>
      </c>
      <c r="BR602" s="174">
        <v>22736</v>
      </c>
      <c r="BS602" s="174">
        <v>19136</v>
      </c>
      <c r="BT602" s="174">
        <v>19136</v>
      </c>
      <c r="BU602" s="174">
        <v>22736</v>
      </c>
      <c r="BV602" s="174">
        <v>22736</v>
      </c>
      <c r="BW602" s="174">
        <v>19136</v>
      </c>
      <c r="BX602" s="174">
        <v>22736</v>
      </c>
      <c r="BY602" s="174">
        <v>14136</v>
      </c>
      <c r="BZ602" s="174">
        <v>22736</v>
      </c>
      <c r="CA602" s="174">
        <v>22736</v>
      </c>
      <c r="CB602" s="174">
        <v>22736</v>
      </c>
      <c r="CC602" s="174">
        <v>22736</v>
      </c>
      <c r="CD602" s="174">
        <v>22736</v>
      </c>
      <c r="CE602" s="174">
        <v>19136</v>
      </c>
      <c r="CF602" s="174">
        <v>19136</v>
      </c>
      <c r="CG602" s="174">
        <v>22736</v>
      </c>
      <c r="CH602" s="174">
        <v>22736</v>
      </c>
      <c r="CI602" s="174">
        <v>19136</v>
      </c>
      <c r="CJ602" s="174">
        <v>22736</v>
      </c>
      <c r="CK602" s="174">
        <v>14136</v>
      </c>
      <c r="CL602" s="174">
        <v>22736</v>
      </c>
      <c r="CM602" s="174">
        <v>22736</v>
      </c>
      <c r="CN602" s="174">
        <v>22736</v>
      </c>
      <c r="CO602" s="174">
        <v>22736</v>
      </c>
    </row>
    <row r="603" spans="1:94" x14ac:dyDescent="0.2">
      <c r="A603" s="118">
        <f t="shared" si="51"/>
        <v>19</v>
      </c>
      <c r="B603" s="227" t="s">
        <v>648</v>
      </c>
      <c r="C603" s="263"/>
      <c r="D603" s="172">
        <f>+J603</f>
        <v>146796.72451314615</v>
      </c>
      <c r="E603" s="233" t="s">
        <v>596</v>
      </c>
      <c r="F603" s="201">
        <f>'Exhibit MJC-3 - E-13c cal yr'!F605</f>
        <v>0.93100000000000005</v>
      </c>
      <c r="G603" s="233" t="s">
        <v>375</v>
      </c>
      <c r="H603" s="174">
        <f>ROUND(D603*F603,2)</f>
        <v>136667.75</v>
      </c>
      <c r="I603" s="308"/>
      <c r="J603" s="172">
        <f>+(BR603*BR$598)+(BS603*BS$598)+(BT603*BT$598)+(BU603*BU$598)+(BV603*BV$598)+(BW603*BW$598)+(BX603*BX$598)+(BY603*BY$598)+(BZ603*BZ$598)+(CA603*CA$598)+(CB603*CB$598)+(CC603*CC$598)</f>
        <v>146796.72451314615</v>
      </c>
      <c r="K603" s="233" t="s">
        <v>596</v>
      </c>
      <c r="L603" s="201">
        <f>L600</f>
        <v>1.05</v>
      </c>
      <c r="M603" s="233" t="s">
        <v>375</v>
      </c>
      <c r="N603" s="174">
        <f>ROUND(J603*L603,2)</f>
        <v>154136.56</v>
      </c>
      <c r="O603" s="227"/>
      <c r="P603" s="262"/>
      <c r="Q603" s="262"/>
      <c r="R603" s="311"/>
      <c r="S603" s="227"/>
      <c r="T603" s="227"/>
      <c r="U603" s="184" t="s">
        <v>138</v>
      </c>
      <c r="V603" s="179">
        <v>256</v>
      </c>
      <c r="W603" s="180">
        <v>230</v>
      </c>
      <c r="X603" s="227"/>
      <c r="Y603" s="184"/>
      <c r="Z603" s="181"/>
      <c r="AA603" s="227"/>
      <c r="AB603" s="182">
        <f>SUM(AH603:AS603)</f>
        <v>148993.00333598437</v>
      </c>
      <c r="AC603" s="182">
        <f>SUM(AT603:BE603)</f>
        <v>149080.65566610589</v>
      </c>
      <c r="AD603" s="182">
        <f>SUM(BF603:BQ603)</f>
        <v>149858.60933566344</v>
      </c>
      <c r="AE603" s="182">
        <f>SUM(BR603:CC603)</f>
        <v>151029.36937596317</v>
      </c>
      <c r="AF603" s="182">
        <f>SUM(CD603:CO603)</f>
        <v>152524.63800700757</v>
      </c>
      <c r="AH603" s="174">
        <v>0</v>
      </c>
      <c r="AI603" s="174">
        <v>40047.025283689974</v>
      </c>
      <c r="AJ603" s="174">
        <v>79661.959073392121</v>
      </c>
      <c r="AK603" s="174">
        <v>0</v>
      </c>
      <c r="AL603" s="174">
        <v>0</v>
      </c>
      <c r="AM603" s="174">
        <v>10546.960557793776</v>
      </c>
      <c r="AN603" s="174">
        <v>0</v>
      </c>
      <c r="AO603" s="174">
        <v>18737.058421108501</v>
      </c>
      <c r="AP603" s="174">
        <v>0</v>
      </c>
      <c r="AQ603" s="174">
        <v>0</v>
      </c>
      <c r="AR603" s="174">
        <v>0</v>
      </c>
      <c r="AS603" s="174">
        <v>0</v>
      </c>
      <c r="AT603" s="174">
        <v>0</v>
      </c>
      <c r="AU603" s="174">
        <v>40070.584880462688</v>
      </c>
      <c r="AV603" s="174">
        <v>79708.824068247501</v>
      </c>
      <c r="AW603" s="174">
        <v>0</v>
      </c>
      <c r="AX603" s="174">
        <v>0</v>
      </c>
      <c r="AY603" s="174">
        <v>10553.165316728033</v>
      </c>
      <c r="AZ603" s="174">
        <v>0</v>
      </c>
      <c r="BA603" s="174">
        <v>18748.081400667677</v>
      </c>
      <c r="BB603" s="174">
        <v>0</v>
      </c>
      <c r="BC603" s="174">
        <v>0</v>
      </c>
      <c r="BD603" s="174">
        <v>0</v>
      </c>
      <c r="BE603" s="174">
        <v>0</v>
      </c>
      <c r="BF603" s="174">
        <v>0</v>
      </c>
      <c r="BG603" s="174">
        <v>40279.68684885549</v>
      </c>
      <c r="BH603" s="174">
        <v>80124.771877860665</v>
      </c>
      <c r="BI603" s="174">
        <v>0</v>
      </c>
      <c r="BJ603" s="174">
        <v>0</v>
      </c>
      <c r="BK603" s="174">
        <v>10608.235329983027</v>
      </c>
      <c r="BL603" s="174">
        <v>0</v>
      </c>
      <c r="BM603" s="174">
        <v>18845.915278964261</v>
      </c>
      <c r="BN603" s="174">
        <v>0</v>
      </c>
      <c r="BO603" s="174">
        <v>0</v>
      </c>
      <c r="BP603" s="174">
        <v>0</v>
      </c>
      <c r="BQ603" s="174">
        <v>0</v>
      </c>
      <c r="BR603" s="174">
        <v>0</v>
      </c>
      <c r="BS603" s="174">
        <v>40594.369121749129</v>
      </c>
      <c r="BT603" s="174">
        <v>80750.741126932058</v>
      </c>
      <c r="BU603" s="174">
        <v>0</v>
      </c>
      <c r="BV603" s="174">
        <v>0</v>
      </c>
      <c r="BW603" s="174">
        <v>10691.111436184048</v>
      </c>
      <c r="BX603" s="174">
        <v>0</v>
      </c>
      <c r="BY603" s="174">
        <v>18993.147691097918</v>
      </c>
      <c r="BZ603" s="174">
        <v>0</v>
      </c>
      <c r="CA603" s="174">
        <v>0</v>
      </c>
      <c r="CB603" s="174">
        <v>0</v>
      </c>
      <c r="CC603" s="174">
        <v>0</v>
      </c>
      <c r="CD603" s="174">
        <v>0</v>
      </c>
      <c r="CE603" s="174">
        <v>40996.274307446416</v>
      </c>
      <c r="CF603" s="174">
        <v>81550.215101031208</v>
      </c>
      <c r="CG603" s="174">
        <v>0</v>
      </c>
      <c r="CH603" s="174">
        <v>0</v>
      </c>
      <c r="CI603" s="174">
        <v>10796.958951985638</v>
      </c>
      <c r="CJ603" s="174">
        <v>0</v>
      </c>
      <c r="CK603" s="174">
        <v>19181.189646544321</v>
      </c>
      <c r="CL603" s="174">
        <v>0</v>
      </c>
      <c r="CM603" s="174">
        <v>0</v>
      </c>
      <c r="CN603" s="174">
        <v>0</v>
      </c>
      <c r="CO603" s="174">
        <v>0</v>
      </c>
    </row>
    <row r="604" spans="1:94" x14ac:dyDescent="0.2">
      <c r="A604" s="118">
        <f t="shared" si="51"/>
        <v>20</v>
      </c>
      <c r="B604" s="227"/>
      <c r="C604" s="225" t="s">
        <v>121</v>
      </c>
      <c r="D604" s="227"/>
      <c r="E604" s="325"/>
      <c r="F604" s="326"/>
      <c r="G604" s="230"/>
      <c r="H604" s="300">
        <f>SUM(H594:H603)</f>
        <v>3548550.61</v>
      </c>
      <c r="I604" s="308"/>
      <c r="J604" s="227"/>
      <c r="K604" s="230"/>
      <c r="L604" s="326"/>
      <c r="M604" s="230"/>
      <c r="N604" s="300">
        <f>SUM(N594:N603)</f>
        <v>4675615.7799999993</v>
      </c>
      <c r="O604" s="227"/>
      <c r="P604" s="262"/>
      <c r="Q604" s="939">
        <f>(N604-H604)/H604</f>
        <v>0.31761282108359151</v>
      </c>
      <c r="R604" s="311"/>
      <c r="S604" s="227"/>
      <c r="T604" s="227"/>
      <c r="U604" s="178"/>
      <c r="V604" s="179"/>
      <c r="W604" s="180"/>
      <c r="X604" s="227"/>
      <c r="Y604" s="178" t="s">
        <v>138</v>
      </c>
      <c r="Z604" s="181" t="s">
        <v>146</v>
      </c>
      <c r="AA604" s="227"/>
      <c r="AB604" s="324">
        <f>SUM(AB594:AB595)</f>
        <v>526492.31999999995</v>
      </c>
      <c r="AC604" s="324">
        <f>SUM(AC594:AC595)</f>
        <v>526492.31999999995</v>
      </c>
      <c r="AD604" s="324">
        <f>SUM(AD594:AD595)</f>
        <v>526492.31999999995</v>
      </c>
      <c r="AE604" s="324">
        <f>SUM(AE594:AE595)</f>
        <v>526492.31999999995</v>
      </c>
      <c r="AF604" s="324">
        <f>SUM(AF594:AF595)</f>
        <v>526492.31999999995</v>
      </c>
      <c r="AH604" s="854"/>
      <c r="AI604" s="854"/>
      <c r="AJ604" s="854"/>
      <c r="AK604" s="854"/>
      <c r="AL604" s="854"/>
      <c r="AM604" s="854"/>
      <c r="AN604" s="854"/>
      <c r="AO604" s="854"/>
      <c r="AP604" s="854"/>
      <c r="AQ604" s="854"/>
      <c r="AR604" s="854"/>
      <c r="AS604" s="854"/>
      <c r="AT604" s="854"/>
      <c r="AU604" s="854"/>
      <c r="AV604" s="854"/>
      <c r="AW604" s="854"/>
      <c r="AX604" s="854"/>
      <c r="AY604" s="854"/>
      <c r="AZ604" s="854"/>
      <c r="BA604" s="854"/>
      <c r="BB604" s="854"/>
      <c r="BC604" s="854"/>
      <c r="BD604" s="854"/>
      <c r="BE604" s="854"/>
      <c r="BF604" s="854"/>
      <c r="BG604" s="854"/>
      <c r="BH604" s="854"/>
      <c r="BI604" s="854"/>
      <c r="BJ604" s="854"/>
      <c r="BK604" s="854"/>
      <c r="BL604" s="854"/>
      <c r="BM604" s="854"/>
      <c r="BN604" s="854"/>
      <c r="BO604" s="854"/>
      <c r="BP604" s="854"/>
      <c r="BQ604" s="854"/>
      <c r="BR604" s="854"/>
      <c r="BS604" s="854"/>
      <c r="BT604" s="854"/>
      <c r="BU604" s="854"/>
      <c r="BV604" s="854"/>
      <c r="BW604" s="854"/>
      <c r="BX604" s="854"/>
      <c r="BY604" s="854"/>
      <c r="BZ604" s="854"/>
      <c r="CA604" s="854"/>
      <c r="CB604" s="854"/>
      <c r="CC604" s="854"/>
      <c r="CD604" s="854"/>
      <c r="CE604" s="854"/>
      <c r="CF604" s="854"/>
      <c r="CG604" s="854"/>
      <c r="CH604" s="854"/>
      <c r="CI604" s="854"/>
      <c r="CJ604" s="854"/>
      <c r="CK604" s="854"/>
      <c r="CL604" s="854"/>
      <c r="CM604" s="854"/>
      <c r="CN604" s="854"/>
      <c r="CO604" s="854"/>
    </row>
    <row r="605" spans="1:94" x14ac:dyDescent="0.2">
      <c r="A605" s="118">
        <f t="shared" si="51"/>
        <v>21</v>
      </c>
      <c r="B605" s="227"/>
      <c r="C605" s="263"/>
      <c r="D605" s="227"/>
      <c r="E605" s="230"/>
      <c r="F605" s="197"/>
      <c r="G605" s="230"/>
      <c r="H605" s="203"/>
      <c r="I605" s="308"/>
      <c r="J605" s="227"/>
      <c r="K605" s="230"/>
      <c r="L605" s="197"/>
      <c r="M605" s="230"/>
      <c r="N605" s="203"/>
      <c r="O605" s="227"/>
      <c r="P605" s="262"/>
      <c r="Q605" s="262"/>
      <c r="R605" s="311"/>
      <c r="T605" s="264"/>
      <c r="U605" s="184"/>
      <c r="V605" s="179"/>
      <c r="W605" s="180"/>
      <c r="X605" s="264"/>
      <c r="Y605" s="184"/>
      <c r="Z605" s="181"/>
      <c r="AA605" s="264"/>
      <c r="AC605" s="114"/>
      <c r="AD605" s="114"/>
      <c r="AE605" s="114"/>
      <c r="AF605" s="114"/>
    </row>
    <row r="606" spans="1:94" x14ac:dyDescent="0.2">
      <c r="A606" s="118">
        <f t="shared" si="51"/>
        <v>22</v>
      </c>
      <c r="B606" s="286" t="s">
        <v>551</v>
      </c>
      <c r="C606" s="263"/>
      <c r="D606" s="227"/>
      <c r="E606" s="230"/>
      <c r="F606" s="197"/>
      <c r="G606" s="230"/>
      <c r="H606" s="203"/>
      <c r="I606" s="308"/>
      <c r="J606" s="227"/>
      <c r="K606" s="230"/>
      <c r="L606" s="197"/>
      <c r="M606" s="230"/>
      <c r="N606" s="203"/>
      <c r="O606" s="227"/>
      <c r="P606" s="262"/>
      <c r="Q606" s="262"/>
      <c r="R606" s="311"/>
      <c r="T606" s="264"/>
      <c r="U606" s="184"/>
      <c r="V606" s="179"/>
      <c r="W606" s="180"/>
      <c r="X606" s="264"/>
      <c r="Y606" s="184"/>
      <c r="Z606" s="181"/>
      <c r="AA606" s="264"/>
      <c r="AC606" s="114"/>
      <c r="AD606" s="114"/>
      <c r="AE606" s="114"/>
      <c r="AF606" s="114"/>
    </row>
    <row r="607" spans="1:94" x14ac:dyDescent="0.2">
      <c r="A607" s="118">
        <f t="shared" si="51"/>
        <v>23</v>
      </c>
      <c r="B607" s="228" t="s">
        <v>543</v>
      </c>
      <c r="C607" s="225"/>
      <c r="D607" s="168"/>
      <c r="E607" s="233"/>
      <c r="F607" s="183"/>
      <c r="G607" s="233"/>
      <c r="H607" s="174"/>
      <c r="I607" s="308"/>
      <c r="J607" s="168"/>
      <c r="K607" s="233"/>
      <c r="L607" s="857">
        <v>0</v>
      </c>
      <c r="M607" s="233"/>
      <c r="N607" s="174"/>
      <c r="O607" s="227"/>
      <c r="P607" s="262"/>
      <c r="Q607" s="262"/>
      <c r="R607" s="311"/>
      <c r="T607" s="264"/>
      <c r="U607" s="178"/>
      <c r="V607" s="179"/>
      <c r="W607" s="180"/>
      <c r="X607" s="264"/>
      <c r="Y607" s="178"/>
      <c r="Z607" s="181"/>
      <c r="AA607" s="264"/>
      <c r="AB607" s="264"/>
      <c r="AC607" s="242"/>
      <c r="AH607" s="168"/>
      <c r="AT607" s="168"/>
      <c r="BF607" s="168"/>
      <c r="BR607" s="168"/>
      <c r="CD607" s="168"/>
    </row>
    <row r="608" spans="1:94" x14ac:dyDescent="0.2">
      <c r="A608" s="118">
        <f t="shared" si="51"/>
        <v>24</v>
      </c>
      <c r="B608" s="234" t="s">
        <v>148</v>
      </c>
      <c r="C608" s="225"/>
      <c r="D608" s="172">
        <f>SUMIF($AH$6:$CP$6,1,$AH608:$CP608)</f>
        <v>59446.679428360243</v>
      </c>
      <c r="E608" s="233" t="s">
        <v>555</v>
      </c>
      <c r="F608" s="173">
        <f>'Exhibit MJC-3 - E-13c cal yr'!F610</f>
        <v>14.4</v>
      </c>
      <c r="G608" s="233" t="s">
        <v>375</v>
      </c>
      <c r="H608" s="174">
        <f>ROUND(D608*F608,2)</f>
        <v>856032.18</v>
      </c>
      <c r="I608" s="308"/>
      <c r="J608" s="172">
        <f>SUMIF($AH$6:$CP$6,1,$AH608:$CP608)</f>
        <v>59446.679428360243</v>
      </c>
      <c r="K608" s="233" t="s">
        <v>555</v>
      </c>
      <c r="L608" s="183">
        <f>ROUND(F608*(1+'Exhibit MJC-2 - Old E-8a'!V24)+L607,2)</f>
        <v>14.8</v>
      </c>
      <c r="M608" s="233" t="s">
        <v>375</v>
      </c>
      <c r="N608" s="174">
        <f>ROUND(J608*L608,2)</f>
        <v>879810.86</v>
      </c>
      <c r="O608" s="227"/>
      <c r="P608" s="262"/>
      <c r="Q608" s="262"/>
      <c r="R608" s="311"/>
      <c r="T608" s="264"/>
      <c r="U608" s="184" t="s">
        <v>138</v>
      </c>
      <c r="V608" s="179">
        <v>256</v>
      </c>
      <c r="W608" s="180">
        <v>230</v>
      </c>
      <c r="X608" s="264"/>
      <c r="Y608" s="184"/>
      <c r="Z608" s="181"/>
      <c r="AA608" s="264"/>
      <c r="AB608" s="182">
        <f>SUM(AH608:AS608)</f>
        <v>58642.703817743866</v>
      </c>
      <c r="AC608" s="182">
        <f>SUM(AT608:BE608)</f>
        <v>58687.68079517669</v>
      </c>
      <c r="AD608" s="182">
        <f>SUM(BF608:BQ608)</f>
        <v>58990.137275477646</v>
      </c>
      <c r="AE608" s="182">
        <f>SUM(BR608:CC608)</f>
        <v>59446.679428360243</v>
      </c>
      <c r="AF608" s="182">
        <f>SUM(CD608:CO608)</f>
        <v>60055.502803415962</v>
      </c>
      <c r="AH608" s="168">
        <v>11888.276153381106</v>
      </c>
      <c r="AI608" s="168">
        <v>7753.8874030391435</v>
      </c>
      <c r="AJ608" s="168">
        <v>0</v>
      </c>
      <c r="AK608" s="168">
        <v>6896.6012273244623</v>
      </c>
      <c r="AL608" s="168">
        <v>2374.2942838392282</v>
      </c>
      <c r="AM608" s="168">
        <v>1358.4048422617432</v>
      </c>
      <c r="AN608" s="168">
        <v>4311.1515285027808</v>
      </c>
      <c r="AO608" s="168">
        <v>2907.3349098469066</v>
      </c>
      <c r="AP608" s="168">
        <v>7974.302241828992</v>
      </c>
      <c r="AQ608" s="168">
        <v>5653.6216013001595</v>
      </c>
      <c r="AR608" s="168">
        <v>3447.2907131745601</v>
      </c>
      <c r="AS608" s="168">
        <v>4077.5389132447867</v>
      </c>
      <c r="AT608" s="168">
        <v>11915.461083149046</v>
      </c>
      <c r="AU608" s="168">
        <v>7632.0891699213444</v>
      </c>
      <c r="AV608" s="168">
        <v>0</v>
      </c>
      <c r="AW608" s="168">
        <v>6876.6141769384985</v>
      </c>
      <c r="AX608" s="168">
        <v>2294.9684092344241</v>
      </c>
      <c r="AY608" s="168">
        <v>1314.5262787664726</v>
      </c>
      <c r="AZ608" s="168">
        <v>4353.3112961773741</v>
      </c>
      <c r="BA608" s="168">
        <v>2917.6931973065034</v>
      </c>
      <c r="BB608" s="168">
        <v>7989.1014888477275</v>
      </c>
      <c r="BC608" s="168">
        <v>5713.8249126594128</v>
      </c>
      <c r="BD608" s="168">
        <v>3572.6925175954348</v>
      </c>
      <c r="BE608" s="168">
        <v>4107.3982645804426</v>
      </c>
      <c r="BF608" s="168">
        <v>11940.005723384424</v>
      </c>
      <c r="BG608" s="168">
        <v>7749.6997704750111</v>
      </c>
      <c r="BH608" s="168">
        <v>0</v>
      </c>
      <c r="BI608" s="168">
        <v>6889.8827977334267</v>
      </c>
      <c r="BJ608" s="168">
        <v>2312.4154052208091</v>
      </c>
      <c r="BK608" s="168">
        <v>1335.6396559233917</v>
      </c>
      <c r="BL608" s="168">
        <v>4383.8290938024566</v>
      </c>
      <c r="BM608" s="168">
        <v>2942.0896459956934</v>
      </c>
      <c r="BN608" s="168">
        <v>8017.1212361577036</v>
      </c>
      <c r="BO608" s="168">
        <v>5688.5732377000377</v>
      </c>
      <c r="BP608" s="168">
        <v>3572.9334880728152</v>
      </c>
      <c r="BQ608" s="168">
        <v>4157.9472210118756</v>
      </c>
      <c r="BR608" s="168">
        <v>12032.921996206296</v>
      </c>
      <c r="BS608" s="168">
        <v>7730.8668488618214</v>
      </c>
      <c r="BT608" s="168">
        <v>0</v>
      </c>
      <c r="BU608" s="168">
        <v>7001.5853429596573</v>
      </c>
      <c r="BV608" s="168">
        <v>2291.7136478913162</v>
      </c>
      <c r="BW608" s="168">
        <v>1355.7398200944394</v>
      </c>
      <c r="BX608" s="168">
        <v>4451.184013834958</v>
      </c>
      <c r="BY608" s="168">
        <v>2974.4823914982871</v>
      </c>
      <c r="BZ608" s="168">
        <v>8081.0352484604837</v>
      </c>
      <c r="CA608" s="168">
        <v>5756.9030468855799</v>
      </c>
      <c r="CB608" s="168">
        <v>3606.6584716804368</v>
      </c>
      <c r="CC608" s="168">
        <v>4163.5885999869724</v>
      </c>
      <c r="CD608" s="168">
        <v>12140.963228654256</v>
      </c>
      <c r="CE608" s="168">
        <v>7808.3228782300102</v>
      </c>
      <c r="CF608" s="168">
        <v>0</v>
      </c>
      <c r="CG608" s="168">
        <v>7110.5253997745567</v>
      </c>
      <c r="CH608" s="168">
        <v>2348.1810545397229</v>
      </c>
      <c r="CI608" s="168">
        <v>1352.9129124897108</v>
      </c>
      <c r="CJ608" s="168">
        <v>4474.14400622024</v>
      </c>
      <c r="CK608" s="168">
        <v>2989.9561505872944</v>
      </c>
      <c r="CL608" s="168">
        <v>8218.8973880891681</v>
      </c>
      <c r="CM608" s="168">
        <v>5791.6723989079574</v>
      </c>
      <c r="CN608" s="168">
        <v>3644.2241928543654</v>
      </c>
      <c r="CO608" s="168">
        <v>4175.7031930686844</v>
      </c>
      <c r="CP608" s="266"/>
    </row>
    <row r="609" spans="1:93" x14ac:dyDescent="0.2">
      <c r="A609" s="118">
        <f t="shared" si="51"/>
        <v>25</v>
      </c>
      <c r="B609" s="234" t="s">
        <v>216</v>
      </c>
      <c r="C609" s="225"/>
      <c r="D609" s="172">
        <f>SUMIF($AH$6:$CP$6,1,$AH609:$CP609)</f>
        <v>5731.9040561084093</v>
      </c>
      <c r="E609" s="233" t="s">
        <v>555</v>
      </c>
      <c r="F609" s="173">
        <f>'Exhibit MJC-3 - E-13c cal yr'!F611</f>
        <v>14.4</v>
      </c>
      <c r="G609" s="233" t="s">
        <v>375</v>
      </c>
      <c r="H609" s="187">
        <f>ROUND(D609*F609,2)</f>
        <v>82539.42</v>
      </c>
      <c r="I609" s="308"/>
      <c r="J609" s="172">
        <f>SUMIF($AH$6:$CP$6,1,$AH609:$CP609)</f>
        <v>5731.9040561084093</v>
      </c>
      <c r="K609" s="233" t="s">
        <v>555</v>
      </c>
      <c r="L609" s="183">
        <f>L608</f>
        <v>14.8</v>
      </c>
      <c r="M609" s="233" t="s">
        <v>375</v>
      </c>
      <c r="N609" s="187">
        <f>ROUND(J609*L609,2)</f>
        <v>84832.18</v>
      </c>
      <c r="O609" s="227"/>
      <c r="P609" s="262"/>
      <c r="Q609" s="262"/>
      <c r="R609" s="311"/>
      <c r="T609" s="264"/>
      <c r="U609" s="184" t="s">
        <v>138</v>
      </c>
      <c r="V609" s="179">
        <v>256</v>
      </c>
      <c r="W609" s="180">
        <v>230</v>
      </c>
      <c r="X609" s="264"/>
      <c r="Y609" s="184"/>
      <c r="Z609" s="181"/>
      <c r="AA609" s="264"/>
      <c r="AB609" s="182">
        <f>SUM(AH609:AS609)</f>
        <v>5657.0608350623897</v>
      </c>
      <c r="AC609" s="182">
        <f>SUM(AT609:BE609)</f>
        <v>5649.9112996697459</v>
      </c>
      <c r="AD609" s="182">
        <f>SUM(BF609:BQ609)</f>
        <v>5683.1903018634566</v>
      </c>
      <c r="AE609" s="182">
        <f>SUM(BR609:CC609)</f>
        <v>5731.9040561084093</v>
      </c>
      <c r="AF609" s="182">
        <f>SUM(CD609:CO609)</f>
        <v>5768.3822651282117</v>
      </c>
      <c r="AH609" s="168">
        <v>1143.5230736456767</v>
      </c>
      <c r="AI609" s="168">
        <v>433.44172641466491</v>
      </c>
      <c r="AJ609" s="168">
        <v>324.24377449344365</v>
      </c>
      <c r="AK609" s="168">
        <v>370.04828216331038</v>
      </c>
      <c r="AL609" s="168">
        <v>279.02691145795717</v>
      </c>
      <c r="AM609" s="168">
        <v>420.04459452974521</v>
      </c>
      <c r="AN609" s="168">
        <v>363.13349412076514</v>
      </c>
      <c r="AO609" s="168">
        <v>559.147472582099</v>
      </c>
      <c r="AP609" s="168">
        <v>377.78570734843419</v>
      </c>
      <c r="AQ609" s="168">
        <v>586.25134965298832</v>
      </c>
      <c r="AR609" s="168">
        <v>420.59475212273264</v>
      </c>
      <c r="AS609" s="168">
        <v>379.81969653057251</v>
      </c>
      <c r="AT609" s="168">
        <v>1146.1379686938737</v>
      </c>
      <c r="AU609" s="168">
        <v>426.63321428484699</v>
      </c>
      <c r="AV609" s="168">
        <v>314.68223710408779</v>
      </c>
      <c r="AW609" s="168">
        <v>368.97584468040458</v>
      </c>
      <c r="AX609" s="168">
        <v>269.70453977878651</v>
      </c>
      <c r="AY609" s="168">
        <v>406.47650875847313</v>
      </c>
      <c r="AZ609" s="168">
        <v>366.68466221257916</v>
      </c>
      <c r="BA609" s="168">
        <v>561.13960986002189</v>
      </c>
      <c r="BB609" s="168">
        <v>378.48682750084953</v>
      </c>
      <c r="BC609" s="168">
        <v>592.49412199024994</v>
      </c>
      <c r="BD609" s="168">
        <v>435.89469205659736</v>
      </c>
      <c r="BE609" s="168">
        <v>382.60107274897467</v>
      </c>
      <c r="BF609" s="168">
        <v>1148.4988965593916</v>
      </c>
      <c r="BG609" s="168">
        <v>433.20763806725404</v>
      </c>
      <c r="BH609" s="168">
        <v>319.02538513319104</v>
      </c>
      <c r="BI609" s="168">
        <v>369.68779396817638</v>
      </c>
      <c r="BJ609" s="168">
        <v>271.75490962444377</v>
      </c>
      <c r="BK609" s="168">
        <v>413.00516624784541</v>
      </c>
      <c r="BL609" s="168">
        <v>369.25521312251567</v>
      </c>
      <c r="BM609" s="168">
        <v>565.83160890641216</v>
      </c>
      <c r="BN609" s="168">
        <v>379.81427405807904</v>
      </c>
      <c r="BO609" s="168">
        <v>589.8756537640553</v>
      </c>
      <c r="BP609" s="168">
        <v>435.9240922223031</v>
      </c>
      <c r="BQ609" s="168">
        <v>387.30967018978873</v>
      </c>
      <c r="BR609" s="168">
        <v>1157.4364330464414</v>
      </c>
      <c r="BS609" s="168">
        <v>432.1548791563813</v>
      </c>
      <c r="BT609" s="168">
        <v>323.42145512233685</v>
      </c>
      <c r="BU609" s="168">
        <v>375.68137451774686</v>
      </c>
      <c r="BV609" s="168">
        <v>269.32204043517879</v>
      </c>
      <c r="BW609" s="168">
        <v>419.220519025263</v>
      </c>
      <c r="BX609" s="168">
        <v>374.92859929229405</v>
      </c>
      <c r="BY609" s="168">
        <v>572.06148002185409</v>
      </c>
      <c r="BZ609" s="168">
        <v>382.8422255471292</v>
      </c>
      <c r="CA609" s="168">
        <v>596.96110193896379</v>
      </c>
      <c r="CB609" s="168">
        <v>440.03878758773351</v>
      </c>
      <c r="CC609" s="168">
        <v>387.83516041708617</v>
      </c>
      <c r="CD609" s="168">
        <v>1167.8288264107412</v>
      </c>
      <c r="CE609" s="168">
        <v>436.48466541010157</v>
      </c>
      <c r="CF609" s="168">
        <v>312.8118750707938</v>
      </c>
      <c r="CG609" s="168">
        <v>381.52672928806555</v>
      </c>
      <c r="CH609" s="168">
        <v>275.95808643098854</v>
      </c>
      <c r="CI609" s="168">
        <v>418.34638546679872</v>
      </c>
      <c r="CJ609" s="168">
        <v>376.86254714931806</v>
      </c>
      <c r="CK609" s="168">
        <v>575.03744032716952</v>
      </c>
      <c r="CL609" s="168">
        <v>389.37349867382295</v>
      </c>
      <c r="CM609" s="168">
        <v>600.56650410188729</v>
      </c>
      <c r="CN609" s="168">
        <v>444.62208110721463</v>
      </c>
      <c r="CO609" s="168">
        <v>388.96362569130861</v>
      </c>
    </row>
    <row r="610" spans="1:93" x14ac:dyDescent="0.2">
      <c r="A610" s="118">
        <f t="shared" si="51"/>
        <v>26</v>
      </c>
      <c r="B610" s="227"/>
      <c r="C610" s="225" t="s">
        <v>121</v>
      </c>
      <c r="D610" s="309">
        <f>SUM(D608:D609)</f>
        <v>65178.583484468654</v>
      </c>
      <c r="E610" s="233" t="s">
        <v>649</v>
      </c>
      <c r="F610" s="197"/>
      <c r="G610" s="230"/>
      <c r="H610" s="300">
        <f>SUM(H608:H609)</f>
        <v>938571.60000000009</v>
      </c>
      <c r="I610" s="308"/>
      <c r="J610" s="309">
        <f>SUM(J608:J609)</f>
        <v>65178.583484468654</v>
      </c>
      <c r="K610" s="233" t="s">
        <v>649</v>
      </c>
      <c r="L610" s="197"/>
      <c r="M610" s="230"/>
      <c r="N610" s="300">
        <f>SUM(N608:N609)</f>
        <v>964643.04</v>
      </c>
      <c r="O610" s="227"/>
      <c r="P610" s="262"/>
      <c r="Q610" s="939">
        <f>(N610-H610)/H610</f>
        <v>2.7777784880769821E-2</v>
      </c>
      <c r="T610" s="264"/>
      <c r="U610" s="178"/>
      <c r="V610" s="179"/>
      <c r="W610" s="180"/>
      <c r="X610" s="264"/>
      <c r="Y610" s="178" t="s">
        <v>138</v>
      </c>
      <c r="Z610" s="181" t="s">
        <v>141</v>
      </c>
      <c r="AA610" s="264"/>
      <c r="AB610" s="309">
        <f>SUM(AB608:AB609)</f>
        <v>64299.764652806254</v>
      </c>
      <c r="AC610" s="309">
        <f>SUM(AC608:AC609)</f>
        <v>64337.592094846434</v>
      </c>
      <c r="AD610" s="309">
        <f>SUM(AD608:AD609)</f>
        <v>64673.327577341101</v>
      </c>
      <c r="AE610" s="309">
        <f>SUM(AE608:AE609)</f>
        <v>65178.583484468654</v>
      </c>
      <c r="AF610" s="309">
        <f>SUM(AF608:AF609)</f>
        <v>65823.885068544172</v>
      </c>
      <c r="AH610" s="1206">
        <f t="shared" ref="AH610:CO610" si="53">SUM(AH608:AH609)</f>
        <v>13031.799227026782</v>
      </c>
      <c r="AI610" s="1206">
        <f t="shared" si="53"/>
        <v>8187.3291294538085</v>
      </c>
      <c r="AJ610" s="1206">
        <f t="shared" si="53"/>
        <v>324.24377449344365</v>
      </c>
      <c r="AK610" s="1206">
        <f t="shared" si="53"/>
        <v>7266.6495094877728</v>
      </c>
      <c r="AL610" s="1206">
        <f t="shared" si="53"/>
        <v>2653.3211952971856</v>
      </c>
      <c r="AM610" s="1206">
        <f t="shared" si="53"/>
        <v>1778.4494367914883</v>
      </c>
      <c r="AN610" s="1206">
        <f t="shared" si="53"/>
        <v>4674.285022623546</v>
      </c>
      <c r="AO610" s="1206">
        <f t="shared" si="53"/>
        <v>3466.4823824290056</v>
      </c>
      <c r="AP610" s="1206">
        <f t="shared" si="53"/>
        <v>8352.0879491774267</v>
      </c>
      <c r="AQ610" s="1206">
        <f t="shared" si="53"/>
        <v>6239.8729509531477</v>
      </c>
      <c r="AR610" s="1206">
        <f t="shared" si="53"/>
        <v>3867.8854652972927</v>
      </c>
      <c r="AS610" s="1206">
        <f t="shared" si="53"/>
        <v>4457.3586097753596</v>
      </c>
      <c r="AT610" s="1206">
        <f t="shared" si="53"/>
        <v>13061.599051842921</v>
      </c>
      <c r="AU610" s="1206">
        <f t="shared" si="53"/>
        <v>8058.7223842061912</v>
      </c>
      <c r="AV610" s="1206">
        <f t="shared" si="53"/>
        <v>314.68223710408779</v>
      </c>
      <c r="AW610" s="1206">
        <f t="shared" si="53"/>
        <v>7245.5900216189029</v>
      </c>
      <c r="AX610" s="1206">
        <f t="shared" si="53"/>
        <v>2564.6729490132107</v>
      </c>
      <c r="AY610" s="1206">
        <f t="shared" si="53"/>
        <v>1721.0027875249457</v>
      </c>
      <c r="AZ610" s="1206">
        <f t="shared" si="53"/>
        <v>4719.9959583899536</v>
      </c>
      <c r="BA610" s="1206">
        <f t="shared" si="53"/>
        <v>3478.8328071665255</v>
      </c>
      <c r="BB610" s="1206">
        <f t="shared" si="53"/>
        <v>8367.5883163485778</v>
      </c>
      <c r="BC610" s="1206">
        <f t="shared" si="53"/>
        <v>6306.3190346496631</v>
      </c>
      <c r="BD610" s="1206">
        <f t="shared" si="53"/>
        <v>4008.587209652032</v>
      </c>
      <c r="BE610" s="1206">
        <f t="shared" si="53"/>
        <v>4489.9993373294174</v>
      </c>
      <c r="BF610" s="1206">
        <f t="shared" si="53"/>
        <v>13088.504619943815</v>
      </c>
      <c r="BG610" s="1206">
        <f t="shared" si="53"/>
        <v>8182.9074085422653</v>
      </c>
      <c r="BH610" s="1206">
        <f t="shared" si="53"/>
        <v>319.02538513319104</v>
      </c>
      <c r="BI610" s="1206">
        <f t="shared" si="53"/>
        <v>7259.570591701603</v>
      </c>
      <c r="BJ610" s="1206">
        <f t="shared" si="53"/>
        <v>2584.170314845253</v>
      </c>
      <c r="BK610" s="1206">
        <f t="shared" si="53"/>
        <v>1748.6448221712371</v>
      </c>
      <c r="BL610" s="1206">
        <f t="shared" si="53"/>
        <v>4753.0843069249722</v>
      </c>
      <c r="BM610" s="1206">
        <f t="shared" si="53"/>
        <v>3507.9212549021058</v>
      </c>
      <c r="BN610" s="1206">
        <f t="shared" si="53"/>
        <v>8396.9355102157824</v>
      </c>
      <c r="BO610" s="1206">
        <f t="shared" si="53"/>
        <v>6278.4488914640933</v>
      </c>
      <c r="BP610" s="1206">
        <f t="shared" si="53"/>
        <v>4008.8575802951182</v>
      </c>
      <c r="BQ610" s="1206">
        <f t="shared" si="53"/>
        <v>4545.2568912016641</v>
      </c>
      <c r="BR610" s="1206">
        <f t="shared" si="53"/>
        <v>13190.358429252738</v>
      </c>
      <c r="BS610" s="1206">
        <f t="shared" si="53"/>
        <v>8163.0217280182023</v>
      </c>
      <c r="BT610" s="1206">
        <f t="shared" si="53"/>
        <v>323.42145512233685</v>
      </c>
      <c r="BU610" s="1206">
        <f t="shared" si="53"/>
        <v>7377.2667174774042</v>
      </c>
      <c r="BV610" s="1206">
        <f t="shared" si="53"/>
        <v>2561.0356883264949</v>
      </c>
      <c r="BW610" s="1206">
        <f t="shared" si="53"/>
        <v>1774.9603391197024</v>
      </c>
      <c r="BX610" s="1206">
        <f t="shared" si="53"/>
        <v>4826.1126131272522</v>
      </c>
      <c r="BY610" s="1206">
        <f t="shared" si="53"/>
        <v>3546.5438715201412</v>
      </c>
      <c r="BZ610" s="1206">
        <f t="shared" si="53"/>
        <v>8463.8774740076133</v>
      </c>
      <c r="CA610" s="1206">
        <f t="shared" si="53"/>
        <v>6353.8641488245439</v>
      </c>
      <c r="CB610" s="1206">
        <f t="shared" si="53"/>
        <v>4046.6972592681705</v>
      </c>
      <c r="CC610" s="1206">
        <f t="shared" si="53"/>
        <v>4551.4237604040591</v>
      </c>
      <c r="CD610" s="1206">
        <f t="shared" si="53"/>
        <v>13308.792055064998</v>
      </c>
      <c r="CE610" s="1206">
        <f t="shared" si="53"/>
        <v>8244.8075436401123</v>
      </c>
      <c r="CF610" s="1206">
        <f t="shared" si="53"/>
        <v>312.8118750707938</v>
      </c>
      <c r="CG610" s="1206">
        <f t="shared" si="53"/>
        <v>7492.052129062622</v>
      </c>
      <c r="CH610" s="1206">
        <f t="shared" si="53"/>
        <v>2624.1391409707117</v>
      </c>
      <c r="CI610" s="1206">
        <f t="shared" si="53"/>
        <v>1771.2592979565095</v>
      </c>
      <c r="CJ610" s="1206">
        <f t="shared" si="53"/>
        <v>4851.0065533695579</v>
      </c>
      <c r="CK610" s="1206">
        <f t="shared" si="53"/>
        <v>3564.9935909144638</v>
      </c>
      <c r="CL610" s="1206">
        <f t="shared" si="53"/>
        <v>8608.2708867629917</v>
      </c>
      <c r="CM610" s="1206">
        <f t="shared" si="53"/>
        <v>6392.2389030098448</v>
      </c>
      <c r="CN610" s="1206">
        <f t="shared" si="53"/>
        <v>4088.8462739615798</v>
      </c>
      <c r="CO610" s="1206">
        <f t="shared" si="53"/>
        <v>4564.6668187599935</v>
      </c>
    </row>
    <row r="611" spans="1:93" x14ac:dyDescent="0.2">
      <c r="A611" s="118">
        <f t="shared" si="51"/>
        <v>27</v>
      </c>
      <c r="B611" s="246" t="s">
        <v>563</v>
      </c>
      <c r="C611" s="225"/>
      <c r="D611" s="247"/>
      <c r="E611" s="230"/>
      <c r="F611" s="197"/>
      <c r="G611" s="230"/>
      <c r="H611" s="203"/>
      <c r="I611" s="308"/>
      <c r="J611" s="247"/>
      <c r="K611" s="230"/>
      <c r="L611" s="197"/>
      <c r="M611" s="230"/>
      <c r="N611" s="203"/>
      <c r="O611" s="227"/>
      <c r="Q611" s="176"/>
      <c r="T611" s="264"/>
      <c r="U611" s="178"/>
      <c r="V611" s="179"/>
      <c r="W611" s="180"/>
      <c r="X611" s="264"/>
      <c r="Y611" s="178"/>
      <c r="Z611" s="181"/>
      <c r="AA611" s="264"/>
      <c r="AB611" s="193">
        <f>SUM(AH611:AS611)</f>
        <v>897039.45655294578</v>
      </c>
      <c r="AC611" s="193">
        <f>SUM(AT611:BE611)</f>
        <v>895746.14413557388</v>
      </c>
      <c r="AD611" s="193">
        <f>SUM(BF611:BQ611)</f>
        <v>901728.10122106131</v>
      </c>
      <c r="AE611" s="193">
        <f>SUM(BR611:CC611)</f>
        <v>913944.22720888746</v>
      </c>
      <c r="AF611" s="193">
        <f>SUM(CD611:CO611)</f>
        <v>915157.05938494357</v>
      </c>
      <c r="AH611" s="1207">
        <v>59956.691271816497</v>
      </c>
      <c r="AI611" s="1207">
        <v>18043.643723005996</v>
      </c>
      <c r="AJ611" s="1207">
        <v>93629.180495636654</v>
      </c>
      <c r="AK611" s="1207">
        <v>82112.239012774022</v>
      </c>
      <c r="AL611" s="1207">
        <v>97537.626581723947</v>
      </c>
      <c r="AM611" s="1207">
        <v>87050.520375453227</v>
      </c>
      <c r="AN611" s="1207">
        <v>80409.486520371152</v>
      </c>
      <c r="AO611" s="1207">
        <v>78771.551896169389</v>
      </c>
      <c r="AP611" s="1207">
        <v>76069.781787941349</v>
      </c>
      <c r="AQ611" s="1207">
        <v>65444.397415082763</v>
      </c>
      <c r="AR611" s="1207">
        <v>51876.045304020437</v>
      </c>
      <c r="AS611" s="1207">
        <v>106138.29216895033</v>
      </c>
      <c r="AT611" s="1207">
        <v>62649.919076627091</v>
      </c>
      <c r="AU611" s="1207">
        <v>18486.921108467643</v>
      </c>
      <c r="AV611" s="1207">
        <v>92868.97293094499</v>
      </c>
      <c r="AW611" s="1207">
        <v>82883.396107591499</v>
      </c>
      <c r="AX611" s="1207">
        <v>97223.375565008129</v>
      </c>
      <c r="AY611" s="1207">
        <v>85203.628819715959</v>
      </c>
      <c r="AZ611" s="1207">
        <v>81182.907861890955</v>
      </c>
      <c r="BA611" s="1207">
        <v>77690.739467601379</v>
      </c>
      <c r="BB611" s="1207">
        <v>75662.411653022573</v>
      </c>
      <c r="BC611" s="1207">
        <v>65566.696159170067</v>
      </c>
      <c r="BD611" s="1207">
        <v>51290.216535786705</v>
      </c>
      <c r="BE611" s="1207">
        <v>105036.95884974686</v>
      </c>
      <c r="BF611" s="1207">
        <v>62181.327791991025</v>
      </c>
      <c r="BG611" s="1207">
        <v>18673.740442643008</v>
      </c>
      <c r="BH611" s="1207">
        <v>94264.287661759197</v>
      </c>
      <c r="BI611" s="1207">
        <v>82518.225336227624</v>
      </c>
      <c r="BJ611" s="1207">
        <v>97851.590212040071</v>
      </c>
      <c r="BK611" s="1207">
        <v>86412.012852289641</v>
      </c>
      <c r="BL611" s="1207">
        <v>81703.637813410023</v>
      </c>
      <c r="BM611" s="1207">
        <v>78332.53725083622</v>
      </c>
      <c r="BN611" s="1207">
        <v>75998.851665244511</v>
      </c>
      <c r="BO611" s="1207">
        <v>65281.570239116758</v>
      </c>
      <c r="BP611" s="1207">
        <v>51358.694554889749</v>
      </c>
      <c r="BQ611" s="1207">
        <v>107151.62540061331</v>
      </c>
      <c r="BR611" s="1207">
        <v>62996.04280221177</v>
      </c>
      <c r="BS611" s="1207">
        <v>18876.548372514277</v>
      </c>
      <c r="BT611" s="1207">
        <v>96444.487557049084</v>
      </c>
      <c r="BU611" s="1207">
        <v>84642.19181105966</v>
      </c>
      <c r="BV611" s="1207">
        <v>97581.704289200643</v>
      </c>
      <c r="BW611" s="1207">
        <v>88374.065870030667</v>
      </c>
      <c r="BX611" s="1207">
        <v>83419.734215117613</v>
      </c>
      <c r="BY611" s="1207">
        <v>79478.661637883895</v>
      </c>
      <c r="BZ611" s="1207">
        <v>76813.679607995116</v>
      </c>
      <c r="CA611" s="1207">
        <v>66301.282748639962</v>
      </c>
      <c r="CB611" s="1207">
        <v>52034.59675435449</v>
      </c>
      <c r="CC611" s="1207">
        <v>106981.23154283033</v>
      </c>
      <c r="CD611" s="1207">
        <v>63247.458824060741</v>
      </c>
      <c r="CE611" s="1207">
        <v>18609.604988550396</v>
      </c>
      <c r="CF611" s="1207">
        <v>94831.16546722826</v>
      </c>
      <c r="CG611" s="1207">
        <v>85572.010505654078</v>
      </c>
      <c r="CH611" s="1207">
        <v>98814.634602857477</v>
      </c>
      <c r="CI611" s="1207">
        <v>87383.871920701218</v>
      </c>
      <c r="CJ611" s="1207">
        <v>83210.960228256023</v>
      </c>
      <c r="CK611" s="1207">
        <v>79491.377507574129</v>
      </c>
      <c r="CL611" s="1207">
        <v>77910.814501067216</v>
      </c>
      <c r="CM611" s="1207">
        <v>66459.448843646634</v>
      </c>
      <c r="CN611" s="1207">
        <v>52620.274228985385</v>
      </c>
      <c r="CO611" s="1207">
        <v>107005.43776636198</v>
      </c>
    </row>
    <row r="612" spans="1:93" x14ac:dyDescent="0.2">
      <c r="A612" s="118">
        <f t="shared" si="51"/>
        <v>28</v>
      </c>
      <c r="B612" s="232" t="s">
        <v>601</v>
      </c>
      <c r="C612" s="263"/>
      <c r="D612" s="103">
        <f>+D594</f>
        <v>253660.31999999995</v>
      </c>
      <c r="E612" s="233" t="s">
        <v>596</v>
      </c>
      <c r="F612" s="173">
        <f>'Exhibit MJC-3 - E-13c cal yr'!F614</f>
        <v>-1.3</v>
      </c>
      <c r="G612" s="230"/>
      <c r="H612" s="203">
        <f>+D612*F612</f>
        <v>-329758.41599999997</v>
      </c>
      <c r="I612" s="308"/>
      <c r="J612" s="103">
        <f>+J594</f>
        <v>253660.31999999995</v>
      </c>
      <c r="K612" s="233" t="s">
        <v>596</v>
      </c>
      <c r="L612" s="183">
        <f>ROUND(-DVC!G29,2)</f>
        <v>-1.34</v>
      </c>
      <c r="M612" s="230"/>
      <c r="N612" s="203">
        <f>ROUND(+J612*L612,2)</f>
        <v>-339904.83</v>
      </c>
      <c r="O612" s="227"/>
      <c r="Q612" s="227"/>
      <c r="T612" s="264"/>
      <c r="U612" s="184" t="s">
        <v>138</v>
      </c>
      <c r="V612" s="179">
        <v>256</v>
      </c>
      <c r="W612" s="180">
        <v>230</v>
      </c>
      <c r="X612" s="264"/>
      <c r="Y612" s="184" t="s">
        <v>138</v>
      </c>
      <c r="Z612" s="181" t="s">
        <v>146</v>
      </c>
      <c r="AA612" s="264"/>
      <c r="AB612" s="264"/>
      <c r="AD612" s="245"/>
    </row>
    <row r="613" spans="1:93" x14ac:dyDescent="0.2">
      <c r="A613" s="118">
        <f t="shared" si="51"/>
        <v>29</v>
      </c>
      <c r="B613" s="234" t="s">
        <v>582</v>
      </c>
      <c r="C613" s="263"/>
      <c r="D613" s="172">
        <f>SUM(H594,H599:H600,H608,H612,H614)</f>
        <v>4078877.6071999995</v>
      </c>
      <c r="E613" s="233" t="s">
        <v>10</v>
      </c>
      <c r="F613" s="249">
        <v>0.01</v>
      </c>
      <c r="G613" s="233" t="s">
        <v>375</v>
      </c>
      <c r="H613" s="174">
        <f>-F613*D613</f>
        <v>-40788.776071999993</v>
      </c>
      <c r="I613" s="308"/>
      <c r="J613" s="185">
        <f>SUM(N594,N599:N600,N608,N612,N614)</f>
        <v>5170963.7700000005</v>
      </c>
      <c r="K613" s="233" t="s">
        <v>10</v>
      </c>
      <c r="L613" s="249">
        <v>0.01</v>
      </c>
      <c r="M613" s="233" t="s">
        <v>375</v>
      </c>
      <c r="N613" s="174">
        <f>-ROUND(L613*J613,2)</f>
        <v>-51709.64</v>
      </c>
      <c r="O613" s="227"/>
      <c r="Q613" s="227"/>
      <c r="T613" s="264"/>
      <c r="U613" s="184" t="s">
        <v>138</v>
      </c>
      <c r="V613" s="179">
        <v>256</v>
      </c>
      <c r="W613" s="180">
        <v>230</v>
      </c>
      <c r="X613" s="264"/>
      <c r="Y613" s="184" t="s">
        <v>138</v>
      </c>
      <c r="Z613" s="181" t="s">
        <v>417</v>
      </c>
      <c r="AA613" s="264"/>
      <c r="AB613" s="182">
        <f>SUM(AH613:AS613)</f>
        <v>-30020.056616603648</v>
      </c>
      <c r="AC613" s="182">
        <f>SUM(AT613:BE613)</f>
        <v>-30922.657185651657</v>
      </c>
      <c r="AD613" s="182">
        <f>SUM(BF613:BQ613)</f>
        <v>-31041.525562292583</v>
      </c>
      <c r="AE613" s="182">
        <f>SUM(BR613:CC613)</f>
        <v>-31220.598569890724</v>
      </c>
      <c r="AF613" s="182">
        <f>SUM(CD613:CO613)</f>
        <v>-31452.791537557321</v>
      </c>
      <c r="AH613" s="174">
        <v>-5773.9177685776149</v>
      </c>
      <c r="AI613" s="174">
        <v>-3739.3812377094478</v>
      </c>
      <c r="AJ613" s="174">
        <v>-893.09571000000017</v>
      </c>
      <c r="AK613" s="174">
        <v>-3056.8030218033859</v>
      </c>
      <c r="AL613" s="174">
        <v>-1426.0419526994724</v>
      </c>
      <c r="AM613" s="174">
        <v>-1239.8519648897941</v>
      </c>
      <c r="AN613" s="174">
        <v>-2317.1451783614111</v>
      </c>
      <c r="AO613" s="174">
        <v>-1923.8369664417746</v>
      </c>
      <c r="AP613" s="174">
        <v>-3509.2738687729325</v>
      </c>
      <c r="AQ613" s="174">
        <v>-2250.8511745238793</v>
      </c>
      <c r="AR613" s="174">
        <v>-1725.2571494502834</v>
      </c>
      <c r="AS613" s="174">
        <v>-2164.6006233736525</v>
      </c>
      <c r="AT613" s="174">
        <v>-5950.7870274517754</v>
      </c>
      <c r="AU613" s="174">
        <v>-3834.834600312206</v>
      </c>
      <c r="AV613" s="174">
        <v>-919.51865999999995</v>
      </c>
      <c r="AW613" s="174">
        <v>-3145.4445815981881</v>
      </c>
      <c r="AX613" s="174">
        <v>-1457.6580161132831</v>
      </c>
      <c r="AY613" s="174">
        <v>-1270.7118419265005</v>
      </c>
      <c r="AZ613" s="174">
        <v>-2392.0214090561626</v>
      </c>
      <c r="BA613" s="174">
        <v>-1982.61848859733</v>
      </c>
      <c r="BB613" s="174">
        <v>-3616.23402009655</v>
      </c>
      <c r="BC613" s="174">
        <v>-2326.0564915907862</v>
      </c>
      <c r="BD613" s="174">
        <v>-1793.5589937786151</v>
      </c>
      <c r="BE613" s="174">
        <v>-2233.2130551302612</v>
      </c>
      <c r="BF613" s="174">
        <v>-5973.3124780783401</v>
      </c>
      <c r="BG613" s="174">
        <v>-3861.325823697824</v>
      </c>
      <c r="BH613" s="174">
        <v>-919.51865999999995</v>
      </c>
      <c r="BI613" s="174">
        <v>-3155.6713577510677</v>
      </c>
      <c r="BJ613" s="174">
        <v>-1462.1838720359033</v>
      </c>
      <c r="BK613" s="174">
        <v>-1275.7086477817065</v>
      </c>
      <c r="BL613" s="174">
        <v>-2402.4349781886349</v>
      </c>
      <c r="BM613" s="174">
        <v>-1990.6420548639769</v>
      </c>
      <c r="BN613" s="174">
        <v>-3630.1287957625213</v>
      </c>
      <c r="BO613" s="174">
        <v>-2327.6133576615985</v>
      </c>
      <c r="BP613" s="174">
        <v>-1797.3016562859098</v>
      </c>
      <c r="BQ613" s="174">
        <v>-2245.6838801851072</v>
      </c>
      <c r="BR613" s="174">
        <v>-6014.7910247518194</v>
      </c>
      <c r="BS613" s="174">
        <v>-3874.6779838364755</v>
      </c>
      <c r="BT613" s="174">
        <v>-919.51865999999995</v>
      </c>
      <c r="BU613" s="174">
        <v>-3183.4826880437918</v>
      </c>
      <c r="BV613" s="174">
        <v>-1462.6368032462856</v>
      </c>
      <c r="BW613" s="174">
        <v>-1281.6478166286345</v>
      </c>
      <c r="BX613" s="174">
        <v>-2421.0079443222494</v>
      </c>
      <c r="BY613" s="174">
        <v>-2002.1316992476832</v>
      </c>
      <c r="BZ613" s="174">
        <v>-3653.9838283045001</v>
      </c>
      <c r="CA613" s="174">
        <v>-2344.3536225720518</v>
      </c>
      <c r="CB613" s="174">
        <v>-1807.4513346526587</v>
      </c>
      <c r="CC613" s="174">
        <v>-2254.9151642845763</v>
      </c>
      <c r="CD613" s="174">
        <v>-6066.3272847434928</v>
      </c>
      <c r="CE613" s="174">
        <v>-3905.4753861085646</v>
      </c>
      <c r="CF613" s="174">
        <v>-919.51865999999995</v>
      </c>
      <c r="CG613" s="174">
        <v>-3214.4364771895362</v>
      </c>
      <c r="CH613" s="174">
        <v>-1474.4409157999341</v>
      </c>
      <c r="CI613" s="174">
        <v>-1285.3745088017117</v>
      </c>
      <c r="CJ613" s="174">
        <v>-2436.1900286546602</v>
      </c>
      <c r="CK613" s="174">
        <v>-2013.2994909467513</v>
      </c>
      <c r="CL613" s="174">
        <v>-3692.0648365705297</v>
      </c>
      <c r="CM613" s="174">
        <v>-2358.625421594978</v>
      </c>
      <c r="CN613" s="174">
        <v>-1819.6686195324908</v>
      </c>
      <c r="CO613" s="174">
        <v>-2267.3699076146713</v>
      </c>
    </row>
    <row r="614" spans="1:93" x14ac:dyDescent="0.2">
      <c r="A614" s="118">
        <f>+A612+1</f>
        <v>29</v>
      </c>
      <c r="B614" s="234" t="s">
        <v>650</v>
      </c>
      <c r="C614" s="263"/>
      <c r="D614" s="172">
        <f>SUMIF($AH$6:$CP$6,1,$AH614:$CP614)</f>
        <v>253660.31999999995</v>
      </c>
      <c r="E614" s="233" t="s">
        <v>10</v>
      </c>
      <c r="F614" s="173">
        <f>'Exhibit MJC-3 - E-13c cal yr'!F616</f>
        <v>2.5099999999999998</v>
      </c>
      <c r="G614" s="233" t="s">
        <v>375</v>
      </c>
      <c r="H614" s="174">
        <f>F614*D614</f>
        <v>636687.40319999983</v>
      </c>
      <c r="I614" s="308"/>
      <c r="J614" s="172">
        <f>SUMIF($AH$6:$CP$6,1,$AH614:$CP614)</f>
        <v>253660.31999999995</v>
      </c>
      <c r="K614" s="233" t="s">
        <v>10</v>
      </c>
      <c r="L614" s="1066">
        <f>ROUND('MFR E-14G'!G22,2)</f>
        <v>2.64</v>
      </c>
      <c r="M614" s="233" t="s">
        <v>375</v>
      </c>
      <c r="N614" s="329">
        <f>ROUND(L614*J614,2)</f>
        <v>669663.24</v>
      </c>
      <c r="O614" s="227"/>
      <c r="Q614" s="262"/>
      <c r="T614" s="264"/>
      <c r="U614" s="184" t="s">
        <v>138</v>
      </c>
      <c r="V614" s="179">
        <v>256</v>
      </c>
      <c r="W614" s="180">
        <v>230</v>
      </c>
      <c r="X614" s="264"/>
      <c r="Y614" s="184" t="s">
        <v>138</v>
      </c>
      <c r="Z614" s="181" t="s">
        <v>146</v>
      </c>
      <c r="AA614" s="264"/>
      <c r="AB614" s="182">
        <f>SUM(AH614:AS614)</f>
        <v>253660.31999999995</v>
      </c>
      <c r="AC614" s="182">
        <f>SUM(AT614:BE614)</f>
        <v>253660.31999999995</v>
      </c>
      <c r="AD614" s="182">
        <f>SUM(BF614:BQ614)</f>
        <v>253660.31999999995</v>
      </c>
      <c r="AE614" s="182">
        <f>SUM(BR614:CC614)</f>
        <v>253660.31999999995</v>
      </c>
      <c r="AF614" s="182">
        <f>SUM(CD614:CO614)</f>
        <v>253660.31999999995</v>
      </c>
      <c r="AH614" s="174">
        <v>21138.36</v>
      </c>
      <c r="AI614" s="174">
        <v>21138.36</v>
      </c>
      <c r="AJ614" s="174">
        <v>21138.36</v>
      </c>
      <c r="AK614" s="174">
        <v>21138.36</v>
      </c>
      <c r="AL614" s="174">
        <v>21138.36</v>
      </c>
      <c r="AM614" s="174">
        <v>21138.36</v>
      </c>
      <c r="AN614" s="174">
        <v>21138.36</v>
      </c>
      <c r="AO614" s="174">
        <v>21138.36</v>
      </c>
      <c r="AP614" s="174">
        <v>21138.36</v>
      </c>
      <c r="AQ614" s="174">
        <v>21138.36</v>
      </c>
      <c r="AR614" s="174">
        <v>21138.36</v>
      </c>
      <c r="AS614" s="174">
        <v>21138.36</v>
      </c>
      <c r="AT614" s="174">
        <v>21138.36</v>
      </c>
      <c r="AU614" s="174">
        <v>21138.36</v>
      </c>
      <c r="AV614" s="174">
        <v>21138.36</v>
      </c>
      <c r="AW614" s="174">
        <v>21138.36</v>
      </c>
      <c r="AX614" s="174">
        <v>21138.36</v>
      </c>
      <c r="AY614" s="174">
        <v>21138.36</v>
      </c>
      <c r="AZ614" s="174">
        <v>21138.36</v>
      </c>
      <c r="BA614" s="174">
        <v>21138.36</v>
      </c>
      <c r="BB614" s="174">
        <v>21138.36</v>
      </c>
      <c r="BC614" s="174">
        <v>21138.36</v>
      </c>
      <c r="BD614" s="174">
        <v>21138.36</v>
      </c>
      <c r="BE614" s="174">
        <v>21138.36</v>
      </c>
      <c r="BF614" s="174">
        <v>21138.36</v>
      </c>
      <c r="BG614" s="174">
        <v>21138.36</v>
      </c>
      <c r="BH614" s="174">
        <v>21138.36</v>
      </c>
      <c r="BI614" s="174">
        <v>21138.36</v>
      </c>
      <c r="BJ614" s="174">
        <v>21138.36</v>
      </c>
      <c r="BK614" s="174">
        <v>21138.36</v>
      </c>
      <c r="BL614" s="174">
        <v>21138.36</v>
      </c>
      <c r="BM614" s="174">
        <v>21138.36</v>
      </c>
      <c r="BN614" s="174">
        <v>21138.36</v>
      </c>
      <c r="BO614" s="174">
        <v>21138.36</v>
      </c>
      <c r="BP614" s="174">
        <v>21138.36</v>
      </c>
      <c r="BQ614" s="174">
        <v>21138.36</v>
      </c>
      <c r="BR614" s="174">
        <v>21138.36</v>
      </c>
      <c r="BS614" s="174">
        <v>21138.36</v>
      </c>
      <c r="BT614" s="174">
        <v>21138.36</v>
      </c>
      <c r="BU614" s="174">
        <v>21138.36</v>
      </c>
      <c r="BV614" s="174">
        <v>21138.36</v>
      </c>
      <c r="BW614" s="174">
        <v>21138.36</v>
      </c>
      <c r="BX614" s="174">
        <v>21138.36</v>
      </c>
      <c r="BY614" s="174">
        <v>21138.36</v>
      </c>
      <c r="BZ614" s="174">
        <v>21138.36</v>
      </c>
      <c r="CA614" s="174">
        <v>21138.36</v>
      </c>
      <c r="CB614" s="174">
        <v>21138.36</v>
      </c>
      <c r="CC614" s="174">
        <v>21138.36</v>
      </c>
      <c r="CD614" s="174">
        <v>21138.36</v>
      </c>
      <c r="CE614" s="174">
        <v>21138.36</v>
      </c>
      <c r="CF614" s="174">
        <v>21138.36</v>
      </c>
      <c r="CG614" s="174">
        <v>21138.36</v>
      </c>
      <c r="CH614" s="174">
        <v>21138.36</v>
      </c>
      <c r="CI614" s="174">
        <v>21138.36</v>
      </c>
      <c r="CJ614" s="174">
        <v>21138.36</v>
      </c>
      <c r="CK614" s="174">
        <v>21138.36</v>
      </c>
      <c r="CL614" s="174">
        <v>21138.36</v>
      </c>
      <c r="CM614" s="174">
        <v>21138.36</v>
      </c>
      <c r="CN614" s="174">
        <v>21138.36</v>
      </c>
      <c r="CO614" s="174">
        <v>21138.36</v>
      </c>
    </row>
    <row r="615" spans="1:93" x14ac:dyDescent="0.2">
      <c r="A615" s="118">
        <f>+A613+1</f>
        <v>30</v>
      </c>
      <c r="B615" s="234" t="s">
        <v>583</v>
      </c>
      <c r="C615" s="263"/>
      <c r="D615" s="172">
        <f>SUM(H595,H602:H603,H609)</f>
        <v>715173.59</v>
      </c>
      <c r="E615" s="233" t="s">
        <v>10</v>
      </c>
      <c r="F615" s="249">
        <v>0.02</v>
      </c>
      <c r="G615" s="233" t="s">
        <v>375</v>
      </c>
      <c r="H615" s="174">
        <f>-F615*D615</f>
        <v>-14303.471799999999</v>
      </c>
      <c r="I615" s="308"/>
      <c r="J615" s="172">
        <f>SUM(N595,N602:N603,N609)</f>
        <v>799053.46</v>
      </c>
      <c r="K615" s="233" t="s">
        <v>10</v>
      </c>
      <c r="L615" s="249">
        <v>0.02</v>
      </c>
      <c r="M615" s="233" t="s">
        <v>375</v>
      </c>
      <c r="N615" s="174">
        <f>-L615*J615</f>
        <v>-15981.0692</v>
      </c>
      <c r="O615" s="227"/>
      <c r="Q615" s="227"/>
      <c r="T615" s="264"/>
      <c r="U615" s="184" t="s">
        <v>138</v>
      </c>
      <c r="V615" s="179">
        <v>256</v>
      </c>
      <c r="W615" s="180">
        <v>230</v>
      </c>
      <c r="X615" s="264"/>
      <c r="Y615" s="184" t="s">
        <v>138</v>
      </c>
      <c r="Z615" s="181" t="s">
        <v>417</v>
      </c>
      <c r="AA615" s="264"/>
      <c r="AB615" s="182">
        <f>SUM(AH615:AS615)</f>
        <v>0</v>
      </c>
      <c r="AC615" s="182">
        <f>SUM(AT615:BE615)</f>
        <v>0</v>
      </c>
      <c r="AD615" s="182">
        <f>SUM(BF615:BQ615)</f>
        <v>0</v>
      </c>
      <c r="AE615" s="182">
        <f>SUM(BR615:CC615)</f>
        <v>0</v>
      </c>
      <c r="AF615" s="182">
        <f>SUM(CD615:CO615)</f>
        <v>0</v>
      </c>
      <c r="AH615" s="174">
        <v>0</v>
      </c>
      <c r="AI615" s="174">
        <v>0</v>
      </c>
      <c r="AJ615" s="174">
        <v>0</v>
      </c>
      <c r="AK615" s="174">
        <v>0</v>
      </c>
      <c r="AL615" s="174">
        <v>0</v>
      </c>
      <c r="AM615" s="174">
        <v>0</v>
      </c>
      <c r="AN615" s="174">
        <v>0</v>
      </c>
      <c r="AO615" s="174">
        <v>0</v>
      </c>
      <c r="AP615" s="174">
        <v>0</v>
      </c>
      <c r="AQ615" s="174">
        <v>0</v>
      </c>
      <c r="AR615" s="174">
        <v>0</v>
      </c>
      <c r="AS615" s="174">
        <v>0</v>
      </c>
      <c r="AT615" s="174">
        <v>0</v>
      </c>
      <c r="AU615" s="174">
        <v>0</v>
      </c>
      <c r="AV615" s="174">
        <v>0</v>
      </c>
      <c r="AW615" s="174">
        <v>0</v>
      </c>
      <c r="AX615" s="174">
        <v>0</v>
      </c>
      <c r="AY615" s="174">
        <v>0</v>
      </c>
      <c r="AZ615" s="174">
        <v>0</v>
      </c>
      <c r="BA615" s="174">
        <v>0</v>
      </c>
      <c r="BB615" s="174">
        <v>0</v>
      </c>
      <c r="BC615" s="174">
        <v>0</v>
      </c>
      <c r="BD615" s="174">
        <v>0</v>
      </c>
      <c r="BE615" s="174">
        <v>0</v>
      </c>
      <c r="BF615" s="174">
        <v>0</v>
      </c>
      <c r="BG615" s="174">
        <v>0</v>
      </c>
      <c r="BH615" s="174">
        <v>0</v>
      </c>
      <c r="BI615" s="174">
        <v>0</v>
      </c>
      <c r="BJ615" s="174">
        <v>0</v>
      </c>
      <c r="BK615" s="174">
        <v>0</v>
      </c>
      <c r="BL615" s="174">
        <v>0</v>
      </c>
      <c r="BM615" s="174">
        <v>0</v>
      </c>
      <c r="BN615" s="174">
        <v>0</v>
      </c>
      <c r="BO615" s="174">
        <v>0</v>
      </c>
      <c r="BP615" s="174">
        <v>0</v>
      </c>
      <c r="BQ615" s="174">
        <v>0</v>
      </c>
      <c r="BR615" s="174">
        <v>0</v>
      </c>
      <c r="BS615" s="174">
        <v>0</v>
      </c>
      <c r="BT615" s="174">
        <v>0</v>
      </c>
      <c r="BU615" s="174">
        <v>0</v>
      </c>
      <c r="BV615" s="174">
        <v>0</v>
      </c>
      <c r="BW615" s="174">
        <v>0</v>
      </c>
      <c r="BX615" s="174">
        <v>0</v>
      </c>
      <c r="BY615" s="174">
        <v>0</v>
      </c>
      <c r="BZ615" s="174">
        <v>0</v>
      </c>
      <c r="CA615" s="174">
        <v>0</v>
      </c>
      <c r="CB615" s="174">
        <v>0</v>
      </c>
      <c r="CC615" s="174">
        <v>0</v>
      </c>
      <c r="CD615" s="174">
        <v>0</v>
      </c>
      <c r="CE615" s="174">
        <v>0</v>
      </c>
      <c r="CF615" s="174">
        <v>0</v>
      </c>
      <c r="CG615" s="174">
        <v>0</v>
      </c>
      <c r="CH615" s="174">
        <v>0</v>
      </c>
      <c r="CI615" s="174">
        <v>0</v>
      </c>
      <c r="CJ615" s="174">
        <v>0</v>
      </c>
      <c r="CK615" s="174">
        <v>0</v>
      </c>
      <c r="CL615" s="174">
        <v>0</v>
      </c>
      <c r="CM615" s="174">
        <v>0</v>
      </c>
      <c r="CN615" s="174">
        <v>0</v>
      </c>
      <c r="CO615" s="174">
        <v>0</v>
      </c>
    </row>
    <row r="616" spans="1:93" x14ac:dyDescent="0.2">
      <c r="A616" s="118">
        <f t="shared" si="51"/>
        <v>31</v>
      </c>
      <c r="B616" s="223"/>
      <c r="C616" s="263" t="s">
        <v>121</v>
      </c>
      <c r="E616" s="227"/>
      <c r="F616" s="203"/>
      <c r="G616" s="227"/>
      <c r="H616" s="300">
        <f>SUM(H612:H615)</f>
        <v>251836.73932799988</v>
      </c>
      <c r="I616" s="308"/>
      <c r="K616" s="227"/>
      <c r="L616" s="203"/>
      <c r="M616" s="227"/>
      <c r="N616" s="300">
        <f>SUM(N612:N615)</f>
        <v>262067.70079999996</v>
      </c>
      <c r="O616" s="227"/>
      <c r="Q616" s="176"/>
      <c r="T616" s="264"/>
      <c r="U616" s="184"/>
      <c r="V616" s="179"/>
      <c r="W616" s="180"/>
      <c r="X616" s="264"/>
      <c r="Y616" s="184"/>
      <c r="Z616" s="181"/>
      <c r="AA616" s="264"/>
      <c r="AB616" s="264"/>
      <c r="AD616" s="245"/>
    </row>
    <row r="617" spans="1:93" x14ac:dyDescent="0.2">
      <c r="A617" s="118">
        <f t="shared" si="51"/>
        <v>32</v>
      </c>
      <c r="B617" s="223"/>
      <c r="C617" s="263"/>
      <c r="E617" s="227"/>
      <c r="F617" s="197"/>
      <c r="G617" s="227"/>
      <c r="H617" s="203"/>
      <c r="I617" s="308"/>
      <c r="K617" s="227"/>
      <c r="L617" s="197"/>
      <c r="M617" s="227"/>
      <c r="N617" s="203"/>
      <c r="O617" s="227"/>
      <c r="Q617" s="227"/>
      <c r="U617" s="184"/>
      <c r="V617" s="179"/>
      <c r="W617" s="180"/>
      <c r="Y617" s="184"/>
      <c r="Z617" s="181"/>
    </row>
    <row r="618" spans="1:93" ht="10.8" thickBot="1" x14ac:dyDescent="0.25">
      <c r="A618" s="118">
        <f t="shared" si="51"/>
        <v>33</v>
      </c>
      <c r="B618" s="246" t="s">
        <v>651</v>
      </c>
      <c r="C618" s="227"/>
      <c r="D618" s="227"/>
      <c r="E618" s="227"/>
      <c r="F618" s="197"/>
      <c r="G618" s="227"/>
      <c r="H618" s="330">
        <f>H616+H610+H604+H590</f>
        <v>4774282.5893279994</v>
      </c>
      <c r="I618" s="308"/>
      <c r="J618" s="227"/>
      <c r="K618" s="227"/>
      <c r="L618" s="197"/>
      <c r="M618" s="227"/>
      <c r="N618" s="330">
        <f>N616+N610+N604+N590</f>
        <v>5938628.5907999994</v>
      </c>
      <c r="O618" s="227"/>
      <c r="P618" s="227"/>
      <c r="Q618" s="939">
        <f>(N618-H618)/H618</f>
        <v>0.24387873563971141</v>
      </c>
      <c r="U618" s="184"/>
      <c r="V618" s="179"/>
      <c r="W618" s="180"/>
      <c r="Y618" s="184" t="s">
        <v>138</v>
      </c>
      <c r="Z618" s="181" t="s">
        <v>121</v>
      </c>
    </row>
    <row r="619" spans="1:93" ht="10.8" thickTop="1" x14ac:dyDescent="0.2">
      <c r="A619" s="118">
        <f t="shared" si="51"/>
        <v>34</v>
      </c>
      <c r="B619" s="227"/>
      <c r="C619" s="227"/>
      <c r="D619" s="227"/>
      <c r="E619" s="227"/>
      <c r="F619" s="197"/>
      <c r="G619" s="227"/>
      <c r="H619" s="203"/>
      <c r="I619" s="308"/>
      <c r="J619" s="227"/>
      <c r="K619" s="227"/>
      <c r="L619" s="197"/>
      <c r="M619" s="227"/>
      <c r="N619" s="203"/>
      <c r="O619" s="227"/>
      <c r="P619" s="227"/>
      <c r="Q619" s="227"/>
      <c r="U619" s="178"/>
      <c r="V619" s="179"/>
      <c r="W619" s="180"/>
      <c r="Y619" s="178"/>
      <c r="Z619" s="181"/>
    </row>
    <row r="620" spans="1:93" x14ac:dyDescent="0.2">
      <c r="A620" s="118">
        <f t="shared" si="51"/>
        <v>35</v>
      </c>
      <c r="B620" s="227"/>
      <c r="C620" s="227"/>
      <c r="E620" s="227"/>
      <c r="F620" s="197"/>
      <c r="G620" s="227"/>
      <c r="H620" s="1152"/>
      <c r="I620" s="308"/>
      <c r="J620" s="234" t="s">
        <v>573</v>
      </c>
      <c r="K620" s="225"/>
      <c r="L620" s="197"/>
      <c r="M620" s="223"/>
      <c r="N620" s="174">
        <f>N618-H618</f>
        <v>1164346.001472</v>
      </c>
      <c r="O620" s="227"/>
      <c r="P620" s="928"/>
      <c r="Q620" s="227"/>
      <c r="U620" s="178"/>
      <c r="V620" s="179"/>
      <c r="W620" s="180"/>
      <c r="Y620" s="178"/>
      <c r="Z620" s="181"/>
    </row>
    <row r="621" spans="1:93" x14ac:dyDescent="0.2">
      <c r="A621" s="118">
        <f t="shared" si="51"/>
        <v>36</v>
      </c>
      <c r="B621" s="234"/>
      <c r="C621" s="223"/>
      <c r="D621" s="168"/>
      <c r="E621" s="225"/>
      <c r="F621" s="183"/>
      <c r="G621" s="233"/>
      <c r="H621" s="1153"/>
      <c r="I621" s="308"/>
      <c r="J621" s="168"/>
      <c r="K621" s="225"/>
      <c r="L621" s="183"/>
      <c r="M621" s="233"/>
      <c r="N621" s="174"/>
      <c r="O621" s="227"/>
      <c r="P621" s="227"/>
      <c r="Q621" s="227"/>
      <c r="U621" s="184"/>
      <c r="V621" s="179"/>
      <c r="W621" s="180"/>
      <c r="Y621" s="184"/>
      <c r="Z621" s="181"/>
    </row>
    <row r="622" spans="1:93" x14ac:dyDescent="0.2">
      <c r="A622" s="118">
        <f t="shared" si="51"/>
        <v>37</v>
      </c>
      <c r="B622" s="243"/>
      <c r="C622" s="223"/>
      <c r="D622" s="168"/>
      <c r="E622" s="225"/>
      <c r="F622" s="183"/>
      <c r="G622" s="233"/>
      <c r="H622" s="1152"/>
      <c r="I622" s="308"/>
      <c r="J622" s="171" t="s">
        <v>652</v>
      </c>
      <c r="M622" s="233"/>
      <c r="N622" s="174">
        <f>-ROUND((H618-(H618*(1+'Exhibit MJC-2 - Old E-8a'!V24))),2)</f>
        <v>132296.16</v>
      </c>
      <c r="O622" s="227"/>
      <c r="P622" s="227"/>
      <c r="Q622" s="939">
        <f>N622/H618</f>
        <v>2.7710165354627919E-2</v>
      </c>
      <c r="U622" s="184"/>
      <c r="V622" s="179"/>
      <c r="W622" s="180"/>
      <c r="Y622" s="184"/>
      <c r="Z622" s="181"/>
    </row>
    <row r="623" spans="1:93" x14ac:dyDescent="0.2">
      <c r="A623" s="118">
        <f t="shared" si="51"/>
        <v>38</v>
      </c>
      <c r="B623" s="243"/>
      <c r="C623" s="223"/>
      <c r="D623" s="168"/>
      <c r="E623" s="233"/>
      <c r="F623" s="205"/>
      <c r="G623" s="233"/>
      <c r="H623" s="1153"/>
      <c r="I623" s="308"/>
      <c r="M623" s="233"/>
      <c r="N623" s="174"/>
      <c r="O623" s="227"/>
      <c r="P623" s="227"/>
      <c r="Q623" s="227"/>
      <c r="U623" s="184"/>
      <c r="V623" s="179"/>
      <c r="W623" s="180"/>
      <c r="Y623" s="184"/>
      <c r="Z623" s="181"/>
    </row>
    <row r="624" spans="1:93" x14ac:dyDescent="0.2">
      <c r="A624" s="118">
        <f t="shared" si="51"/>
        <v>39</v>
      </c>
      <c r="B624" s="243"/>
      <c r="C624" s="223"/>
      <c r="D624" s="168"/>
      <c r="E624" s="233"/>
      <c r="F624" s="205"/>
      <c r="G624" s="233"/>
      <c r="H624" s="1153"/>
      <c r="I624" s="308"/>
      <c r="J624" s="171" t="s">
        <v>575</v>
      </c>
      <c r="N624" s="214">
        <f>N620-N622</f>
        <v>1032049.841472</v>
      </c>
      <c r="O624" s="227"/>
      <c r="P624" s="227"/>
      <c r="Q624" s="227"/>
      <c r="U624" s="184"/>
      <c r="V624" s="179"/>
      <c r="W624" s="180"/>
      <c r="Y624" s="184"/>
      <c r="Z624" s="181"/>
    </row>
    <row r="625" spans="1:93" x14ac:dyDescent="0.2">
      <c r="A625" s="118">
        <f t="shared" si="51"/>
        <v>40</v>
      </c>
      <c r="B625" s="243"/>
      <c r="C625" s="223"/>
      <c r="D625" s="168"/>
      <c r="E625" s="233"/>
      <c r="F625" s="205"/>
      <c r="G625" s="233"/>
      <c r="H625" s="1150"/>
      <c r="I625" s="308"/>
      <c r="O625" s="227"/>
      <c r="P625" s="227"/>
      <c r="Q625" s="227"/>
      <c r="U625" s="184"/>
      <c r="V625" s="179"/>
      <c r="W625" s="180"/>
      <c r="Y625" s="184"/>
      <c r="Z625" s="181"/>
    </row>
    <row r="626" spans="1:93" x14ac:dyDescent="0.2">
      <c r="A626" s="118">
        <f t="shared" si="51"/>
        <v>41</v>
      </c>
      <c r="B626" s="243"/>
      <c r="C626" s="223"/>
      <c r="D626" s="168"/>
      <c r="E626" s="233"/>
      <c r="F626" s="205"/>
      <c r="G626" s="233"/>
      <c r="H626" s="174"/>
      <c r="I626" s="308"/>
      <c r="N626" s="732">
        <f>N624/N622</f>
        <v>7.8010566706698059</v>
      </c>
      <c r="O626" s="227"/>
      <c r="P626" s="227"/>
      <c r="Q626" s="227"/>
      <c r="U626" s="184"/>
      <c r="V626" s="179"/>
      <c r="W626" s="180"/>
      <c r="Y626" s="184"/>
      <c r="Z626" s="181"/>
    </row>
    <row r="627" spans="1:93" x14ac:dyDescent="0.2">
      <c r="A627" s="118">
        <f t="shared" si="51"/>
        <v>42</v>
      </c>
      <c r="B627" s="243"/>
      <c r="C627" s="223"/>
      <c r="D627" s="168"/>
      <c r="E627" s="233"/>
      <c r="F627" s="205"/>
      <c r="G627" s="233"/>
      <c r="H627" s="174"/>
      <c r="I627" s="308"/>
      <c r="J627" s="168"/>
      <c r="K627" s="233"/>
      <c r="L627" s="205"/>
      <c r="M627" s="233"/>
      <c r="N627" s="174"/>
      <c r="O627" s="227"/>
      <c r="P627" s="227"/>
      <c r="Q627" s="227"/>
      <c r="U627" s="184"/>
      <c r="V627" s="179"/>
      <c r="W627" s="180"/>
      <c r="Y627" s="184"/>
      <c r="Z627" s="181"/>
    </row>
    <row r="628" spans="1:93" x14ac:dyDescent="0.2">
      <c r="A628" s="118">
        <f t="shared" si="51"/>
        <v>43</v>
      </c>
      <c r="B628" s="243"/>
      <c r="C628" s="223"/>
      <c r="D628" s="168"/>
      <c r="E628" s="233"/>
      <c r="F628" s="205"/>
      <c r="G628" s="233"/>
      <c r="H628" s="174"/>
      <c r="I628" s="308"/>
      <c r="J628" s="168"/>
      <c r="K628" s="233"/>
      <c r="L628" s="205"/>
      <c r="M628" s="233"/>
      <c r="N628" s="174"/>
      <c r="O628" s="227"/>
      <c r="P628" s="227"/>
      <c r="Q628" s="227"/>
      <c r="U628" s="184"/>
      <c r="V628" s="179"/>
      <c r="W628" s="180"/>
      <c r="Y628" s="184"/>
      <c r="Z628" s="181"/>
    </row>
    <row r="629" spans="1:93" x14ac:dyDescent="0.2">
      <c r="A629" s="118">
        <f t="shared" si="51"/>
        <v>44</v>
      </c>
      <c r="B629" s="243"/>
      <c r="C629" s="223"/>
      <c r="D629" s="168"/>
      <c r="E629" s="233"/>
      <c r="F629" s="205"/>
      <c r="G629" s="233"/>
      <c r="H629" s="174"/>
      <c r="I629" s="308"/>
      <c r="J629" s="168"/>
      <c r="K629" s="233"/>
      <c r="L629" s="205"/>
      <c r="M629" s="233"/>
      <c r="N629" s="174"/>
      <c r="O629" s="227"/>
      <c r="P629" s="227"/>
      <c r="Q629" s="227"/>
      <c r="U629" s="184"/>
      <c r="V629" s="179"/>
      <c r="W629" s="180"/>
      <c r="Y629" s="184"/>
      <c r="Z629" s="181"/>
    </row>
    <row r="630" spans="1:93" x14ac:dyDescent="0.2">
      <c r="A630" s="118">
        <f t="shared" si="51"/>
        <v>45</v>
      </c>
      <c r="B630" s="243"/>
      <c r="C630" s="223"/>
      <c r="D630" s="168"/>
      <c r="E630" s="233"/>
      <c r="F630" s="205"/>
      <c r="G630" s="233"/>
      <c r="H630" s="174"/>
      <c r="I630" s="308"/>
      <c r="J630" s="168"/>
      <c r="K630" s="233"/>
      <c r="L630" s="205"/>
      <c r="M630" s="233"/>
      <c r="N630" s="174"/>
      <c r="O630" s="227"/>
      <c r="P630" s="227"/>
      <c r="Q630" s="227"/>
      <c r="U630" s="184"/>
      <c r="V630" s="179"/>
      <c r="W630" s="180"/>
      <c r="Y630" s="184"/>
      <c r="Z630" s="181"/>
    </row>
    <row r="631" spans="1:93" x14ac:dyDescent="0.2">
      <c r="A631" s="215"/>
      <c r="B631" s="215" t="s">
        <v>98</v>
      </c>
      <c r="C631" s="215"/>
      <c r="D631" s="215"/>
      <c r="E631" s="215"/>
      <c r="F631" s="299"/>
      <c r="G631" s="215"/>
      <c r="H631" s="300"/>
      <c r="I631" s="215"/>
      <c r="J631" s="215"/>
      <c r="K631" s="215"/>
      <c r="L631" s="299"/>
      <c r="M631" s="215"/>
      <c r="N631" s="300" t="s">
        <v>99</v>
      </c>
      <c r="O631" s="215"/>
      <c r="P631" s="215"/>
      <c r="Q631" s="215"/>
      <c r="Y631" s="101"/>
    </row>
    <row r="632" spans="1:93" x14ac:dyDescent="0.2">
      <c r="A632" s="216"/>
      <c r="B632" s="216"/>
      <c r="C632" s="216"/>
      <c r="D632" s="216"/>
      <c r="E632" s="216"/>
      <c r="F632" s="216"/>
      <c r="G632" s="216"/>
      <c r="H632" s="216"/>
      <c r="I632" s="216"/>
      <c r="J632" s="216"/>
      <c r="K632" s="216"/>
      <c r="L632" s="216"/>
      <c r="M632" s="216"/>
      <c r="N632" s="216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7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  <c r="AO632" s="216"/>
      <c r="AP632" s="216"/>
      <c r="AQ632" s="216"/>
      <c r="AR632" s="216"/>
      <c r="AS632" s="216"/>
      <c r="AT632" s="216"/>
      <c r="AU632" s="216"/>
      <c r="AV632" s="216"/>
      <c r="AW632" s="216"/>
      <c r="AX632" s="216"/>
      <c r="AY632" s="216"/>
      <c r="AZ632" s="216"/>
      <c r="BA632" s="216"/>
      <c r="BB632" s="216"/>
      <c r="BC632" s="216"/>
      <c r="BD632" s="216"/>
      <c r="BE632" s="216"/>
      <c r="BF632" s="216"/>
      <c r="BG632" s="216"/>
      <c r="BH632" s="216"/>
      <c r="BI632" s="216"/>
      <c r="BJ632" s="216"/>
      <c r="BK632" s="216"/>
      <c r="BL632" s="216"/>
      <c r="BM632" s="216"/>
      <c r="BN632" s="216"/>
      <c r="BO632" s="216"/>
      <c r="BP632" s="216"/>
      <c r="BQ632" s="216"/>
      <c r="BR632" s="216"/>
      <c r="BS632" s="216"/>
      <c r="BT632" s="216"/>
      <c r="BU632" s="216"/>
      <c r="BV632" s="216"/>
      <c r="BW632" s="216"/>
      <c r="BX632" s="216"/>
      <c r="BY632" s="216"/>
      <c r="BZ632" s="216"/>
      <c r="CA632" s="216"/>
      <c r="CB632" s="216"/>
      <c r="CC632" s="216"/>
      <c r="CD632" s="216"/>
      <c r="CE632" s="216"/>
      <c r="CF632" s="216"/>
      <c r="CG632" s="216"/>
      <c r="CH632" s="216"/>
      <c r="CI632" s="216"/>
      <c r="CJ632" s="216"/>
      <c r="CK632" s="216"/>
      <c r="CL632" s="216"/>
      <c r="CM632" s="216"/>
      <c r="CN632" s="216"/>
      <c r="CO632" s="216"/>
    </row>
    <row r="633" spans="1:93" x14ac:dyDescent="0.2">
      <c r="A633" s="100" t="s">
        <v>505</v>
      </c>
      <c r="C633" s="102"/>
      <c r="D633" s="103"/>
      <c r="F633" s="268"/>
      <c r="G633" s="104"/>
      <c r="H633" s="269" t="s">
        <v>506</v>
      </c>
      <c r="I633" s="104"/>
      <c r="J633" s="104"/>
      <c r="K633" s="104"/>
      <c r="L633" s="268"/>
      <c r="N633" s="270"/>
      <c r="Q633" s="106" t="s">
        <v>653</v>
      </c>
      <c r="R633" s="105"/>
      <c r="S633" s="105"/>
      <c r="U633" s="114"/>
      <c r="V633" s="114"/>
      <c r="W633" s="114"/>
      <c r="Y633" s="114"/>
      <c r="Z633" s="218"/>
      <c r="AC633" s="114"/>
    </row>
    <row r="634" spans="1:93" ht="10.8" thickBot="1" x14ac:dyDescent="0.25">
      <c r="A634" s="108"/>
      <c r="B634" s="109"/>
      <c r="C634" s="109"/>
      <c r="D634" s="109"/>
      <c r="E634" s="110" t="s">
        <v>416</v>
      </c>
      <c r="F634" s="271" t="s">
        <v>416</v>
      </c>
      <c r="G634" s="109" t="s">
        <v>416</v>
      </c>
      <c r="H634" s="272" t="s">
        <v>416</v>
      </c>
      <c r="I634" s="109" t="s">
        <v>416</v>
      </c>
      <c r="J634" s="109"/>
      <c r="K634" s="109"/>
      <c r="L634" s="271" t="s">
        <v>416</v>
      </c>
      <c r="M634" s="111"/>
      <c r="N634" s="273"/>
      <c r="O634" s="109"/>
      <c r="P634" s="112"/>
      <c r="Q634" s="109"/>
      <c r="U634" s="114"/>
      <c r="V634" s="114"/>
      <c r="W634" s="114"/>
      <c r="Y634" s="114"/>
      <c r="Z634" s="218"/>
      <c r="AC634" s="114"/>
    </row>
    <row r="635" spans="1:93" x14ac:dyDescent="0.2">
      <c r="A635" s="113"/>
      <c r="F635" s="197"/>
      <c r="H635" s="203"/>
      <c r="L635" s="197"/>
      <c r="M635" s="105"/>
      <c r="N635" s="270"/>
      <c r="P635" s="114"/>
      <c r="U635" s="114"/>
      <c r="V635" s="114"/>
      <c r="W635" s="114"/>
      <c r="Y635" s="114"/>
      <c r="Z635" s="218"/>
      <c r="AC635" s="114"/>
    </row>
    <row r="636" spans="1:93" x14ac:dyDescent="0.2">
      <c r="A636" s="100" t="s">
        <v>3</v>
      </c>
      <c r="D636" s="106" t="s">
        <v>4</v>
      </c>
      <c r="E636" s="101" t="s">
        <v>508</v>
      </c>
      <c r="F636" s="197"/>
      <c r="H636" s="203"/>
      <c r="L636" s="197"/>
      <c r="N636" s="203"/>
      <c r="O636" s="100" t="s">
        <v>6</v>
      </c>
      <c r="U636" s="114"/>
      <c r="V636" s="114"/>
      <c r="W636" s="114"/>
      <c r="Y636" s="114"/>
      <c r="Z636" s="218"/>
      <c r="AC636" s="114"/>
    </row>
    <row r="637" spans="1:93" x14ac:dyDescent="0.2">
      <c r="E637" s="101" t="s">
        <v>509</v>
      </c>
      <c r="F637" s="197"/>
      <c r="H637" s="203"/>
      <c r="L637" s="197"/>
      <c r="N637" s="203"/>
      <c r="U637" s="114"/>
      <c r="V637" s="114"/>
      <c r="W637" s="114"/>
      <c r="Y637" s="114"/>
      <c r="Z637" s="218"/>
      <c r="AC637" s="114"/>
    </row>
    <row r="638" spans="1:93" x14ac:dyDescent="0.2">
      <c r="A638" s="100" t="s">
        <v>9</v>
      </c>
      <c r="E638" s="101" t="s">
        <v>510</v>
      </c>
      <c r="F638" s="197"/>
      <c r="H638" s="203"/>
      <c r="L638" s="197"/>
      <c r="N638" s="203"/>
      <c r="O638" s="107" t="str">
        <f>O577</f>
        <v>__X__  Projected Test Year Ended 12/31/26</v>
      </c>
      <c r="U638" s="114"/>
      <c r="V638" s="114"/>
      <c r="W638" s="114"/>
      <c r="Y638" s="114"/>
      <c r="Z638" s="218"/>
      <c r="AC638" s="114"/>
    </row>
    <row r="639" spans="1:93" x14ac:dyDescent="0.2">
      <c r="E639" s="101" t="s">
        <v>512</v>
      </c>
      <c r="F639" s="197"/>
      <c r="H639" s="203"/>
      <c r="L639" s="197"/>
      <c r="N639" s="203"/>
      <c r="U639" s="114"/>
      <c r="V639" s="114"/>
      <c r="W639" s="114"/>
      <c r="Y639" s="114"/>
      <c r="Z639" s="218"/>
      <c r="AC639" s="114"/>
    </row>
    <row r="640" spans="1:93" x14ac:dyDescent="0.2">
      <c r="A640" s="100" t="s">
        <v>491</v>
      </c>
      <c r="C640" s="119" t="s">
        <v>605</v>
      </c>
      <c r="F640" s="197"/>
      <c r="H640" s="203"/>
      <c r="L640" s="197"/>
      <c r="N640" s="203"/>
      <c r="O640" s="100" t="s">
        <v>493</v>
      </c>
      <c r="U640" s="114"/>
      <c r="V640" s="114"/>
      <c r="W640" s="114"/>
      <c r="Y640" s="114"/>
      <c r="Z640" s="218"/>
      <c r="AC640" s="114"/>
    </row>
    <row r="641" spans="1:93" ht="10.8" thickBot="1" x14ac:dyDescent="0.25">
      <c r="A641" s="123"/>
      <c r="B641" s="109"/>
      <c r="C641" s="109"/>
      <c r="D641" s="109"/>
      <c r="E641" s="109"/>
      <c r="F641" s="274"/>
      <c r="G641" s="109"/>
      <c r="H641" s="272"/>
      <c r="I641" s="109"/>
      <c r="J641" s="109"/>
      <c r="K641" s="109"/>
      <c r="L641" s="274"/>
      <c r="M641" s="109"/>
      <c r="N641" s="275"/>
      <c r="O641" s="109"/>
      <c r="P641" s="109"/>
      <c r="Q641" s="109"/>
      <c r="U641" s="114"/>
      <c r="V641" s="114"/>
      <c r="W641" s="114"/>
      <c r="Y641" s="114"/>
      <c r="Z641" s="218"/>
      <c r="AC641" s="114"/>
    </row>
    <row r="642" spans="1:93" ht="15.6" x14ac:dyDescent="0.2">
      <c r="B642" s="124"/>
      <c r="C642" s="125"/>
      <c r="D642" s="125"/>
      <c r="E642" s="125"/>
      <c r="F642" s="276"/>
      <c r="G642" s="125"/>
      <c r="H642" s="277"/>
      <c r="I642" s="126" t="s">
        <v>654</v>
      </c>
      <c r="J642" s="125"/>
      <c r="K642" s="125"/>
      <c r="L642" s="276"/>
      <c r="M642" s="125"/>
      <c r="N642" s="277"/>
      <c r="U642" s="127" t="s">
        <v>530</v>
      </c>
      <c r="V642" s="128"/>
      <c r="W642" s="129"/>
      <c r="Y642" s="130" t="s">
        <v>531</v>
      </c>
      <c r="Z642" s="131"/>
    </row>
    <row r="643" spans="1:93" x14ac:dyDescent="0.2">
      <c r="A643" s="101" t="s">
        <v>30</v>
      </c>
      <c r="B643" s="101" t="s">
        <v>532</v>
      </c>
      <c r="C643" s="132"/>
      <c r="D643" s="133" t="s">
        <v>533</v>
      </c>
      <c r="E643" s="134"/>
      <c r="F643" s="278"/>
      <c r="G643" s="133"/>
      <c r="H643" s="279"/>
      <c r="I643" s="135"/>
      <c r="J643" s="136" t="s">
        <v>534</v>
      </c>
      <c r="K643" s="133"/>
      <c r="L643" s="278"/>
      <c r="M643" s="134"/>
      <c r="N643" s="280"/>
      <c r="O643" s="137"/>
      <c r="Q643" s="118" t="s">
        <v>332</v>
      </c>
      <c r="U643" s="138"/>
      <c r="V643" s="139"/>
      <c r="W643" s="140"/>
      <c r="Y643" s="138"/>
      <c r="Z643" s="141"/>
    </row>
    <row r="644" spans="1:93" x14ac:dyDescent="0.2">
      <c r="A644" s="101" t="s">
        <v>39</v>
      </c>
      <c r="B644" s="102" t="s">
        <v>535</v>
      </c>
      <c r="C644" s="104"/>
      <c r="D644" s="142" t="s">
        <v>536</v>
      </c>
      <c r="E644" s="143"/>
      <c r="F644" s="281" t="s">
        <v>537</v>
      </c>
      <c r="G644" s="142"/>
      <c r="H644" s="282" t="s">
        <v>538</v>
      </c>
      <c r="I644" s="144"/>
      <c r="J644" s="142" t="s">
        <v>536</v>
      </c>
      <c r="K644" s="143"/>
      <c r="L644" s="281" t="s">
        <v>537</v>
      </c>
      <c r="M644" s="142"/>
      <c r="N644" s="282" t="s">
        <v>538</v>
      </c>
      <c r="O644" s="132"/>
      <c r="Q644" s="145" t="s">
        <v>539</v>
      </c>
      <c r="R644" s="132"/>
      <c r="S644" s="132"/>
      <c r="U644" s="138" t="s">
        <v>128</v>
      </c>
      <c r="V644" s="146" t="s">
        <v>343</v>
      </c>
      <c r="W644" s="147" t="s">
        <v>344</v>
      </c>
      <c r="Y644" s="148" t="s">
        <v>128</v>
      </c>
      <c r="Z644" s="149"/>
      <c r="AH644" s="116"/>
      <c r="AI644" s="116"/>
      <c r="AJ644" s="116"/>
      <c r="AK644" s="116"/>
      <c r="AL644" s="116"/>
      <c r="AM644" s="116"/>
      <c r="AN644" s="116"/>
      <c r="AO644" s="116"/>
      <c r="AP644" s="116"/>
      <c r="AQ644" s="116"/>
      <c r="AR644" s="116"/>
      <c r="AS644" s="116"/>
      <c r="AT644" s="116"/>
      <c r="AU644" s="116"/>
      <c r="AV644" s="116"/>
      <c r="AW644" s="116"/>
      <c r="AX644" s="116"/>
      <c r="AY644" s="116"/>
      <c r="AZ644" s="116"/>
      <c r="BA644" s="116"/>
      <c r="BB644" s="116"/>
      <c r="BC644" s="116"/>
      <c r="BD644" s="116"/>
      <c r="BE644" s="116"/>
      <c r="BF644" s="116"/>
      <c r="BG644" s="116"/>
      <c r="BH644" s="116"/>
      <c r="BI644" s="116"/>
      <c r="BJ644" s="116"/>
      <c r="BK644" s="116"/>
      <c r="BL644" s="116"/>
      <c r="BM644" s="116"/>
      <c r="BN644" s="116"/>
      <c r="BO644" s="116"/>
      <c r="BP644" s="116"/>
      <c r="BQ644" s="116"/>
      <c r="BR644" s="116"/>
      <c r="BS644" s="116"/>
      <c r="BT644" s="116"/>
      <c r="BU644" s="116"/>
      <c r="BV644" s="116"/>
      <c r="BW644" s="116"/>
      <c r="BX644" s="116"/>
      <c r="BY644" s="116"/>
      <c r="BZ644" s="116"/>
      <c r="CA644" s="116"/>
      <c r="CB644" s="116"/>
      <c r="CC644" s="116"/>
      <c r="CD644" s="116"/>
      <c r="CE644" s="116"/>
      <c r="CF644" s="116"/>
      <c r="CG644" s="116"/>
      <c r="CH644" s="116"/>
      <c r="CI644" s="116"/>
      <c r="CJ644" s="116"/>
      <c r="CK644" s="116"/>
      <c r="CL644" s="116"/>
      <c r="CM644" s="116"/>
      <c r="CN644" s="116"/>
      <c r="CO644" s="116"/>
    </row>
    <row r="645" spans="1:93" ht="10.8" thickBot="1" x14ac:dyDescent="0.25">
      <c r="A645" s="109"/>
      <c r="B645" s="110" t="s">
        <v>140</v>
      </c>
      <c r="C645" s="150"/>
      <c r="D645" s="220" t="str">
        <f>+$D$13</f>
        <v>Jan '26-Dec '26</v>
      </c>
      <c r="E645" s="221"/>
      <c r="F645" s="152">
        <f>+$L$13</f>
        <v>46023</v>
      </c>
      <c r="G645" s="153"/>
      <c r="H645" s="153"/>
      <c r="I645" s="153"/>
      <c r="J645" s="153"/>
      <c r="K645" s="151"/>
      <c r="L645" s="152">
        <f>+$L$13</f>
        <v>46023</v>
      </c>
      <c r="M645" s="154"/>
      <c r="N645" s="283"/>
      <c r="O645" s="155"/>
      <c r="P645" s="109"/>
      <c r="Q645" s="156"/>
      <c r="R645" s="132"/>
      <c r="S645" s="132"/>
      <c r="U645" s="157" t="s">
        <v>144</v>
      </c>
      <c r="V645" s="158" t="s">
        <v>540</v>
      </c>
      <c r="W645" s="159" t="s">
        <v>540</v>
      </c>
      <c r="Y645" s="160" t="s">
        <v>144</v>
      </c>
      <c r="Z645" s="159" t="s">
        <v>541</v>
      </c>
      <c r="AH645" s="116"/>
      <c r="AI645" s="116"/>
      <c r="AJ645" s="116"/>
      <c r="AK645" s="116"/>
      <c r="AL645" s="116"/>
      <c r="AM645" s="116"/>
      <c r="AN645" s="116"/>
      <c r="AO645" s="116"/>
      <c r="AP645" s="116"/>
      <c r="AQ645" s="116"/>
      <c r="AR645" s="116"/>
      <c r="AS645" s="116"/>
      <c r="AT645" s="116"/>
      <c r="AU645" s="116"/>
      <c r="AV645" s="116"/>
      <c r="AW645" s="116"/>
      <c r="AX645" s="116"/>
      <c r="AY645" s="116"/>
      <c r="AZ645" s="116"/>
      <c r="BA645" s="116"/>
      <c r="BB645" s="116"/>
      <c r="BC645" s="116"/>
      <c r="BD645" s="116"/>
      <c r="BE645" s="116"/>
      <c r="BF645" s="116"/>
      <c r="BG645" s="116"/>
      <c r="BH645" s="116"/>
      <c r="BI645" s="116"/>
      <c r="BJ645" s="116"/>
      <c r="BK645" s="116"/>
      <c r="BL645" s="116"/>
      <c r="BM645" s="116"/>
      <c r="BN645" s="116"/>
      <c r="BO645" s="116"/>
      <c r="BP645" s="116"/>
      <c r="BQ645" s="116"/>
      <c r="BR645" s="116"/>
      <c r="BS645" s="116"/>
      <c r="BT645" s="116"/>
      <c r="BU645" s="116"/>
      <c r="BV645" s="116"/>
      <c r="BW645" s="116"/>
      <c r="BX645" s="116"/>
      <c r="BY645" s="116"/>
      <c r="BZ645" s="116"/>
      <c r="CA645" s="116"/>
      <c r="CB645" s="116"/>
      <c r="CC645" s="116"/>
      <c r="CD645" s="116"/>
      <c r="CE645" s="116"/>
      <c r="CF645" s="116"/>
      <c r="CG645" s="116"/>
      <c r="CH645" s="116"/>
      <c r="CI645" s="116"/>
      <c r="CJ645" s="116"/>
      <c r="CK645" s="116"/>
      <c r="CL645" s="116"/>
      <c r="CM645" s="116"/>
      <c r="CN645" s="116"/>
      <c r="CO645" s="116"/>
    </row>
    <row r="646" spans="1:93" x14ac:dyDescent="0.2">
      <c r="A646" s="118">
        <v>1</v>
      </c>
      <c r="F646" s="197"/>
      <c r="H646" s="203"/>
      <c r="I646" s="308"/>
      <c r="L646" s="197"/>
      <c r="N646" s="203"/>
      <c r="O646" s="227"/>
      <c r="P646" s="227"/>
      <c r="Q646" s="230"/>
      <c r="R646" s="132"/>
      <c r="S646" s="132"/>
      <c r="U646" s="163"/>
      <c r="V646" s="139"/>
      <c r="W646" s="140"/>
      <c r="Y646" s="163"/>
      <c r="Z646" s="141"/>
      <c r="AH646" s="116"/>
      <c r="AI646" s="116"/>
      <c r="AJ646" s="116"/>
      <c r="AK646" s="116"/>
      <c r="AL646" s="116"/>
      <c r="AM646" s="116"/>
      <c r="AN646" s="116"/>
      <c r="AO646" s="116"/>
      <c r="AP646" s="116"/>
      <c r="AQ646" s="116"/>
      <c r="AR646" s="116"/>
      <c r="AS646" s="116"/>
      <c r="AT646" s="116"/>
      <c r="AU646" s="116"/>
      <c r="AV646" s="116"/>
      <c r="AW646" s="116"/>
      <c r="AX646" s="116"/>
      <c r="AY646" s="116"/>
      <c r="AZ646" s="116"/>
      <c r="BA646" s="116"/>
      <c r="BB646" s="116"/>
      <c r="BC646" s="116"/>
      <c r="BD646" s="116"/>
      <c r="BE646" s="116"/>
      <c r="BF646" s="116"/>
      <c r="BG646" s="116"/>
      <c r="BH646" s="116"/>
      <c r="BI646" s="116"/>
      <c r="BJ646" s="116"/>
      <c r="BK646" s="116"/>
      <c r="BL646" s="116"/>
      <c r="BM646" s="116"/>
      <c r="BN646" s="116"/>
      <c r="BO646" s="116"/>
      <c r="BP646" s="116"/>
      <c r="BQ646" s="116"/>
      <c r="BR646" s="116"/>
      <c r="BS646" s="116"/>
      <c r="BT646" s="116"/>
      <c r="BU646" s="116"/>
      <c r="BV646" s="116"/>
      <c r="BW646" s="116"/>
      <c r="BX646" s="116"/>
      <c r="BY646" s="116"/>
      <c r="BZ646" s="116"/>
      <c r="CA646" s="116"/>
      <c r="CB646" s="116"/>
      <c r="CC646" s="116"/>
      <c r="CD646" s="116"/>
      <c r="CE646" s="116"/>
      <c r="CF646" s="116"/>
      <c r="CG646" s="116"/>
      <c r="CH646" s="116"/>
      <c r="CI646" s="116"/>
      <c r="CJ646" s="116"/>
      <c r="CK646" s="116"/>
      <c r="CL646" s="116"/>
      <c r="CM646" s="116"/>
      <c r="CN646" s="116"/>
      <c r="CO646" s="116"/>
    </row>
    <row r="647" spans="1:93" x14ac:dyDescent="0.2">
      <c r="A647" s="118">
        <f t="shared" ref="A647:A688" si="54">+A646+1</f>
        <v>2</v>
      </c>
      <c r="B647" s="222" t="s">
        <v>542</v>
      </c>
      <c r="C647" s="225"/>
      <c r="D647" s="226"/>
      <c r="E647" s="225"/>
      <c r="F647" s="284"/>
      <c r="G647" s="227"/>
      <c r="H647" s="285"/>
      <c r="I647" s="308"/>
      <c r="J647" s="226"/>
      <c r="K647" s="225"/>
      <c r="L647" s="857">
        <v>0</v>
      </c>
      <c r="M647" s="227"/>
      <c r="N647" s="285"/>
      <c r="O647" s="227"/>
      <c r="P647" s="227"/>
      <c r="Q647" s="227"/>
      <c r="R647" s="227"/>
      <c r="S647" s="227"/>
      <c r="T647" s="227"/>
      <c r="U647" s="163"/>
      <c r="V647" s="139"/>
      <c r="W647" s="140"/>
      <c r="X647" s="227"/>
      <c r="Y647" s="163"/>
      <c r="Z647" s="141"/>
      <c r="AA647" s="227"/>
      <c r="AH647" s="116"/>
      <c r="AI647" s="116"/>
      <c r="AJ647" s="116"/>
      <c r="AK647" s="116"/>
      <c r="AL647" s="116"/>
      <c r="AM647" s="116"/>
      <c r="AN647" s="116"/>
      <c r="AO647" s="116"/>
      <c r="AP647" s="116"/>
      <c r="AQ647" s="116"/>
      <c r="AR647" s="116"/>
      <c r="AS647" s="116"/>
      <c r="AT647" s="116"/>
      <c r="AU647" s="116"/>
      <c r="AV647" s="116"/>
      <c r="AW647" s="116"/>
      <c r="AX647" s="116"/>
      <c r="AY647" s="116"/>
      <c r="AZ647" s="116"/>
      <c r="BA647" s="116"/>
      <c r="BB647" s="116"/>
      <c r="BC647" s="116"/>
      <c r="BD647" s="116"/>
      <c r="BE647" s="116"/>
      <c r="BF647" s="116"/>
      <c r="BG647" s="116"/>
      <c r="BH647" s="116"/>
      <c r="BI647" s="116"/>
      <c r="BJ647" s="116"/>
      <c r="BK647" s="116"/>
      <c r="BL647" s="116"/>
      <c r="BM647" s="116"/>
      <c r="BN647" s="116"/>
      <c r="BO647" s="116"/>
      <c r="BP647" s="116"/>
      <c r="BQ647" s="116"/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</row>
    <row r="648" spans="1:93" x14ac:dyDescent="0.2">
      <c r="A648" s="118">
        <f t="shared" si="54"/>
        <v>3</v>
      </c>
      <c r="B648" s="234" t="s">
        <v>148</v>
      </c>
      <c r="C648" s="225"/>
      <c r="D648" s="172">
        <f>SUMIF($AH$6:$CP$6,1,$AH648:$CP648)</f>
        <v>21.138365549049947</v>
      </c>
      <c r="E648" s="233" t="s">
        <v>545</v>
      </c>
      <c r="F648" s="173">
        <f>'Exhibit MJC-3 - E-13c cal yr'!F650</f>
        <v>665.44</v>
      </c>
      <c r="G648" s="233" t="s">
        <v>375</v>
      </c>
      <c r="H648" s="174">
        <f>ROUND(D648*F648,2)</f>
        <v>14066.31</v>
      </c>
      <c r="I648" s="308"/>
      <c r="J648" s="172">
        <f>SUMIF($AH$6:$CP$6,1,$AH648:$CP648)</f>
        <v>21.138365549049947</v>
      </c>
      <c r="K648" s="233" t="s">
        <v>545</v>
      </c>
      <c r="L648" s="183">
        <f>ROUND(F648*(1+'Exhibit MJC-2 - Old E-8a'!V27)+L647,2)</f>
        <v>692.41</v>
      </c>
      <c r="M648" s="233" t="s">
        <v>375</v>
      </c>
      <c r="N648" s="174">
        <f>ROUND(J648*L648,2)</f>
        <v>14636.42</v>
      </c>
      <c r="O648" s="227"/>
      <c r="P648" s="262"/>
      <c r="Q648" s="939"/>
      <c r="R648" s="227"/>
      <c r="S648" s="227"/>
      <c r="T648" s="227"/>
      <c r="U648" s="184" t="s">
        <v>140</v>
      </c>
      <c r="V648" s="179">
        <v>257</v>
      </c>
      <c r="W648" s="180">
        <v>231</v>
      </c>
      <c r="X648" s="227"/>
      <c r="Y648" s="184"/>
      <c r="Z648" s="181"/>
      <c r="AA648" s="227"/>
      <c r="AB648" s="182">
        <f>SUM(AH648:AS648)</f>
        <v>21.614491421088225</v>
      </c>
      <c r="AC648" s="182">
        <f>SUM(AT648:BE648)</f>
        <v>21.543771166469419</v>
      </c>
      <c r="AD648" s="182">
        <f>SUM(BF648:BQ648)</f>
        <v>21.287282548950024</v>
      </c>
      <c r="AE648" s="182">
        <f>SUM(BR648:CC648)</f>
        <v>21.138365549049947</v>
      </c>
      <c r="AF648" s="182">
        <f>SUM(CD648:CO648)</f>
        <v>21.149842857734786</v>
      </c>
      <c r="AH648" s="168">
        <v>3.2640286161412924</v>
      </c>
      <c r="AI648" s="168">
        <v>1.1599502527490877</v>
      </c>
      <c r="AJ648" s="168">
        <v>1.1431830251674604</v>
      </c>
      <c r="AK648" s="168">
        <v>1.8165774897600169</v>
      </c>
      <c r="AL648" s="168">
        <v>1.718769152440446</v>
      </c>
      <c r="AM648" s="168">
        <v>1.8263725146794578</v>
      </c>
      <c r="AN648" s="168">
        <v>1.9191263261319378</v>
      </c>
      <c r="AO648" s="168">
        <v>1.8206991403956994</v>
      </c>
      <c r="AP648" s="168">
        <v>1.8659031003607569</v>
      </c>
      <c r="AQ648" s="168">
        <v>1.8421811694976649</v>
      </c>
      <c r="AR648" s="168">
        <v>1.9871536267508132</v>
      </c>
      <c r="AS648" s="168">
        <v>1.2505470070135902</v>
      </c>
      <c r="AT648" s="168">
        <v>3.2228505879036176</v>
      </c>
      <c r="AU648" s="168">
        <v>1.1673399174863106</v>
      </c>
      <c r="AV648" s="168">
        <v>1.147150117155582</v>
      </c>
      <c r="AW648" s="168">
        <v>1.8160827436429183</v>
      </c>
      <c r="AX648" s="168">
        <v>1.7120650354986462</v>
      </c>
      <c r="AY648" s="168">
        <v>1.8271576265162941</v>
      </c>
      <c r="AZ648" s="168">
        <v>1.9169980885242244</v>
      </c>
      <c r="BA648" s="168">
        <v>1.8166699171121332</v>
      </c>
      <c r="BB648" s="168">
        <v>1.8592524953695253</v>
      </c>
      <c r="BC648" s="168">
        <v>1.8335246148916431</v>
      </c>
      <c r="BD648" s="168">
        <v>1.975409285145183</v>
      </c>
      <c r="BE648" s="168">
        <v>1.2492707372233416</v>
      </c>
      <c r="BF648" s="168">
        <v>3.1678844822759133</v>
      </c>
      <c r="BG648" s="168">
        <v>1.1471482181823451</v>
      </c>
      <c r="BH648" s="168">
        <v>1.1267306419613285</v>
      </c>
      <c r="BI648" s="168">
        <v>1.7825395030275808</v>
      </c>
      <c r="BJ648" s="168">
        <v>1.6794668040971019</v>
      </c>
      <c r="BK648" s="168">
        <v>1.8133198345370389</v>
      </c>
      <c r="BL648" s="168">
        <v>1.9018038424692301</v>
      </c>
      <c r="BM648" s="168">
        <v>1.8023536545889345</v>
      </c>
      <c r="BN648" s="168">
        <v>1.8438452455550105</v>
      </c>
      <c r="BO648" s="168">
        <v>1.8179605514779431</v>
      </c>
      <c r="BP648" s="168">
        <v>1.9579517627138965</v>
      </c>
      <c r="BQ648" s="168">
        <v>1.2462780080637046</v>
      </c>
      <c r="BR648" s="168">
        <v>3.1087476735688977</v>
      </c>
      <c r="BS648" s="168">
        <v>1.1273780430396649</v>
      </c>
      <c r="BT648" s="168">
        <v>1.1088077565430425</v>
      </c>
      <c r="BU648" s="168">
        <v>1.756409962377327</v>
      </c>
      <c r="BV648" s="168">
        <v>1.6567351481831074</v>
      </c>
      <c r="BW648" s="168">
        <v>1.8078812800493216</v>
      </c>
      <c r="BX648" s="168">
        <v>1.897108193034889</v>
      </c>
      <c r="BY648" s="168">
        <v>1.799789958957148</v>
      </c>
      <c r="BZ648" s="168">
        <v>1.8430473320077652</v>
      </c>
      <c r="CA648" s="168">
        <v>1.8192251706742266</v>
      </c>
      <c r="CB648" s="168">
        <v>1.9606570664496947</v>
      </c>
      <c r="CC648" s="168">
        <v>1.2525779641648638</v>
      </c>
      <c r="CD648" s="168">
        <v>3.0963542613566197</v>
      </c>
      <c r="CE648" s="168">
        <v>1.1229939256348647</v>
      </c>
      <c r="CF648" s="168">
        <v>1.1045473813739233</v>
      </c>
      <c r="CG648" s="168">
        <v>1.7498973511547944</v>
      </c>
      <c r="CH648" s="168">
        <v>1.6511471496844055</v>
      </c>
      <c r="CI648" s="168">
        <v>1.8134920222861735</v>
      </c>
      <c r="CJ648" s="168">
        <v>1.9034594197011612</v>
      </c>
      <c r="CK648" s="168">
        <v>1.8063221297165057</v>
      </c>
      <c r="CL648" s="168">
        <v>1.8494451300090495</v>
      </c>
      <c r="CM648" s="168">
        <v>1.8252071733513322</v>
      </c>
      <c r="CN648" s="168">
        <v>1.9667151715666153</v>
      </c>
      <c r="CO648" s="168">
        <v>1.2602617418993418</v>
      </c>
    </row>
    <row r="649" spans="1:93" x14ac:dyDescent="0.2">
      <c r="A649" s="118">
        <f t="shared" si="54"/>
        <v>4</v>
      </c>
      <c r="B649" s="234" t="s">
        <v>216</v>
      </c>
      <c r="C649" s="225"/>
      <c r="D649" s="172">
        <f>SUMIF($AH$6:$CP$6,1,$AH649:$CP649)</f>
        <v>9.688417543314559</v>
      </c>
      <c r="E649" s="233" t="s">
        <v>545</v>
      </c>
      <c r="F649" s="173">
        <f>'Exhibit MJC-3 - E-13c cal yr'!F651</f>
        <v>1539.64</v>
      </c>
      <c r="G649" s="233" t="s">
        <v>375</v>
      </c>
      <c r="H649" s="174">
        <f>ROUND(D649*F649,2)</f>
        <v>14916.68</v>
      </c>
      <c r="I649" s="308"/>
      <c r="J649" s="172">
        <f>SUMIF($AH$6:$CP$6,1,$AH649:$CP649)</f>
        <v>9.688417543314559</v>
      </c>
      <c r="K649" s="233" t="s">
        <v>545</v>
      </c>
      <c r="L649" s="183">
        <f>ROUND(F649*(1+'Exhibit MJC-2 - Old E-8a'!V27)+(L647*(F649/F648)),2)</f>
        <v>1602.03</v>
      </c>
      <c r="M649" s="233" t="s">
        <v>375</v>
      </c>
      <c r="N649" s="174">
        <f>ROUND(J649*L649,2)</f>
        <v>15521.14</v>
      </c>
      <c r="O649" s="227"/>
      <c r="P649" s="262"/>
      <c r="Q649" s="939"/>
      <c r="R649" s="227"/>
      <c r="S649" s="227"/>
      <c r="T649" s="227"/>
      <c r="U649" s="184" t="s">
        <v>140</v>
      </c>
      <c r="V649" s="179">
        <v>257</v>
      </c>
      <c r="W649" s="180">
        <v>231</v>
      </c>
      <c r="X649" s="227"/>
      <c r="Y649" s="184"/>
      <c r="Z649" s="181"/>
      <c r="AA649" s="227"/>
      <c r="AB649" s="182">
        <f>SUM(AH649:AS649)</f>
        <v>9.9066419013321028</v>
      </c>
      <c r="AC649" s="182">
        <f>SUM(AT649:BE649)</f>
        <v>9.8742284512984835</v>
      </c>
      <c r="AD649" s="182">
        <f>SUM(BF649:BQ649)</f>
        <v>9.7566711682687632</v>
      </c>
      <c r="AE649" s="182">
        <f>SUM(BR649:CC649)</f>
        <v>9.688417543314559</v>
      </c>
      <c r="AF649" s="182">
        <f>SUM(CD649:CO649)</f>
        <v>9.6936779764617746</v>
      </c>
      <c r="AH649" s="168">
        <v>1.4960131157314258</v>
      </c>
      <c r="AI649" s="168">
        <v>0.5316438658433319</v>
      </c>
      <c r="AJ649" s="168">
        <v>0.52395888653508604</v>
      </c>
      <c r="AK649" s="168">
        <v>0.83259801614000772</v>
      </c>
      <c r="AL649" s="168">
        <v>0.78776919486853769</v>
      </c>
      <c r="AM649" s="168">
        <v>0.83708740256141811</v>
      </c>
      <c r="AN649" s="168">
        <v>0.87959956614380475</v>
      </c>
      <c r="AO649" s="168">
        <v>0.83448710601469545</v>
      </c>
      <c r="AP649" s="168">
        <v>0.85520558766534682</v>
      </c>
      <c r="AQ649" s="168">
        <v>0.84433303601976295</v>
      </c>
      <c r="AR649" s="168">
        <v>0.91077874559412275</v>
      </c>
      <c r="AS649" s="168">
        <v>0.5731673782145621</v>
      </c>
      <c r="AT649" s="168">
        <v>1.4771398527891577</v>
      </c>
      <c r="AU649" s="168">
        <v>0.53503079551455901</v>
      </c>
      <c r="AV649" s="168">
        <v>0.52577713702964168</v>
      </c>
      <c r="AW649" s="168">
        <v>0.83237125750300422</v>
      </c>
      <c r="AX649" s="168">
        <v>0.78469647460354608</v>
      </c>
      <c r="AY649" s="168">
        <v>0.83744724548663463</v>
      </c>
      <c r="AZ649" s="168">
        <v>0.87862412390693612</v>
      </c>
      <c r="BA649" s="168">
        <v>0.8326403786763944</v>
      </c>
      <c r="BB649" s="168">
        <v>0.8521573937110325</v>
      </c>
      <c r="BC649" s="168">
        <v>0.8403654484920029</v>
      </c>
      <c r="BD649" s="168">
        <v>0.90539592235820887</v>
      </c>
      <c r="BE649" s="168">
        <v>0.57258242122736491</v>
      </c>
      <c r="BF649" s="168">
        <v>1.4519470543764601</v>
      </c>
      <c r="BG649" s="168">
        <v>0.52577626666690813</v>
      </c>
      <c r="BH649" s="168">
        <v>0.51641821089894213</v>
      </c>
      <c r="BI649" s="168">
        <v>0.81699727222097451</v>
      </c>
      <c r="BJ649" s="168">
        <v>0.76975561854450503</v>
      </c>
      <c r="BK649" s="168">
        <v>0.83110492416280946</v>
      </c>
      <c r="BL649" s="168">
        <v>0.87166009446506376</v>
      </c>
      <c r="BM649" s="168">
        <v>0.82607875835326161</v>
      </c>
      <c r="BN649" s="168">
        <v>0.8450957375460465</v>
      </c>
      <c r="BO649" s="168">
        <v>0.83323191942739061</v>
      </c>
      <c r="BP649" s="168">
        <v>0.8973945579105358</v>
      </c>
      <c r="BQ649" s="168">
        <v>0.5712107536958646</v>
      </c>
      <c r="BR649" s="168">
        <v>1.4248426837190782</v>
      </c>
      <c r="BS649" s="168">
        <v>0.51671493639317978</v>
      </c>
      <c r="BT649" s="168">
        <v>0.50820355508222781</v>
      </c>
      <c r="BU649" s="168">
        <v>0.8050212327562748</v>
      </c>
      <c r="BV649" s="168">
        <v>0.75933694291725762</v>
      </c>
      <c r="BW649" s="168">
        <v>0.82861225335593902</v>
      </c>
      <c r="BX649" s="168">
        <v>0.86950792180765746</v>
      </c>
      <c r="BY649" s="168">
        <v>0.82490373118869287</v>
      </c>
      <c r="BZ649" s="168">
        <v>0.84473002717022572</v>
      </c>
      <c r="CA649" s="168">
        <v>0.83381153655902052</v>
      </c>
      <c r="CB649" s="168">
        <v>0.8986344887894433</v>
      </c>
      <c r="CC649" s="168">
        <v>0.57409823357556256</v>
      </c>
      <c r="CD649" s="168">
        <v>1.4191623697884506</v>
      </c>
      <c r="CE649" s="168">
        <v>0.514705549249313</v>
      </c>
      <c r="CF649" s="168">
        <v>0.50625088312971478</v>
      </c>
      <c r="CG649" s="168">
        <v>0.80203628594594745</v>
      </c>
      <c r="CH649" s="168">
        <v>0.75677577693868581</v>
      </c>
      <c r="CI649" s="168">
        <v>0.83118384354782948</v>
      </c>
      <c r="CJ649" s="168">
        <v>0.87241890069636552</v>
      </c>
      <c r="CK649" s="168">
        <v>0.82789764278673172</v>
      </c>
      <c r="CL649" s="168">
        <v>0.84766235125414768</v>
      </c>
      <c r="CM649" s="168">
        <v>0.83655328778602722</v>
      </c>
      <c r="CN649" s="168">
        <v>0.90141112030136528</v>
      </c>
      <c r="CO649" s="168">
        <v>0.57761996503719826</v>
      </c>
    </row>
    <row r="650" spans="1:93" x14ac:dyDescent="0.2">
      <c r="A650" s="118">
        <f t="shared" si="54"/>
        <v>5</v>
      </c>
      <c r="B650" s="234"/>
      <c r="C650" s="225" t="s">
        <v>121</v>
      </c>
      <c r="D650" s="204">
        <f>SUM(D648:D649)</f>
        <v>30.826783092364508</v>
      </c>
      <c r="E650" s="233" t="s">
        <v>581</v>
      </c>
      <c r="F650" s="183"/>
      <c r="G650" s="233"/>
      <c r="H650" s="206">
        <f>SUM(H648:H649)</f>
        <v>28982.989999999998</v>
      </c>
      <c r="I650" s="308"/>
      <c r="J650" s="204">
        <f>SUM(J648:J649)</f>
        <v>30.826783092364508</v>
      </c>
      <c r="K650" s="233" t="s">
        <v>581</v>
      </c>
      <c r="L650" s="183"/>
      <c r="M650" s="233"/>
      <c r="N650" s="206">
        <f>SUM(N648:N649)</f>
        <v>30157.559999999998</v>
      </c>
      <c r="O650" s="227"/>
      <c r="P650" s="262"/>
      <c r="Q650" s="939">
        <f>(N650-H650)/H650</f>
        <v>4.052618449649259E-2</v>
      </c>
      <c r="R650" s="227"/>
      <c r="S650" s="227"/>
      <c r="T650" s="227"/>
      <c r="U650" s="178"/>
      <c r="V650" s="179"/>
      <c r="W650" s="180"/>
      <c r="X650" s="227"/>
      <c r="Y650" s="184" t="s">
        <v>140</v>
      </c>
      <c r="Z650" s="181" t="s">
        <v>451</v>
      </c>
      <c r="AA650" s="227"/>
      <c r="AB650" s="204">
        <f>SUM(AB648:AB649)</f>
        <v>31.521133322420326</v>
      </c>
      <c r="AC650" s="204">
        <f>SUM(AC648:AC649)</f>
        <v>31.417999617767904</v>
      </c>
      <c r="AD650" s="204">
        <f>SUM(AD648:AD649)</f>
        <v>31.043953717218788</v>
      </c>
      <c r="AE650" s="204">
        <f>SUM(AE648:AE649)</f>
        <v>30.826783092364508</v>
      </c>
      <c r="AF650" s="204">
        <f>SUM(AF648:AF649)</f>
        <v>30.843520834196561</v>
      </c>
      <c r="AH650" s="204">
        <f t="shared" ref="AH650:CO650" si="55">SUM(AH648:AH649)</f>
        <v>4.7600417318727182</v>
      </c>
      <c r="AI650" s="204">
        <f t="shared" si="55"/>
        <v>1.6915941185924197</v>
      </c>
      <c r="AJ650" s="204">
        <f t="shared" si="55"/>
        <v>1.6671419117025463</v>
      </c>
      <c r="AK650" s="204">
        <f t="shared" si="55"/>
        <v>2.6491755059000246</v>
      </c>
      <c r="AL650" s="204">
        <f t="shared" si="55"/>
        <v>2.5065383473089837</v>
      </c>
      <c r="AM650" s="204">
        <f t="shared" si="55"/>
        <v>2.6634599172408757</v>
      </c>
      <c r="AN650" s="204">
        <f t="shared" si="55"/>
        <v>2.7987258922757423</v>
      </c>
      <c r="AO650" s="204">
        <f t="shared" si="55"/>
        <v>2.6551862464103948</v>
      </c>
      <c r="AP650" s="204">
        <f t="shared" si="55"/>
        <v>2.7211086880261037</v>
      </c>
      <c r="AQ650" s="204">
        <f t="shared" si="55"/>
        <v>2.6865142055174278</v>
      </c>
      <c r="AR650" s="204">
        <f t="shared" si="55"/>
        <v>2.8979323723449362</v>
      </c>
      <c r="AS650" s="204">
        <f t="shared" si="55"/>
        <v>1.8237143852281523</v>
      </c>
      <c r="AT650" s="204">
        <f t="shared" si="55"/>
        <v>4.6999904406927753</v>
      </c>
      <c r="AU650" s="204">
        <f t="shared" si="55"/>
        <v>1.7023707130008696</v>
      </c>
      <c r="AV650" s="204">
        <f t="shared" si="55"/>
        <v>1.6729272541852236</v>
      </c>
      <c r="AW650" s="204">
        <f t="shared" si="55"/>
        <v>2.6484540011459226</v>
      </c>
      <c r="AX650" s="204">
        <f t="shared" si="55"/>
        <v>2.4967615101021923</v>
      </c>
      <c r="AY650" s="204">
        <f t="shared" si="55"/>
        <v>2.6646048720029287</v>
      </c>
      <c r="AZ650" s="204">
        <f t="shared" si="55"/>
        <v>2.7956222124311605</v>
      </c>
      <c r="BA650" s="204">
        <f t="shared" si="55"/>
        <v>2.6493102957885277</v>
      </c>
      <c r="BB650" s="204">
        <f t="shared" si="55"/>
        <v>2.7114098890805578</v>
      </c>
      <c r="BC650" s="204">
        <f t="shared" si="55"/>
        <v>2.673890063383646</v>
      </c>
      <c r="BD650" s="204">
        <f t="shared" si="55"/>
        <v>2.8808052075033919</v>
      </c>
      <c r="BE650" s="204">
        <f t="shared" si="55"/>
        <v>1.8218531584507065</v>
      </c>
      <c r="BF650" s="204">
        <f t="shared" si="55"/>
        <v>4.6198315366523737</v>
      </c>
      <c r="BG650" s="204">
        <f t="shared" si="55"/>
        <v>1.6729244848492533</v>
      </c>
      <c r="BH650" s="204">
        <f t="shared" si="55"/>
        <v>1.6431488528602707</v>
      </c>
      <c r="BI650" s="204">
        <f t="shared" si="55"/>
        <v>2.5995367752485552</v>
      </c>
      <c r="BJ650" s="204">
        <f t="shared" si="55"/>
        <v>2.4492224226416068</v>
      </c>
      <c r="BK650" s="204">
        <f t="shared" si="55"/>
        <v>2.6444247586998486</v>
      </c>
      <c r="BL650" s="204">
        <f t="shared" si="55"/>
        <v>2.7734639369342937</v>
      </c>
      <c r="BM650" s="204">
        <f t="shared" si="55"/>
        <v>2.6284324129421961</v>
      </c>
      <c r="BN650" s="204">
        <f t="shared" si="55"/>
        <v>2.6889409831010571</v>
      </c>
      <c r="BO650" s="204">
        <f t="shared" si="55"/>
        <v>2.6511924709053338</v>
      </c>
      <c r="BP650" s="204">
        <f t="shared" si="55"/>
        <v>2.8553463206244323</v>
      </c>
      <c r="BQ650" s="204">
        <f t="shared" si="55"/>
        <v>1.8174887617595692</v>
      </c>
      <c r="BR650" s="204">
        <f t="shared" si="55"/>
        <v>4.5335903572879754</v>
      </c>
      <c r="BS650" s="204">
        <f t="shared" si="55"/>
        <v>1.6440929794328447</v>
      </c>
      <c r="BT650" s="204">
        <f t="shared" si="55"/>
        <v>1.6170113116252702</v>
      </c>
      <c r="BU650" s="204">
        <f t="shared" si="55"/>
        <v>2.561431195133602</v>
      </c>
      <c r="BV650" s="204">
        <f t="shared" si="55"/>
        <v>2.4160720911003652</v>
      </c>
      <c r="BW650" s="204">
        <f t="shared" si="55"/>
        <v>2.6364935334052606</v>
      </c>
      <c r="BX650" s="204">
        <f t="shared" si="55"/>
        <v>2.7666161148425465</v>
      </c>
      <c r="BY650" s="204">
        <f t="shared" si="55"/>
        <v>2.6246936901458406</v>
      </c>
      <c r="BZ650" s="204">
        <f t="shared" si="55"/>
        <v>2.687777359177991</v>
      </c>
      <c r="CA650" s="204">
        <f t="shared" si="55"/>
        <v>2.6530367072332472</v>
      </c>
      <c r="CB650" s="204">
        <f t="shared" si="55"/>
        <v>2.859291555239138</v>
      </c>
      <c r="CC650" s="204">
        <f t="shared" si="55"/>
        <v>1.8266761977404262</v>
      </c>
      <c r="CD650" s="204">
        <f t="shared" si="55"/>
        <v>4.5155166311450703</v>
      </c>
      <c r="CE650" s="204">
        <f t="shared" si="55"/>
        <v>1.6376994748841778</v>
      </c>
      <c r="CF650" s="204">
        <f t="shared" si="55"/>
        <v>1.6107982645036381</v>
      </c>
      <c r="CG650" s="204">
        <f t="shared" si="55"/>
        <v>2.5519336371007419</v>
      </c>
      <c r="CH650" s="204">
        <f t="shared" si="55"/>
        <v>2.4079229266230913</v>
      </c>
      <c r="CI650" s="204">
        <f t="shared" si="55"/>
        <v>2.644675865834003</v>
      </c>
      <c r="CJ650" s="204">
        <f t="shared" si="55"/>
        <v>2.7758783203975268</v>
      </c>
      <c r="CK650" s="204">
        <f t="shared" si="55"/>
        <v>2.6342197725032372</v>
      </c>
      <c r="CL650" s="204">
        <f t="shared" si="55"/>
        <v>2.6971074812631972</v>
      </c>
      <c r="CM650" s="204">
        <f t="shared" si="55"/>
        <v>2.6617604611373595</v>
      </c>
      <c r="CN650" s="204">
        <f t="shared" si="55"/>
        <v>2.8681262918679806</v>
      </c>
      <c r="CO650" s="204">
        <f t="shared" si="55"/>
        <v>1.8378817069365401</v>
      </c>
    </row>
    <row r="651" spans="1:93" x14ac:dyDescent="0.2">
      <c r="A651" s="118">
        <f t="shared" si="54"/>
        <v>6</v>
      </c>
      <c r="B651" s="227"/>
      <c r="C651" s="263"/>
      <c r="D651" s="227"/>
      <c r="E651" s="230"/>
      <c r="F651" s="197"/>
      <c r="G651" s="230"/>
      <c r="H651" s="203"/>
      <c r="I651" s="308"/>
      <c r="J651" s="227"/>
      <c r="K651" s="230"/>
      <c r="L651" s="197"/>
      <c r="M651" s="230"/>
      <c r="N651" s="203"/>
      <c r="O651" s="227"/>
      <c r="P651" s="262"/>
      <c r="Q651" s="331"/>
      <c r="R651" s="227"/>
      <c r="S651" s="227"/>
      <c r="T651" s="227"/>
      <c r="U651" s="178"/>
      <c r="V651" s="179"/>
      <c r="W651" s="180"/>
      <c r="X651" s="227"/>
      <c r="Y651" s="178"/>
      <c r="Z651" s="181"/>
      <c r="AA651" s="227"/>
      <c r="AB651" s="193">
        <f>SUM(AH651:AS651)</f>
        <v>0</v>
      </c>
      <c r="AC651" s="193">
        <f>SUM(AT651:BE651)</f>
        <v>0</v>
      </c>
      <c r="AD651" s="193">
        <f>SUM(BF651:BQ651)</f>
        <v>0</v>
      </c>
      <c r="AE651" s="193">
        <f>SUM(BR651:CC651)</f>
        <v>0</v>
      </c>
      <c r="AF651" s="193">
        <f>SUM(CD651:CO651)</f>
        <v>0</v>
      </c>
      <c r="AH651" s="193">
        <v>0</v>
      </c>
      <c r="AI651" s="193">
        <v>0</v>
      </c>
      <c r="AJ651" s="193">
        <v>0</v>
      </c>
      <c r="AK651" s="193">
        <v>0</v>
      </c>
      <c r="AL651" s="193">
        <v>0</v>
      </c>
      <c r="AM651" s="193">
        <v>0</v>
      </c>
      <c r="AN651" s="193">
        <v>0</v>
      </c>
      <c r="AO651" s="193">
        <v>0</v>
      </c>
      <c r="AP651" s="193">
        <v>0</v>
      </c>
      <c r="AQ651" s="193">
        <v>0</v>
      </c>
      <c r="AR651" s="193">
        <v>0</v>
      </c>
      <c r="AS651" s="193">
        <v>0</v>
      </c>
      <c r="AT651" s="193">
        <v>0</v>
      </c>
      <c r="AU651" s="193">
        <v>0</v>
      </c>
      <c r="AV651" s="193">
        <v>0</v>
      </c>
      <c r="AW651" s="193">
        <v>0</v>
      </c>
      <c r="AX651" s="193">
        <v>0</v>
      </c>
      <c r="AY651" s="193">
        <v>0</v>
      </c>
      <c r="AZ651" s="193">
        <v>0</v>
      </c>
      <c r="BA651" s="193">
        <v>0</v>
      </c>
      <c r="BB651" s="193">
        <v>0</v>
      </c>
      <c r="BC651" s="193">
        <v>0</v>
      </c>
      <c r="BD651" s="193">
        <v>0</v>
      </c>
      <c r="BE651" s="193">
        <v>0</v>
      </c>
      <c r="BF651" s="193">
        <v>0</v>
      </c>
      <c r="BG651" s="193">
        <v>0</v>
      </c>
      <c r="BH651" s="193">
        <v>0</v>
      </c>
      <c r="BI651" s="193">
        <v>0</v>
      </c>
      <c r="BJ651" s="193">
        <v>0</v>
      </c>
      <c r="BK651" s="193">
        <v>0</v>
      </c>
      <c r="BL651" s="193">
        <v>0</v>
      </c>
      <c r="BM651" s="193">
        <v>0</v>
      </c>
      <c r="BN651" s="193">
        <v>0</v>
      </c>
      <c r="BO651" s="193">
        <v>0</v>
      </c>
      <c r="BP651" s="193">
        <v>0</v>
      </c>
      <c r="BQ651" s="193">
        <v>0</v>
      </c>
      <c r="BR651" s="193">
        <v>0</v>
      </c>
      <c r="BS651" s="193">
        <v>0</v>
      </c>
      <c r="BT651" s="193">
        <v>0</v>
      </c>
      <c r="BU651" s="193">
        <v>0</v>
      </c>
      <c r="BV651" s="193">
        <v>0</v>
      </c>
      <c r="BW651" s="193">
        <v>0</v>
      </c>
      <c r="BX651" s="193">
        <v>0</v>
      </c>
      <c r="BY651" s="193">
        <v>0</v>
      </c>
      <c r="BZ651" s="193">
        <v>0</v>
      </c>
      <c r="CA651" s="193">
        <v>0</v>
      </c>
      <c r="CB651" s="193">
        <v>0</v>
      </c>
      <c r="CC651" s="193">
        <v>0</v>
      </c>
      <c r="CD651" s="193">
        <v>0</v>
      </c>
      <c r="CE651" s="193">
        <v>0</v>
      </c>
      <c r="CF651" s="193">
        <v>0</v>
      </c>
      <c r="CG651" s="193">
        <v>0</v>
      </c>
      <c r="CH651" s="193">
        <v>0</v>
      </c>
      <c r="CI651" s="193">
        <v>0</v>
      </c>
      <c r="CJ651" s="193">
        <v>0</v>
      </c>
      <c r="CK651" s="193">
        <v>0</v>
      </c>
      <c r="CL651" s="193">
        <v>0</v>
      </c>
      <c r="CM651" s="193">
        <v>0</v>
      </c>
      <c r="CN651" s="193">
        <v>0</v>
      </c>
      <c r="CO651" s="193">
        <v>0</v>
      </c>
    </row>
    <row r="652" spans="1:93" x14ac:dyDescent="0.2">
      <c r="A652" s="118">
        <f t="shared" si="54"/>
        <v>7</v>
      </c>
      <c r="B652" s="239" t="s">
        <v>594</v>
      </c>
      <c r="C652" s="225"/>
      <c r="D652" s="168"/>
      <c r="E652" s="233"/>
      <c r="F652" s="183"/>
      <c r="G652" s="233"/>
      <c r="H652" s="174"/>
      <c r="I652" s="308"/>
      <c r="J652" s="168"/>
      <c r="K652" s="233"/>
      <c r="L652" s="183"/>
      <c r="M652" s="233"/>
      <c r="N652" s="174"/>
      <c r="O652" s="227"/>
      <c r="P652" s="262"/>
      <c r="Q652" s="331"/>
      <c r="R652" s="230"/>
      <c r="S652" s="230"/>
      <c r="T652" s="227"/>
      <c r="U652" s="184"/>
      <c r="V652" s="179"/>
      <c r="W652" s="180"/>
      <c r="X652" s="227"/>
      <c r="Y652" s="184"/>
      <c r="Z652" s="181"/>
      <c r="AA652" s="227"/>
    </row>
    <row r="653" spans="1:93" x14ac:dyDescent="0.2">
      <c r="A653" s="118">
        <f t="shared" si="54"/>
        <v>8</v>
      </c>
      <c r="B653" s="228" t="s">
        <v>642</v>
      </c>
      <c r="C653" s="225"/>
      <c r="D653" s="168"/>
      <c r="E653" s="233"/>
      <c r="F653" s="183"/>
      <c r="G653" s="233"/>
      <c r="H653" s="174"/>
      <c r="I653" s="308"/>
      <c r="J653" s="168"/>
      <c r="K653" s="233"/>
      <c r="L653" s="857">
        <v>0</v>
      </c>
      <c r="M653" s="233"/>
      <c r="N653" s="174"/>
      <c r="O653" s="227"/>
      <c r="P653" s="262"/>
      <c r="Q653" s="331"/>
      <c r="R653" s="259"/>
      <c r="S653" s="259"/>
      <c r="T653" s="227"/>
      <c r="U653" s="184"/>
      <c r="V653" s="179"/>
      <c r="W653" s="180"/>
      <c r="X653" s="227"/>
      <c r="Y653" s="184"/>
      <c r="Z653" s="181"/>
      <c r="AA653" s="227"/>
    </row>
    <row r="654" spans="1:93" x14ac:dyDescent="0.2">
      <c r="A654" s="118">
        <f t="shared" si="54"/>
        <v>9</v>
      </c>
      <c r="B654" s="227" t="s">
        <v>643</v>
      </c>
      <c r="C654" s="263"/>
      <c r="D654" s="172">
        <f>SUMIF($AH$6:$CP$6,1,$AH654:$CP654)</f>
        <v>339240</v>
      </c>
      <c r="E654" s="233" t="s">
        <v>596</v>
      </c>
      <c r="F654" s="173">
        <f>'Exhibit MJC-3 - E-13c cal yr'!F656</f>
        <v>3.43</v>
      </c>
      <c r="G654" s="233" t="s">
        <v>375</v>
      </c>
      <c r="H654" s="174">
        <f>ROUND(D654*F654,2)</f>
        <v>1163593.2</v>
      </c>
      <c r="I654" s="308"/>
      <c r="J654" s="172">
        <f>SUMIF($AH$6:$CP$6,1,$AH654:$CP654)</f>
        <v>339240</v>
      </c>
      <c r="K654" s="233" t="s">
        <v>596</v>
      </c>
      <c r="L654" s="183">
        <f>ROUND('MFR E-14D2'!I34+L653,2)</f>
        <v>6.52</v>
      </c>
      <c r="M654" s="233" t="s">
        <v>375</v>
      </c>
      <c r="N654" s="174">
        <f>ROUND(J654*L654,2)</f>
        <v>2211844.7999999998</v>
      </c>
      <c r="O654" s="227"/>
      <c r="P654" s="262"/>
      <c r="Q654" s="939">
        <f>(N654-H654)/H654</f>
        <v>0.90087463556851299</v>
      </c>
      <c r="R654" s="227"/>
      <c r="S654" s="227"/>
      <c r="T654" s="286"/>
      <c r="U654" s="184" t="s">
        <v>140</v>
      </c>
      <c r="V654" s="179">
        <v>257</v>
      </c>
      <c r="W654" s="180">
        <v>231</v>
      </c>
      <c r="X654" s="286"/>
      <c r="Y654" s="184"/>
      <c r="Z654" s="181"/>
      <c r="AA654" s="286"/>
      <c r="AB654" s="182">
        <f>SUM(AH654:AS654)</f>
        <v>339240</v>
      </c>
      <c r="AC654" s="182">
        <f>SUM(AT654:BE654)</f>
        <v>339240</v>
      </c>
      <c r="AD654" s="182">
        <f>SUM(BF654:BQ654)</f>
        <v>339240</v>
      </c>
      <c r="AE654" s="182">
        <f>SUM(BR654:CC654)</f>
        <v>339240</v>
      </c>
      <c r="AF654" s="182">
        <f>SUM(CD654:CO654)</f>
        <v>339240</v>
      </c>
      <c r="AH654" s="174">
        <v>28270</v>
      </c>
      <c r="AI654" s="174">
        <v>28270</v>
      </c>
      <c r="AJ654" s="174">
        <v>28270</v>
      </c>
      <c r="AK654" s="174">
        <v>28270</v>
      </c>
      <c r="AL654" s="174">
        <v>28270</v>
      </c>
      <c r="AM654" s="174">
        <v>28270</v>
      </c>
      <c r="AN654" s="174">
        <v>28270</v>
      </c>
      <c r="AO654" s="174">
        <v>28270</v>
      </c>
      <c r="AP654" s="174">
        <v>28270</v>
      </c>
      <c r="AQ654" s="174">
        <v>28270</v>
      </c>
      <c r="AR654" s="174">
        <v>28270</v>
      </c>
      <c r="AS654" s="174">
        <v>28270</v>
      </c>
      <c r="AT654" s="174">
        <v>28270</v>
      </c>
      <c r="AU654" s="174">
        <v>28270</v>
      </c>
      <c r="AV654" s="174">
        <v>28270</v>
      </c>
      <c r="AW654" s="174">
        <v>28270</v>
      </c>
      <c r="AX654" s="174">
        <v>28270</v>
      </c>
      <c r="AY654" s="174">
        <v>28270</v>
      </c>
      <c r="AZ654" s="174">
        <v>28270</v>
      </c>
      <c r="BA654" s="174">
        <v>28270</v>
      </c>
      <c r="BB654" s="174">
        <v>28270</v>
      </c>
      <c r="BC654" s="174">
        <v>28270</v>
      </c>
      <c r="BD654" s="174">
        <v>28270</v>
      </c>
      <c r="BE654" s="174">
        <v>28270</v>
      </c>
      <c r="BF654" s="174">
        <v>28270</v>
      </c>
      <c r="BG654" s="174">
        <v>28270</v>
      </c>
      <c r="BH654" s="174">
        <v>28270</v>
      </c>
      <c r="BI654" s="174">
        <v>28270</v>
      </c>
      <c r="BJ654" s="174">
        <v>28270</v>
      </c>
      <c r="BK654" s="174">
        <v>28270</v>
      </c>
      <c r="BL654" s="174">
        <v>28270</v>
      </c>
      <c r="BM654" s="174">
        <v>28270</v>
      </c>
      <c r="BN654" s="174">
        <v>28270</v>
      </c>
      <c r="BO654" s="174">
        <v>28270</v>
      </c>
      <c r="BP654" s="174">
        <v>28270</v>
      </c>
      <c r="BQ654" s="174">
        <v>28270</v>
      </c>
      <c r="BR654" s="174">
        <v>28270</v>
      </c>
      <c r="BS654" s="174">
        <v>28270</v>
      </c>
      <c r="BT654" s="174">
        <v>28270</v>
      </c>
      <c r="BU654" s="174">
        <v>28270</v>
      </c>
      <c r="BV654" s="174">
        <v>28270</v>
      </c>
      <c r="BW654" s="174">
        <v>28270</v>
      </c>
      <c r="BX654" s="174">
        <v>28270</v>
      </c>
      <c r="BY654" s="174">
        <v>28270</v>
      </c>
      <c r="BZ654" s="174">
        <v>28270</v>
      </c>
      <c r="CA654" s="174">
        <v>28270</v>
      </c>
      <c r="CB654" s="174">
        <v>28270</v>
      </c>
      <c r="CC654" s="174">
        <v>28270</v>
      </c>
      <c r="CD654" s="174">
        <v>28270</v>
      </c>
      <c r="CE654" s="174">
        <v>28270</v>
      </c>
      <c r="CF654" s="174">
        <v>28270</v>
      </c>
      <c r="CG654" s="174">
        <v>28270</v>
      </c>
      <c r="CH654" s="174">
        <v>28270</v>
      </c>
      <c r="CI654" s="174">
        <v>28270</v>
      </c>
      <c r="CJ654" s="174">
        <v>28270</v>
      </c>
      <c r="CK654" s="174">
        <v>28270</v>
      </c>
      <c r="CL654" s="174">
        <v>28270</v>
      </c>
      <c r="CM654" s="174">
        <v>28270</v>
      </c>
      <c r="CN654" s="174">
        <v>28270</v>
      </c>
      <c r="CO654" s="174">
        <v>28270</v>
      </c>
    </row>
    <row r="655" spans="1:93" x14ac:dyDescent="0.2">
      <c r="A655" s="118">
        <f t="shared" si="54"/>
        <v>10</v>
      </c>
      <c r="B655" s="227" t="s">
        <v>644</v>
      </c>
      <c r="C655" s="263"/>
      <c r="D655" s="172">
        <f>SUMIF($AH$6:$CP$6,1,$AH655:$CP655)</f>
        <v>120000</v>
      </c>
      <c r="E655" s="233" t="s">
        <v>596</v>
      </c>
      <c r="F655" s="173">
        <f>'Exhibit MJC-3 - E-13c cal yr'!F657</f>
        <v>0</v>
      </c>
      <c r="G655" s="233" t="s">
        <v>375</v>
      </c>
      <c r="H655" s="174">
        <f>ROUND(D655*F655,2)</f>
        <v>0</v>
      </c>
      <c r="I655" s="308"/>
      <c r="J655" s="172">
        <f>SUMIF($AH$6:$CP$6,1,$AH655:$CP655)</f>
        <v>120000</v>
      </c>
      <c r="K655" s="233" t="s">
        <v>596</v>
      </c>
      <c r="L655" s="183">
        <v>0</v>
      </c>
      <c r="M655" s="233" t="s">
        <v>375</v>
      </c>
      <c r="N655" s="174">
        <f>ROUND(J655*L655,2)</f>
        <v>0</v>
      </c>
      <c r="O655" s="227"/>
      <c r="P655" s="262"/>
      <c r="Q655" s="331"/>
      <c r="R655" s="227"/>
      <c r="S655" s="227"/>
      <c r="T655" s="227"/>
      <c r="U655" s="184" t="s">
        <v>140</v>
      </c>
      <c r="V655" s="179">
        <v>257</v>
      </c>
      <c r="W655" s="180">
        <v>231</v>
      </c>
      <c r="X655" s="227"/>
      <c r="Y655" s="184"/>
      <c r="Z655" s="181"/>
      <c r="AA655" s="227"/>
      <c r="AB655" s="182">
        <f>SUM(AH655:AS655)</f>
        <v>120000</v>
      </c>
      <c r="AC655" s="182">
        <f>SUM(AT655:BE655)</f>
        <v>120000</v>
      </c>
      <c r="AD655" s="182">
        <f>SUM(BF655:BQ655)</f>
        <v>120000</v>
      </c>
      <c r="AE655" s="182">
        <f>SUM(BR655:CC655)</f>
        <v>120000</v>
      </c>
      <c r="AF655" s="182">
        <f>SUM(CD655:CO655)</f>
        <v>120000</v>
      </c>
      <c r="AH655" s="174">
        <v>10000</v>
      </c>
      <c r="AI655" s="174">
        <v>10000</v>
      </c>
      <c r="AJ655" s="174">
        <v>10000</v>
      </c>
      <c r="AK655" s="174">
        <v>10000</v>
      </c>
      <c r="AL655" s="174">
        <v>10000</v>
      </c>
      <c r="AM655" s="174">
        <v>10000</v>
      </c>
      <c r="AN655" s="174">
        <v>10000</v>
      </c>
      <c r="AO655" s="174">
        <v>10000</v>
      </c>
      <c r="AP655" s="174">
        <v>10000</v>
      </c>
      <c r="AQ655" s="174">
        <v>10000</v>
      </c>
      <c r="AR655" s="174">
        <v>10000</v>
      </c>
      <c r="AS655" s="174">
        <v>10000</v>
      </c>
      <c r="AT655" s="174">
        <v>10000</v>
      </c>
      <c r="AU655" s="174">
        <v>10000</v>
      </c>
      <c r="AV655" s="174">
        <v>10000</v>
      </c>
      <c r="AW655" s="174">
        <v>10000</v>
      </c>
      <c r="AX655" s="174">
        <v>10000</v>
      </c>
      <c r="AY655" s="174">
        <v>10000</v>
      </c>
      <c r="AZ655" s="174">
        <v>10000</v>
      </c>
      <c r="BA655" s="174">
        <v>10000</v>
      </c>
      <c r="BB655" s="174">
        <v>10000</v>
      </c>
      <c r="BC655" s="174">
        <v>10000</v>
      </c>
      <c r="BD655" s="174">
        <v>10000</v>
      </c>
      <c r="BE655" s="174">
        <v>10000</v>
      </c>
      <c r="BF655" s="174">
        <v>10000</v>
      </c>
      <c r="BG655" s="174">
        <v>10000</v>
      </c>
      <c r="BH655" s="174">
        <v>10000</v>
      </c>
      <c r="BI655" s="174">
        <v>10000</v>
      </c>
      <c r="BJ655" s="174">
        <v>10000</v>
      </c>
      <c r="BK655" s="174">
        <v>10000</v>
      </c>
      <c r="BL655" s="174">
        <v>10000</v>
      </c>
      <c r="BM655" s="174">
        <v>10000</v>
      </c>
      <c r="BN655" s="174">
        <v>10000</v>
      </c>
      <c r="BO655" s="174">
        <v>10000</v>
      </c>
      <c r="BP655" s="174">
        <v>10000</v>
      </c>
      <c r="BQ655" s="174">
        <v>10000</v>
      </c>
      <c r="BR655" s="174">
        <v>10000</v>
      </c>
      <c r="BS655" s="174">
        <v>10000</v>
      </c>
      <c r="BT655" s="174">
        <v>10000</v>
      </c>
      <c r="BU655" s="174">
        <v>10000</v>
      </c>
      <c r="BV655" s="174">
        <v>10000</v>
      </c>
      <c r="BW655" s="174">
        <v>10000</v>
      </c>
      <c r="BX655" s="174">
        <v>10000</v>
      </c>
      <c r="BY655" s="174">
        <v>10000</v>
      </c>
      <c r="BZ655" s="174">
        <v>10000</v>
      </c>
      <c r="CA655" s="174">
        <v>10000</v>
      </c>
      <c r="CB655" s="174">
        <v>10000</v>
      </c>
      <c r="CC655" s="174">
        <v>10000</v>
      </c>
      <c r="CD655" s="174">
        <v>10000</v>
      </c>
      <c r="CE655" s="174">
        <v>10000</v>
      </c>
      <c r="CF655" s="174">
        <v>10000</v>
      </c>
      <c r="CG655" s="174">
        <v>10000</v>
      </c>
      <c r="CH655" s="174">
        <v>10000</v>
      </c>
      <c r="CI655" s="174">
        <v>10000</v>
      </c>
      <c r="CJ655" s="174">
        <v>10000</v>
      </c>
      <c r="CK655" s="174">
        <v>10000</v>
      </c>
      <c r="CL655" s="174">
        <v>10000</v>
      </c>
      <c r="CM655" s="174">
        <v>10000</v>
      </c>
      <c r="CN655" s="174">
        <v>10000</v>
      </c>
      <c r="CO655" s="174">
        <v>10000</v>
      </c>
    </row>
    <row r="656" spans="1:93" x14ac:dyDescent="0.2">
      <c r="A656" s="118">
        <f t="shared" si="54"/>
        <v>11</v>
      </c>
      <c r="B656" s="227"/>
      <c r="C656" s="263"/>
      <c r="D656" s="172"/>
      <c r="E656" s="233"/>
      <c r="F656" s="183"/>
      <c r="G656" s="233"/>
      <c r="H656" s="174"/>
      <c r="I656" s="308"/>
      <c r="J656" s="172"/>
      <c r="K656" s="233"/>
      <c r="L656" s="183"/>
      <c r="M656" s="233"/>
      <c r="N656" s="174"/>
      <c r="O656" s="227"/>
      <c r="P656" s="262"/>
      <c r="Q656" s="331"/>
      <c r="R656" s="227"/>
      <c r="S656" s="227"/>
      <c r="T656" s="227"/>
      <c r="U656" s="184"/>
      <c r="V656" s="179"/>
      <c r="W656" s="180"/>
      <c r="X656" s="227"/>
      <c r="Y656" s="184"/>
      <c r="Z656" s="181"/>
      <c r="AA656" s="227"/>
      <c r="AB656" s="182"/>
      <c r="AC656" s="182"/>
      <c r="AD656" s="182"/>
      <c r="AE656" s="182"/>
      <c r="AF656" s="182"/>
      <c r="AH656" s="174"/>
      <c r="AI656" s="174"/>
      <c r="AJ656" s="174"/>
      <c r="AK656" s="174"/>
      <c r="AL656" s="174"/>
      <c r="AM656" s="174"/>
      <c r="AN656" s="174"/>
      <c r="AO656" s="174"/>
      <c r="AP656" s="174"/>
      <c r="AQ656" s="174"/>
      <c r="AR656" s="174"/>
      <c r="AS656" s="174"/>
      <c r="AT656" s="174"/>
      <c r="AU656" s="174"/>
      <c r="AV656" s="174"/>
      <c r="AW656" s="174"/>
      <c r="AX656" s="174"/>
      <c r="AY656" s="174"/>
      <c r="AZ656" s="174"/>
      <c r="BA656" s="174"/>
      <c r="BB656" s="174"/>
      <c r="BC656" s="174"/>
      <c r="BD656" s="174"/>
      <c r="BE656" s="174"/>
      <c r="BF656" s="174"/>
      <c r="BG656" s="174"/>
      <c r="BH656" s="174"/>
      <c r="BI656" s="174"/>
      <c r="BJ656" s="174"/>
      <c r="BK656" s="174"/>
      <c r="BL656" s="174"/>
      <c r="BM656" s="174"/>
      <c r="BN656" s="174"/>
      <c r="BO656" s="174"/>
      <c r="BP656" s="174"/>
      <c r="BQ656" s="174"/>
      <c r="BR656" s="174"/>
      <c r="BS656" s="174"/>
      <c r="BT656" s="174"/>
      <c r="BU656" s="174"/>
      <c r="BV656" s="174"/>
      <c r="BW656" s="174"/>
      <c r="BX656" s="174"/>
      <c r="BY656" s="174"/>
      <c r="BZ656" s="174"/>
      <c r="CA656" s="174"/>
      <c r="CB656" s="174"/>
      <c r="CC656" s="174"/>
      <c r="CD656" s="174"/>
      <c r="CE656" s="174"/>
      <c r="CF656" s="174"/>
      <c r="CG656" s="174"/>
      <c r="CH656" s="174"/>
      <c r="CI656" s="174"/>
      <c r="CJ656" s="174"/>
      <c r="CK656" s="174"/>
      <c r="CL656" s="174"/>
      <c r="CM656" s="174"/>
      <c r="CN656" s="174"/>
      <c r="CO656" s="174"/>
    </row>
    <row r="657" spans="1:93" x14ac:dyDescent="0.2">
      <c r="A657" s="118">
        <f t="shared" si="54"/>
        <v>12</v>
      </c>
      <c r="B657" s="227" t="s">
        <v>655</v>
      </c>
      <c r="C657" s="263"/>
      <c r="D657" s="227"/>
      <c r="E657" s="230"/>
      <c r="F657" s="197"/>
      <c r="G657" s="230"/>
      <c r="H657" s="203"/>
      <c r="I657" s="308"/>
      <c r="J657" s="227"/>
      <c r="K657" s="230"/>
      <c r="L657" s="197"/>
      <c r="M657" s="230"/>
      <c r="N657" s="203"/>
      <c r="O657" s="227"/>
      <c r="P657" s="262"/>
      <c r="Q657" s="331"/>
      <c r="R657" s="227"/>
      <c r="S657" s="227"/>
      <c r="T657" s="227"/>
      <c r="U657" s="184"/>
      <c r="V657" s="179"/>
      <c r="W657" s="180"/>
      <c r="X657" s="227"/>
      <c r="Y657" s="184"/>
      <c r="Z657" s="181"/>
      <c r="AA657" s="227"/>
      <c r="AC657" s="260"/>
      <c r="AD657" s="260"/>
      <c r="AE657" s="260"/>
      <c r="AF657" s="114"/>
    </row>
    <row r="658" spans="1:93" x14ac:dyDescent="0.2">
      <c r="A658" s="118">
        <f t="shared" si="54"/>
        <v>13</v>
      </c>
      <c r="B658" s="227" t="s">
        <v>656</v>
      </c>
      <c r="C658" s="263"/>
      <c r="D658" s="227"/>
      <c r="E658" s="230"/>
      <c r="F658" s="197"/>
      <c r="G658" s="230"/>
      <c r="H658" s="203"/>
      <c r="I658" s="308"/>
      <c r="J658" s="227"/>
      <c r="K658" s="230"/>
      <c r="L658" s="197"/>
      <c r="M658" s="230"/>
      <c r="N658" s="203"/>
      <c r="O658" s="227"/>
      <c r="P658" s="262"/>
      <c r="Q658" s="331"/>
      <c r="R658" s="227"/>
      <c r="S658" s="227"/>
      <c r="T658" s="227"/>
      <c r="U658" s="184"/>
      <c r="V658" s="179"/>
      <c r="W658" s="180"/>
      <c r="X658" s="227"/>
      <c r="Y658" s="184"/>
      <c r="Z658" s="181"/>
      <c r="AA658" s="227"/>
      <c r="AB658" s="107" t="s">
        <v>646</v>
      </c>
      <c r="AC658" s="114"/>
      <c r="AD658" s="114"/>
      <c r="AE658" s="114"/>
      <c r="AF658" s="114"/>
      <c r="AH658" s="101">
        <v>1</v>
      </c>
      <c r="AI658" s="101">
        <v>1.2</v>
      </c>
      <c r="AJ658" s="101">
        <v>0.8</v>
      </c>
      <c r="AK658" s="101">
        <v>0.8</v>
      </c>
      <c r="AL658" s="101">
        <v>0.8</v>
      </c>
      <c r="AM658" s="101">
        <v>1</v>
      </c>
      <c r="AN658" s="101">
        <v>1.2</v>
      </c>
      <c r="AO658" s="101">
        <v>1.2</v>
      </c>
      <c r="AP658" s="101">
        <v>1</v>
      </c>
      <c r="AQ658" s="101">
        <v>0.8</v>
      </c>
      <c r="AR658" s="101">
        <v>1</v>
      </c>
      <c r="AS658" s="101">
        <v>1</v>
      </c>
      <c r="AT658" s="101">
        <v>1</v>
      </c>
      <c r="AU658" s="101">
        <v>1.2</v>
      </c>
      <c r="AV658" s="101">
        <v>0.8</v>
      </c>
      <c r="AW658" s="101">
        <v>0.8</v>
      </c>
      <c r="AX658" s="101">
        <v>0.8</v>
      </c>
      <c r="AY658" s="101">
        <v>1</v>
      </c>
      <c r="AZ658" s="101">
        <v>1.2</v>
      </c>
      <c r="BA658" s="101">
        <v>1.2</v>
      </c>
      <c r="BB658" s="101">
        <v>1</v>
      </c>
      <c r="BC658" s="101">
        <v>0.8</v>
      </c>
      <c r="BD658" s="101">
        <v>1</v>
      </c>
      <c r="BE658" s="101">
        <v>1</v>
      </c>
      <c r="BF658" s="101">
        <v>1</v>
      </c>
      <c r="BG658" s="101">
        <v>1.2</v>
      </c>
      <c r="BH658" s="101">
        <v>0.8</v>
      </c>
      <c r="BI658" s="101">
        <v>0.8</v>
      </c>
      <c r="BJ658" s="101">
        <v>0.8</v>
      </c>
      <c r="BK658" s="101">
        <v>1</v>
      </c>
      <c r="BL658" s="101">
        <v>1.2</v>
      </c>
      <c r="BM658" s="101">
        <v>1.2</v>
      </c>
      <c r="BN658" s="101">
        <v>1</v>
      </c>
      <c r="BO658" s="101">
        <v>0.8</v>
      </c>
      <c r="BP658" s="101">
        <v>1</v>
      </c>
      <c r="BQ658" s="101">
        <v>1</v>
      </c>
      <c r="BR658" s="101">
        <v>1</v>
      </c>
      <c r="BS658" s="101">
        <v>1.2</v>
      </c>
      <c r="BT658" s="101">
        <v>0.8</v>
      </c>
      <c r="BU658" s="101">
        <v>0.8</v>
      </c>
      <c r="BV658" s="101">
        <v>0.8</v>
      </c>
      <c r="BW658" s="101">
        <v>1</v>
      </c>
      <c r="BX658" s="101">
        <v>1.2</v>
      </c>
      <c r="BY658" s="101">
        <v>1.2</v>
      </c>
      <c r="BZ658" s="101">
        <v>1</v>
      </c>
      <c r="CA658" s="101">
        <v>0.8</v>
      </c>
      <c r="CB658" s="101">
        <v>1</v>
      </c>
      <c r="CC658" s="101">
        <v>1</v>
      </c>
      <c r="CD658" s="101">
        <v>1</v>
      </c>
      <c r="CE658" s="101">
        <v>1.2</v>
      </c>
      <c r="CF658" s="101">
        <v>0.8</v>
      </c>
      <c r="CG658" s="101">
        <v>0.8</v>
      </c>
      <c r="CH658" s="101">
        <v>0.8</v>
      </c>
      <c r="CI658" s="101">
        <v>1</v>
      </c>
      <c r="CJ658" s="101">
        <v>1.2</v>
      </c>
      <c r="CK658" s="101">
        <v>1.2</v>
      </c>
      <c r="CL658" s="101">
        <v>1</v>
      </c>
      <c r="CM658" s="101">
        <v>0.8</v>
      </c>
      <c r="CN658" s="101">
        <v>1</v>
      </c>
      <c r="CO658" s="101">
        <v>1</v>
      </c>
    </row>
    <row r="659" spans="1:93" x14ac:dyDescent="0.2">
      <c r="A659" s="118">
        <f t="shared" si="54"/>
        <v>14</v>
      </c>
      <c r="B659" s="227" t="s">
        <v>643</v>
      </c>
      <c r="C659" s="263"/>
      <c r="D659" s="227"/>
      <c r="E659" s="230"/>
      <c r="F659" s="197"/>
      <c r="G659" s="230"/>
      <c r="H659" s="203"/>
      <c r="I659" s="308"/>
      <c r="J659" s="227"/>
      <c r="K659" s="230"/>
      <c r="L659" s="936">
        <v>0</v>
      </c>
      <c r="M659" s="230"/>
      <c r="N659" s="203"/>
      <c r="O659" s="227"/>
      <c r="P659" s="262"/>
      <c r="Q659" s="331"/>
      <c r="R659" s="227"/>
      <c r="S659" s="227"/>
      <c r="T659" s="227"/>
      <c r="U659" s="184"/>
      <c r="V659" s="179"/>
      <c r="W659" s="180"/>
      <c r="X659" s="227"/>
      <c r="Y659" s="184"/>
      <c r="Z659" s="181"/>
      <c r="AA659" s="227"/>
      <c r="AC659" s="114"/>
      <c r="AD659" s="114"/>
      <c r="AE659" s="114"/>
      <c r="AF659" s="114"/>
    </row>
    <row r="660" spans="1:93" x14ac:dyDescent="0.2">
      <c r="A660" s="118">
        <f t="shared" si="54"/>
        <v>15</v>
      </c>
      <c r="B660" s="227" t="s">
        <v>647</v>
      </c>
      <c r="C660" s="263"/>
      <c r="D660" s="172">
        <f>SUMIF($AH$6:$CP$6,1,$AH660:$CP660)</f>
        <v>66270</v>
      </c>
      <c r="E660" s="233" t="s">
        <v>596</v>
      </c>
      <c r="F660" s="201">
        <f>'Exhibit MJC-3 - E-13c cal yr'!F662</f>
        <v>1.9570000000000001</v>
      </c>
      <c r="G660" s="233" t="s">
        <v>375</v>
      </c>
      <c r="H660" s="174">
        <f>ROUND(D660*F660,2)</f>
        <v>129690.39</v>
      </c>
      <c r="I660" s="308"/>
      <c r="J660" s="172">
        <f>SUMIF($AH$6:$CP$6,1,$AH660:$CP660)</f>
        <v>66270</v>
      </c>
      <c r="K660" s="233" t="s">
        <v>596</v>
      </c>
      <c r="L660" s="201">
        <f>ROUND('MFR E-14D2'!I41+L659,2)</f>
        <v>2.21</v>
      </c>
      <c r="M660" s="233" t="s">
        <v>375</v>
      </c>
      <c r="N660" s="174">
        <f>ROUND(J660*L660,2)</f>
        <v>146456.70000000001</v>
      </c>
      <c r="O660" s="227"/>
      <c r="P660" s="262"/>
      <c r="Q660" s="939">
        <f>(N660-H660)/H660</f>
        <v>0.12927950945324485</v>
      </c>
      <c r="R660" s="227"/>
      <c r="S660" s="227"/>
      <c r="T660" s="227"/>
      <c r="U660" s="184" t="s">
        <v>140</v>
      </c>
      <c r="V660" s="179">
        <v>257</v>
      </c>
      <c r="W660" s="180">
        <v>231</v>
      </c>
      <c r="X660" s="227"/>
      <c r="Y660" s="184"/>
      <c r="Z660" s="181"/>
      <c r="AA660" s="227"/>
      <c r="AB660" s="182">
        <f>SUM(AH660:AS660)</f>
        <v>66270</v>
      </c>
      <c r="AC660" s="182">
        <f>SUM(AT660:BE660)</f>
        <v>66270</v>
      </c>
      <c r="AD660" s="182">
        <f>SUM(BF660:BQ660)</f>
        <v>66270</v>
      </c>
      <c r="AE660" s="182">
        <f>SUM(BR660:CC660)</f>
        <v>66270</v>
      </c>
      <c r="AF660" s="182">
        <f>SUM(CD660:CO660)</f>
        <v>66270</v>
      </c>
      <c r="AH660" s="174">
        <v>0</v>
      </c>
      <c r="AI660" s="174">
        <v>9500</v>
      </c>
      <c r="AJ660" s="174">
        <v>0</v>
      </c>
      <c r="AK660" s="174">
        <v>9500</v>
      </c>
      <c r="AL660" s="174">
        <v>0</v>
      </c>
      <c r="AM660" s="174">
        <v>9500</v>
      </c>
      <c r="AN660" s="174">
        <v>0</v>
      </c>
      <c r="AO660" s="174">
        <v>0</v>
      </c>
      <c r="AP660" s="174">
        <v>0</v>
      </c>
      <c r="AQ660" s="174">
        <v>9500</v>
      </c>
      <c r="AR660" s="174">
        <v>9500</v>
      </c>
      <c r="AS660" s="174">
        <v>18770</v>
      </c>
      <c r="AT660" s="174">
        <v>0</v>
      </c>
      <c r="AU660" s="174">
        <v>9500</v>
      </c>
      <c r="AV660" s="174">
        <v>0</v>
      </c>
      <c r="AW660" s="174">
        <v>9500</v>
      </c>
      <c r="AX660" s="174">
        <v>0</v>
      </c>
      <c r="AY660" s="174">
        <v>9500</v>
      </c>
      <c r="AZ660" s="174">
        <v>0</v>
      </c>
      <c r="BA660" s="174">
        <v>0</v>
      </c>
      <c r="BB660" s="174">
        <v>0</v>
      </c>
      <c r="BC660" s="174">
        <v>9500</v>
      </c>
      <c r="BD660" s="174">
        <v>9500</v>
      </c>
      <c r="BE660" s="174">
        <v>18770</v>
      </c>
      <c r="BF660" s="174">
        <v>0</v>
      </c>
      <c r="BG660" s="174">
        <v>9500</v>
      </c>
      <c r="BH660" s="174">
        <v>0</v>
      </c>
      <c r="BI660" s="174">
        <v>9500</v>
      </c>
      <c r="BJ660" s="174">
        <v>0</v>
      </c>
      <c r="BK660" s="174">
        <v>9500</v>
      </c>
      <c r="BL660" s="174">
        <v>0</v>
      </c>
      <c r="BM660" s="174">
        <v>0</v>
      </c>
      <c r="BN660" s="174">
        <v>0</v>
      </c>
      <c r="BO660" s="174">
        <v>9500</v>
      </c>
      <c r="BP660" s="174">
        <v>9500</v>
      </c>
      <c r="BQ660" s="174">
        <v>18770</v>
      </c>
      <c r="BR660" s="174">
        <v>0</v>
      </c>
      <c r="BS660" s="174">
        <v>9500</v>
      </c>
      <c r="BT660" s="174">
        <v>0</v>
      </c>
      <c r="BU660" s="174">
        <v>9500</v>
      </c>
      <c r="BV660" s="174">
        <v>0</v>
      </c>
      <c r="BW660" s="174">
        <v>9500</v>
      </c>
      <c r="BX660" s="174">
        <v>0</v>
      </c>
      <c r="BY660" s="174">
        <v>0</v>
      </c>
      <c r="BZ660" s="174">
        <v>0</v>
      </c>
      <c r="CA660" s="174">
        <v>9500</v>
      </c>
      <c r="CB660" s="174">
        <v>9500</v>
      </c>
      <c r="CC660" s="174">
        <v>18770</v>
      </c>
      <c r="CD660" s="174">
        <v>0</v>
      </c>
      <c r="CE660" s="174">
        <v>9500</v>
      </c>
      <c r="CF660" s="174">
        <v>0</v>
      </c>
      <c r="CG660" s="174">
        <v>9500</v>
      </c>
      <c r="CH660" s="174">
        <v>0</v>
      </c>
      <c r="CI660" s="174">
        <v>9500</v>
      </c>
      <c r="CJ660" s="174">
        <v>0</v>
      </c>
      <c r="CK660" s="174">
        <v>0</v>
      </c>
      <c r="CL660" s="174">
        <v>0</v>
      </c>
      <c r="CM660" s="174">
        <v>9500</v>
      </c>
      <c r="CN660" s="174">
        <v>9500</v>
      </c>
      <c r="CO660" s="174">
        <v>18770</v>
      </c>
    </row>
    <row r="661" spans="1:93" x14ac:dyDescent="0.2">
      <c r="A661" s="118">
        <f t="shared" si="54"/>
        <v>16</v>
      </c>
      <c r="B661" s="227" t="s">
        <v>648</v>
      </c>
      <c r="C661" s="263"/>
      <c r="D661" s="172">
        <f>+J661</f>
        <v>2165383.2056423929</v>
      </c>
      <c r="E661" s="233" t="s">
        <v>596</v>
      </c>
      <c r="F661" s="201">
        <f>'Exhibit MJC-3 - E-13c cal yr'!F663</f>
        <v>0.93100000000000005</v>
      </c>
      <c r="G661" s="233" t="s">
        <v>375</v>
      </c>
      <c r="H661" s="174">
        <f>ROUND(D661*F661,2)</f>
        <v>2015971.76</v>
      </c>
      <c r="I661" s="308"/>
      <c r="J661" s="172">
        <f>+(BR661*BR$658)+(BS661*BS$658)+(BT661*BT$658)+(BU661*BU$658)+(BV661*BV$658)+(BW661*BW$658)+(BX661*BX$658)+(BY661*BY$658)+(BZ661*BZ$658)+(CA661*CA$658)+(CB661*CB$658)+(CC661*CC$658)</f>
        <v>2165383.2056423929</v>
      </c>
      <c r="K661" s="233" t="s">
        <v>596</v>
      </c>
      <c r="L661" s="201">
        <f>ROUND('MFR E-14D2'!I44+(L659*(F661/F660)),2)</f>
        <v>1.05</v>
      </c>
      <c r="M661" s="233" t="s">
        <v>375</v>
      </c>
      <c r="N661" s="174">
        <f>ROUND(J661*L661,2)</f>
        <v>2273652.37</v>
      </c>
      <c r="O661" s="227"/>
      <c r="P661" s="262"/>
      <c r="Q661" s="939">
        <f>(N661-H661)/H661</f>
        <v>0.12781955338501375</v>
      </c>
      <c r="R661" s="227"/>
      <c r="S661" s="227"/>
      <c r="T661" s="227"/>
      <c r="U661" s="184" t="s">
        <v>140</v>
      </c>
      <c r="V661" s="179">
        <v>257</v>
      </c>
      <c r="W661" s="180">
        <v>231</v>
      </c>
      <c r="X661" s="227"/>
      <c r="Y661" s="184"/>
      <c r="Z661" s="181"/>
      <c r="AA661" s="227"/>
      <c r="AB661" s="182">
        <f>SUM(AH661:AS661)</f>
        <v>2155611.5617177049</v>
      </c>
      <c r="AC661" s="182">
        <f>SUM(AT661:BE661)</f>
        <v>2165986.0504672928</v>
      </c>
      <c r="AD661" s="182">
        <f>SUM(BF661:BQ661)</f>
        <v>2175142.1463157851</v>
      </c>
      <c r="AE661" s="182">
        <f>SUM(BR661:CC661)</f>
        <v>2209219.1152746989</v>
      </c>
      <c r="AF661" s="182">
        <f>SUM(CD661:CO661)</f>
        <v>2213764.563422475</v>
      </c>
      <c r="AH661" s="174">
        <v>408209.43327690981</v>
      </c>
      <c r="AI661" s="174">
        <v>144316.42700406109</v>
      </c>
      <c r="AJ661" s="174">
        <v>195160.4248927093</v>
      </c>
      <c r="AK661" s="174">
        <v>146598.99274677126</v>
      </c>
      <c r="AL661" s="174">
        <v>148935.06372425158</v>
      </c>
      <c r="AM661" s="174">
        <v>143964.26527702837</v>
      </c>
      <c r="AN661" s="174">
        <v>172057.35093017775</v>
      </c>
      <c r="AO661" s="174">
        <v>134119.38314785575</v>
      </c>
      <c r="AP661" s="174">
        <v>241223.81112318084</v>
      </c>
      <c r="AQ661" s="174">
        <v>173659.75164300666</v>
      </c>
      <c r="AR661" s="174">
        <v>220641.27959528056</v>
      </c>
      <c r="AS661" s="174">
        <v>26725.378356471534</v>
      </c>
      <c r="AT661" s="174">
        <v>410174.05633248138</v>
      </c>
      <c r="AU661" s="174">
        <v>145010.99052140521</v>
      </c>
      <c r="AV661" s="174">
        <v>196099.68949323907</v>
      </c>
      <c r="AW661" s="174">
        <v>147304.5417556754</v>
      </c>
      <c r="AX661" s="174">
        <v>149651.85573375225</v>
      </c>
      <c r="AY661" s="174">
        <v>144657.13391671458</v>
      </c>
      <c r="AZ661" s="174">
        <v>172885.42546977004</v>
      </c>
      <c r="BA661" s="174">
        <v>134764.87051500479</v>
      </c>
      <c r="BB661" s="174">
        <v>242384.76876465685</v>
      </c>
      <c r="BC661" s="174">
        <v>174495.53818807466</v>
      </c>
      <c r="BD661" s="174">
        <v>221703.17799734327</v>
      </c>
      <c r="BE661" s="174">
        <v>26854.001779175182</v>
      </c>
      <c r="BF661" s="174">
        <v>411907.95160550717</v>
      </c>
      <c r="BG661" s="174">
        <v>145623.98363279316</v>
      </c>
      <c r="BH661" s="174">
        <v>196928.64568733476</v>
      </c>
      <c r="BI661" s="174">
        <v>147927.23020879002</v>
      </c>
      <c r="BJ661" s="174">
        <v>150284.4667954474</v>
      </c>
      <c r="BK661" s="174">
        <v>145268.63119899115</v>
      </c>
      <c r="BL661" s="174">
        <v>173616.24990239606</v>
      </c>
      <c r="BM661" s="174">
        <v>135334.55104049982</v>
      </c>
      <c r="BN661" s="174">
        <v>243409.38209240435</v>
      </c>
      <c r="BO661" s="174">
        <v>175233.16891863249</v>
      </c>
      <c r="BP661" s="174">
        <v>222640.36572633218</v>
      </c>
      <c r="BQ661" s="174">
        <v>26967.519506656707</v>
      </c>
      <c r="BR661" s="174">
        <v>418361.12732304161</v>
      </c>
      <c r="BS661" s="174">
        <v>147905.40877014952</v>
      </c>
      <c r="BT661" s="174">
        <v>200013.83777814812</v>
      </c>
      <c r="BU661" s="174">
        <v>150244.7392693088</v>
      </c>
      <c r="BV661" s="174">
        <v>152638.90561622501</v>
      </c>
      <c r="BW661" s="174">
        <v>147544.48919036737</v>
      </c>
      <c r="BX661" s="174">
        <v>176336.21722439749</v>
      </c>
      <c r="BY661" s="174">
        <v>137454.77628770354</v>
      </c>
      <c r="BZ661" s="174">
        <v>247222.76687367979</v>
      </c>
      <c r="CA661" s="174">
        <v>177978.46778010076</v>
      </c>
      <c r="CB661" s="174">
        <v>226128.37171468016</v>
      </c>
      <c r="CC661" s="174">
        <v>27390.007446897205</v>
      </c>
      <c r="CD661" s="174">
        <v>419221.90152065002</v>
      </c>
      <c r="CE661" s="174">
        <v>148209.7227975323</v>
      </c>
      <c r="CF661" s="174">
        <v>200425.36442218823</v>
      </c>
      <c r="CG661" s="174">
        <v>150553.86644782309</v>
      </c>
      <c r="CH661" s="174">
        <v>152952.9587701266</v>
      </c>
      <c r="CI661" s="174">
        <v>147848.0606290118</v>
      </c>
      <c r="CJ661" s="174">
        <v>176699.0273804506</v>
      </c>
      <c r="CK661" s="174">
        <v>137737.58823422345</v>
      </c>
      <c r="CL661" s="174">
        <v>247731.42545806561</v>
      </c>
      <c r="CM661" s="174">
        <v>178344.65685166977</v>
      </c>
      <c r="CN661" s="174">
        <v>226593.62877373025</v>
      </c>
      <c r="CO661" s="174">
        <v>27446.362137002972</v>
      </c>
    </row>
    <row r="662" spans="1:93" x14ac:dyDescent="0.2">
      <c r="A662" s="118">
        <f t="shared" si="54"/>
        <v>17</v>
      </c>
      <c r="B662" s="227" t="s">
        <v>644</v>
      </c>
      <c r="C662" s="263"/>
      <c r="D662" s="172"/>
      <c r="E662" s="230"/>
      <c r="F662" s="197"/>
      <c r="G662" s="230"/>
      <c r="H662" s="203"/>
      <c r="I662" s="308"/>
      <c r="J662" s="172"/>
      <c r="K662" s="230"/>
      <c r="L662" s="197"/>
      <c r="M662" s="230"/>
      <c r="N662" s="203"/>
      <c r="O662" s="227"/>
      <c r="P662" s="262"/>
      <c r="Q662" s="331"/>
      <c r="R662" s="227"/>
      <c r="S662" s="227"/>
      <c r="T662" s="227"/>
      <c r="U662" s="184" t="s">
        <v>140</v>
      </c>
      <c r="V662" s="179">
        <v>257</v>
      </c>
      <c r="W662" s="180">
        <v>231</v>
      </c>
      <c r="X662" s="227"/>
      <c r="Y662" s="184"/>
      <c r="Z662" s="181"/>
      <c r="AA662" s="227"/>
      <c r="AB662" s="182">
        <f>SUM(AH662:AS662)</f>
        <v>0</v>
      </c>
      <c r="AC662" s="182">
        <f>SUM(AT662:BE662)</f>
        <v>0</v>
      </c>
      <c r="AD662" s="182">
        <f>SUM(BF662:BQ662)</f>
        <v>0</v>
      </c>
      <c r="AE662" s="182">
        <f>SUM(BR662:CC662)</f>
        <v>0</v>
      </c>
      <c r="AF662" s="182">
        <f>SUM(CD662:CO662)</f>
        <v>0</v>
      </c>
    </row>
    <row r="663" spans="1:93" x14ac:dyDescent="0.2">
      <c r="A663" s="118">
        <f t="shared" si="54"/>
        <v>18</v>
      </c>
      <c r="B663" s="227" t="s">
        <v>647</v>
      </c>
      <c r="C663" s="263"/>
      <c r="D663" s="172">
        <f>SUMIF($AH$6:$CP$6,1,$AH663:$CP663)</f>
        <v>110000</v>
      </c>
      <c r="E663" s="233" t="s">
        <v>596</v>
      </c>
      <c r="F663" s="201">
        <f>'Exhibit MJC-3 - E-13c cal yr'!F665</f>
        <v>1.9570000000000001</v>
      </c>
      <c r="G663" s="233" t="s">
        <v>375</v>
      </c>
      <c r="H663" s="174">
        <f>ROUND(D663*F663,2)</f>
        <v>215270</v>
      </c>
      <c r="I663" s="308"/>
      <c r="J663" s="172">
        <f>SUMIF($AH$6:$CP$6,1,$AH663:$CP663)</f>
        <v>110000</v>
      </c>
      <c r="K663" s="233" t="s">
        <v>596</v>
      </c>
      <c r="L663" s="201">
        <f>L660</f>
        <v>2.21</v>
      </c>
      <c r="M663" s="233" t="s">
        <v>375</v>
      </c>
      <c r="N663" s="174">
        <f>ROUND(J663*L663,2)</f>
        <v>243100</v>
      </c>
      <c r="O663" s="227"/>
      <c r="P663" s="262"/>
      <c r="Q663" s="331"/>
      <c r="R663" s="227"/>
      <c r="S663" s="227"/>
      <c r="T663" s="227"/>
      <c r="U663" s="184" t="s">
        <v>140</v>
      </c>
      <c r="V663" s="179">
        <v>257</v>
      </c>
      <c r="W663" s="180">
        <v>231</v>
      </c>
      <c r="X663" s="227"/>
      <c r="Y663" s="184"/>
      <c r="Z663" s="181"/>
      <c r="AA663" s="227"/>
      <c r="AB663" s="182">
        <f>SUM(AH663:AS663)</f>
        <v>110000</v>
      </c>
      <c r="AC663" s="182">
        <f>SUM(AT663:BE663)</f>
        <v>110000</v>
      </c>
      <c r="AD663" s="182">
        <f>SUM(BF663:BQ663)</f>
        <v>110000</v>
      </c>
      <c r="AE663" s="182">
        <f>SUM(BR663:CC663)</f>
        <v>110000</v>
      </c>
      <c r="AF663" s="182">
        <f>SUM(CD663:CO663)</f>
        <v>110000</v>
      </c>
      <c r="AH663" s="174">
        <v>10000</v>
      </c>
      <c r="AI663" s="174">
        <v>0</v>
      </c>
      <c r="AJ663" s="174">
        <v>10000</v>
      </c>
      <c r="AK663" s="174">
        <v>10000</v>
      </c>
      <c r="AL663" s="174">
        <v>10000</v>
      </c>
      <c r="AM663" s="174">
        <v>10000</v>
      </c>
      <c r="AN663" s="174">
        <v>10000</v>
      </c>
      <c r="AO663" s="174">
        <v>10000</v>
      </c>
      <c r="AP663" s="174">
        <v>10000</v>
      </c>
      <c r="AQ663" s="174">
        <v>10000</v>
      </c>
      <c r="AR663" s="174">
        <v>10000</v>
      </c>
      <c r="AS663" s="174">
        <v>10000</v>
      </c>
      <c r="AT663" s="174">
        <v>10000</v>
      </c>
      <c r="AU663" s="174">
        <v>0</v>
      </c>
      <c r="AV663" s="174">
        <v>10000</v>
      </c>
      <c r="AW663" s="174">
        <v>10000</v>
      </c>
      <c r="AX663" s="174">
        <v>10000</v>
      </c>
      <c r="AY663" s="174">
        <v>10000</v>
      </c>
      <c r="AZ663" s="174">
        <v>10000</v>
      </c>
      <c r="BA663" s="174">
        <v>10000</v>
      </c>
      <c r="BB663" s="174">
        <v>10000</v>
      </c>
      <c r="BC663" s="174">
        <v>10000</v>
      </c>
      <c r="BD663" s="174">
        <v>10000</v>
      </c>
      <c r="BE663" s="174">
        <v>10000</v>
      </c>
      <c r="BF663" s="174">
        <v>10000</v>
      </c>
      <c r="BG663" s="174">
        <v>0</v>
      </c>
      <c r="BH663" s="174">
        <v>10000</v>
      </c>
      <c r="BI663" s="174">
        <v>10000</v>
      </c>
      <c r="BJ663" s="174">
        <v>10000</v>
      </c>
      <c r="BK663" s="174">
        <v>10000</v>
      </c>
      <c r="BL663" s="174">
        <v>10000</v>
      </c>
      <c r="BM663" s="174">
        <v>10000</v>
      </c>
      <c r="BN663" s="174">
        <v>10000</v>
      </c>
      <c r="BO663" s="174">
        <v>10000</v>
      </c>
      <c r="BP663" s="174">
        <v>10000</v>
      </c>
      <c r="BQ663" s="174">
        <v>10000</v>
      </c>
      <c r="BR663" s="174">
        <v>10000</v>
      </c>
      <c r="BS663" s="174">
        <v>0</v>
      </c>
      <c r="BT663" s="174">
        <v>10000</v>
      </c>
      <c r="BU663" s="174">
        <v>10000</v>
      </c>
      <c r="BV663" s="174">
        <v>10000</v>
      </c>
      <c r="BW663" s="174">
        <v>10000</v>
      </c>
      <c r="BX663" s="174">
        <v>10000</v>
      </c>
      <c r="BY663" s="174">
        <v>10000</v>
      </c>
      <c r="BZ663" s="174">
        <v>10000</v>
      </c>
      <c r="CA663" s="174">
        <v>10000</v>
      </c>
      <c r="CB663" s="174">
        <v>10000</v>
      </c>
      <c r="CC663" s="174">
        <v>10000</v>
      </c>
      <c r="CD663" s="174">
        <v>10000</v>
      </c>
      <c r="CE663" s="174">
        <v>0</v>
      </c>
      <c r="CF663" s="174">
        <v>10000</v>
      </c>
      <c r="CG663" s="174">
        <v>10000</v>
      </c>
      <c r="CH663" s="174">
        <v>10000</v>
      </c>
      <c r="CI663" s="174">
        <v>10000</v>
      </c>
      <c r="CJ663" s="174">
        <v>10000</v>
      </c>
      <c r="CK663" s="174">
        <v>10000</v>
      </c>
      <c r="CL663" s="174">
        <v>10000</v>
      </c>
      <c r="CM663" s="174">
        <v>10000</v>
      </c>
      <c r="CN663" s="174">
        <v>10000</v>
      </c>
      <c r="CO663" s="174">
        <v>10000</v>
      </c>
    </row>
    <row r="664" spans="1:93" x14ac:dyDescent="0.2">
      <c r="A664" s="118">
        <f t="shared" si="54"/>
        <v>19</v>
      </c>
      <c r="B664" s="227" t="s">
        <v>648</v>
      </c>
      <c r="C664" s="263"/>
      <c r="D664" s="172">
        <f>+J664</f>
        <v>45130.40121168919</v>
      </c>
      <c r="E664" s="233" t="s">
        <v>596</v>
      </c>
      <c r="F664" s="201">
        <f>'Exhibit MJC-3 - E-13c cal yr'!F666</f>
        <v>0.93100000000000005</v>
      </c>
      <c r="G664" s="233" t="s">
        <v>375</v>
      </c>
      <c r="H664" s="174">
        <f>ROUND(D664*F664,2)</f>
        <v>42016.4</v>
      </c>
      <c r="I664" s="308"/>
      <c r="J664" s="172">
        <f>+(BR664*BR$658)+(BS664*BS$658)+(BT664*BT$658)+(BU664*BU$658)+(BV664*BV$658)+(BW664*BW$658)+(BX664*BX$658)+(BY664*BY$658)+(BZ664*BZ$658)+(CA664*CA$658)+(CB664*CB$658)+(CC664*CC$658)</f>
        <v>45130.40121168919</v>
      </c>
      <c r="K664" s="233" t="s">
        <v>596</v>
      </c>
      <c r="L664" s="201">
        <f>L661</f>
        <v>1.05</v>
      </c>
      <c r="M664" s="233" t="s">
        <v>375</v>
      </c>
      <c r="N664" s="174">
        <f>ROUND(J664*L664,2)</f>
        <v>47386.92</v>
      </c>
      <c r="O664" s="227"/>
      <c r="P664" s="262"/>
      <c r="Q664" s="331"/>
      <c r="R664" s="227"/>
      <c r="S664" s="227"/>
      <c r="T664" s="227"/>
      <c r="U664" s="184" t="s">
        <v>140</v>
      </c>
      <c r="V664" s="179">
        <v>257</v>
      </c>
      <c r="W664" s="180">
        <v>231</v>
      </c>
      <c r="X664" s="227"/>
      <c r="Y664" s="184"/>
      <c r="Z664" s="181"/>
      <c r="AA664" s="227"/>
      <c r="AB664" s="182">
        <f>SUM(AH664:AS664)</f>
        <v>36696.07885589153</v>
      </c>
      <c r="AC664" s="182">
        <f>SUM(AT664:BE664)</f>
        <v>36872.689087533203</v>
      </c>
      <c r="AD664" s="182">
        <f>SUM(BF664:BQ664)</f>
        <v>37028.557993246737</v>
      </c>
      <c r="AE664" s="182">
        <f>SUM(BR664:CC664)</f>
        <v>37608.667676407662</v>
      </c>
      <c r="AF664" s="182">
        <f>SUM(CD664:CO664)</f>
        <v>37686.047166585027</v>
      </c>
      <c r="AH664" s="174">
        <v>0</v>
      </c>
      <c r="AI664" s="174">
        <v>36696.07885589153</v>
      </c>
      <c r="AJ664" s="174">
        <v>0</v>
      </c>
      <c r="AK664" s="174">
        <v>0</v>
      </c>
      <c r="AL664" s="174">
        <v>0</v>
      </c>
      <c r="AM664" s="174">
        <v>0</v>
      </c>
      <c r="AN664" s="174">
        <v>0</v>
      </c>
      <c r="AO664" s="174">
        <v>0</v>
      </c>
      <c r="AP664" s="174">
        <v>0</v>
      </c>
      <c r="AQ664" s="174">
        <v>0</v>
      </c>
      <c r="AR664" s="174">
        <v>0</v>
      </c>
      <c r="AS664" s="174">
        <v>0</v>
      </c>
      <c r="AT664" s="174">
        <v>0</v>
      </c>
      <c r="AU664" s="174">
        <v>36872.689087533203</v>
      </c>
      <c r="AV664" s="174">
        <v>0</v>
      </c>
      <c r="AW664" s="174">
        <v>0</v>
      </c>
      <c r="AX664" s="174">
        <v>0</v>
      </c>
      <c r="AY664" s="174">
        <v>0</v>
      </c>
      <c r="AZ664" s="174">
        <v>0</v>
      </c>
      <c r="BA664" s="174">
        <v>0</v>
      </c>
      <c r="BB664" s="174">
        <v>0</v>
      </c>
      <c r="BC664" s="174">
        <v>0</v>
      </c>
      <c r="BD664" s="174">
        <v>0</v>
      </c>
      <c r="BE664" s="174">
        <v>0</v>
      </c>
      <c r="BF664" s="174">
        <v>0</v>
      </c>
      <c r="BG664" s="174">
        <v>37028.557993246737</v>
      </c>
      <c r="BH664" s="174">
        <v>0</v>
      </c>
      <c r="BI664" s="174">
        <v>0</v>
      </c>
      <c r="BJ664" s="174">
        <v>0</v>
      </c>
      <c r="BK664" s="174">
        <v>0</v>
      </c>
      <c r="BL664" s="174">
        <v>0</v>
      </c>
      <c r="BM664" s="174">
        <v>0</v>
      </c>
      <c r="BN664" s="174">
        <v>0</v>
      </c>
      <c r="BO664" s="174">
        <v>0</v>
      </c>
      <c r="BP664" s="174">
        <v>0</v>
      </c>
      <c r="BQ664" s="174">
        <v>0</v>
      </c>
      <c r="BR664" s="174">
        <v>0</v>
      </c>
      <c r="BS664" s="174">
        <v>37608.667676407662</v>
      </c>
      <c r="BT664" s="174">
        <v>0</v>
      </c>
      <c r="BU664" s="174">
        <v>0</v>
      </c>
      <c r="BV664" s="174">
        <v>0</v>
      </c>
      <c r="BW664" s="174">
        <v>0</v>
      </c>
      <c r="BX664" s="174">
        <v>0</v>
      </c>
      <c r="BY664" s="174">
        <v>0</v>
      </c>
      <c r="BZ664" s="174">
        <v>0</v>
      </c>
      <c r="CA664" s="174">
        <v>0</v>
      </c>
      <c r="CB664" s="174">
        <v>0</v>
      </c>
      <c r="CC664" s="174">
        <v>0</v>
      </c>
      <c r="CD664" s="174">
        <v>0</v>
      </c>
      <c r="CE664" s="174">
        <v>37686.047166585027</v>
      </c>
      <c r="CF664" s="174">
        <v>0</v>
      </c>
      <c r="CG664" s="174">
        <v>0</v>
      </c>
      <c r="CH664" s="174">
        <v>0</v>
      </c>
      <c r="CI664" s="174">
        <v>0</v>
      </c>
      <c r="CJ664" s="174">
        <v>0</v>
      </c>
      <c r="CK664" s="174">
        <v>0</v>
      </c>
      <c r="CL664" s="174">
        <v>0</v>
      </c>
      <c r="CM664" s="174">
        <v>0</v>
      </c>
      <c r="CN664" s="174">
        <v>0</v>
      </c>
      <c r="CO664" s="174">
        <v>0</v>
      </c>
    </row>
    <row r="665" spans="1:93" x14ac:dyDescent="0.2">
      <c r="A665" s="118">
        <f t="shared" si="54"/>
        <v>20</v>
      </c>
      <c r="B665" s="227"/>
      <c r="C665" s="225" t="s">
        <v>121</v>
      </c>
      <c r="D665" s="227"/>
      <c r="E665" s="230"/>
      <c r="F665" s="326"/>
      <c r="G665" s="230"/>
      <c r="H665" s="300">
        <f>SUM(H654:H664)</f>
        <v>3566541.7499999995</v>
      </c>
      <c r="I665" s="308"/>
      <c r="J665" s="227"/>
      <c r="K665" s="230"/>
      <c r="L665" s="326"/>
      <c r="M665" s="230"/>
      <c r="N665" s="300">
        <f>SUM(N654:N664)</f>
        <v>4922440.79</v>
      </c>
      <c r="O665" s="227"/>
      <c r="P665" s="262"/>
      <c r="Q665" s="939">
        <f>(N665-H665)/H665</f>
        <v>0.38017192424566476</v>
      </c>
      <c r="R665" s="227"/>
      <c r="S665" s="227"/>
      <c r="T665" s="227"/>
      <c r="U665" s="178"/>
      <c r="V665" s="179"/>
      <c r="W665" s="180"/>
      <c r="X665" s="227"/>
      <c r="Y665" s="184" t="s">
        <v>140</v>
      </c>
      <c r="Z665" s="181" t="s">
        <v>146</v>
      </c>
      <c r="AA665" s="227"/>
      <c r="AB665" s="324">
        <f>SUM(AB654:AB655)</f>
        <v>459240</v>
      </c>
      <c r="AC665" s="324">
        <f>SUM(AC654:AC655)</f>
        <v>459240</v>
      </c>
      <c r="AD665" s="324">
        <f>SUM(AD654:AD655)</f>
        <v>459240</v>
      </c>
      <c r="AE665" s="324">
        <f>SUM(AE654:AE655)</f>
        <v>459240</v>
      </c>
      <c r="AF665" s="324">
        <f>SUM(AF654:AF655)</f>
        <v>459240</v>
      </c>
      <c r="AH665" s="247"/>
      <c r="AI665" s="247"/>
      <c r="AJ665" s="247"/>
      <c r="AK665" s="247"/>
      <c r="AL665" s="247"/>
      <c r="AM665" s="247"/>
      <c r="AN665" s="247"/>
      <c r="AO665" s="247"/>
      <c r="AP665" s="247"/>
      <c r="AQ665" s="247"/>
      <c r="AR665" s="247"/>
      <c r="AS665" s="247"/>
      <c r="AT665" s="247"/>
      <c r="AU665" s="247"/>
      <c r="AV665" s="247"/>
      <c r="AW665" s="247"/>
      <c r="AX665" s="247"/>
      <c r="AY665" s="247"/>
      <c r="AZ665" s="247"/>
      <c r="BA665" s="247"/>
      <c r="BB665" s="247"/>
      <c r="BC665" s="247"/>
      <c r="BD665" s="247"/>
      <c r="BE665" s="247"/>
      <c r="BF665" s="247"/>
      <c r="BG665" s="247"/>
      <c r="BH665" s="247"/>
      <c r="BI665" s="247"/>
      <c r="BJ665" s="247"/>
      <c r="BK665" s="247"/>
      <c r="BL665" s="247"/>
      <c r="BM665" s="247"/>
      <c r="BN665" s="247"/>
      <c r="BO665" s="247"/>
      <c r="BP665" s="247"/>
      <c r="BQ665" s="247"/>
      <c r="BR665" s="247"/>
      <c r="BS665" s="247"/>
      <c r="BT665" s="247"/>
      <c r="BU665" s="247"/>
      <c r="BV665" s="247"/>
      <c r="BW665" s="247"/>
      <c r="BX665" s="247"/>
      <c r="BY665" s="247"/>
      <c r="BZ665" s="247"/>
      <c r="CA665" s="247"/>
      <c r="CB665" s="247"/>
      <c r="CC665" s="247"/>
      <c r="CD665" s="247"/>
      <c r="CE665" s="247"/>
      <c r="CF665" s="247"/>
      <c r="CG665" s="247"/>
      <c r="CH665" s="247"/>
      <c r="CI665" s="247"/>
      <c r="CJ665" s="247"/>
      <c r="CK665" s="247"/>
      <c r="CL665" s="247"/>
      <c r="CM665" s="247"/>
      <c r="CN665" s="247"/>
      <c r="CO665" s="247"/>
    </row>
    <row r="666" spans="1:93" x14ac:dyDescent="0.2">
      <c r="A666" s="118">
        <f t="shared" si="54"/>
        <v>21</v>
      </c>
      <c r="B666" s="227"/>
      <c r="C666" s="263"/>
      <c r="D666" s="227"/>
      <c r="E666" s="230"/>
      <c r="F666" s="197"/>
      <c r="G666" s="230"/>
      <c r="H666" s="203"/>
      <c r="I666" s="308"/>
      <c r="J666" s="227"/>
      <c r="K666" s="230"/>
      <c r="L666" s="197"/>
      <c r="M666" s="230"/>
      <c r="N666" s="203"/>
      <c r="O666" s="227"/>
      <c r="P666" s="262"/>
      <c r="Q666" s="331"/>
      <c r="T666" s="264"/>
      <c r="U666" s="184"/>
      <c r="V666" s="179"/>
      <c r="W666" s="180"/>
      <c r="X666" s="264"/>
      <c r="Y666" s="184"/>
      <c r="Z666" s="181"/>
      <c r="AA666" s="264"/>
      <c r="AC666" s="114"/>
      <c r="AD666" s="114"/>
      <c r="AE666" s="114"/>
      <c r="AF666" s="114"/>
    </row>
    <row r="667" spans="1:93" x14ac:dyDescent="0.2">
      <c r="A667" s="118">
        <f t="shared" si="54"/>
        <v>22</v>
      </c>
      <c r="B667" s="286" t="s">
        <v>551</v>
      </c>
      <c r="C667" s="263"/>
      <c r="D667" s="227"/>
      <c r="E667" s="230"/>
      <c r="F667" s="197"/>
      <c r="G667" s="230"/>
      <c r="H667" s="203"/>
      <c r="I667" s="308"/>
      <c r="J667" s="227"/>
      <c r="K667" s="230"/>
      <c r="L667" s="197"/>
      <c r="M667" s="230"/>
      <c r="N667" s="203"/>
      <c r="O667" s="227"/>
      <c r="P667" s="262"/>
      <c r="Q667" s="331"/>
      <c r="T667" s="264"/>
      <c r="U667" s="184"/>
      <c r="V667" s="179"/>
      <c r="W667" s="180"/>
      <c r="X667" s="264"/>
      <c r="Y667" s="184"/>
      <c r="Z667" s="181"/>
      <c r="AA667" s="264"/>
      <c r="AC667" s="114"/>
      <c r="AD667" s="114"/>
      <c r="AE667" s="114"/>
      <c r="AF667" s="114"/>
    </row>
    <row r="668" spans="1:93" x14ac:dyDescent="0.2">
      <c r="A668" s="118">
        <f t="shared" si="54"/>
        <v>23</v>
      </c>
      <c r="B668" s="228" t="s">
        <v>543</v>
      </c>
      <c r="C668" s="225"/>
      <c r="D668" s="168"/>
      <c r="E668" s="233"/>
      <c r="F668" s="183"/>
      <c r="G668" s="233"/>
      <c r="H668" s="174"/>
      <c r="I668" s="308"/>
      <c r="J668" s="168"/>
      <c r="K668" s="233"/>
      <c r="L668" s="857">
        <v>0</v>
      </c>
      <c r="M668" s="233"/>
      <c r="N668" s="174"/>
      <c r="O668" s="227"/>
      <c r="P668" s="262"/>
      <c r="Q668" s="331"/>
      <c r="T668" s="264"/>
      <c r="U668" s="178"/>
      <c r="V668" s="179"/>
      <c r="W668" s="180"/>
      <c r="X668" s="264"/>
      <c r="Y668" s="178"/>
      <c r="Z668" s="181"/>
      <c r="AA668" s="264"/>
      <c r="AB668" s="264"/>
      <c r="AC668" s="242"/>
      <c r="AH668" s="168"/>
      <c r="AT668" s="168"/>
      <c r="BF668" s="168"/>
      <c r="BR668" s="168"/>
      <c r="CD668" s="168"/>
    </row>
    <row r="669" spans="1:93" x14ac:dyDescent="0.2">
      <c r="A669" s="118">
        <f t="shared" si="54"/>
        <v>24</v>
      </c>
      <c r="B669" s="234" t="s">
        <v>148</v>
      </c>
      <c r="C669" s="225"/>
      <c r="D669" s="172">
        <f>SUMIF($AH$6:$CP$6,1,$AH669:$CP669)</f>
        <v>53277.282498330424</v>
      </c>
      <c r="E669" s="233" t="s">
        <v>555</v>
      </c>
      <c r="F669" s="173">
        <f>'Exhibit MJC-3 - E-13c cal yr'!F671</f>
        <v>16.559999999999999</v>
      </c>
      <c r="G669" s="233" t="s">
        <v>375</v>
      </c>
      <c r="H669" s="174">
        <f>ROUND(D669*F669,2)</f>
        <v>882271.8</v>
      </c>
      <c r="I669" s="308"/>
      <c r="J669" s="172">
        <f>SUMIF($AH$6:$CP$6,1,$AH669:$CP669)</f>
        <v>53277.282498330424</v>
      </c>
      <c r="K669" s="233" t="s">
        <v>555</v>
      </c>
      <c r="L669" s="183">
        <f>ROUND(F669*(1+'Exhibit MJC-2 - Old E-8a'!V27)+L668,2)</f>
        <v>17.23</v>
      </c>
      <c r="M669" s="233" t="s">
        <v>375</v>
      </c>
      <c r="N669" s="174">
        <f>ROUND(J669*L669,2)</f>
        <v>917967.58</v>
      </c>
      <c r="O669" s="227"/>
      <c r="P669" s="262"/>
      <c r="Q669" s="331"/>
      <c r="T669" s="264"/>
      <c r="U669" s="184" t="s">
        <v>140</v>
      </c>
      <c r="V669" s="179">
        <v>257</v>
      </c>
      <c r="W669" s="180">
        <v>231</v>
      </c>
      <c r="X669" s="264"/>
      <c r="Y669" s="184"/>
      <c r="Z669" s="181"/>
      <c r="AA669" s="264"/>
      <c r="AB669" s="182">
        <f>SUM(AH669:AS669)</f>
        <v>51961.170644248145</v>
      </c>
      <c r="AC669" s="182">
        <f>SUM(AT669:BE669)</f>
        <v>52230.838333769076</v>
      </c>
      <c r="AD669" s="182">
        <f>SUM(BF669:BQ669)</f>
        <v>52444.266772806724</v>
      </c>
      <c r="AE669" s="182">
        <f>SUM(BR669:CC669)</f>
        <v>53277.282498330424</v>
      </c>
      <c r="AF669" s="182">
        <f>SUM(CD669:CO669)</f>
        <v>53386.596307825348</v>
      </c>
      <c r="AH669" s="168">
        <v>8551.3131374138375</v>
      </c>
      <c r="AI669" s="168">
        <v>3470.4411967973738</v>
      </c>
      <c r="AJ669" s="168">
        <v>2686.9563494775834</v>
      </c>
      <c r="AK669" s="168">
        <v>3865.1771528501099</v>
      </c>
      <c r="AL669" s="168">
        <v>4325.8336911183142</v>
      </c>
      <c r="AM669" s="168">
        <v>4590.8086777166554</v>
      </c>
      <c r="AN669" s="168">
        <v>4502.5702346955095</v>
      </c>
      <c r="AO669" s="168">
        <v>3175.028281097289</v>
      </c>
      <c r="AP669" s="168">
        <v>6197.6898934329874</v>
      </c>
      <c r="AQ669" s="168">
        <v>6458.5314491515201</v>
      </c>
      <c r="AR669" s="168">
        <v>3400.751121192553</v>
      </c>
      <c r="AS669" s="168">
        <v>736.06945930441725</v>
      </c>
      <c r="AT669" s="168">
        <v>9010.1637463301522</v>
      </c>
      <c r="AU669" s="168">
        <v>3527.879177594878</v>
      </c>
      <c r="AV669" s="168">
        <v>2675.5745628004779</v>
      </c>
      <c r="AW669" s="168">
        <v>3901.7121586360686</v>
      </c>
      <c r="AX669" s="168">
        <v>4311.0951371945175</v>
      </c>
      <c r="AY669" s="168">
        <v>4492.6599482942129</v>
      </c>
      <c r="AZ669" s="168">
        <v>4517.186047693689</v>
      </c>
      <c r="BA669" s="168">
        <v>3127.0738635052039</v>
      </c>
      <c r="BB669" s="168">
        <v>6135.2162787205552</v>
      </c>
      <c r="BC669" s="168">
        <v>6440.3713416882856</v>
      </c>
      <c r="BD669" s="168">
        <v>3362.6649596474131</v>
      </c>
      <c r="BE669" s="168">
        <v>729.24111166362025</v>
      </c>
      <c r="BF669" s="168">
        <v>8980.9069112333964</v>
      </c>
      <c r="BG669" s="168">
        <v>3569.8302231100265</v>
      </c>
      <c r="BH669" s="168">
        <v>2716.3130845670448</v>
      </c>
      <c r="BI669" s="168">
        <v>3891.6589692236425</v>
      </c>
      <c r="BJ669" s="168">
        <v>4340.8497827766532</v>
      </c>
      <c r="BK669" s="168">
        <v>4550.9457427171992</v>
      </c>
      <c r="BL669" s="168">
        <v>4544.5030455234828</v>
      </c>
      <c r="BM669" s="168">
        <v>3152.7638592884819</v>
      </c>
      <c r="BN669" s="168">
        <v>6162.7077965233921</v>
      </c>
      <c r="BO669" s="168">
        <v>6420.809228973837</v>
      </c>
      <c r="BP669" s="168">
        <v>3367.9362706923812</v>
      </c>
      <c r="BQ669" s="168">
        <v>745.04185817719292</v>
      </c>
      <c r="BR669" s="168">
        <v>9126.2486781632233</v>
      </c>
      <c r="BS669" s="168">
        <v>3608.762376275236</v>
      </c>
      <c r="BT669" s="168">
        <v>2785.7241367315874</v>
      </c>
      <c r="BU669" s="168">
        <v>3995.1992723745084</v>
      </c>
      <c r="BV669" s="168">
        <v>4348.9129807048012</v>
      </c>
      <c r="BW669" s="168">
        <v>4657.6481527397727</v>
      </c>
      <c r="BX669" s="168">
        <v>4640.8882930979862</v>
      </c>
      <c r="BY669" s="168">
        <v>3199.8142647659356</v>
      </c>
      <c r="BZ669" s="168">
        <v>6235.1607462146703</v>
      </c>
      <c r="CA669" s="168">
        <v>6524.4372059310699</v>
      </c>
      <c r="CB669" s="168">
        <v>3413.1007912902919</v>
      </c>
      <c r="CC669" s="168">
        <v>741.3856000413349</v>
      </c>
      <c r="CD669" s="168">
        <v>9164.9805089052152</v>
      </c>
      <c r="CE669" s="168">
        <v>3585.8311967812815</v>
      </c>
      <c r="CF669" s="168">
        <v>2743.1116713257416</v>
      </c>
      <c r="CG669" s="168">
        <v>4032.1902209192858</v>
      </c>
      <c r="CH669" s="168">
        <v>4389.9180638207135</v>
      </c>
      <c r="CI669" s="168">
        <v>4606.5798505982602</v>
      </c>
      <c r="CJ669" s="168">
        <v>4626.5367629247121</v>
      </c>
      <c r="CK669" s="168">
        <v>3199.0798366871813</v>
      </c>
      <c r="CL669" s="168">
        <v>6309.4408406172333</v>
      </c>
      <c r="CM669" s="168">
        <v>6537.020228336286</v>
      </c>
      <c r="CN669" s="168">
        <v>3450.6761512066046</v>
      </c>
      <c r="CO669" s="168">
        <v>741.23097570282664</v>
      </c>
    </row>
    <row r="670" spans="1:93" x14ac:dyDescent="0.2">
      <c r="A670" s="118">
        <f t="shared" si="54"/>
        <v>25</v>
      </c>
      <c r="B670" s="234" t="s">
        <v>657</v>
      </c>
      <c r="C670" s="225"/>
      <c r="D670" s="172">
        <f>SUMIF($AH$6:$CP$6,1,$AH670:$CP670)</f>
        <v>2295.9171679622527</v>
      </c>
      <c r="E670" s="233" t="s">
        <v>555</v>
      </c>
      <c r="F670" s="173">
        <f>'Exhibit MJC-3 - E-13c cal yr'!F672</f>
        <v>16.559999999999999</v>
      </c>
      <c r="G670" s="233" t="s">
        <v>375</v>
      </c>
      <c r="H670" s="174">
        <f>ROUND(D670*F670,2)</f>
        <v>38020.39</v>
      </c>
      <c r="I670" s="308"/>
      <c r="J670" s="172">
        <f>SUMIF($AH$6:$CP$6,1,$AH670:$CP670)</f>
        <v>2295.9171679622527</v>
      </c>
      <c r="K670" s="233" t="s">
        <v>555</v>
      </c>
      <c r="L670" s="183">
        <f>L669</f>
        <v>17.23</v>
      </c>
      <c r="M670" s="233" t="s">
        <v>375</v>
      </c>
      <c r="N670" s="174">
        <f>ROUND(J670*L670,2)</f>
        <v>39558.65</v>
      </c>
      <c r="O670" s="227"/>
      <c r="P670" s="262"/>
      <c r="Q670" s="331"/>
      <c r="T670" s="264"/>
      <c r="U670" s="184" t="s">
        <v>140</v>
      </c>
      <c r="V670" s="179">
        <v>257</v>
      </c>
      <c r="W670" s="180">
        <v>231</v>
      </c>
      <c r="X670" s="264"/>
      <c r="Y670" s="184"/>
      <c r="Z670" s="181"/>
      <c r="AA670" s="264"/>
      <c r="AB670" s="182">
        <f>SUM(AH670:AS670)</f>
        <v>2263.5239068903361</v>
      </c>
      <c r="AC670" s="182">
        <f>SUM(AT670:BE670)</f>
        <v>2254.8278569547751</v>
      </c>
      <c r="AD670" s="182">
        <f>SUM(BF670:BQ670)</f>
        <v>2271.7222225832224</v>
      </c>
      <c r="AE670" s="182">
        <f>SUM(BR670:CC670)</f>
        <v>2295.9171679622527</v>
      </c>
      <c r="AF670" s="182">
        <f>SUM(CD670:CO670)</f>
        <v>2300.9447091023085</v>
      </c>
      <c r="AH670" s="168">
        <v>0</v>
      </c>
      <c r="AI670" s="168">
        <v>467.88797423612243</v>
      </c>
      <c r="AJ670" s="168">
        <v>0</v>
      </c>
      <c r="AK670" s="168">
        <v>17.256222167856134</v>
      </c>
      <c r="AL670" s="168">
        <v>0</v>
      </c>
      <c r="AM670" s="168">
        <v>0</v>
      </c>
      <c r="AN670" s="168">
        <v>0</v>
      </c>
      <c r="AO670" s="168">
        <v>378.80804892008018</v>
      </c>
      <c r="AP670" s="168">
        <v>426.35829784827348</v>
      </c>
      <c r="AQ670" s="168">
        <v>436.07221760390422</v>
      </c>
      <c r="AR670" s="168">
        <v>194.94336356039139</v>
      </c>
      <c r="AS670" s="168">
        <v>342.19778255370812</v>
      </c>
      <c r="AT670" s="168">
        <v>0</v>
      </c>
      <c r="AU670" s="168">
        <v>475.63181398317175</v>
      </c>
      <c r="AV670" s="168">
        <v>0</v>
      </c>
      <c r="AW670" s="168">
        <v>17.419334012880235</v>
      </c>
      <c r="AX670" s="168">
        <v>0</v>
      </c>
      <c r="AY670" s="168">
        <v>0</v>
      </c>
      <c r="AZ670" s="168">
        <v>0</v>
      </c>
      <c r="BA670" s="168">
        <v>373.08667646072092</v>
      </c>
      <c r="BB670" s="168">
        <v>422.06054425181742</v>
      </c>
      <c r="BC670" s="168">
        <v>434.84606915270211</v>
      </c>
      <c r="BD670" s="168">
        <v>192.76012692468296</v>
      </c>
      <c r="BE670" s="168">
        <v>339.02329216879974</v>
      </c>
      <c r="BF670" s="168">
        <v>0</v>
      </c>
      <c r="BG670" s="168">
        <v>481.28769131694833</v>
      </c>
      <c r="BH670" s="168">
        <v>0</v>
      </c>
      <c r="BI670" s="168">
        <v>17.3744511878153</v>
      </c>
      <c r="BJ670" s="168">
        <v>0</v>
      </c>
      <c r="BK670" s="168">
        <v>0</v>
      </c>
      <c r="BL670" s="168">
        <v>0</v>
      </c>
      <c r="BM670" s="168">
        <v>376.15171283767739</v>
      </c>
      <c r="BN670" s="168">
        <v>423.95177097293856</v>
      </c>
      <c r="BO670" s="168">
        <v>433.52525900575625</v>
      </c>
      <c r="BP670" s="168">
        <v>193.06229755371703</v>
      </c>
      <c r="BQ670" s="168">
        <v>346.36903970836948</v>
      </c>
      <c r="BR670" s="168">
        <v>0</v>
      </c>
      <c r="BS670" s="168">
        <v>486.53655889434168</v>
      </c>
      <c r="BT670" s="168">
        <v>0</v>
      </c>
      <c r="BU670" s="168">
        <v>17.836710588572913</v>
      </c>
      <c r="BV670" s="168">
        <v>0</v>
      </c>
      <c r="BW670" s="168">
        <v>0</v>
      </c>
      <c r="BX670" s="168">
        <v>0</v>
      </c>
      <c r="BY670" s="168">
        <v>381.76522891434468</v>
      </c>
      <c r="BZ670" s="168">
        <v>428.93603395408445</v>
      </c>
      <c r="CA670" s="168">
        <v>440.5220944432433</v>
      </c>
      <c r="CB670" s="168">
        <v>195.65129135102316</v>
      </c>
      <c r="CC670" s="168">
        <v>344.66924981664249</v>
      </c>
      <c r="CD670" s="168">
        <v>0</v>
      </c>
      <c r="CE670" s="168">
        <v>483.44495684380917</v>
      </c>
      <c r="CF670" s="168">
        <v>0</v>
      </c>
      <c r="CG670" s="168">
        <v>18.001858006413187</v>
      </c>
      <c r="CH670" s="168">
        <v>0</v>
      </c>
      <c r="CI670" s="168">
        <v>0</v>
      </c>
      <c r="CJ670" s="168">
        <v>0</v>
      </c>
      <c r="CK670" s="168">
        <v>381.67760535859821</v>
      </c>
      <c r="CL670" s="168">
        <v>434.04599188325449</v>
      </c>
      <c r="CM670" s="168">
        <v>441.37168486911673</v>
      </c>
      <c r="CN670" s="168">
        <v>197.80524698847938</v>
      </c>
      <c r="CO670" s="168">
        <v>344.59736515263756</v>
      </c>
    </row>
    <row r="671" spans="1:93" x14ac:dyDescent="0.2">
      <c r="A671" s="118">
        <f t="shared" si="54"/>
        <v>26</v>
      </c>
      <c r="B671" s="227"/>
      <c r="C671" s="225" t="s">
        <v>121</v>
      </c>
      <c r="D671" s="309">
        <f>SUM(D669:D670)</f>
        <v>55573.199666292676</v>
      </c>
      <c r="E671" s="230" t="s">
        <v>606</v>
      </c>
      <c r="F671" s="197"/>
      <c r="G671" s="230"/>
      <c r="H671" s="300">
        <f>SUM(H669:H670)</f>
        <v>920292.19000000006</v>
      </c>
      <c r="I671" s="308"/>
      <c r="J671" s="309">
        <f>SUM(J669:J670)</f>
        <v>55573.199666292676</v>
      </c>
      <c r="K671" s="230" t="s">
        <v>606</v>
      </c>
      <c r="L671" s="197"/>
      <c r="M671" s="230"/>
      <c r="N671" s="300">
        <f>SUM(N669:N670)</f>
        <v>957526.23</v>
      </c>
      <c r="O671" s="227"/>
      <c r="P671" s="262"/>
      <c r="Q671" s="939">
        <f>(N671-H671)/H671</f>
        <v>4.0458932939548164E-2</v>
      </c>
      <c r="T671" s="264"/>
      <c r="U671" s="178"/>
      <c r="V671" s="179"/>
      <c r="W671" s="180"/>
      <c r="X671" s="264"/>
      <c r="Y671" s="178" t="s">
        <v>140</v>
      </c>
      <c r="Z671" s="181" t="s">
        <v>141</v>
      </c>
      <c r="AA671" s="264"/>
      <c r="AB671" s="309">
        <f>SUM(AB669:AB670)</f>
        <v>54224.694551138484</v>
      </c>
      <c r="AC671" s="309">
        <f>SUM(AC669:AC670)</f>
        <v>54485.666190723852</v>
      </c>
      <c r="AD671" s="309">
        <f>SUM(AD669:AD670)</f>
        <v>54715.988995389947</v>
      </c>
      <c r="AE671" s="309">
        <f>SUM(AE669:AE670)</f>
        <v>55573.199666292676</v>
      </c>
      <c r="AF671" s="309">
        <f>SUM(AF669:AF670)</f>
        <v>55687.541016927658</v>
      </c>
      <c r="AH671" s="309">
        <f t="shared" ref="AH671:CO671" si="56">SUM(AH669:AH670)</f>
        <v>8551.3131374138375</v>
      </c>
      <c r="AI671" s="309">
        <f t="shared" si="56"/>
        <v>3938.3291710334961</v>
      </c>
      <c r="AJ671" s="309">
        <f t="shared" si="56"/>
        <v>2686.9563494775834</v>
      </c>
      <c r="AK671" s="309">
        <f t="shared" si="56"/>
        <v>3882.4333750179662</v>
      </c>
      <c r="AL671" s="309">
        <f t="shared" si="56"/>
        <v>4325.8336911183142</v>
      </c>
      <c r="AM671" s="309">
        <f t="shared" si="56"/>
        <v>4590.8086777166554</v>
      </c>
      <c r="AN671" s="309">
        <f t="shared" si="56"/>
        <v>4502.5702346955095</v>
      </c>
      <c r="AO671" s="309">
        <f t="shared" si="56"/>
        <v>3553.8363300173692</v>
      </c>
      <c r="AP671" s="309">
        <f t="shared" si="56"/>
        <v>6624.0481912812611</v>
      </c>
      <c r="AQ671" s="309">
        <f t="shared" si="56"/>
        <v>6894.6036667554245</v>
      </c>
      <c r="AR671" s="309">
        <f t="shared" si="56"/>
        <v>3595.6944847529444</v>
      </c>
      <c r="AS671" s="309">
        <f t="shared" si="56"/>
        <v>1078.2672418581253</v>
      </c>
      <c r="AT671" s="309">
        <f t="shared" si="56"/>
        <v>9010.1637463301522</v>
      </c>
      <c r="AU671" s="309">
        <f t="shared" si="56"/>
        <v>4003.5109915780499</v>
      </c>
      <c r="AV671" s="309">
        <f t="shared" si="56"/>
        <v>2675.5745628004779</v>
      </c>
      <c r="AW671" s="309">
        <f t="shared" si="56"/>
        <v>3919.131492648949</v>
      </c>
      <c r="AX671" s="309">
        <f t="shared" si="56"/>
        <v>4311.0951371945175</v>
      </c>
      <c r="AY671" s="309">
        <f t="shared" si="56"/>
        <v>4492.6599482942129</v>
      </c>
      <c r="AZ671" s="309">
        <f t="shared" si="56"/>
        <v>4517.186047693689</v>
      </c>
      <c r="BA671" s="309">
        <f t="shared" si="56"/>
        <v>3500.1605399659247</v>
      </c>
      <c r="BB671" s="309">
        <f t="shared" si="56"/>
        <v>6557.2768229723724</v>
      </c>
      <c r="BC671" s="309">
        <f t="shared" si="56"/>
        <v>6875.2174108409881</v>
      </c>
      <c r="BD671" s="309">
        <f t="shared" si="56"/>
        <v>3555.425086572096</v>
      </c>
      <c r="BE671" s="309">
        <f t="shared" si="56"/>
        <v>1068.2644038324199</v>
      </c>
      <c r="BF671" s="309">
        <f t="shared" si="56"/>
        <v>8980.9069112333964</v>
      </c>
      <c r="BG671" s="309">
        <f t="shared" si="56"/>
        <v>4051.1179144269749</v>
      </c>
      <c r="BH671" s="309">
        <f t="shared" si="56"/>
        <v>2716.3130845670448</v>
      </c>
      <c r="BI671" s="309">
        <f t="shared" si="56"/>
        <v>3909.0334204114579</v>
      </c>
      <c r="BJ671" s="309">
        <f t="shared" si="56"/>
        <v>4340.8497827766532</v>
      </c>
      <c r="BK671" s="309">
        <f t="shared" si="56"/>
        <v>4550.9457427171992</v>
      </c>
      <c r="BL671" s="309">
        <f t="shared" si="56"/>
        <v>4544.5030455234828</v>
      </c>
      <c r="BM671" s="309">
        <f t="shared" si="56"/>
        <v>3528.9155721261591</v>
      </c>
      <c r="BN671" s="309">
        <f t="shared" si="56"/>
        <v>6586.659567496331</v>
      </c>
      <c r="BO671" s="309">
        <f t="shared" si="56"/>
        <v>6854.3344879795932</v>
      </c>
      <c r="BP671" s="309">
        <f t="shared" si="56"/>
        <v>3560.9985682460983</v>
      </c>
      <c r="BQ671" s="309">
        <f t="shared" si="56"/>
        <v>1091.4108978855625</v>
      </c>
      <c r="BR671" s="309">
        <f t="shared" si="56"/>
        <v>9126.2486781632233</v>
      </c>
      <c r="BS671" s="309">
        <f t="shared" si="56"/>
        <v>4095.2989351695778</v>
      </c>
      <c r="BT671" s="309">
        <f t="shared" si="56"/>
        <v>2785.7241367315874</v>
      </c>
      <c r="BU671" s="309">
        <f t="shared" si="56"/>
        <v>4013.0359829630811</v>
      </c>
      <c r="BV671" s="309">
        <f t="shared" si="56"/>
        <v>4348.9129807048012</v>
      </c>
      <c r="BW671" s="309">
        <f t="shared" si="56"/>
        <v>4657.6481527397727</v>
      </c>
      <c r="BX671" s="309">
        <f t="shared" si="56"/>
        <v>4640.8882930979862</v>
      </c>
      <c r="BY671" s="309">
        <f t="shared" si="56"/>
        <v>3581.5794936802804</v>
      </c>
      <c r="BZ671" s="309">
        <f t="shared" si="56"/>
        <v>6664.0967801687548</v>
      </c>
      <c r="CA671" s="309">
        <f t="shared" si="56"/>
        <v>6964.959300374313</v>
      </c>
      <c r="CB671" s="309">
        <f t="shared" si="56"/>
        <v>3608.7520826413152</v>
      </c>
      <c r="CC671" s="309">
        <f t="shared" si="56"/>
        <v>1086.0548498579774</v>
      </c>
      <c r="CD671" s="309">
        <f t="shared" si="56"/>
        <v>9164.9805089052152</v>
      </c>
      <c r="CE671" s="309">
        <f t="shared" si="56"/>
        <v>4069.2761536250905</v>
      </c>
      <c r="CF671" s="309">
        <f t="shared" si="56"/>
        <v>2743.1116713257416</v>
      </c>
      <c r="CG671" s="309">
        <f t="shared" si="56"/>
        <v>4050.1920789256992</v>
      </c>
      <c r="CH671" s="309">
        <f t="shared" si="56"/>
        <v>4389.9180638207135</v>
      </c>
      <c r="CI671" s="309">
        <f t="shared" si="56"/>
        <v>4606.5798505982602</v>
      </c>
      <c r="CJ671" s="309">
        <f t="shared" si="56"/>
        <v>4626.5367629247121</v>
      </c>
      <c r="CK671" s="309">
        <f t="shared" si="56"/>
        <v>3580.7574420457795</v>
      </c>
      <c r="CL671" s="309">
        <f t="shared" si="56"/>
        <v>6743.4868325004882</v>
      </c>
      <c r="CM671" s="309">
        <f t="shared" si="56"/>
        <v>6978.3919132054025</v>
      </c>
      <c r="CN671" s="309">
        <f t="shared" si="56"/>
        <v>3648.4813981950838</v>
      </c>
      <c r="CO671" s="309">
        <f t="shared" si="56"/>
        <v>1085.8283408554641</v>
      </c>
    </row>
    <row r="672" spans="1:93" x14ac:dyDescent="0.2">
      <c r="A672" s="118">
        <f t="shared" si="54"/>
        <v>27</v>
      </c>
      <c r="B672" s="246" t="s">
        <v>563</v>
      </c>
      <c r="C672" s="263"/>
      <c r="D672" s="227"/>
      <c r="E672" s="230"/>
      <c r="F672" s="197"/>
      <c r="G672" s="230"/>
      <c r="H672" s="203"/>
      <c r="I672" s="308"/>
      <c r="J672" s="227"/>
      <c r="K672" s="230"/>
      <c r="L672" s="197"/>
      <c r="M672" s="230"/>
      <c r="N672" s="203"/>
      <c r="O672" s="227"/>
      <c r="Q672" s="327"/>
      <c r="T672" s="264"/>
      <c r="U672" s="178"/>
      <c r="V672" s="179"/>
      <c r="W672" s="180"/>
      <c r="X672" s="264"/>
      <c r="Y672" s="178"/>
      <c r="Z672" s="181"/>
      <c r="AA672" s="264"/>
      <c r="AB672" s="193">
        <f>SUM(AH672:AS672)</f>
        <v>0</v>
      </c>
      <c r="AC672" s="193">
        <f>SUM(AT672:BE672)</f>
        <v>0</v>
      </c>
      <c r="AD672" s="193">
        <f>SUM(BF672:BQ672)</f>
        <v>0</v>
      </c>
      <c r="AE672" s="193">
        <f>SUM(BR672:CC672)</f>
        <v>0</v>
      </c>
      <c r="AF672" s="193">
        <f>SUM(CD672:CO672)</f>
        <v>0</v>
      </c>
      <c r="AH672" s="328">
        <v>0</v>
      </c>
      <c r="AI672" s="328">
        <v>0</v>
      </c>
      <c r="AJ672" s="328">
        <v>0</v>
      </c>
      <c r="AK672" s="328">
        <v>0</v>
      </c>
      <c r="AL672" s="328">
        <v>0</v>
      </c>
      <c r="AM672" s="328">
        <v>0</v>
      </c>
      <c r="AN672" s="328">
        <v>0</v>
      </c>
      <c r="AO672" s="328">
        <v>0</v>
      </c>
      <c r="AP672" s="328">
        <v>0</v>
      </c>
      <c r="AQ672" s="328">
        <v>0</v>
      </c>
      <c r="AR672" s="328">
        <v>0</v>
      </c>
      <c r="AS672" s="328">
        <v>0</v>
      </c>
      <c r="AT672" s="328">
        <v>0</v>
      </c>
      <c r="AU672" s="328">
        <v>0</v>
      </c>
      <c r="AV672" s="328">
        <v>0</v>
      </c>
      <c r="AW672" s="328">
        <v>0</v>
      </c>
      <c r="AX672" s="328">
        <v>0</v>
      </c>
      <c r="AY672" s="328">
        <v>0</v>
      </c>
      <c r="AZ672" s="328">
        <v>0</v>
      </c>
      <c r="BA672" s="328">
        <v>0</v>
      </c>
      <c r="BB672" s="328">
        <v>0</v>
      </c>
      <c r="BC672" s="328">
        <v>0</v>
      </c>
      <c r="BD672" s="328">
        <v>0</v>
      </c>
      <c r="BE672" s="328">
        <v>0</v>
      </c>
      <c r="BF672" s="328">
        <v>0</v>
      </c>
      <c r="BG672" s="328">
        <v>0</v>
      </c>
      <c r="BH672" s="328">
        <v>0</v>
      </c>
      <c r="BI672" s="328">
        <v>0</v>
      </c>
      <c r="BJ672" s="328">
        <v>0</v>
      </c>
      <c r="BK672" s="328">
        <v>0</v>
      </c>
      <c r="BL672" s="328">
        <v>0</v>
      </c>
      <c r="BM672" s="328">
        <v>0</v>
      </c>
      <c r="BN672" s="328">
        <v>0</v>
      </c>
      <c r="BO672" s="328">
        <v>0</v>
      </c>
      <c r="BP672" s="328">
        <v>0</v>
      </c>
      <c r="BQ672" s="328">
        <v>0</v>
      </c>
      <c r="BR672" s="328">
        <v>0</v>
      </c>
      <c r="BS672" s="328">
        <v>0</v>
      </c>
      <c r="BT672" s="328">
        <v>0</v>
      </c>
      <c r="BU672" s="328">
        <v>0</v>
      </c>
      <c r="BV672" s="328">
        <v>0</v>
      </c>
      <c r="BW672" s="328">
        <v>0</v>
      </c>
      <c r="BX672" s="328">
        <v>0</v>
      </c>
      <c r="BY672" s="328">
        <v>0</v>
      </c>
      <c r="BZ672" s="328">
        <v>0</v>
      </c>
      <c r="CA672" s="328">
        <v>0</v>
      </c>
      <c r="CB672" s="328">
        <v>0</v>
      </c>
      <c r="CC672" s="328">
        <v>0</v>
      </c>
      <c r="CD672" s="328">
        <v>0</v>
      </c>
      <c r="CE672" s="328">
        <v>0</v>
      </c>
      <c r="CF672" s="328">
        <v>0</v>
      </c>
      <c r="CG672" s="328">
        <v>0</v>
      </c>
      <c r="CH672" s="328">
        <v>0</v>
      </c>
      <c r="CI672" s="328">
        <v>0</v>
      </c>
      <c r="CJ672" s="328">
        <v>0</v>
      </c>
      <c r="CK672" s="328">
        <v>0</v>
      </c>
      <c r="CL672" s="328">
        <v>0</v>
      </c>
      <c r="CM672" s="328">
        <v>0</v>
      </c>
      <c r="CN672" s="328">
        <v>0</v>
      </c>
      <c r="CO672" s="328">
        <v>0</v>
      </c>
    </row>
    <row r="673" spans="1:93" x14ac:dyDescent="0.2">
      <c r="A673" s="118">
        <f t="shared" si="54"/>
        <v>28</v>
      </c>
      <c r="B673" s="232" t="s">
        <v>601</v>
      </c>
      <c r="C673" s="263"/>
      <c r="D673" s="103">
        <f>+D654</f>
        <v>339240</v>
      </c>
      <c r="E673" s="233" t="s">
        <v>596</v>
      </c>
      <c r="F673" s="173">
        <f>'Exhibit MJC-3 - E-13c cal yr'!F675</f>
        <v>-1.3</v>
      </c>
      <c r="G673" s="230"/>
      <c r="H673" s="203">
        <f>+D673*F673</f>
        <v>-441012</v>
      </c>
      <c r="I673" s="308"/>
      <c r="J673" s="103">
        <f>+J654</f>
        <v>339240</v>
      </c>
      <c r="K673" s="233" t="s">
        <v>596</v>
      </c>
      <c r="L673" s="183">
        <f>ROUND(-DVC!G29,2)</f>
        <v>-1.34</v>
      </c>
      <c r="M673" s="230"/>
      <c r="N673" s="174">
        <f>ROUND(L673*J673,2)</f>
        <v>-454581.6</v>
      </c>
      <c r="O673" s="227"/>
      <c r="Q673" s="227"/>
      <c r="T673" s="264"/>
      <c r="U673" s="184" t="s">
        <v>140</v>
      </c>
      <c r="V673" s="179">
        <v>257</v>
      </c>
      <c r="W673" s="180">
        <v>231</v>
      </c>
      <c r="X673" s="264"/>
      <c r="Y673" s="184" t="s">
        <v>140</v>
      </c>
      <c r="Z673" s="181" t="s">
        <v>146</v>
      </c>
      <c r="AA673" s="264"/>
      <c r="AB673" s="264"/>
      <c r="AD673" s="245"/>
    </row>
    <row r="674" spans="1:93" x14ac:dyDescent="0.2">
      <c r="A674" s="118">
        <f t="shared" si="54"/>
        <v>29</v>
      </c>
      <c r="B674" s="234" t="s">
        <v>582</v>
      </c>
      <c r="C674" s="263"/>
      <c r="D674" s="172">
        <f>SUM(H654,H660:H661,H669,H673)</f>
        <v>3750515.1499999994</v>
      </c>
      <c r="E674" s="233" t="s">
        <v>10</v>
      </c>
      <c r="F674" s="249">
        <v>0.01</v>
      </c>
      <c r="G674" s="233" t="s">
        <v>375</v>
      </c>
      <c r="H674" s="174">
        <f>-F674*D674</f>
        <v>-37505.151499999993</v>
      </c>
      <c r="I674" s="308"/>
      <c r="J674" s="172">
        <f>SUM(N654,N660:N661,N669,N673)</f>
        <v>5095339.8500000006</v>
      </c>
      <c r="K674" s="233" t="s">
        <v>10</v>
      </c>
      <c r="L674" s="249">
        <v>0.01</v>
      </c>
      <c r="M674" s="233" t="s">
        <v>375</v>
      </c>
      <c r="N674" s="174">
        <f>ROUND(L674*-J674,2)</f>
        <v>-50953.4</v>
      </c>
      <c r="O674" s="227"/>
      <c r="Q674" s="227"/>
      <c r="T674" s="264"/>
      <c r="U674" s="184" t="s">
        <v>140</v>
      </c>
      <c r="V674" s="179">
        <v>257</v>
      </c>
      <c r="W674" s="180">
        <v>231</v>
      </c>
      <c r="X674" s="264"/>
      <c r="Y674" s="184" t="s">
        <v>140</v>
      </c>
      <c r="Z674" s="181" t="s">
        <v>417</v>
      </c>
      <c r="AA674" s="264"/>
      <c r="AB674" s="182">
        <f>SUM(AH674:AS674)</f>
        <v>-27312.706235266138</v>
      </c>
      <c r="AC674" s="182">
        <f>SUM(AT674:BE674)</f>
        <v>-28233.98809953122</v>
      </c>
      <c r="AD674" s="182">
        <f>SUM(BF674:BQ674)</f>
        <v>-28327.85724614092</v>
      </c>
      <c r="AE674" s="182">
        <f>SUM(BR674:CC674)</f>
        <v>-28682.389307103404</v>
      </c>
      <c r="AF674" s="182">
        <f>SUM(CD674:CO674)</f>
        <v>-28729.438828307961</v>
      </c>
      <c r="AH674" s="174">
        <v>-4383.3001385040689</v>
      </c>
      <c r="AI674" s="174">
        <v>-2203.027834046753</v>
      </c>
      <c r="AJ674" s="174">
        <v>-1839.8932973553542</v>
      </c>
      <c r="AK674" s="174">
        <v>-1859.0478974156827</v>
      </c>
      <c r="AL674" s="174">
        <v>-1791.1689335315241</v>
      </c>
      <c r="AM674" s="174">
        <v>-2141.8983218762123</v>
      </c>
      <c r="AN674" s="174">
        <v>-2431.4671817551052</v>
      </c>
      <c r="AO674" s="174">
        <v>-1937.2865175128366</v>
      </c>
      <c r="AP674" s="174">
        <v>-2897.2114928084902</v>
      </c>
      <c r="AQ674" s="174">
        <v>-2348.7209373927135</v>
      </c>
      <c r="AR674" s="174">
        <v>-2529.535342269427</v>
      </c>
      <c r="AS674" s="174">
        <v>-950.14834079796708</v>
      </c>
      <c r="AT674" s="174">
        <v>-4589.3330229848061</v>
      </c>
      <c r="AU674" s="174">
        <v>-2282.1654592394311</v>
      </c>
      <c r="AV674" s="174">
        <v>-1898.4159106550485</v>
      </c>
      <c r="AW674" s="174">
        <v>-1923.2325667946959</v>
      </c>
      <c r="AX674" s="174">
        <v>-1846.5728276362802</v>
      </c>
      <c r="AY674" s="174">
        <v>-2197.4445700006186</v>
      </c>
      <c r="AZ674" s="174">
        <v>-2512.8818514805575</v>
      </c>
      <c r="BA674" s="174">
        <v>-1994.0026843697276</v>
      </c>
      <c r="BB674" s="174">
        <v>-2983.4465330716398</v>
      </c>
      <c r="BC674" s="174">
        <v>-2421.0116627910706</v>
      </c>
      <c r="BD674" s="174">
        <v>-2607.259440925518</v>
      </c>
      <c r="BE674" s="174">
        <v>-978.22156958182131</v>
      </c>
      <c r="BF674" s="174">
        <v>-4598.0441417199982</v>
      </c>
      <c r="BG674" s="174">
        <v>-2293.1294218458916</v>
      </c>
      <c r="BH674" s="174">
        <v>-1908.6904918896519</v>
      </c>
      <c r="BI674" s="174">
        <v>-1925.5149929211939</v>
      </c>
      <c r="BJ674" s="174">
        <v>-1854.2353505739243</v>
      </c>
      <c r="BK674" s="174">
        <v>-2209.6890809299448</v>
      </c>
      <c r="BL674" s="174">
        <v>-2522.9186163338218</v>
      </c>
      <c r="BM674" s="174">
        <v>-2002.4141658766766</v>
      </c>
      <c r="BN674" s="174">
        <v>-2994.5813340278814</v>
      </c>
      <c r="BO674" s="174">
        <v>-2422.6921696959171</v>
      </c>
      <c r="BP674" s="174">
        <v>-2614.7869418792698</v>
      </c>
      <c r="BQ674" s="174">
        <v>-981.1605384467515</v>
      </c>
      <c r="BR674" s="174">
        <v>-4664.4554551821657</v>
      </c>
      <c r="BS674" s="174">
        <v>-2318.2651807240254</v>
      </c>
      <c r="BT674" s="174">
        <v>-1935.938908300948</v>
      </c>
      <c r="BU674" s="174">
        <v>-1952.8555042209262</v>
      </c>
      <c r="BV674" s="174">
        <v>-1869.0256518291262</v>
      </c>
      <c r="BW674" s="174">
        <v>-2240.5234393271821</v>
      </c>
      <c r="BX674" s="174">
        <v>-2559.5669584595371</v>
      </c>
      <c r="BY674" s="174">
        <v>-2027.2270928485837</v>
      </c>
      <c r="BZ674" s="174">
        <v>-3032.0297346092907</v>
      </c>
      <c r="CA674" s="174">
        <v>-2452.5358507842911</v>
      </c>
      <c r="CB674" s="174">
        <v>-2646.218121878384</v>
      </c>
      <c r="CC674" s="174">
        <v>-983.74740893893818</v>
      </c>
      <c r="CD674" s="174">
        <v>-4675.9003371109593</v>
      </c>
      <c r="CE674" s="174">
        <v>-2317.8577693688994</v>
      </c>
      <c r="CF674" s="174">
        <v>-1932.6383528510758</v>
      </c>
      <c r="CG674" s="174">
        <v>-1959.6015507290304</v>
      </c>
      <c r="CH674" s="174">
        <v>-1876.3370770100469</v>
      </c>
      <c r="CI674" s="174">
        <v>-2235.9056074041932</v>
      </c>
      <c r="CJ674" s="174">
        <v>-2560.8176683986503</v>
      </c>
      <c r="CK674" s="174">
        <v>-2029.5995449792522</v>
      </c>
      <c r="CL674" s="174">
        <v>-3045.664017725242</v>
      </c>
      <c r="CM674" s="174">
        <v>-2456.3508860326865</v>
      </c>
      <c r="CN674" s="174">
        <v>-2654.6290188890794</v>
      </c>
      <c r="CO674" s="174">
        <v>-984.13699780884951</v>
      </c>
    </row>
    <row r="675" spans="1:93" x14ac:dyDescent="0.2">
      <c r="A675" s="118">
        <f t="shared" si="54"/>
        <v>30</v>
      </c>
      <c r="B675" s="234" t="s">
        <v>583</v>
      </c>
      <c r="C675" s="263"/>
      <c r="D675" s="172">
        <f>SUM(H655,H663:H664,H670)</f>
        <v>295306.78999999998</v>
      </c>
      <c r="E675" s="233" t="s">
        <v>10</v>
      </c>
      <c r="F675" s="249">
        <v>0.02</v>
      </c>
      <c r="G675" s="233" t="s">
        <v>375</v>
      </c>
      <c r="H675" s="174">
        <f>-F675*D675</f>
        <v>-5906.1358</v>
      </c>
      <c r="I675" s="308"/>
      <c r="J675" s="172">
        <f>SUM(N655,N663:N664,N670)</f>
        <v>330045.57</v>
      </c>
      <c r="K675" s="233" t="s">
        <v>10</v>
      </c>
      <c r="L675" s="249">
        <v>0.02</v>
      </c>
      <c r="M675" s="233" t="s">
        <v>375</v>
      </c>
      <c r="N675" s="174">
        <f>ROUND(L675*-J675,2)</f>
        <v>-6600.91</v>
      </c>
      <c r="O675" s="227"/>
      <c r="Q675" s="227"/>
      <c r="T675" s="264"/>
      <c r="U675" s="184" t="s">
        <v>140</v>
      </c>
      <c r="V675" s="179">
        <v>257</v>
      </c>
      <c r="W675" s="180">
        <v>231</v>
      </c>
      <c r="X675" s="264"/>
      <c r="Y675" s="184" t="s">
        <v>140</v>
      </c>
      <c r="Z675" s="181" t="s">
        <v>417</v>
      </c>
      <c r="AA675" s="264"/>
      <c r="AB675" s="182">
        <f>SUM(AH675:AS675)</f>
        <v>0</v>
      </c>
      <c r="AC675" s="182">
        <f>SUM(AT675:BE675)</f>
        <v>0</v>
      </c>
      <c r="AD675" s="182">
        <f>SUM(BF675:BQ675)</f>
        <v>0</v>
      </c>
      <c r="AE675" s="182">
        <f>SUM(BR675:CC675)</f>
        <v>0</v>
      </c>
      <c r="AF675" s="182">
        <f>SUM(CD675:CO675)</f>
        <v>0</v>
      </c>
      <c r="AH675" s="174">
        <v>0</v>
      </c>
      <c r="AI675" s="174">
        <v>0</v>
      </c>
      <c r="AJ675" s="174">
        <v>0</v>
      </c>
      <c r="AK675" s="174">
        <v>0</v>
      </c>
      <c r="AL675" s="174">
        <v>0</v>
      </c>
      <c r="AM675" s="174">
        <v>0</v>
      </c>
      <c r="AN675" s="174">
        <v>0</v>
      </c>
      <c r="AO675" s="174">
        <v>0</v>
      </c>
      <c r="AP675" s="174">
        <v>0</v>
      </c>
      <c r="AQ675" s="174">
        <v>0</v>
      </c>
      <c r="AR675" s="174">
        <v>0</v>
      </c>
      <c r="AS675" s="174">
        <v>0</v>
      </c>
      <c r="AT675" s="174">
        <v>0</v>
      </c>
      <c r="AU675" s="174">
        <v>0</v>
      </c>
      <c r="AV675" s="174">
        <v>0</v>
      </c>
      <c r="AW675" s="174">
        <v>0</v>
      </c>
      <c r="AX675" s="174">
        <v>0</v>
      </c>
      <c r="AY675" s="174">
        <v>0</v>
      </c>
      <c r="AZ675" s="174">
        <v>0</v>
      </c>
      <c r="BA675" s="174">
        <v>0</v>
      </c>
      <c r="BB675" s="174">
        <v>0</v>
      </c>
      <c r="BC675" s="174">
        <v>0</v>
      </c>
      <c r="BD675" s="174">
        <v>0</v>
      </c>
      <c r="BE675" s="174">
        <v>0</v>
      </c>
      <c r="BF675" s="174">
        <v>0</v>
      </c>
      <c r="BG675" s="174">
        <v>0</v>
      </c>
      <c r="BH675" s="174">
        <v>0</v>
      </c>
      <c r="BI675" s="174">
        <v>0</v>
      </c>
      <c r="BJ675" s="174">
        <v>0</v>
      </c>
      <c r="BK675" s="174">
        <v>0</v>
      </c>
      <c r="BL675" s="174">
        <v>0</v>
      </c>
      <c r="BM675" s="174">
        <v>0</v>
      </c>
      <c r="BN675" s="174">
        <v>0</v>
      </c>
      <c r="BO675" s="174">
        <v>0</v>
      </c>
      <c r="BP675" s="174">
        <v>0</v>
      </c>
      <c r="BQ675" s="174">
        <v>0</v>
      </c>
      <c r="BR675" s="174">
        <v>0</v>
      </c>
      <c r="BS675" s="174">
        <v>0</v>
      </c>
      <c r="BT675" s="174">
        <v>0</v>
      </c>
      <c r="BU675" s="174">
        <v>0</v>
      </c>
      <c r="BV675" s="174">
        <v>0</v>
      </c>
      <c r="BW675" s="174">
        <v>0</v>
      </c>
      <c r="BX675" s="174">
        <v>0</v>
      </c>
      <c r="BY675" s="174">
        <v>0</v>
      </c>
      <c r="BZ675" s="174">
        <v>0</v>
      </c>
      <c r="CA675" s="174">
        <v>0</v>
      </c>
      <c r="CB675" s="174">
        <v>0</v>
      </c>
      <c r="CC675" s="174">
        <v>0</v>
      </c>
      <c r="CD675" s="174">
        <v>0</v>
      </c>
      <c r="CE675" s="174">
        <v>0</v>
      </c>
      <c r="CF675" s="174">
        <v>0</v>
      </c>
      <c r="CG675" s="174">
        <v>0</v>
      </c>
      <c r="CH675" s="174">
        <v>0</v>
      </c>
      <c r="CI675" s="174">
        <v>0</v>
      </c>
      <c r="CJ675" s="174">
        <v>0</v>
      </c>
      <c r="CK675" s="174">
        <v>0</v>
      </c>
      <c r="CL675" s="174">
        <v>0</v>
      </c>
      <c r="CM675" s="174">
        <v>0</v>
      </c>
      <c r="CN675" s="174">
        <v>0</v>
      </c>
      <c r="CO675" s="174">
        <v>0</v>
      </c>
    </row>
    <row r="676" spans="1:93" x14ac:dyDescent="0.2">
      <c r="A676" s="118">
        <f t="shared" si="54"/>
        <v>31</v>
      </c>
      <c r="B676" s="223"/>
      <c r="C676" s="225" t="s">
        <v>121</v>
      </c>
      <c r="D676" s="227"/>
      <c r="E676" s="227"/>
      <c r="F676" s="203"/>
      <c r="G676" s="227"/>
      <c r="H676" s="300">
        <f>SUM(H673:H675)</f>
        <v>-484423.28729999997</v>
      </c>
      <c r="I676" s="308"/>
      <c r="J676" s="227"/>
      <c r="K676" s="227"/>
      <c r="L676" s="203"/>
      <c r="M676" s="227"/>
      <c r="N676" s="300">
        <f>SUM(N673:N675)</f>
        <v>-512135.91</v>
      </c>
      <c r="O676" s="227"/>
      <c r="Q676" s="176"/>
      <c r="T676" s="264"/>
      <c r="U676" s="184"/>
      <c r="V676" s="179"/>
      <c r="W676" s="180"/>
      <c r="X676" s="264"/>
      <c r="Y676" s="184"/>
      <c r="Z676" s="181"/>
      <c r="AA676" s="264"/>
      <c r="AB676" s="264"/>
      <c r="AD676" s="245"/>
    </row>
    <row r="677" spans="1:93" x14ac:dyDescent="0.2">
      <c r="A677" s="118">
        <f t="shared" si="54"/>
        <v>32</v>
      </c>
      <c r="B677" s="223"/>
      <c r="C677" s="225"/>
      <c r="D677" s="227"/>
      <c r="E677" s="227"/>
      <c r="F677" s="197"/>
      <c r="G677" s="227"/>
      <c r="H677" s="203"/>
      <c r="I677" s="308"/>
      <c r="J677" s="227"/>
      <c r="K677" s="227"/>
      <c r="L677" s="197"/>
      <c r="M677" s="227"/>
      <c r="N677" s="203"/>
      <c r="O677" s="227"/>
      <c r="Q677" s="227"/>
      <c r="U677" s="184"/>
      <c r="V677" s="179"/>
      <c r="W677" s="180"/>
      <c r="Y677" s="184"/>
      <c r="Z677" s="181"/>
    </row>
    <row r="678" spans="1:93" ht="10.8" thickBot="1" x14ac:dyDescent="0.25">
      <c r="A678" s="118">
        <f t="shared" si="54"/>
        <v>33</v>
      </c>
      <c r="B678" s="246" t="s">
        <v>658</v>
      </c>
      <c r="C678" s="227"/>
      <c r="D678" s="227"/>
      <c r="E678" s="227"/>
      <c r="F678" s="197"/>
      <c r="G678" s="227"/>
      <c r="H678" s="330">
        <f>+H676+H671+H665+H650</f>
        <v>4031393.6426999997</v>
      </c>
      <c r="I678" s="308"/>
      <c r="J678" s="227"/>
      <c r="K678" s="227"/>
      <c r="L678" s="197"/>
      <c r="M678" s="227"/>
      <c r="N678" s="330">
        <f>+N676+N671+N665+N650</f>
        <v>5397988.6699999999</v>
      </c>
      <c r="O678" s="227"/>
      <c r="P678" s="227"/>
      <c r="Q678" s="939">
        <f>(N678-H678)/H678</f>
        <v>0.33898823791981081</v>
      </c>
      <c r="U678" s="184"/>
      <c r="V678" s="179"/>
      <c r="W678" s="180"/>
      <c r="Y678" s="184" t="s">
        <v>140</v>
      </c>
      <c r="Z678" s="181" t="s">
        <v>121</v>
      </c>
    </row>
    <row r="679" spans="1:93" ht="10.8" thickTop="1" x14ac:dyDescent="0.2">
      <c r="A679" s="118">
        <f t="shared" si="54"/>
        <v>34</v>
      </c>
      <c r="B679" s="227"/>
      <c r="C679" s="227"/>
      <c r="D679" s="227"/>
      <c r="E679" s="227"/>
      <c r="F679" s="197"/>
      <c r="G679" s="227"/>
      <c r="H679" s="203"/>
      <c r="I679" s="308"/>
      <c r="J679" s="227"/>
      <c r="K679" s="227"/>
      <c r="L679" s="197"/>
      <c r="M679" s="227"/>
      <c r="N679" s="203"/>
      <c r="O679" s="227"/>
      <c r="P679" s="227"/>
      <c r="Q679" s="227"/>
      <c r="U679" s="178"/>
      <c r="V679" s="179"/>
      <c r="W679" s="180"/>
      <c r="Y679" s="178"/>
      <c r="Z679" s="181"/>
    </row>
    <row r="680" spans="1:93" x14ac:dyDescent="0.2">
      <c r="A680" s="118">
        <f t="shared" si="54"/>
        <v>35</v>
      </c>
      <c r="B680" s="227"/>
      <c r="C680" s="227"/>
      <c r="D680" s="227"/>
      <c r="E680" s="227"/>
      <c r="F680" s="197"/>
      <c r="G680" s="227"/>
      <c r="H680" s="935"/>
      <c r="I680" s="308"/>
      <c r="J680" s="234" t="s">
        <v>573</v>
      </c>
      <c r="K680" s="225"/>
      <c r="L680" s="197"/>
      <c r="M680" s="223"/>
      <c r="N680" s="174">
        <f>N678-H678</f>
        <v>1366595.0273000002</v>
      </c>
      <c r="O680" s="227"/>
      <c r="P680" s="227"/>
      <c r="Q680" s="227"/>
      <c r="U680" s="178"/>
      <c r="V680" s="179"/>
      <c r="W680" s="180"/>
      <c r="Y680" s="178"/>
      <c r="Z680" s="181"/>
    </row>
    <row r="681" spans="1:93" x14ac:dyDescent="0.2">
      <c r="A681" s="118">
        <f t="shared" si="54"/>
        <v>36</v>
      </c>
      <c r="B681" s="234"/>
      <c r="C681" s="223"/>
      <c r="D681" s="168"/>
      <c r="E681" s="225"/>
      <c r="F681" s="183"/>
      <c r="G681" s="233"/>
      <c r="H681" s="935"/>
      <c r="I681" s="308"/>
      <c r="J681" s="168"/>
      <c r="K681" s="225"/>
      <c r="L681" s="183"/>
      <c r="M681" s="233"/>
      <c r="N681" s="174"/>
      <c r="O681" s="227"/>
      <c r="P681" s="227"/>
      <c r="Q681" s="227"/>
      <c r="U681" s="184"/>
      <c r="V681" s="179"/>
      <c r="W681" s="180"/>
      <c r="Y681" s="184"/>
      <c r="Z681" s="181"/>
    </row>
    <row r="682" spans="1:93" x14ac:dyDescent="0.2">
      <c r="A682" s="118">
        <f t="shared" si="54"/>
        <v>37</v>
      </c>
      <c r="B682" s="243"/>
      <c r="C682" s="223"/>
      <c r="D682" s="168"/>
      <c r="E682" s="225"/>
      <c r="F682" s="183"/>
      <c r="G682" s="233"/>
      <c r="H682" s="1151"/>
      <c r="I682" s="308"/>
      <c r="J682" s="171" t="s">
        <v>659</v>
      </c>
      <c r="M682" s="233"/>
      <c r="N682" s="174">
        <f>-ROUND((H678-(H678*(1+'Exhibit MJC-2 - Old E-8a'!V27))),2)</f>
        <v>163366.16</v>
      </c>
      <c r="O682" s="227"/>
      <c r="P682" s="227"/>
      <c r="Q682" s="939">
        <f>N682/H678</f>
        <v>4.0523494969493125E-2</v>
      </c>
      <c r="U682" s="184"/>
      <c r="V682" s="179"/>
      <c r="W682" s="180"/>
      <c r="Y682" s="184"/>
      <c r="Z682" s="181"/>
    </row>
    <row r="683" spans="1:93" x14ac:dyDescent="0.2">
      <c r="A683" s="118">
        <f t="shared" si="54"/>
        <v>38</v>
      </c>
      <c r="B683" s="243"/>
      <c r="C683" s="223"/>
      <c r="D683" s="168"/>
      <c r="E683" s="233"/>
      <c r="F683" s="205"/>
      <c r="G683" s="233"/>
      <c r="H683" s="1151"/>
      <c r="I683" s="308"/>
      <c r="M683" s="233"/>
      <c r="N683" s="174"/>
      <c r="O683" s="227"/>
      <c r="P683" s="227"/>
      <c r="Q683" s="227"/>
      <c r="U683" s="184"/>
      <c r="V683" s="179"/>
      <c r="W683" s="180"/>
      <c r="Y683" s="184"/>
      <c r="Z683" s="181"/>
    </row>
    <row r="684" spans="1:93" x14ac:dyDescent="0.2">
      <c r="A684" s="118">
        <f t="shared" si="54"/>
        <v>39</v>
      </c>
      <c r="B684" s="243"/>
      <c r="C684" s="223"/>
      <c r="D684" s="168"/>
      <c r="E684" s="233"/>
      <c r="F684" s="205"/>
      <c r="G684" s="233"/>
      <c r="H684" s="1151"/>
      <c r="I684" s="308"/>
      <c r="J684" s="171" t="s">
        <v>575</v>
      </c>
      <c r="N684" s="214">
        <f>N680-N682</f>
        <v>1203228.8673000003</v>
      </c>
      <c r="O684" s="227"/>
      <c r="P684" s="227"/>
      <c r="Q684" s="227"/>
      <c r="U684" s="184"/>
      <c r="V684" s="179"/>
      <c r="W684" s="180"/>
      <c r="Y684" s="184"/>
      <c r="Z684" s="181"/>
    </row>
    <row r="685" spans="1:93" x14ac:dyDescent="0.2">
      <c r="A685" s="118">
        <f t="shared" si="54"/>
        <v>40</v>
      </c>
      <c r="B685" s="243"/>
      <c r="C685" s="223"/>
      <c r="D685" s="168"/>
      <c r="E685" s="233"/>
      <c r="F685" s="205"/>
      <c r="G685" s="233"/>
      <c r="H685" s="1150"/>
      <c r="I685" s="308"/>
      <c r="J685" s="168"/>
      <c r="K685" s="233"/>
      <c r="L685" s="205"/>
      <c r="M685" s="233"/>
      <c r="N685" s="174"/>
      <c r="O685" s="227"/>
      <c r="P685" s="227"/>
      <c r="Q685" s="227"/>
      <c r="U685" s="184"/>
      <c r="V685" s="179"/>
      <c r="W685" s="180"/>
      <c r="Y685" s="184"/>
      <c r="Z685" s="181"/>
    </row>
    <row r="686" spans="1:93" x14ac:dyDescent="0.2">
      <c r="A686" s="118">
        <f t="shared" si="54"/>
        <v>41</v>
      </c>
      <c r="B686" s="243"/>
      <c r="C686" s="223"/>
      <c r="D686" s="168"/>
      <c r="E686" s="233"/>
      <c r="F686" s="205"/>
      <c r="G686" s="233"/>
      <c r="H686" s="174"/>
      <c r="I686" s="308"/>
      <c r="J686" s="168"/>
      <c r="K686" s="233"/>
      <c r="L686" s="205"/>
      <c r="M686" s="233"/>
      <c r="N686" s="732">
        <f>N684/N682</f>
        <v>7.3652270904818984</v>
      </c>
      <c r="O686" s="227"/>
      <c r="P686" s="227"/>
      <c r="Q686" s="227"/>
      <c r="U686" s="184"/>
      <c r="V686" s="179"/>
      <c r="W686" s="180"/>
      <c r="Y686" s="184"/>
      <c r="Z686" s="181"/>
    </row>
    <row r="687" spans="1:93" x14ac:dyDescent="0.2">
      <c r="A687" s="118">
        <f t="shared" si="54"/>
        <v>42</v>
      </c>
      <c r="B687" s="243"/>
      <c r="C687" s="223"/>
      <c r="D687" s="168"/>
      <c r="E687" s="233"/>
      <c r="F687" s="205"/>
      <c r="G687" s="233"/>
      <c r="H687" s="174"/>
      <c r="I687" s="308"/>
      <c r="J687" s="168"/>
      <c r="K687" s="233"/>
      <c r="L687" s="205"/>
      <c r="M687" s="233"/>
      <c r="N687" s="174"/>
      <c r="O687" s="227"/>
      <c r="P687" s="227"/>
      <c r="Q687" s="227"/>
      <c r="U687" s="184"/>
      <c r="V687" s="179"/>
      <c r="W687" s="180"/>
      <c r="Y687" s="184"/>
      <c r="Z687" s="181"/>
    </row>
    <row r="688" spans="1:93" x14ac:dyDescent="0.2">
      <c r="A688" s="118">
        <f t="shared" si="54"/>
        <v>43</v>
      </c>
      <c r="B688" s="243"/>
      <c r="C688" s="223"/>
      <c r="D688" s="168"/>
      <c r="E688" s="233"/>
      <c r="F688" s="205"/>
      <c r="G688" s="233"/>
      <c r="H688" s="174"/>
      <c r="I688" s="308"/>
      <c r="J688" s="168"/>
      <c r="K688" s="233"/>
      <c r="L688" s="205"/>
      <c r="M688" s="233"/>
      <c r="N688" s="174"/>
      <c r="O688" s="227"/>
      <c r="P688" s="227"/>
      <c r="Q688" s="227"/>
      <c r="U688" s="184"/>
      <c r="V688" s="179"/>
      <c r="W688" s="180"/>
      <c r="Y688" s="184"/>
      <c r="Z688" s="181"/>
    </row>
    <row r="689" spans="1:93" x14ac:dyDescent="0.2">
      <c r="A689" s="215"/>
      <c r="B689" s="215" t="s">
        <v>98</v>
      </c>
      <c r="C689" s="215"/>
      <c r="D689" s="215"/>
      <c r="E689" s="215"/>
      <c r="F689" s="299"/>
      <c r="G689" s="215"/>
      <c r="H689" s="300"/>
      <c r="I689" s="215"/>
      <c r="J689" s="215"/>
      <c r="K689" s="215"/>
      <c r="L689" s="299"/>
      <c r="M689" s="215"/>
      <c r="N689" s="300" t="s">
        <v>99</v>
      </c>
      <c r="O689" s="215"/>
      <c r="P689" s="215"/>
      <c r="Q689" s="215"/>
      <c r="Y689" s="101"/>
    </row>
    <row r="690" spans="1:93" x14ac:dyDescent="0.2">
      <c r="A690" s="216"/>
      <c r="B690" s="216"/>
      <c r="C690" s="216"/>
      <c r="D690" s="216"/>
      <c r="E690" s="216"/>
      <c r="F690" s="216"/>
      <c r="G690" s="216"/>
      <c r="H690" s="216"/>
      <c r="I690" s="216"/>
      <c r="J690" s="216"/>
      <c r="K690" s="216"/>
      <c r="L690" s="216"/>
      <c r="M690" s="216"/>
      <c r="N690" s="216"/>
      <c r="O690" s="216"/>
      <c r="P690" s="216"/>
      <c r="Q690" s="216"/>
      <c r="R690" s="216"/>
      <c r="S690" s="216"/>
      <c r="T690" s="216"/>
      <c r="U690" s="216"/>
      <c r="V690" s="216"/>
      <c r="W690" s="216"/>
      <c r="X690" s="216"/>
      <c r="Y690" s="216"/>
      <c r="Z690" s="217"/>
      <c r="AA690" s="216"/>
      <c r="AB690" s="216"/>
      <c r="AC690" s="216"/>
      <c r="AD690" s="216"/>
      <c r="AE690" s="216"/>
      <c r="AF690" s="216"/>
      <c r="AG690" s="216"/>
      <c r="AH690" s="216"/>
      <c r="AI690" s="216"/>
      <c r="AJ690" s="216"/>
      <c r="AK690" s="216"/>
      <c r="AL690" s="216"/>
      <c r="AM690" s="216"/>
      <c r="AN690" s="216"/>
      <c r="AO690" s="216"/>
      <c r="AP690" s="216"/>
      <c r="AQ690" s="216"/>
      <c r="AR690" s="216"/>
      <c r="AS690" s="216"/>
      <c r="AT690" s="216"/>
      <c r="AU690" s="216"/>
      <c r="AV690" s="216"/>
      <c r="AW690" s="216"/>
      <c r="AX690" s="216"/>
      <c r="AY690" s="216"/>
      <c r="AZ690" s="216"/>
      <c r="BA690" s="216"/>
      <c r="BB690" s="216"/>
      <c r="BC690" s="216"/>
      <c r="BD690" s="216"/>
      <c r="BE690" s="216"/>
      <c r="BF690" s="216"/>
      <c r="BG690" s="216"/>
      <c r="BH690" s="216"/>
      <c r="BI690" s="216"/>
      <c r="BJ690" s="216"/>
      <c r="BK690" s="216"/>
      <c r="BL690" s="216"/>
      <c r="BM690" s="216"/>
      <c r="BN690" s="216"/>
      <c r="BO690" s="216"/>
      <c r="BP690" s="216"/>
      <c r="BQ690" s="216"/>
      <c r="BR690" s="216"/>
      <c r="BS690" s="216"/>
      <c r="BT690" s="216"/>
      <c r="BU690" s="216"/>
      <c r="BV690" s="216"/>
      <c r="BW690" s="216"/>
      <c r="BX690" s="216"/>
      <c r="BY690" s="216"/>
      <c r="BZ690" s="216"/>
      <c r="CA690" s="216"/>
      <c r="CB690" s="216"/>
      <c r="CC690" s="216"/>
      <c r="CD690" s="216"/>
      <c r="CE690" s="216"/>
      <c r="CF690" s="216"/>
      <c r="CG690" s="216"/>
      <c r="CH690" s="216"/>
      <c r="CI690" s="216"/>
      <c r="CJ690" s="216"/>
      <c r="CK690" s="216"/>
      <c r="CL690" s="216"/>
      <c r="CM690" s="216"/>
      <c r="CN690" s="216"/>
      <c r="CO690" s="216"/>
    </row>
    <row r="691" spans="1:93" x14ac:dyDescent="0.2">
      <c r="A691" s="100" t="s">
        <v>505</v>
      </c>
      <c r="C691" s="102"/>
      <c r="D691" s="103"/>
      <c r="F691" s="268"/>
      <c r="G691" s="104"/>
      <c r="H691" s="269" t="s">
        <v>506</v>
      </c>
      <c r="I691" s="104"/>
      <c r="J691" s="104"/>
      <c r="K691" s="104"/>
      <c r="L691" s="268"/>
      <c r="N691" s="270"/>
      <c r="Q691" s="106" t="s">
        <v>660</v>
      </c>
      <c r="R691" s="105"/>
      <c r="S691" s="105"/>
      <c r="U691" s="114"/>
      <c r="V691" s="114"/>
      <c r="W691" s="114"/>
      <c r="Y691" s="114"/>
      <c r="Z691" s="218"/>
      <c r="AC691" s="114"/>
    </row>
    <row r="692" spans="1:93" ht="10.8" thickBot="1" x14ac:dyDescent="0.25">
      <c r="A692" s="108"/>
      <c r="B692" s="109"/>
      <c r="C692" s="109"/>
      <c r="D692" s="109"/>
      <c r="E692" s="110" t="s">
        <v>416</v>
      </c>
      <c r="F692" s="271" t="s">
        <v>416</v>
      </c>
      <c r="G692" s="109" t="s">
        <v>416</v>
      </c>
      <c r="H692" s="272" t="s">
        <v>416</v>
      </c>
      <c r="I692" s="109" t="s">
        <v>416</v>
      </c>
      <c r="J692" s="109"/>
      <c r="K692" s="109"/>
      <c r="L692" s="271" t="s">
        <v>416</v>
      </c>
      <c r="M692" s="111"/>
      <c r="N692" s="273"/>
      <c r="O692" s="109"/>
      <c r="P692" s="112"/>
      <c r="Q692" s="109"/>
      <c r="U692" s="114"/>
      <c r="V692" s="114"/>
      <c r="W692" s="114"/>
      <c r="Y692" s="114"/>
      <c r="Z692" s="218"/>
      <c r="AC692" s="114"/>
    </row>
    <row r="693" spans="1:93" x14ac:dyDescent="0.2">
      <c r="A693" s="113"/>
      <c r="F693" s="197"/>
      <c r="H693" s="203"/>
      <c r="L693" s="197"/>
      <c r="M693" s="105"/>
      <c r="N693" s="270"/>
      <c r="P693" s="114"/>
      <c r="U693" s="114"/>
      <c r="V693" s="114"/>
      <c r="W693" s="114"/>
      <c r="Y693" s="114"/>
      <c r="Z693" s="218"/>
      <c r="AC693" s="114"/>
    </row>
    <row r="694" spans="1:93" x14ac:dyDescent="0.2">
      <c r="A694" s="100" t="s">
        <v>3</v>
      </c>
      <c r="D694" s="106" t="s">
        <v>4</v>
      </c>
      <c r="E694" s="101" t="s">
        <v>508</v>
      </c>
      <c r="F694" s="197"/>
      <c r="H694" s="203"/>
      <c r="L694" s="197"/>
      <c r="N694" s="203"/>
      <c r="O694" s="100" t="s">
        <v>6</v>
      </c>
      <c r="U694" s="114"/>
      <c r="V694" s="114"/>
      <c r="W694" s="114"/>
      <c r="Y694" s="114"/>
      <c r="Z694" s="218"/>
      <c r="AC694" s="114"/>
    </row>
    <row r="695" spans="1:93" x14ac:dyDescent="0.2">
      <c r="E695" s="101" t="s">
        <v>509</v>
      </c>
      <c r="F695" s="197"/>
      <c r="H695" s="203"/>
      <c r="L695" s="197"/>
      <c r="N695" s="203"/>
      <c r="U695" s="114"/>
      <c r="V695" s="114"/>
      <c r="W695" s="114"/>
      <c r="Y695" s="114"/>
      <c r="Z695" s="218"/>
      <c r="AC695" s="114"/>
    </row>
    <row r="696" spans="1:93" x14ac:dyDescent="0.2">
      <c r="A696" s="100" t="s">
        <v>9</v>
      </c>
      <c r="E696" s="101" t="s">
        <v>510</v>
      </c>
      <c r="F696" s="197"/>
      <c r="H696" s="203"/>
      <c r="L696" s="197"/>
      <c r="N696" s="203"/>
      <c r="O696" s="107" t="str">
        <f>O638</f>
        <v>__X__  Projected Test Year Ended 12/31/26</v>
      </c>
      <c r="U696" s="114"/>
      <c r="V696" s="114"/>
      <c r="W696" s="114"/>
      <c r="Y696" s="114"/>
      <c r="Z696" s="218"/>
      <c r="AC696" s="114"/>
    </row>
    <row r="697" spans="1:93" x14ac:dyDescent="0.2">
      <c r="E697" s="101" t="s">
        <v>512</v>
      </c>
      <c r="F697" s="197"/>
      <c r="H697" s="203"/>
      <c r="L697" s="197"/>
      <c r="N697" s="203"/>
      <c r="U697" s="114"/>
      <c r="V697" s="114"/>
      <c r="W697" s="114"/>
      <c r="Y697" s="114"/>
      <c r="Z697" s="218"/>
      <c r="AC697" s="114"/>
    </row>
    <row r="698" spans="1:93" x14ac:dyDescent="0.2">
      <c r="A698" s="100" t="s">
        <v>491</v>
      </c>
      <c r="C698" s="119" t="s">
        <v>605</v>
      </c>
      <c r="F698" s="197"/>
      <c r="H698" s="203"/>
      <c r="L698" s="197"/>
      <c r="N698" s="203"/>
      <c r="O698" s="100" t="s">
        <v>493</v>
      </c>
      <c r="U698" s="114"/>
      <c r="V698" s="114"/>
      <c r="W698" s="114"/>
      <c r="Y698" s="114"/>
      <c r="Z698" s="218"/>
      <c r="AC698" s="114"/>
    </row>
    <row r="699" spans="1:93" ht="10.8" thickBot="1" x14ac:dyDescent="0.25">
      <c r="A699" s="123"/>
      <c r="B699" s="109"/>
      <c r="C699" s="109"/>
      <c r="D699" s="109"/>
      <c r="E699" s="109"/>
      <c r="F699" s="274"/>
      <c r="G699" s="109"/>
      <c r="H699" s="272"/>
      <c r="I699" s="109"/>
      <c r="J699" s="109"/>
      <c r="K699" s="109"/>
      <c r="L699" s="274"/>
      <c r="M699" s="109"/>
      <c r="N699" s="275"/>
      <c r="O699" s="109"/>
      <c r="P699" s="109"/>
      <c r="Q699" s="109"/>
      <c r="U699" s="114"/>
      <c r="V699" s="114"/>
      <c r="W699" s="114"/>
      <c r="Y699" s="114"/>
      <c r="Z699" s="218"/>
      <c r="AC699" s="114"/>
    </row>
    <row r="700" spans="1:93" ht="15.6" x14ac:dyDescent="0.2">
      <c r="B700" s="124"/>
      <c r="C700" s="125"/>
      <c r="D700" s="125"/>
      <c r="E700" s="125"/>
      <c r="F700" s="276"/>
      <c r="G700" s="125"/>
      <c r="H700" s="277"/>
      <c r="I700" s="126" t="s">
        <v>661</v>
      </c>
      <c r="J700" s="125"/>
      <c r="K700" s="125"/>
      <c r="L700" s="276"/>
      <c r="M700" s="125"/>
      <c r="N700" s="277"/>
      <c r="U700" s="127" t="s">
        <v>530</v>
      </c>
      <c r="V700" s="128"/>
      <c r="W700" s="129"/>
      <c r="Y700" s="130" t="s">
        <v>531</v>
      </c>
      <c r="Z700" s="131"/>
    </row>
    <row r="701" spans="1:93" x14ac:dyDescent="0.2">
      <c r="A701" s="101" t="s">
        <v>30</v>
      </c>
      <c r="B701" s="101" t="s">
        <v>532</v>
      </c>
      <c r="C701" s="132"/>
      <c r="D701" s="133" t="s">
        <v>533</v>
      </c>
      <c r="E701" s="134"/>
      <c r="F701" s="278"/>
      <c r="G701" s="133"/>
      <c r="H701" s="279"/>
      <c r="I701" s="135"/>
      <c r="J701" s="136" t="s">
        <v>534</v>
      </c>
      <c r="K701" s="133"/>
      <c r="L701" s="278"/>
      <c r="M701" s="134"/>
      <c r="N701" s="280"/>
      <c r="O701" s="137"/>
      <c r="Q701" s="118" t="s">
        <v>332</v>
      </c>
      <c r="U701" s="138"/>
      <c r="V701" s="139"/>
      <c r="W701" s="140"/>
      <c r="Y701" s="138"/>
      <c r="Z701" s="141"/>
      <c r="AH701" s="116"/>
      <c r="AI701" s="116"/>
      <c r="AJ701" s="116"/>
      <c r="AK701" s="116"/>
      <c r="AL701" s="116"/>
      <c r="AM701" s="116"/>
      <c r="AN701" s="116"/>
      <c r="AO701" s="116"/>
      <c r="AP701" s="116"/>
      <c r="AQ701" s="116"/>
      <c r="AR701" s="116"/>
      <c r="AS701" s="116"/>
      <c r="AT701" s="116"/>
      <c r="AU701" s="116"/>
      <c r="AV701" s="116"/>
      <c r="AW701" s="116"/>
      <c r="AX701" s="116"/>
      <c r="AY701" s="116"/>
      <c r="AZ701" s="116"/>
      <c r="BA701" s="116"/>
      <c r="BB701" s="116"/>
      <c r="BC701" s="116"/>
      <c r="BD701" s="116"/>
      <c r="BE701" s="116"/>
      <c r="BF701" s="116"/>
      <c r="BG701" s="116"/>
      <c r="BH701" s="116"/>
      <c r="BI701" s="116"/>
      <c r="BJ701" s="116"/>
      <c r="BK701" s="116"/>
      <c r="BL701" s="116"/>
      <c r="BM701" s="116"/>
      <c r="BN701" s="116"/>
      <c r="BO701" s="116"/>
      <c r="BP701" s="116"/>
      <c r="BQ701" s="116"/>
      <c r="BR701" s="116"/>
      <c r="BS701" s="116"/>
      <c r="BT701" s="116"/>
      <c r="BU701" s="116"/>
      <c r="BV701" s="116"/>
      <c r="BW701" s="116"/>
      <c r="BX701" s="116"/>
      <c r="BY701" s="116"/>
      <c r="BZ701" s="116"/>
      <c r="CA701" s="116"/>
      <c r="CB701" s="116"/>
      <c r="CC701" s="116"/>
      <c r="CD701" s="116"/>
      <c r="CE701" s="116"/>
      <c r="CF701" s="116"/>
      <c r="CG701" s="116"/>
      <c r="CH701" s="116"/>
      <c r="CI701" s="116"/>
      <c r="CJ701" s="116"/>
      <c r="CK701" s="116"/>
      <c r="CL701" s="116"/>
      <c r="CM701" s="116"/>
      <c r="CN701" s="116"/>
      <c r="CO701" s="116"/>
    </row>
    <row r="702" spans="1:93" x14ac:dyDescent="0.2">
      <c r="A702" s="101" t="s">
        <v>39</v>
      </c>
      <c r="B702" s="102" t="s">
        <v>535</v>
      </c>
      <c r="C702" s="104"/>
      <c r="D702" s="142" t="s">
        <v>536</v>
      </c>
      <c r="E702" s="143"/>
      <c r="F702" s="281" t="s">
        <v>537</v>
      </c>
      <c r="G702" s="142"/>
      <c r="H702" s="282" t="s">
        <v>538</v>
      </c>
      <c r="I702" s="144"/>
      <c r="J702" s="142" t="s">
        <v>536</v>
      </c>
      <c r="K702" s="143"/>
      <c r="L702" s="281" t="s">
        <v>537</v>
      </c>
      <c r="M702" s="142"/>
      <c r="N702" s="282" t="s">
        <v>538</v>
      </c>
      <c r="O702" s="132"/>
      <c r="Q702" s="145" t="s">
        <v>539</v>
      </c>
      <c r="R702" s="132"/>
      <c r="S702" s="132"/>
      <c r="U702" s="138" t="s">
        <v>128</v>
      </c>
      <c r="V702" s="146" t="s">
        <v>343</v>
      </c>
      <c r="W702" s="147" t="s">
        <v>344</v>
      </c>
      <c r="Y702" s="148" t="s">
        <v>128</v>
      </c>
      <c r="Z702" s="149"/>
      <c r="AH702" s="116"/>
      <c r="AI702" s="116"/>
      <c r="AJ702" s="116"/>
      <c r="AK702" s="116"/>
      <c r="AL702" s="116"/>
      <c r="AM702" s="116"/>
      <c r="AN702" s="116"/>
      <c r="AO702" s="116"/>
      <c r="AP702" s="116"/>
      <c r="AQ702" s="116"/>
      <c r="AR702" s="116"/>
      <c r="AS702" s="116"/>
      <c r="AT702" s="116"/>
      <c r="AU702" s="116"/>
      <c r="AV702" s="116"/>
      <c r="AW702" s="116"/>
      <c r="AX702" s="116"/>
      <c r="AY702" s="116"/>
      <c r="AZ702" s="116"/>
      <c r="BA702" s="116"/>
      <c r="BB702" s="116"/>
      <c r="BC702" s="116"/>
      <c r="BD702" s="116"/>
      <c r="BE702" s="116"/>
      <c r="BF702" s="116"/>
      <c r="BG702" s="116"/>
      <c r="BH702" s="116"/>
      <c r="BI702" s="116"/>
      <c r="BJ702" s="116"/>
      <c r="BK702" s="116"/>
      <c r="BL702" s="116"/>
      <c r="BM702" s="116"/>
      <c r="BN702" s="116"/>
      <c r="BO702" s="116"/>
      <c r="BP702" s="116"/>
      <c r="BQ702" s="116"/>
      <c r="BR702" s="116"/>
      <c r="BS702" s="116"/>
      <c r="BT702" s="116"/>
      <c r="BU702" s="116"/>
      <c r="BV702" s="116"/>
      <c r="BW702" s="116"/>
      <c r="BX702" s="116"/>
      <c r="BY702" s="116"/>
      <c r="BZ702" s="116"/>
      <c r="CA702" s="116"/>
      <c r="CB702" s="116"/>
      <c r="CC702" s="116"/>
      <c r="CD702" s="116"/>
      <c r="CE702" s="116"/>
      <c r="CF702" s="116"/>
      <c r="CG702" s="116"/>
      <c r="CH702" s="116"/>
      <c r="CI702" s="116"/>
      <c r="CJ702" s="116"/>
      <c r="CK702" s="116"/>
      <c r="CL702" s="116"/>
      <c r="CM702" s="116"/>
      <c r="CN702" s="116"/>
      <c r="CO702" s="116"/>
    </row>
    <row r="703" spans="1:93" ht="10.8" thickBot="1" x14ac:dyDescent="0.25">
      <c r="A703" s="109"/>
      <c r="B703" s="110" t="s">
        <v>139</v>
      </c>
      <c r="C703" s="150"/>
      <c r="D703" s="220" t="str">
        <f>+$D$13</f>
        <v>Jan '26-Dec '26</v>
      </c>
      <c r="E703" s="221"/>
      <c r="F703" s="152">
        <f>+$L$13</f>
        <v>46023</v>
      </c>
      <c r="G703" s="153"/>
      <c r="H703" s="153"/>
      <c r="I703" s="153"/>
      <c r="J703" s="153"/>
      <c r="K703" s="151"/>
      <c r="L703" s="152">
        <f>+$L$13</f>
        <v>46023</v>
      </c>
      <c r="M703" s="154"/>
      <c r="N703" s="283"/>
      <c r="O703" s="155"/>
      <c r="P703" s="109"/>
      <c r="Q703" s="156"/>
      <c r="R703" s="132"/>
      <c r="S703" s="132"/>
      <c r="U703" s="157" t="s">
        <v>144</v>
      </c>
      <c r="V703" s="158" t="s">
        <v>540</v>
      </c>
      <c r="W703" s="159" t="s">
        <v>540</v>
      </c>
      <c r="Y703" s="160" t="s">
        <v>144</v>
      </c>
      <c r="Z703" s="159" t="s">
        <v>541</v>
      </c>
      <c r="AH703" s="116"/>
      <c r="AI703" s="116"/>
      <c r="AJ703" s="116"/>
      <c r="AK703" s="116"/>
      <c r="AL703" s="116"/>
      <c r="AM703" s="116"/>
      <c r="AN703" s="116"/>
      <c r="AO703" s="116"/>
      <c r="AP703" s="116"/>
      <c r="AQ703" s="116"/>
      <c r="AR703" s="116"/>
      <c r="AS703" s="116"/>
      <c r="AT703" s="116"/>
      <c r="AU703" s="116"/>
      <c r="AV703" s="116"/>
      <c r="AW703" s="116"/>
      <c r="AX703" s="116"/>
      <c r="AY703" s="116"/>
      <c r="AZ703" s="116"/>
      <c r="BA703" s="116"/>
      <c r="BB703" s="116"/>
      <c r="BC703" s="116"/>
      <c r="BD703" s="116"/>
      <c r="BE703" s="116"/>
      <c r="BF703" s="116"/>
      <c r="BG703" s="116"/>
      <c r="BH703" s="116"/>
      <c r="BI703" s="116"/>
      <c r="BJ703" s="116"/>
      <c r="BK703" s="116"/>
      <c r="BL703" s="116"/>
      <c r="BM703" s="116"/>
      <c r="BN703" s="116"/>
      <c r="BO703" s="116"/>
      <c r="BP703" s="116"/>
      <c r="BQ703" s="116"/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</row>
    <row r="704" spans="1:93" x14ac:dyDescent="0.2">
      <c r="A704" s="118">
        <v>1</v>
      </c>
      <c r="F704" s="197"/>
      <c r="H704" s="203"/>
      <c r="I704" s="308"/>
      <c r="L704" s="197"/>
      <c r="N704" s="203"/>
      <c r="O704" s="227"/>
      <c r="P704" s="227"/>
      <c r="Q704" s="230"/>
      <c r="R704" s="132"/>
      <c r="S704" s="132"/>
      <c r="U704" s="163"/>
      <c r="V704" s="139"/>
      <c r="W704" s="140"/>
      <c r="Y704" s="163"/>
      <c r="Z704" s="141"/>
      <c r="AH704" s="116"/>
      <c r="AI704" s="116"/>
      <c r="AJ704" s="116"/>
      <c r="AK704" s="116"/>
      <c r="AL704" s="116"/>
      <c r="AM704" s="116"/>
      <c r="AN704" s="116"/>
      <c r="AO704" s="116"/>
      <c r="AP704" s="116"/>
      <c r="AQ704" s="116"/>
      <c r="AR704" s="116"/>
      <c r="AS704" s="116"/>
      <c r="AT704" s="116"/>
      <c r="AU704" s="116"/>
      <c r="AV704" s="116"/>
      <c r="AW704" s="116"/>
      <c r="AX704" s="116"/>
      <c r="AY704" s="116"/>
      <c r="AZ704" s="116"/>
      <c r="BA704" s="116"/>
      <c r="BB704" s="116"/>
      <c r="BC704" s="116"/>
      <c r="BD704" s="116"/>
      <c r="BE704" s="116"/>
      <c r="BF704" s="116"/>
      <c r="BG704" s="116"/>
      <c r="BH704" s="116"/>
      <c r="BI704" s="116"/>
      <c r="BJ704" s="116"/>
      <c r="BK704" s="116"/>
      <c r="BL704" s="116"/>
      <c r="BM704" s="116"/>
      <c r="BN704" s="116"/>
      <c r="BO704" s="116"/>
      <c r="BP704" s="116"/>
      <c r="BQ704" s="116"/>
      <c r="BR704" s="116"/>
      <c r="BS704" s="116"/>
      <c r="BT704" s="116"/>
      <c r="BU704" s="116"/>
      <c r="BV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I704" s="116"/>
      <c r="CJ704" s="116"/>
      <c r="CK704" s="116"/>
      <c r="CL704" s="116"/>
      <c r="CM704" s="116"/>
      <c r="CN704" s="116"/>
      <c r="CO704" s="116"/>
    </row>
    <row r="705" spans="1:93" x14ac:dyDescent="0.2">
      <c r="A705" s="118">
        <f t="shared" ref="A705:A748" si="57">+A704+1</f>
        <v>2</v>
      </c>
      <c r="B705" s="222" t="s">
        <v>542</v>
      </c>
      <c r="C705" s="223"/>
      <c r="D705" s="226"/>
      <c r="E705" s="225"/>
      <c r="F705" s="284"/>
      <c r="G705" s="227"/>
      <c r="H705" s="285"/>
      <c r="I705" s="308"/>
      <c r="J705" s="226"/>
      <c r="K705" s="225"/>
      <c r="L705" s="857">
        <v>0</v>
      </c>
      <c r="M705" s="227"/>
      <c r="N705" s="285"/>
      <c r="O705" s="227"/>
      <c r="P705" s="227"/>
      <c r="Q705" s="227"/>
      <c r="R705" s="227"/>
      <c r="S705" s="227"/>
      <c r="T705" s="227"/>
      <c r="U705" s="163"/>
      <c r="V705" s="139"/>
      <c r="W705" s="140"/>
      <c r="X705" s="227"/>
      <c r="Y705" s="163"/>
      <c r="Z705" s="141"/>
      <c r="AA705" s="227"/>
      <c r="AH705" s="116"/>
      <c r="AI705" s="116"/>
      <c r="AJ705" s="116"/>
      <c r="AK705" s="116"/>
      <c r="AL705" s="116"/>
      <c r="AM705" s="116"/>
      <c r="AN705" s="116"/>
      <c r="AO705" s="116"/>
      <c r="AP705" s="116"/>
      <c r="AQ705" s="116"/>
      <c r="AR705" s="116"/>
      <c r="AS705" s="116"/>
      <c r="AT705" s="116"/>
      <c r="AU705" s="116"/>
      <c r="AV705" s="116"/>
      <c r="AW705" s="116"/>
      <c r="AX705" s="116"/>
      <c r="AY705" s="116"/>
      <c r="AZ705" s="116"/>
      <c r="BA705" s="116"/>
      <c r="BB705" s="116"/>
      <c r="BC705" s="116"/>
      <c r="BD705" s="116"/>
      <c r="BE705" s="116"/>
      <c r="BF705" s="116"/>
      <c r="BG705" s="116"/>
      <c r="BH705" s="116"/>
      <c r="BI705" s="116"/>
      <c r="BJ705" s="116"/>
      <c r="BK705" s="116"/>
      <c r="BL705" s="116"/>
      <c r="BM705" s="116"/>
      <c r="BN705" s="116"/>
      <c r="BO705" s="116"/>
      <c r="BP705" s="116"/>
      <c r="BQ705" s="116"/>
      <c r="BR705" s="116"/>
      <c r="BS705" s="116"/>
      <c r="BT705" s="116"/>
      <c r="BU705" s="116"/>
      <c r="BV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I705" s="116"/>
      <c r="CJ705" s="116"/>
      <c r="CK705" s="116"/>
      <c r="CL705" s="116"/>
      <c r="CM705" s="116"/>
      <c r="CN705" s="116"/>
      <c r="CO705" s="116"/>
    </row>
    <row r="706" spans="1:93" x14ac:dyDescent="0.2">
      <c r="A706" s="118">
        <f t="shared" si="57"/>
        <v>3</v>
      </c>
      <c r="B706" s="234" t="s">
        <v>148</v>
      </c>
      <c r="C706" s="223"/>
      <c r="D706" s="172">
        <f>SUMIF($AH$6:$CP$6,1,$AH706:$CP706)</f>
        <v>0</v>
      </c>
      <c r="E706" s="233" t="s">
        <v>545</v>
      </c>
      <c r="F706" s="173">
        <f>'Exhibit MJC-3 - E-13c cal yr'!F708</f>
        <v>432.09</v>
      </c>
      <c r="G706" s="227"/>
      <c r="H706" s="174">
        <f>ROUND(D706*F706,2)</f>
        <v>0</v>
      </c>
      <c r="I706" s="308"/>
      <c r="J706" s="172">
        <f>SUMIF($AH$6:$CP$6,1,$AH706:$CP706)</f>
        <v>0</v>
      </c>
      <c r="K706" s="233" t="s">
        <v>545</v>
      </c>
      <c r="L706" s="183">
        <f>ROUND(F706*(1+'Exhibit MJC-2 - Old E-8a'!V27)+L705,2)</f>
        <v>449.6</v>
      </c>
      <c r="M706" s="227"/>
      <c r="N706" s="174">
        <f>ROUND(J706*L706,2)</f>
        <v>0</v>
      </c>
      <c r="O706" s="227"/>
      <c r="P706" s="262"/>
      <c r="Q706" s="262"/>
      <c r="R706" s="227"/>
      <c r="S706" s="227"/>
      <c r="T706" s="227"/>
      <c r="U706" s="184" t="s">
        <v>139</v>
      </c>
      <c r="V706" s="179">
        <v>258</v>
      </c>
      <c r="W706" s="180">
        <v>232</v>
      </c>
      <c r="X706" s="227"/>
      <c r="Y706" s="184"/>
      <c r="Z706" s="181"/>
      <c r="AA706" s="227"/>
      <c r="AB706" s="182">
        <f>SUM(AH706:AS706)</f>
        <v>8.9645961239810248</v>
      </c>
      <c r="AC706" s="182">
        <f>SUM(AT706:BE706)</f>
        <v>0</v>
      </c>
      <c r="AD706" s="182">
        <f>SUM(BF706:BQ706)</f>
        <v>0</v>
      </c>
      <c r="AE706" s="182">
        <f>SUM(BR706:CC706)</f>
        <v>0</v>
      </c>
      <c r="AF706" s="182">
        <f>SUM(CD706:CO706)</f>
        <v>0</v>
      </c>
      <c r="AH706" s="174">
        <v>1.7453486350199965</v>
      </c>
      <c r="AI706" s="174">
        <v>0</v>
      </c>
      <c r="AJ706" s="174">
        <v>0.76410670953033377</v>
      </c>
      <c r="AK706" s="174">
        <v>0.8094702934694521</v>
      </c>
      <c r="AL706" s="174">
        <v>0.76588671723330048</v>
      </c>
      <c r="AM706" s="174">
        <v>0.7859564280350787</v>
      </c>
      <c r="AN706" s="174">
        <v>0.83439150063148904</v>
      </c>
      <c r="AO706" s="174">
        <v>0.78303010546717244</v>
      </c>
      <c r="AP706" s="174">
        <v>0.80721258383699923</v>
      </c>
      <c r="AQ706" s="174">
        <v>0.79604716794553532</v>
      </c>
      <c r="AR706" s="174">
        <v>0.87314598281166655</v>
      </c>
      <c r="AS706" s="174">
        <v>0</v>
      </c>
      <c r="AT706" s="174">
        <v>0</v>
      </c>
      <c r="AU706" s="174">
        <v>0</v>
      </c>
      <c r="AV706" s="174">
        <v>0</v>
      </c>
      <c r="AW706" s="174">
        <v>0</v>
      </c>
      <c r="AX706" s="174">
        <v>0</v>
      </c>
      <c r="AY706" s="174">
        <v>0</v>
      </c>
      <c r="AZ706" s="174">
        <v>0</v>
      </c>
      <c r="BA706" s="174">
        <v>0</v>
      </c>
      <c r="BB706" s="174">
        <v>0</v>
      </c>
      <c r="BC706" s="174">
        <v>0</v>
      </c>
      <c r="BD706" s="174">
        <v>0</v>
      </c>
      <c r="BE706" s="174">
        <v>0</v>
      </c>
      <c r="BF706" s="174">
        <v>0</v>
      </c>
      <c r="BG706" s="174">
        <v>0</v>
      </c>
      <c r="BH706" s="174">
        <v>0</v>
      </c>
      <c r="BI706" s="174">
        <v>0</v>
      </c>
      <c r="BJ706" s="174">
        <v>0</v>
      </c>
      <c r="BK706" s="174">
        <v>0</v>
      </c>
      <c r="BL706" s="174">
        <v>0</v>
      </c>
      <c r="BM706" s="174">
        <v>0</v>
      </c>
      <c r="BN706" s="174">
        <v>0</v>
      </c>
      <c r="BO706" s="174">
        <v>0</v>
      </c>
      <c r="BP706" s="174">
        <v>0</v>
      </c>
      <c r="BQ706" s="174">
        <v>0</v>
      </c>
      <c r="BR706" s="174">
        <v>0</v>
      </c>
      <c r="BS706" s="174">
        <v>0</v>
      </c>
      <c r="BT706" s="174">
        <v>0</v>
      </c>
      <c r="BU706" s="174">
        <v>0</v>
      </c>
      <c r="BV706" s="174">
        <v>0</v>
      </c>
      <c r="BW706" s="174">
        <v>0</v>
      </c>
      <c r="BX706" s="174">
        <v>0</v>
      </c>
      <c r="BY706" s="174">
        <v>0</v>
      </c>
      <c r="BZ706" s="174">
        <v>0</v>
      </c>
      <c r="CA706" s="174">
        <v>0</v>
      </c>
      <c r="CB706" s="174">
        <v>0</v>
      </c>
      <c r="CC706" s="174">
        <v>0</v>
      </c>
      <c r="CD706" s="174">
        <v>0</v>
      </c>
      <c r="CE706" s="174">
        <v>0</v>
      </c>
      <c r="CF706" s="174">
        <v>0</v>
      </c>
      <c r="CG706" s="174">
        <v>0</v>
      </c>
      <c r="CH706" s="174">
        <v>0</v>
      </c>
      <c r="CI706" s="174">
        <v>0</v>
      </c>
      <c r="CJ706" s="174">
        <v>0</v>
      </c>
      <c r="CK706" s="174">
        <v>0</v>
      </c>
      <c r="CL706" s="174">
        <v>0</v>
      </c>
      <c r="CM706" s="174">
        <v>0</v>
      </c>
      <c r="CN706" s="174">
        <v>0</v>
      </c>
      <c r="CO706" s="174">
        <v>0</v>
      </c>
    </row>
    <row r="707" spans="1:93" x14ac:dyDescent="0.2">
      <c r="A707" s="118">
        <f t="shared" si="57"/>
        <v>4</v>
      </c>
      <c r="B707" s="234" t="s">
        <v>662</v>
      </c>
      <c r="C707" s="223"/>
      <c r="D707" s="172">
        <f>SUMIF($AH$6:$CP$6,1,$AH707:$CP707)</f>
        <v>10.227736050487131</v>
      </c>
      <c r="E707" s="233" t="s">
        <v>545</v>
      </c>
      <c r="F707" s="173">
        <f>'Exhibit MJC-3 - E-13c cal yr'!F709</f>
        <v>145.94</v>
      </c>
      <c r="G707" s="233" t="s">
        <v>375</v>
      </c>
      <c r="H707" s="174">
        <f>ROUND(D707*F707,2)</f>
        <v>1492.64</v>
      </c>
      <c r="I707" s="308"/>
      <c r="J707" s="172">
        <f>SUMIF($AH$6:$CP$6,1,$AH707:$CP707)</f>
        <v>10.227736050487131</v>
      </c>
      <c r="K707" s="233" t="s">
        <v>545</v>
      </c>
      <c r="L707" s="183">
        <f>ROUND(F707*(1+'Exhibit MJC-2 - Old E-8a'!V27)+L705,2)</f>
        <v>151.85</v>
      </c>
      <c r="M707" s="233" t="s">
        <v>375</v>
      </c>
      <c r="N707" s="174">
        <f>ROUND(J707*L707,2)</f>
        <v>1553.08</v>
      </c>
      <c r="O707" s="227"/>
      <c r="P707" s="262"/>
      <c r="Q707" s="262"/>
      <c r="R707" s="227"/>
      <c r="S707" s="227"/>
      <c r="T707" s="227"/>
      <c r="U707" s="184" t="s">
        <v>139</v>
      </c>
      <c r="V707" s="179">
        <v>258</v>
      </c>
      <c r="W707" s="180">
        <v>232</v>
      </c>
      <c r="X707" s="227"/>
      <c r="Y707" s="184"/>
      <c r="Z707" s="181"/>
      <c r="AA707" s="227"/>
      <c r="AB707" s="182">
        <f>SUM(AH707:AS707)</f>
        <v>10.652497427287825</v>
      </c>
      <c r="AC707" s="182">
        <f>SUM(AT707:BE707)</f>
        <v>10.550831409834363</v>
      </c>
      <c r="AD707" s="182">
        <f>SUM(BF707:BQ707)</f>
        <v>10.348876101185279</v>
      </c>
      <c r="AE707" s="182">
        <f>SUM(BR707:CC707)</f>
        <v>10.227736050487131</v>
      </c>
      <c r="AF707" s="182">
        <f>SUM(CD707:CO707)</f>
        <v>10.197856552823401</v>
      </c>
      <c r="AH707" s="168">
        <v>1.9040166927490871</v>
      </c>
      <c r="AI707" s="168">
        <v>0</v>
      </c>
      <c r="AJ707" s="168">
        <v>0.83357095585127317</v>
      </c>
      <c r="AK707" s="168">
        <v>0.88305850196667501</v>
      </c>
      <c r="AL707" s="168">
        <v>0.83551278243632776</v>
      </c>
      <c r="AM707" s="168">
        <v>0.85740701240190398</v>
      </c>
      <c r="AN707" s="168">
        <v>0.9102452734161699</v>
      </c>
      <c r="AO707" s="168">
        <v>0.85421466050964268</v>
      </c>
      <c r="AP707" s="168">
        <v>0.88059554600399914</v>
      </c>
      <c r="AQ707" s="168">
        <v>0.86841509230422032</v>
      </c>
      <c r="AR707" s="168">
        <v>0.95252289033999982</v>
      </c>
      <c r="AS707" s="168">
        <v>0.8729380193085271</v>
      </c>
      <c r="AT707" s="168">
        <v>1.87999617627711</v>
      </c>
      <c r="AU707" s="168">
        <v>0</v>
      </c>
      <c r="AV707" s="168">
        <v>0.83646362709261191</v>
      </c>
      <c r="AW707" s="168">
        <v>0.88281800038197433</v>
      </c>
      <c r="AX707" s="168">
        <v>0.83225383670073072</v>
      </c>
      <c r="AY707" s="168">
        <v>0.85162970745415356</v>
      </c>
      <c r="AZ707" s="168">
        <v>0.90211518908963373</v>
      </c>
      <c r="BA707" s="168">
        <v>0.84489992242992851</v>
      </c>
      <c r="BB707" s="168">
        <v>0.86929027303325501</v>
      </c>
      <c r="BC707" s="168">
        <v>0.85572568646925418</v>
      </c>
      <c r="BD707" s="168">
        <v>0.93730389615450882</v>
      </c>
      <c r="BE707" s="168">
        <v>0.85833509475120162</v>
      </c>
      <c r="BF707" s="168">
        <v>1.8479326146609492</v>
      </c>
      <c r="BG707" s="168">
        <v>0</v>
      </c>
      <c r="BH707" s="168">
        <v>0.82157442643013534</v>
      </c>
      <c r="BI707" s="168">
        <v>0.86651225841618507</v>
      </c>
      <c r="BJ707" s="168">
        <v>0.81640747421386872</v>
      </c>
      <c r="BK707" s="168">
        <v>0.83515713813422066</v>
      </c>
      <c r="BL707" s="168">
        <v>0.88446591139235486</v>
      </c>
      <c r="BM707" s="168">
        <v>0.82810715712821326</v>
      </c>
      <c r="BN707" s="168">
        <v>0.85161284297279494</v>
      </c>
      <c r="BO707" s="168">
        <v>0.83800208321663627</v>
      </c>
      <c r="BP707" s="168">
        <v>0.91791101112378559</v>
      </c>
      <c r="BQ707" s="168">
        <v>0.8411931834961337</v>
      </c>
      <c r="BR707" s="168">
        <v>1.8134361429151904</v>
      </c>
      <c r="BS707" s="168">
        <v>0</v>
      </c>
      <c r="BT707" s="168">
        <v>0.80850565581263523</v>
      </c>
      <c r="BU707" s="168">
        <v>0.85381039837786743</v>
      </c>
      <c r="BV707" s="168">
        <v>0.80535736370012168</v>
      </c>
      <c r="BW707" s="168">
        <v>0.82472941754430695</v>
      </c>
      <c r="BX707" s="168">
        <v>0.87437931217779752</v>
      </c>
      <c r="BY707" s="168">
        <v>0.81979655791740336</v>
      </c>
      <c r="BZ707" s="168">
        <v>0.84451403279361725</v>
      </c>
      <c r="CA707" s="168">
        <v>0.83249058331096237</v>
      </c>
      <c r="CB707" s="168">
        <v>0.91317375363471465</v>
      </c>
      <c r="CC707" s="168">
        <v>0.83754283230251447</v>
      </c>
      <c r="CD707" s="168">
        <v>1.806206652458028</v>
      </c>
      <c r="CE707" s="168">
        <v>0</v>
      </c>
      <c r="CF707" s="168">
        <v>0.80539913225181903</v>
      </c>
      <c r="CG707" s="168">
        <v>0.85064454570024739</v>
      </c>
      <c r="CH707" s="168">
        <v>0.80264097554103042</v>
      </c>
      <c r="CI707" s="168">
        <v>0.82241447650361155</v>
      </c>
      <c r="CJ707" s="168">
        <v>0.87242018850979641</v>
      </c>
      <c r="CK707" s="168">
        <v>0.81818600582750811</v>
      </c>
      <c r="CL707" s="168">
        <v>0.84271125814053849</v>
      </c>
      <c r="CM707" s="168">
        <v>0.8304483030812656</v>
      </c>
      <c r="CN707" s="168">
        <v>0.91089203812725428</v>
      </c>
      <c r="CO707" s="168">
        <v>0.83589297668230134</v>
      </c>
    </row>
    <row r="708" spans="1:93" x14ac:dyDescent="0.2">
      <c r="A708" s="118">
        <f t="shared" si="57"/>
        <v>5</v>
      </c>
      <c r="B708" s="234" t="s">
        <v>216</v>
      </c>
      <c r="C708" s="223"/>
      <c r="D708" s="172">
        <f>SUMIF($AH$6:$CP$6,1,$AH708:$CP708)</f>
        <v>0</v>
      </c>
      <c r="E708" s="233" t="s">
        <v>545</v>
      </c>
      <c r="F708" s="173">
        <f>'Exhibit MJC-3 - E-13c cal yr'!F710</f>
        <v>1488.73</v>
      </c>
      <c r="G708" s="233" t="s">
        <v>375</v>
      </c>
      <c r="H708" s="187">
        <f>ROUND(D708*F708,2)</f>
        <v>0</v>
      </c>
      <c r="I708" s="308"/>
      <c r="J708" s="172">
        <f>SUMIF($AH$6:$CP$6,1,$AH708:$CP708)</f>
        <v>0</v>
      </c>
      <c r="K708" s="233" t="s">
        <v>545</v>
      </c>
      <c r="L708" s="183">
        <f>ROUND(F708*(1+'Exhibit MJC-2 - Old E-8a'!V27)+(L705*(F708/F706)),2)</f>
        <v>1549.06</v>
      </c>
      <c r="M708" s="233" t="s">
        <v>375</v>
      </c>
      <c r="N708" s="187">
        <f>ROUND(J708*L708,2)</f>
        <v>0</v>
      </c>
      <c r="O708" s="227"/>
      <c r="P708" s="262"/>
      <c r="Q708" s="262"/>
      <c r="R708" s="227"/>
      <c r="S708" s="227"/>
      <c r="T708" s="227"/>
      <c r="U708" s="184" t="s">
        <v>139</v>
      </c>
      <c r="V708" s="179">
        <v>258</v>
      </c>
      <c r="W708" s="180">
        <v>232</v>
      </c>
      <c r="X708" s="227"/>
      <c r="Y708" s="184"/>
      <c r="Z708" s="181"/>
      <c r="AA708" s="227"/>
      <c r="AB708" s="182">
        <f>SUM(AH708:AS708)</f>
        <v>0</v>
      </c>
      <c r="AC708" s="182">
        <f>SUM(AT708:BE708)</f>
        <v>0</v>
      </c>
      <c r="AD708" s="182">
        <f>SUM(BF708:BQ708)</f>
        <v>0</v>
      </c>
      <c r="AE708" s="182">
        <f>SUM(BR708:CC708)</f>
        <v>0</v>
      </c>
      <c r="AF708" s="182">
        <f>SUM(CD708:CO708)</f>
        <v>0</v>
      </c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  <c r="AX708" s="168"/>
      <c r="AY708" s="168"/>
      <c r="AZ708" s="168"/>
      <c r="BA708" s="168"/>
      <c r="BB708" s="168"/>
      <c r="BC708" s="168"/>
      <c r="BD708" s="168"/>
      <c r="BE708" s="168"/>
      <c r="BF708" s="168"/>
      <c r="BG708" s="168"/>
      <c r="BH708" s="168"/>
      <c r="BI708" s="168"/>
      <c r="BJ708" s="168"/>
      <c r="BK708" s="168"/>
      <c r="BL708" s="168"/>
      <c r="BM708" s="168"/>
      <c r="BN708" s="168"/>
      <c r="BO708" s="168"/>
      <c r="BP708" s="168"/>
      <c r="BQ708" s="168"/>
      <c r="BR708" s="168"/>
      <c r="BS708" s="168"/>
      <c r="BT708" s="168"/>
      <c r="BU708" s="168"/>
      <c r="BV708" s="168"/>
      <c r="BW708" s="168"/>
      <c r="BX708" s="168"/>
      <c r="BY708" s="168"/>
      <c r="BZ708" s="168"/>
      <c r="CA708" s="168"/>
      <c r="CB708" s="168"/>
      <c r="CC708" s="168"/>
      <c r="CD708" s="168"/>
      <c r="CE708" s="168"/>
      <c r="CF708" s="168"/>
      <c r="CG708" s="168"/>
      <c r="CH708" s="168"/>
      <c r="CI708" s="168"/>
      <c r="CJ708" s="168"/>
      <c r="CK708" s="168"/>
      <c r="CL708" s="168"/>
      <c r="CM708" s="168"/>
      <c r="CN708" s="168"/>
      <c r="CO708" s="168"/>
    </row>
    <row r="709" spans="1:93" x14ac:dyDescent="0.2">
      <c r="A709" s="118">
        <f>+A708+1</f>
        <v>6</v>
      </c>
      <c r="B709" s="234"/>
      <c r="C709" s="225" t="s">
        <v>121</v>
      </c>
      <c r="D709" s="204">
        <f>SUM(D706:D708)</f>
        <v>10.227736050487131</v>
      </c>
      <c r="E709" s="233" t="s">
        <v>581</v>
      </c>
      <c r="F709" s="183"/>
      <c r="G709" s="223"/>
      <c r="H709" s="206">
        <f>SUM(H706:H708)</f>
        <v>1492.64</v>
      </c>
      <c r="I709" s="308"/>
      <c r="J709" s="204">
        <f>SUM(J706:J708)</f>
        <v>10.227736050487131</v>
      </c>
      <c r="K709" s="233" t="s">
        <v>581</v>
      </c>
      <c r="L709" s="183"/>
      <c r="M709" s="223"/>
      <c r="N709" s="206">
        <f>SUM(N706:N708)</f>
        <v>1553.08</v>
      </c>
      <c r="O709" s="227"/>
      <c r="P709" s="262"/>
      <c r="Q709" s="939">
        <f>(N709-H709)/H709</f>
        <v>4.0492014149426402E-2</v>
      </c>
      <c r="R709" s="227"/>
      <c r="S709" s="227"/>
      <c r="T709" s="227"/>
      <c r="U709" s="178"/>
      <c r="V709" s="179"/>
      <c r="W709" s="180"/>
      <c r="X709" s="227"/>
      <c r="Y709" s="178" t="s">
        <v>139</v>
      </c>
      <c r="Z709" s="181" t="s">
        <v>451</v>
      </c>
      <c r="AA709" s="227"/>
      <c r="AB709" s="204">
        <f>SUM(AB706:AB708)</f>
        <v>19.617093551268852</v>
      </c>
      <c r="AC709" s="204">
        <f>SUM(AC706:AC708)</f>
        <v>10.550831409834363</v>
      </c>
      <c r="AD709" s="204">
        <f>SUM(AD706:AD708)</f>
        <v>10.348876101185279</v>
      </c>
      <c r="AE709" s="204">
        <f>SUM(AE706:AE708)</f>
        <v>10.227736050487131</v>
      </c>
      <c r="AF709" s="204">
        <f>SUM(AF706:AF708)</f>
        <v>10.197856552823401</v>
      </c>
      <c r="AH709" s="204">
        <f t="shared" ref="AH709:CO709" si="58">SUM(AH706:AH708)</f>
        <v>3.6493653277690834</v>
      </c>
      <c r="AI709" s="204">
        <f t="shared" si="58"/>
        <v>0</v>
      </c>
      <c r="AJ709" s="204">
        <f t="shared" si="58"/>
        <v>1.5976776653816069</v>
      </c>
      <c r="AK709" s="204">
        <f t="shared" si="58"/>
        <v>1.692528795436127</v>
      </c>
      <c r="AL709" s="204">
        <f t="shared" si="58"/>
        <v>1.6013994996696281</v>
      </c>
      <c r="AM709" s="204">
        <f t="shared" si="58"/>
        <v>1.6433634404369828</v>
      </c>
      <c r="AN709" s="204">
        <f t="shared" si="58"/>
        <v>1.7446367740476589</v>
      </c>
      <c r="AO709" s="204">
        <f t="shared" si="58"/>
        <v>1.6372447659768152</v>
      </c>
      <c r="AP709" s="204">
        <f t="shared" si="58"/>
        <v>1.6878081298409984</v>
      </c>
      <c r="AQ709" s="204">
        <f t="shared" si="58"/>
        <v>1.6644622602497556</v>
      </c>
      <c r="AR709" s="204">
        <f t="shared" si="58"/>
        <v>1.8256688731516664</v>
      </c>
      <c r="AS709" s="204">
        <f t="shared" si="58"/>
        <v>0.8729380193085271</v>
      </c>
      <c r="AT709" s="204">
        <f t="shared" si="58"/>
        <v>1.87999617627711</v>
      </c>
      <c r="AU709" s="204">
        <f t="shared" si="58"/>
        <v>0</v>
      </c>
      <c r="AV709" s="204">
        <f t="shared" si="58"/>
        <v>0.83646362709261191</v>
      </c>
      <c r="AW709" s="204">
        <f t="shared" si="58"/>
        <v>0.88281800038197433</v>
      </c>
      <c r="AX709" s="204">
        <f t="shared" si="58"/>
        <v>0.83225383670073072</v>
      </c>
      <c r="AY709" s="204">
        <f t="shared" si="58"/>
        <v>0.85162970745415356</v>
      </c>
      <c r="AZ709" s="204">
        <f t="shared" si="58"/>
        <v>0.90211518908963373</v>
      </c>
      <c r="BA709" s="204">
        <f t="shared" si="58"/>
        <v>0.84489992242992851</v>
      </c>
      <c r="BB709" s="204">
        <f t="shared" si="58"/>
        <v>0.86929027303325501</v>
      </c>
      <c r="BC709" s="204">
        <f t="shared" si="58"/>
        <v>0.85572568646925418</v>
      </c>
      <c r="BD709" s="204">
        <f t="shared" si="58"/>
        <v>0.93730389615450882</v>
      </c>
      <c r="BE709" s="204">
        <f t="shared" si="58"/>
        <v>0.85833509475120162</v>
      </c>
      <c r="BF709" s="204">
        <f t="shared" si="58"/>
        <v>1.8479326146609492</v>
      </c>
      <c r="BG709" s="204">
        <f t="shared" si="58"/>
        <v>0</v>
      </c>
      <c r="BH709" s="204">
        <f t="shared" si="58"/>
        <v>0.82157442643013534</v>
      </c>
      <c r="BI709" s="204">
        <f t="shared" si="58"/>
        <v>0.86651225841618507</v>
      </c>
      <c r="BJ709" s="204">
        <f t="shared" si="58"/>
        <v>0.81640747421386872</v>
      </c>
      <c r="BK709" s="204">
        <f t="shared" si="58"/>
        <v>0.83515713813422066</v>
      </c>
      <c r="BL709" s="204">
        <f t="shared" si="58"/>
        <v>0.88446591139235486</v>
      </c>
      <c r="BM709" s="204">
        <f t="shared" si="58"/>
        <v>0.82810715712821326</v>
      </c>
      <c r="BN709" s="204">
        <f t="shared" si="58"/>
        <v>0.85161284297279494</v>
      </c>
      <c r="BO709" s="204">
        <f t="shared" si="58"/>
        <v>0.83800208321663627</v>
      </c>
      <c r="BP709" s="204">
        <f t="shared" si="58"/>
        <v>0.91791101112378559</v>
      </c>
      <c r="BQ709" s="204">
        <f t="shared" si="58"/>
        <v>0.8411931834961337</v>
      </c>
      <c r="BR709" s="204">
        <f t="shared" si="58"/>
        <v>1.8134361429151904</v>
      </c>
      <c r="BS709" s="204">
        <f t="shared" si="58"/>
        <v>0</v>
      </c>
      <c r="BT709" s="204">
        <f t="shared" si="58"/>
        <v>0.80850565581263523</v>
      </c>
      <c r="BU709" s="204">
        <f t="shared" si="58"/>
        <v>0.85381039837786743</v>
      </c>
      <c r="BV709" s="204">
        <f t="shared" si="58"/>
        <v>0.80535736370012168</v>
      </c>
      <c r="BW709" s="204">
        <f t="shared" si="58"/>
        <v>0.82472941754430695</v>
      </c>
      <c r="BX709" s="204">
        <f t="shared" si="58"/>
        <v>0.87437931217779752</v>
      </c>
      <c r="BY709" s="204">
        <f t="shared" si="58"/>
        <v>0.81979655791740336</v>
      </c>
      <c r="BZ709" s="204">
        <f t="shared" si="58"/>
        <v>0.84451403279361725</v>
      </c>
      <c r="CA709" s="204">
        <f t="shared" si="58"/>
        <v>0.83249058331096237</v>
      </c>
      <c r="CB709" s="204">
        <f t="shared" si="58"/>
        <v>0.91317375363471465</v>
      </c>
      <c r="CC709" s="204">
        <f t="shared" si="58"/>
        <v>0.83754283230251447</v>
      </c>
      <c r="CD709" s="204">
        <f t="shared" si="58"/>
        <v>1.806206652458028</v>
      </c>
      <c r="CE709" s="204">
        <f t="shared" si="58"/>
        <v>0</v>
      </c>
      <c r="CF709" s="204">
        <f t="shared" si="58"/>
        <v>0.80539913225181903</v>
      </c>
      <c r="CG709" s="204">
        <f t="shared" si="58"/>
        <v>0.85064454570024739</v>
      </c>
      <c r="CH709" s="204">
        <f t="shared" si="58"/>
        <v>0.80264097554103042</v>
      </c>
      <c r="CI709" s="204">
        <f t="shared" si="58"/>
        <v>0.82241447650361155</v>
      </c>
      <c r="CJ709" s="204">
        <f t="shared" si="58"/>
        <v>0.87242018850979641</v>
      </c>
      <c r="CK709" s="204">
        <f t="shared" si="58"/>
        <v>0.81818600582750811</v>
      </c>
      <c r="CL709" s="204">
        <f t="shared" si="58"/>
        <v>0.84271125814053849</v>
      </c>
      <c r="CM709" s="204">
        <f t="shared" si="58"/>
        <v>0.8304483030812656</v>
      </c>
      <c r="CN709" s="204">
        <f t="shared" si="58"/>
        <v>0.91089203812725428</v>
      </c>
      <c r="CO709" s="204">
        <f t="shared" si="58"/>
        <v>0.83589297668230134</v>
      </c>
    </row>
    <row r="710" spans="1:93" x14ac:dyDescent="0.2">
      <c r="A710" s="118">
        <f t="shared" si="57"/>
        <v>7</v>
      </c>
      <c r="B710" s="227"/>
      <c r="C710" s="263"/>
      <c r="D710" s="227"/>
      <c r="E710" s="230"/>
      <c r="F710" s="197"/>
      <c r="G710" s="227"/>
      <c r="H710" s="203"/>
      <c r="I710" s="308"/>
      <c r="J710" s="227"/>
      <c r="K710" s="230"/>
      <c r="L710" s="197"/>
      <c r="M710" s="227"/>
      <c r="N710" s="203"/>
      <c r="O710" s="227"/>
      <c r="P710" s="262"/>
      <c r="Q710" s="262"/>
      <c r="R710" s="227"/>
      <c r="S710" s="227"/>
      <c r="T710" s="227"/>
      <c r="U710" s="178"/>
      <c r="V710" s="179"/>
      <c r="W710" s="180"/>
      <c r="X710" s="227"/>
      <c r="Y710" s="178"/>
      <c r="Z710" s="181"/>
      <c r="AA710" s="227"/>
      <c r="AB710" s="193">
        <f>SUM(AH710:AS710)</f>
        <v>-8.964596123981023</v>
      </c>
      <c r="AC710" s="193">
        <f>SUM(AT710:BE710)</f>
        <v>0</v>
      </c>
      <c r="AD710" s="193">
        <f>SUM(BF710:BQ710)</f>
        <v>0</v>
      </c>
      <c r="AE710" s="193">
        <f>SUM(BR710:CC710)</f>
        <v>0</v>
      </c>
      <c r="AF710" s="193">
        <f>SUM(CD710:CO710)</f>
        <v>0</v>
      </c>
      <c r="AH710" s="193">
        <v>-1.7453486350199963</v>
      </c>
      <c r="AI710" s="193">
        <v>0</v>
      </c>
      <c r="AJ710" s="193">
        <v>-0.76410670953033377</v>
      </c>
      <c r="AK710" s="193">
        <v>-0.80947029346945198</v>
      </c>
      <c r="AL710" s="193">
        <v>-0.76588671723330037</v>
      </c>
      <c r="AM710" s="193">
        <v>-0.78595642803507881</v>
      </c>
      <c r="AN710" s="193">
        <v>-0.83439150063148904</v>
      </c>
      <c r="AO710" s="193">
        <v>-0.78303010546717255</v>
      </c>
      <c r="AP710" s="193">
        <v>-0.80721258383699923</v>
      </c>
      <c r="AQ710" s="193">
        <v>-0.79604716794553532</v>
      </c>
      <c r="AR710" s="193">
        <v>-0.87314598281166655</v>
      </c>
      <c r="AS710" s="193">
        <v>0</v>
      </c>
      <c r="AT710" s="193">
        <v>0</v>
      </c>
      <c r="AU710" s="193">
        <v>0</v>
      </c>
      <c r="AV710" s="193">
        <v>0</v>
      </c>
      <c r="AW710" s="193">
        <v>0</v>
      </c>
      <c r="AX710" s="193">
        <v>0</v>
      </c>
      <c r="AY710" s="193">
        <v>0</v>
      </c>
      <c r="AZ710" s="193">
        <v>0</v>
      </c>
      <c r="BA710" s="193">
        <v>0</v>
      </c>
      <c r="BB710" s="193">
        <v>0</v>
      </c>
      <c r="BC710" s="193">
        <v>0</v>
      </c>
      <c r="BD710" s="193">
        <v>0</v>
      </c>
      <c r="BE710" s="193">
        <v>0</v>
      </c>
      <c r="BF710" s="193">
        <v>0</v>
      </c>
      <c r="BG710" s="193">
        <v>0</v>
      </c>
      <c r="BH710" s="193">
        <v>0</v>
      </c>
      <c r="BI710" s="193">
        <v>0</v>
      </c>
      <c r="BJ710" s="193">
        <v>0</v>
      </c>
      <c r="BK710" s="193">
        <v>0</v>
      </c>
      <c r="BL710" s="193">
        <v>0</v>
      </c>
      <c r="BM710" s="193">
        <v>0</v>
      </c>
      <c r="BN710" s="193">
        <v>0</v>
      </c>
      <c r="BO710" s="193">
        <v>0</v>
      </c>
      <c r="BP710" s="193">
        <v>0</v>
      </c>
      <c r="BQ710" s="193">
        <v>0</v>
      </c>
      <c r="BR710" s="193">
        <v>0</v>
      </c>
      <c r="BS710" s="193">
        <v>0</v>
      </c>
      <c r="BT710" s="193">
        <v>0</v>
      </c>
      <c r="BU710" s="193">
        <v>0</v>
      </c>
      <c r="BV710" s="193">
        <v>0</v>
      </c>
      <c r="BW710" s="193">
        <v>0</v>
      </c>
      <c r="BX710" s="193">
        <v>0</v>
      </c>
      <c r="BY710" s="193">
        <v>0</v>
      </c>
      <c r="BZ710" s="193">
        <v>0</v>
      </c>
      <c r="CA710" s="193">
        <v>0</v>
      </c>
      <c r="CB710" s="193">
        <v>0</v>
      </c>
      <c r="CC710" s="193">
        <v>0</v>
      </c>
      <c r="CD710" s="193">
        <v>0</v>
      </c>
      <c r="CE710" s="193">
        <v>0</v>
      </c>
      <c r="CF710" s="193">
        <v>0</v>
      </c>
      <c r="CG710" s="193">
        <v>0</v>
      </c>
      <c r="CH710" s="193">
        <v>0</v>
      </c>
      <c r="CI710" s="193">
        <v>0</v>
      </c>
      <c r="CJ710" s="193">
        <v>0</v>
      </c>
      <c r="CK710" s="193">
        <v>0</v>
      </c>
      <c r="CL710" s="193">
        <v>0</v>
      </c>
      <c r="CM710" s="193">
        <v>0</v>
      </c>
      <c r="CN710" s="193">
        <v>0</v>
      </c>
      <c r="CO710" s="193">
        <v>0</v>
      </c>
    </row>
    <row r="711" spans="1:93" x14ac:dyDescent="0.2">
      <c r="A711" s="118">
        <f t="shared" si="57"/>
        <v>8</v>
      </c>
      <c r="B711" s="239" t="s">
        <v>594</v>
      </c>
      <c r="C711" s="225"/>
      <c r="D711" s="168"/>
      <c r="E711" s="233"/>
      <c r="F711" s="183"/>
      <c r="G711" s="223"/>
      <c r="H711" s="174"/>
      <c r="I711" s="308"/>
      <c r="J711" s="168"/>
      <c r="K711" s="233"/>
      <c r="L711" s="183"/>
      <c r="M711" s="223"/>
      <c r="N711" s="174"/>
      <c r="O711" s="227"/>
      <c r="P711" s="262"/>
      <c r="Q711" s="262"/>
      <c r="R711" s="230"/>
      <c r="S711" s="230"/>
      <c r="T711" s="227"/>
      <c r="U711" s="184"/>
      <c r="V711" s="179"/>
      <c r="W711" s="180"/>
      <c r="X711" s="227"/>
      <c r="Y711" s="184"/>
      <c r="Z711" s="181"/>
      <c r="AA711" s="227"/>
    </row>
    <row r="712" spans="1:93" x14ac:dyDescent="0.2">
      <c r="A712" s="118">
        <f t="shared" si="57"/>
        <v>9</v>
      </c>
      <c r="B712" s="228" t="s">
        <v>642</v>
      </c>
      <c r="C712" s="225"/>
      <c r="D712" s="168"/>
      <c r="E712" s="233"/>
      <c r="F712" s="183"/>
      <c r="G712" s="223"/>
      <c r="H712" s="174"/>
      <c r="I712" s="308"/>
      <c r="J712" s="168"/>
      <c r="K712" s="233"/>
      <c r="L712" s="857">
        <f>L653</f>
        <v>0</v>
      </c>
      <c r="M712" s="223"/>
      <c r="N712" s="174"/>
      <c r="O712" s="227"/>
      <c r="P712" s="262"/>
      <c r="Q712" s="262"/>
      <c r="R712" s="332"/>
      <c r="S712" s="259"/>
      <c r="T712" s="227"/>
      <c r="U712" s="184"/>
      <c r="V712" s="179"/>
      <c r="W712" s="180"/>
      <c r="X712" s="227"/>
      <c r="Y712" s="184"/>
      <c r="Z712" s="181"/>
      <c r="AA712" s="227"/>
    </row>
    <row r="713" spans="1:93" x14ac:dyDescent="0.2">
      <c r="A713" s="118">
        <f t="shared" si="57"/>
        <v>10</v>
      </c>
      <c r="B713" s="227" t="s">
        <v>643</v>
      </c>
      <c r="C713" s="263"/>
      <c r="D713" s="172">
        <f>SUMIF($AH$6:$CP$6,1,$AH713:$CP713)</f>
        <v>296317.70399999997</v>
      </c>
      <c r="E713" s="233" t="s">
        <v>596</v>
      </c>
      <c r="F713" s="173">
        <f>'Exhibit MJC-3 - E-13c cal yr'!F715</f>
        <v>3.43</v>
      </c>
      <c r="G713" s="233" t="s">
        <v>375</v>
      </c>
      <c r="H713" s="174">
        <f>ROUND(D713*F713,2)</f>
        <v>1016369.72</v>
      </c>
      <c r="I713" s="308"/>
      <c r="J713" s="172">
        <f>SUMIF($AH$6:$CP$6,1,$AH713:$CP713)</f>
        <v>296317.70399999997</v>
      </c>
      <c r="K713" s="233" t="s">
        <v>596</v>
      </c>
      <c r="L713" s="183">
        <f>ROUND('MFR E-14D2'!I34+L712,2)</f>
        <v>6.52</v>
      </c>
      <c r="M713" s="233" t="s">
        <v>375</v>
      </c>
      <c r="N713" s="174">
        <f>ROUND(J713*L713,2)</f>
        <v>1931991.43</v>
      </c>
      <c r="O713" s="227"/>
      <c r="P713" s="262"/>
      <c r="Q713" s="262"/>
      <c r="R713" s="227"/>
      <c r="S713" s="227"/>
      <c r="T713" s="286"/>
      <c r="U713" s="184" t="s">
        <v>139</v>
      </c>
      <c r="V713" s="179">
        <v>258</v>
      </c>
      <c r="W713" s="180">
        <v>232</v>
      </c>
      <c r="X713" s="286"/>
      <c r="Y713" s="184"/>
      <c r="Z713" s="181"/>
      <c r="AA713" s="286"/>
      <c r="AB713" s="182">
        <f>SUM(AH713:AS713)</f>
        <v>296317.70399999997</v>
      </c>
      <c r="AC713" s="182">
        <f>SUM(AT713:BE713)</f>
        <v>296317.70399999997</v>
      </c>
      <c r="AD713" s="182">
        <f>SUM(BF713:BQ713)</f>
        <v>296317.70399999997</v>
      </c>
      <c r="AE713" s="182">
        <f>SUM(BR713:CC713)</f>
        <v>296317.70399999997</v>
      </c>
      <c r="AF713" s="182">
        <f>SUM(CD713:CO713)</f>
        <v>296317.70399999997</v>
      </c>
      <c r="AH713" s="174">
        <v>24693.142</v>
      </c>
      <c r="AI713" s="174">
        <v>24693.142</v>
      </c>
      <c r="AJ713" s="174">
        <v>24693.142</v>
      </c>
      <c r="AK713" s="174">
        <v>24693.142</v>
      </c>
      <c r="AL713" s="174">
        <v>24693.142</v>
      </c>
      <c r="AM713" s="174">
        <v>24693.142</v>
      </c>
      <c r="AN713" s="174">
        <v>24693.142</v>
      </c>
      <c r="AO713" s="174">
        <v>24693.142</v>
      </c>
      <c r="AP713" s="174">
        <v>24693.142</v>
      </c>
      <c r="AQ713" s="174">
        <v>24693.142</v>
      </c>
      <c r="AR713" s="174">
        <v>24693.142</v>
      </c>
      <c r="AS713" s="174">
        <v>24693.142</v>
      </c>
      <c r="AT713" s="174">
        <v>24693.142</v>
      </c>
      <c r="AU713" s="174">
        <v>24693.142</v>
      </c>
      <c r="AV713" s="174">
        <v>24693.142</v>
      </c>
      <c r="AW713" s="174">
        <v>24693.142</v>
      </c>
      <c r="AX713" s="174">
        <v>24693.142</v>
      </c>
      <c r="AY713" s="174">
        <v>24693.142</v>
      </c>
      <c r="AZ713" s="174">
        <v>24693.142</v>
      </c>
      <c r="BA713" s="174">
        <v>24693.142</v>
      </c>
      <c r="BB713" s="174">
        <v>24693.142</v>
      </c>
      <c r="BC713" s="174">
        <v>24693.142</v>
      </c>
      <c r="BD713" s="174">
        <v>24693.142</v>
      </c>
      <c r="BE713" s="174">
        <v>24693.142</v>
      </c>
      <c r="BF713" s="174">
        <v>24693.142</v>
      </c>
      <c r="BG713" s="174">
        <v>24693.142</v>
      </c>
      <c r="BH713" s="174">
        <v>24693.142</v>
      </c>
      <c r="BI713" s="174">
        <v>24693.142</v>
      </c>
      <c r="BJ713" s="174">
        <v>24693.142</v>
      </c>
      <c r="BK713" s="174">
        <v>24693.142</v>
      </c>
      <c r="BL713" s="174">
        <v>24693.142</v>
      </c>
      <c r="BM713" s="174">
        <v>24693.142</v>
      </c>
      <c r="BN713" s="174">
        <v>24693.142</v>
      </c>
      <c r="BO713" s="174">
        <v>24693.142</v>
      </c>
      <c r="BP713" s="174">
        <v>24693.142</v>
      </c>
      <c r="BQ713" s="174">
        <v>24693.142</v>
      </c>
      <c r="BR713" s="174">
        <v>24693.142</v>
      </c>
      <c r="BS713" s="174">
        <v>24693.142</v>
      </c>
      <c r="BT713" s="174">
        <v>24693.142</v>
      </c>
      <c r="BU713" s="174">
        <v>24693.142</v>
      </c>
      <c r="BV713" s="174">
        <v>24693.142</v>
      </c>
      <c r="BW713" s="174">
        <v>24693.142</v>
      </c>
      <c r="BX713" s="174">
        <v>24693.142</v>
      </c>
      <c r="BY713" s="174">
        <v>24693.142</v>
      </c>
      <c r="BZ713" s="174">
        <v>24693.142</v>
      </c>
      <c r="CA713" s="174">
        <v>24693.142</v>
      </c>
      <c r="CB713" s="174">
        <v>24693.142</v>
      </c>
      <c r="CC713" s="174">
        <v>24693.142</v>
      </c>
      <c r="CD713" s="174">
        <v>24693.142</v>
      </c>
      <c r="CE713" s="174">
        <v>24693.142</v>
      </c>
      <c r="CF713" s="174">
        <v>24693.142</v>
      </c>
      <c r="CG713" s="174">
        <v>24693.142</v>
      </c>
      <c r="CH713" s="174">
        <v>24693.142</v>
      </c>
      <c r="CI713" s="174">
        <v>24693.142</v>
      </c>
      <c r="CJ713" s="174">
        <v>24693.142</v>
      </c>
      <c r="CK713" s="174">
        <v>24693.142</v>
      </c>
      <c r="CL713" s="174">
        <v>24693.142</v>
      </c>
      <c r="CM713" s="174">
        <v>24693.142</v>
      </c>
      <c r="CN713" s="174">
        <v>24693.142</v>
      </c>
      <c r="CO713" s="174">
        <v>24693.142</v>
      </c>
    </row>
    <row r="714" spans="1:93" x14ac:dyDescent="0.2">
      <c r="A714" s="118">
        <f t="shared" si="57"/>
        <v>11</v>
      </c>
      <c r="B714" s="227" t="s">
        <v>644</v>
      </c>
      <c r="C714" s="263"/>
      <c r="D714" s="172">
        <f>SUMIF($AH$6:$CP$6,1,$AH714:$CP714)</f>
        <v>0</v>
      </c>
      <c r="E714" s="233" t="s">
        <v>596</v>
      </c>
      <c r="F714" s="173">
        <f>'Exhibit MJC-3 - E-13c cal yr'!F716</f>
        <v>0</v>
      </c>
      <c r="G714" s="233" t="s">
        <v>375</v>
      </c>
      <c r="H714" s="174">
        <f>ROUND(D714*F714,2)</f>
        <v>0</v>
      </c>
      <c r="I714" s="308"/>
      <c r="J714" s="172">
        <f>SUMIF($AH$6:$CP$6,1,$AH714:$CP714)</f>
        <v>0</v>
      </c>
      <c r="K714" s="233" t="s">
        <v>596</v>
      </c>
      <c r="L714" s="183">
        <v>0</v>
      </c>
      <c r="M714" s="233" t="s">
        <v>375</v>
      </c>
      <c r="N714" s="174">
        <f>ROUND(J714*L714,2)</f>
        <v>0</v>
      </c>
      <c r="O714" s="227"/>
      <c r="P714" s="262"/>
      <c r="Q714" s="262"/>
      <c r="R714" s="227"/>
      <c r="S714" s="227"/>
      <c r="T714" s="227"/>
      <c r="U714" s="184" t="s">
        <v>139</v>
      </c>
      <c r="V714" s="179">
        <v>258</v>
      </c>
      <c r="W714" s="180">
        <v>232</v>
      </c>
      <c r="X714" s="227"/>
      <c r="Y714" s="184"/>
      <c r="Z714" s="181"/>
      <c r="AA714" s="227"/>
      <c r="AB714" s="182">
        <f>SUM(AH714:AS714)</f>
        <v>0</v>
      </c>
      <c r="AC714" s="182">
        <f>SUM(AT714:BE714)</f>
        <v>0</v>
      </c>
      <c r="AD714" s="182">
        <f>SUM(BF714:BQ714)</f>
        <v>0</v>
      </c>
      <c r="AE714" s="182">
        <f>SUM(BR714:CC714)</f>
        <v>0</v>
      </c>
      <c r="AF714" s="182">
        <f>SUM(CD714:CO714)</f>
        <v>0</v>
      </c>
      <c r="AH714" s="174">
        <v>0</v>
      </c>
      <c r="AI714" s="174">
        <v>0</v>
      </c>
      <c r="AJ714" s="174">
        <v>0</v>
      </c>
      <c r="AK714" s="174">
        <v>0</v>
      </c>
      <c r="AL714" s="174">
        <v>0</v>
      </c>
      <c r="AM714" s="174">
        <v>0</v>
      </c>
      <c r="AN714" s="174">
        <v>0</v>
      </c>
      <c r="AO714" s="174">
        <v>0</v>
      </c>
      <c r="AP714" s="174">
        <v>0</v>
      </c>
      <c r="AQ714" s="174">
        <v>0</v>
      </c>
      <c r="AR714" s="174">
        <v>0</v>
      </c>
      <c r="AS714" s="174">
        <v>0</v>
      </c>
      <c r="AT714" s="174">
        <v>0</v>
      </c>
      <c r="AU714" s="174">
        <v>0</v>
      </c>
      <c r="AV714" s="174">
        <v>0</v>
      </c>
      <c r="AW714" s="174">
        <v>0</v>
      </c>
      <c r="AX714" s="174">
        <v>0</v>
      </c>
      <c r="AY714" s="174">
        <v>0</v>
      </c>
      <c r="AZ714" s="174">
        <v>0</v>
      </c>
      <c r="BA714" s="174">
        <v>0</v>
      </c>
      <c r="BB714" s="174">
        <v>0</v>
      </c>
      <c r="BC714" s="174">
        <v>0</v>
      </c>
      <c r="BD714" s="174">
        <v>0</v>
      </c>
      <c r="BE714" s="174">
        <v>0</v>
      </c>
      <c r="BF714" s="174">
        <v>0</v>
      </c>
      <c r="BG714" s="174">
        <v>0</v>
      </c>
      <c r="BH714" s="174">
        <v>0</v>
      </c>
      <c r="BI714" s="174">
        <v>0</v>
      </c>
      <c r="BJ714" s="174">
        <v>0</v>
      </c>
      <c r="BK714" s="174">
        <v>0</v>
      </c>
      <c r="BL714" s="174">
        <v>0</v>
      </c>
      <c r="BM714" s="174">
        <v>0</v>
      </c>
      <c r="BN714" s="174">
        <v>0</v>
      </c>
      <c r="BO714" s="174">
        <v>0</v>
      </c>
      <c r="BP714" s="174">
        <v>0</v>
      </c>
      <c r="BQ714" s="174">
        <v>0</v>
      </c>
      <c r="BR714" s="174">
        <v>0</v>
      </c>
      <c r="BS714" s="174">
        <v>0</v>
      </c>
      <c r="BT714" s="174">
        <v>0</v>
      </c>
      <c r="BU714" s="174">
        <v>0</v>
      </c>
      <c r="BV714" s="174">
        <v>0</v>
      </c>
      <c r="BW714" s="174">
        <v>0</v>
      </c>
      <c r="BX714" s="174">
        <v>0</v>
      </c>
      <c r="BY714" s="174">
        <v>0</v>
      </c>
      <c r="BZ714" s="174">
        <v>0</v>
      </c>
      <c r="CA714" s="174">
        <v>0</v>
      </c>
      <c r="CB714" s="174">
        <v>0</v>
      </c>
      <c r="CC714" s="174">
        <v>0</v>
      </c>
      <c r="CD714" s="174">
        <v>0</v>
      </c>
      <c r="CE714" s="174">
        <v>0</v>
      </c>
      <c r="CF714" s="174">
        <v>0</v>
      </c>
      <c r="CG714" s="174">
        <v>0</v>
      </c>
      <c r="CH714" s="174">
        <v>0</v>
      </c>
      <c r="CI714" s="174">
        <v>0</v>
      </c>
      <c r="CJ714" s="174">
        <v>0</v>
      </c>
      <c r="CK714" s="174">
        <v>0</v>
      </c>
      <c r="CL714" s="174">
        <v>0</v>
      </c>
      <c r="CM714" s="174">
        <v>0</v>
      </c>
      <c r="CN714" s="174">
        <v>0</v>
      </c>
      <c r="CO714" s="174">
        <v>0</v>
      </c>
    </row>
    <row r="715" spans="1:93" x14ac:dyDescent="0.2">
      <c r="A715" s="118">
        <f t="shared" si="57"/>
        <v>12</v>
      </c>
      <c r="B715" s="227" t="s">
        <v>655</v>
      </c>
      <c r="C715" s="263"/>
      <c r="D715" s="227"/>
      <c r="E715" s="230"/>
      <c r="F715" s="197"/>
      <c r="G715" s="227"/>
      <c r="H715" s="203"/>
      <c r="I715" s="308"/>
      <c r="J715" s="227"/>
      <c r="K715" s="230"/>
      <c r="L715" s="197"/>
      <c r="M715" s="227"/>
      <c r="N715" s="203"/>
      <c r="O715" s="227"/>
      <c r="P715" s="262"/>
      <c r="Q715" s="262"/>
      <c r="R715" s="227"/>
      <c r="S715" s="227"/>
      <c r="T715" s="227"/>
      <c r="U715" s="184"/>
      <c r="V715" s="179"/>
      <c r="W715" s="180"/>
      <c r="X715" s="227"/>
      <c r="Y715" s="184"/>
      <c r="Z715" s="181"/>
      <c r="AA715" s="227"/>
      <c r="AC715" s="260"/>
      <c r="AD715" s="260"/>
      <c r="AE715" s="260"/>
      <c r="AF715" s="114"/>
    </row>
    <row r="716" spans="1:93" x14ac:dyDescent="0.2">
      <c r="A716" s="118">
        <f t="shared" si="57"/>
        <v>13</v>
      </c>
      <c r="B716" s="227" t="s">
        <v>656</v>
      </c>
      <c r="C716" s="263"/>
      <c r="D716" s="227"/>
      <c r="E716" s="230"/>
      <c r="F716" s="197"/>
      <c r="G716" s="227"/>
      <c r="H716" s="203"/>
      <c r="I716" s="308"/>
      <c r="J716" s="227"/>
      <c r="K716" s="230"/>
      <c r="L716" s="197"/>
      <c r="M716" s="227"/>
      <c r="N716" s="203"/>
      <c r="O716" s="227"/>
      <c r="P716" s="262"/>
      <c r="Q716" s="262"/>
      <c r="R716" s="227"/>
      <c r="S716" s="227"/>
      <c r="T716" s="227"/>
      <c r="U716" s="184"/>
      <c r="V716" s="179"/>
      <c r="W716" s="180"/>
      <c r="X716" s="227"/>
      <c r="Y716" s="184"/>
      <c r="Z716" s="181"/>
      <c r="AA716" s="227"/>
      <c r="AB716" s="107" t="s">
        <v>646</v>
      </c>
      <c r="AC716" s="114"/>
      <c r="AD716" s="114"/>
      <c r="AE716" s="114"/>
      <c r="AF716" s="114"/>
      <c r="AH716" s="101">
        <v>1</v>
      </c>
      <c r="AI716" s="101">
        <v>1.2</v>
      </c>
      <c r="AJ716" s="101">
        <v>0.8</v>
      </c>
      <c r="AK716" s="101">
        <v>0.8</v>
      </c>
      <c r="AL716" s="101">
        <v>0.8</v>
      </c>
      <c r="AM716" s="101">
        <v>1</v>
      </c>
      <c r="AN716" s="101">
        <v>1.2</v>
      </c>
      <c r="AO716" s="101">
        <v>1.2</v>
      </c>
      <c r="AP716" s="101">
        <v>1</v>
      </c>
      <c r="AQ716" s="101">
        <v>0.8</v>
      </c>
      <c r="AR716" s="101">
        <v>1</v>
      </c>
      <c r="AS716" s="101">
        <v>1</v>
      </c>
      <c r="AT716" s="101">
        <v>1</v>
      </c>
      <c r="AU716" s="101">
        <v>1.2</v>
      </c>
      <c r="AV716" s="101">
        <v>0.8</v>
      </c>
      <c r="AW716" s="101">
        <v>0.8</v>
      </c>
      <c r="AX716" s="101">
        <v>0.8</v>
      </c>
      <c r="AY716" s="101">
        <v>1</v>
      </c>
      <c r="AZ716" s="101">
        <v>1.2</v>
      </c>
      <c r="BA716" s="101">
        <v>1.2</v>
      </c>
      <c r="BB716" s="101">
        <v>1</v>
      </c>
      <c r="BC716" s="101">
        <v>0.8</v>
      </c>
      <c r="BD716" s="101">
        <v>1</v>
      </c>
      <c r="BE716" s="101">
        <v>1</v>
      </c>
      <c r="BF716" s="101">
        <v>1</v>
      </c>
      <c r="BG716" s="101">
        <v>1.2</v>
      </c>
      <c r="BH716" s="101">
        <v>0.8</v>
      </c>
      <c r="BI716" s="101">
        <v>0.8</v>
      </c>
      <c r="BJ716" s="101">
        <v>0.8</v>
      </c>
      <c r="BK716" s="101">
        <v>1</v>
      </c>
      <c r="BL716" s="101">
        <v>1.2</v>
      </c>
      <c r="BM716" s="101">
        <v>1.2</v>
      </c>
      <c r="BN716" s="101">
        <v>1</v>
      </c>
      <c r="BO716" s="101">
        <v>0.8</v>
      </c>
      <c r="BP716" s="101">
        <v>1</v>
      </c>
      <c r="BQ716" s="101">
        <v>1</v>
      </c>
      <c r="BR716" s="101">
        <v>1</v>
      </c>
      <c r="BS716" s="101">
        <v>1.2</v>
      </c>
      <c r="BT716" s="101">
        <v>0.8</v>
      </c>
      <c r="BU716" s="101">
        <v>0.8</v>
      </c>
      <c r="BV716" s="101">
        <v>0.8</v>
      </c>
      <c r="BW716" s="101">
        <v>1</v>
      </c>
      <c r="BX716" s="101">
        <v>1.2</v>
      </c>
      <c r="BY716" s="101">
        <v>1.2</v>
      </c>
      <c r="BZ716" s="101">
        <v>1</v>
      </c>
      <c r="CA716" s="101">
        <v>0.8</v>
      </c>
      <c r="CB716" s="101">
        <v>1</v>
      </c>
      <c r="CC716" s="101">
        <v>1</v>
      </c>
      <c r="CD716" s="101">
        <v>1</v>
      </c>
      <c r="CE716" s="101">
        <v>1.2</v>
      </c>
      <c r="CF716" s="101">
        <v>0.8</v>
      </c>
      <c r="CG716" s="101">
        <v>0.8</v>
      </c>
      <c r="CH716" s="101">
        <v>0.8</v>
      </c>
      <c r="CI716" s="101">
        <v>1</v>
      </c>
      <c r="CJ716" s="101">
        <v>1.2</v>
      </c>
      <c r="CK716" s="101">
        <v>1.2</v>
      </c>
      <c r="CL716" s="101">
        <v>1</v>
      </c>
      <c r="CM716" s="101">
        <v>0.8</v>
      </c>
      <c r="CN716" s="101">
        <v>1</v>
      </c>
      <c r="CO716" s="101">
        <v>1</v>
      </c>
    </row>
    <row r="717" spans="1:93" x14ac:dyDescent="0.2">
      <c r="A717" s="118">
        <f t="shared" si="57"/>
        <v>14</v>
      </c>
      <c r="B717" s="227" t="s">
        <v>643</v>
      </c>
      <c r="C717" s="263"/>
      <c r="D717" s="227"/>
      <c r="E717" s="230"/>
      <c r="F717" s="197"/>
      <c r="G717" s="227"/>
      <c r="H717" s="203"/>
      <c r="I717" s="308"/>
      <c r="J717" s="227"/>
      <c r="K717" s="230"/>
      <c r="L717" s="936">
        <f>L659</f>
        <v>0</v>
      </c>
      <c r="M717" s="227"/>
      <c r="N717" s="203"/>
      <c r="O717" s="227"/>
      <c r="P717" s="262"/>
      <c r="Q717" s="262"/>
      <c r="R717" s="227"/>
      <c r="S717" s="227"/>
      <c r="T717" s="227"/>
      <c r="U717" s="184"/>
      <c r="V717" s="179"/>
      <c r="W717" s="180"/>
      <c r="X717" s="227"/>
      <c r="Y717" s="184"/>
      <c r="Z717" s="181"/>
      <c r="AA717" s="227"/>
      <c r="AC717" s="114"/>
      <c r="AD717" s="114"/>
      <c r="AE717" s="114"/>
      <c r="AF717" s="114"/>
    </row>
    <row r="718" spans="1:93" x14ac:dyDescent="0.2">
      <c r="A718" s="118">
        <f t="shared" si="57"/>
        <v>15</v>
      </c>
      <c r="B718" s="227" t="s">
        <v>647</v>
      </c>
      <c r="C718" s="263"/>
      <c r="D718" s="172">
        <f>SUMIF($AH$6:$CP$6,1,$AH718:$CP718)</f>
        <v>24693.142</v>
      </c>
      <c r="E718" s="233" t="s">
        <v>596</v>
      </c>
      <c r="F718" s="201">
        <f>'Exhibit MJC-3 - E-13c cal yr'!F720</f>
        <v>1.9570000000000001</v>
      </c>
      <c r="G718" s="233" t="s">
        <v>375</v>
      </c>
      <c r="H718" s="174">
        <f>ROUND(D718*F718,2)</f>
        <v>48324.480000000003</v>
      </c>
      <c r="I718" s="308"/>
      <c r="J718" s="172">
        <f>SUMIF($AH$6:$CP$6,1,$AH718:$CP718)</f>
        <v>24693.142</v>
      </c>
      <c r="K718" s="233" t="s">
        <v>596</v>
      </c>
      <c r="L718" s="201">
        <f>ROUND('MFR E-14D2'!I41+L717,2)</f>
        <v>2.21</v>
      </c>
      <c r="M718" s="233" t="s">
        <v>375</v>
      </c>
      <c r="N718" s="174">
        <f>ROUND(J718*L718,2)</f>
        <v>54571.839999999997</v>
      </c>
      <c r="O718" s="227"/>
      <c r="P718" s="262"/>
      <c r="Q718" s="262"/>
      <c r="R718" s="227"/>
      <c r="S718" s="227"/>
      <c r="T718" s="227"/>
      <c r="U718" s="184" t="s">
        <v>139</v>
      </c>
      <c r="V718" s="179">
        <v>258</v>
      </c>
      <c r="W718" s="180">
        <v>232</v>
      </c>
      <c r="X718" s="227"/>
      <c r="Y718" s="184"/>
      <c r="Z718" s="181"/>
      <c r="AA718" s="227"/>
      <c r="AB718" s="182">
        <f>SUM(AH718:AS718)</f>
        <v>24693.142</v>
      </c>
      <c r="AC718" s="182">
        <f>SUM(AT718:BE718)</f>
        <v>24693.142</v>
      </c>
      <c r="AD718" s="182">
        <f>SUM(BF718:BQ718)</f>
        <v>24693.142</v>
      </c>
      <c r="AE718" s="182">
        <f>SUM(BR718:CC718)</f>
        <v>24693.142</v>
      </c>
      <c r="AF718" s="182">
        <f>SUM(CD718:CO718)</f>
        <v>24693.142</v>
      </c>
      <c r="AH718" s="174">
        <v>0</v>
      </c>
      <c r="AI718" s="174">
        <v>24693.142</v>
      </c>
      <c r="AJ718" s="174">
        <v>0</v>
      </c>
      <c r="AK718" s="174">
        <v>0</v>
      </c>
      <c r="AL718" s="174">
        <v>0</v>
      </c>
      <c r="AM718" s="174">
        <v>0</v>
      </c>
      <c r="AN718" s="174">
        <v>0</v>
      </c>
      <c r="AO718" s="174">
        <v>0</v>
      </c>
      <c r="AP718" s="174">
        <v>0</v>
      </c>
      <c r="AQ718" s="174">
        <v>0</v>
      </c>
      <c r="AR718" s="174">
        <v>0</v>
      </c>
      <c r="AS718" s="174">
        <v>0</v>
      </c>
      <c r="AT718" s="174">
        <v>0</v>
      </c>
      <c r="AU718" s="174">
        <v>24693.142</v>
      </c>
      <c r="AV718" s="174">
        <v>0</v>
      </c>
      <c r="AW718" s="174">
        <v>0</v>
      </c>
      <c r="AX718" s="174">
        <v>0</v>
      </c>
      <c r="AY718" s="174">
        <v>0</v>
      </c>
      <c r="AZ718" s="174">
        <v>0</v>
      </c>
      <c r="BA718" s="174">
        <v>0</v>
      </c>
      <c r="BB718" s="174">
        <v>0</v>
      </c>
      <c r="BC718" s="174">
        <v>0</v>
      </c>
      <c r="BD718" s="174">
        <v>0</v>
      </c>
      <c r="BE718" s="174">
        <v>0</v>
      </c>
      <c r="BF718" s="174">
        <v>0</v>
      </c>
      <c r="BG718" s="174">
        <v>24693.142</v>
      </c>
      <c r="BH718" s="174">
        <v>0</v>
      </c>
      <c r="BI718" s="174">
        <v>0</v>
      </c>
      <c r="BJ718" s="174">
        <v>0</v>
      </c>
      <c r="BK718" s="174">
        <v>0</v>
      </c>
      <c r="BL718" s="174">
        <v>0</v>
      </c>
      <c r="BM718" s="174">
        <v>0</v>
      </c>
      <c r="BN718" s="174">
        <v>0</v>
      </c>
      <c r="BO718" s="174">
        <v>0</v>
      </c>
      <c r="BP718" s="174">
        <v>0</v>
      </c>
      <c r="BQ718" s="174">
        <v>0</v>
      </c>
      <c r="BR718" s="174">
        <v>0</v>
      </c>
      <c r="BS718" s="174">
        <v>24693.142</v>
      </c>
      <c r="BT718" s="174">
        <v>0</v>
      </c>
      <c r="BU718" s="174">
        <v>0</v>
      </c>
      <c r="BV718" s="174">
        <v>0</v>
      </c>
      <c r="BW718" s="174">
        <v>0</v>
      </c>
      <c r="BX718" s="174">
        <v>0</v>
      </c>
      <c r="BY718" s="174">
        <v>0</v>
      </c>
      <c r="BZ718" s="174">
        <v>0</v>
      </c>
      <c r="CA718" s="174">
        <v>0</v>
      </c>
      <c r="CB718" s="174">
        <v>0</v>
      </c>
      <c r="CC718" s="174">
        <v>0</v>
      </c>
      <c r="CD718" s="174">
        <v>0</v>
      </c>
      <c r="CE718" s="174">
        <v>24693.142</v>
      </c>
      <c r="CF718" s="174">
        <v>0</v>
      </c>
      <c r="CG718" s="174">
        <v>0</v>
      </c>
      <c r="CH718" s="174">
        <v>0</v>
      </c>
      <c r="CI718" s="174">
        <v>0</v>
      </c>
      <c r="CJ718" s="174">
        <v>0</v>
      </c>
      <c r="CK718" s="174">
        <v>0</v>
      </c>
      <c r="CL718" s="174">
        <v>0</v>
      </c>
      <c r="CM718" s="174">
        <v>0</v>
      </c>
      <c r="CN718" s="174">
        <v>0</v>
      </c>
      <c r="CO718" s="174">
        <v>0</v>
      </c>
    </row>
    <row r="719" spans="1:93" x14ac:dyDescent="0.2">
      <c r="A719" s="118">
        <f t="shared" si="57"/>
        <v>16</v>
      </c>
      <c r="B719" s="227" t="s">
        <v>648</v>
      </c>
      <c r="C719" s="263"/>
      <c r="D719" s="172">
        <f>+J719</f>
        <v>4972035.6140713263</v>
      </c>
      <c r="E719" s="233" t="s">
        <v>596</v>
      </c>
      <c r="F719" s="201">
        <f>'Exhibit MJC-3 - E-13c cal yr'!F721</f>
        <v>0.93100000000000005</v>
      </c>
      <c r="G719" s="233" t="s">
        <v>375</v>
      </c>
      <c r="H719" s="174">
        <f>ROUND(D719*F719,2)</f>
        <v>4628965.16</v>
      </c>
      <c r="I719" s="308"/>
      <c r="J719" s="172">
        <f>+(BR719*BR$716)+(BS719*BS$716)+(BT719*BT$716)+(BU719*BU$716)+(BV719*BV$716)+(BW719*BW$716)+(BX719*BX$716)+(BY719*BY$716)+(BZ719*BZ$716)+(CA719*CA$716)+(CB719*CB$716)+(CC719*CC$716)</f>
        <v>4972035.6140713263</v>
      </c>
      <c r="K719" s="233" t="s">
        <v>596</v>
      </c>
      <c r="L719" s="201">
        <f>ROUND('MFR E-14D2'!I44+(L717*(F719/F718)),2)</f>
        <v>1.05</v>
      </c>
      <c r="M719" s="233" t="s">
        <v>375</v>
      </c>
      <c r="N719" s="174">
        <f>ROUND(J719*L719,2)</f>
        <v>5220637.3899999997</v>
      </c>
      <c r="O719" s="227"/>
      <c r="P719" s="262"/>
      <c r="Q719" s="262"/>
      <c r="R719" s="227"/>
      <c r="S719" s="227"/>
      <c r="T719" s="227"/>
      <c r="U719" s="184" t="s">
        <v>139</v>
      </c>
      <c r="V719" s="179">
        <v>258</v>
      </c>
      <c r="W719" s="180">
        <v>232</v>
      </c>
      <c r="X719" s="227"/>
      <c r="Y719" s="184"/>
      <c r="Z719" s="181"/>
      <c r="AA719" s="227"/>
      <c r="AB719" s="182">
        <f>SUM(AH719:AS719)</f>
        <v>5030490.4917648518</v>
      </c>
      <c r="AC719" s="182">
        <f>SUM(AT719:BE719)</f>
        <v>5080382.2186824698</v>
      </c>
      <c r="AD719" s="182">
        <f>SUM(BF719:BQ719)</f>
        <v>5099765.674749569</v>
      </c>
      <c r="AE719" s="182">
        <f>SUM(BR719:CC719)</f>
        <v>5185752.8844181094</v>
      </c>
      <c r="AF719" s="182">
        <f>SUM(CD719:CO719)</f>
        <v>5192731.0479362076</v>
      </c>
      <c r="AH719" s="174">
        <v>1451552.4819681603</v>
      </c>
      <c r="AI719" s="174">
        <v>0</v>
      </c>
      <c r="AJ719" s="174">
        <v>680115.41252030968</v>
      </c>
      <c r="AK719" s="174">
        <v>396141.87465073721</v>
      </c>
      <c r="AL719" s="174">
        <v>274893.24887506024</v>
      </c>
      <c r="AM719" s="174">
        <v>353854.34547498764</v>
      </c>
      <c r="AN719" s="174">
        <v>354751.00830349437</v>
      </c>
      <c r="AO719" s="174">
        <v>303591.16005635721</v>
      </c>
      <c r="AP719" s="174">
        <v>377972.17279359873</v>
      </c>
      <c r="AQ719" s="174">
        <v>343784.31265130441</v>
      </c>
      <c r="AR719" s="174">
        <v>238053.60134442124</v>
      </c>
      <c r="AS719" s="174">
        <v>255780.87312642089</v>
      </c>
      <c r="AT719" s="174">
        <v>1465948.783910387</v>
      </c>
      <c r="AU719" s="174">
        <v>0</v>
      </c>
      <c r="AV719" s="174">
        <v>686860.70554679993</v>
      </c>
      <c r="AW719" s="174">
        <v>400070.75638961798</v>
      </c>
      <c r="AX719" s="174">
        <v>277619.60307984869</v>
      </c>
      <c r="AY719" s="174">
        <v>357363.82519708475</v>
      </c>
      <c r="AZ719" s="174">
        <v>358269.38100671332</v>
      </c>
      <c r="BA719" s="174">
        <v>306602.13627764833</v>
      </c>
      <c r="BB719" s="174">
        <v>381720.84987754276</v>
      </c>
      <c r="BC719" s="174">
        <v>347193.91914463521</v>
      </c>
      <c r="BD719" s="174">
        <v>240414.58488856565</v>
      </c>
      <c r="BE719" s="174">
        <v>258317.67336362728</v>
      </c>
      <c r="BF719" s="174">
        <v>1471541.8973074562</v>
      </c>
      <c r="BG719" s="174">
        <v>0</v>
      </c>
      <c r="BH719" s="174">
        <v>689481.32221245626</v>
      </c>
      <c r="BI719" s="174">
        <v>401597.16790678538</v>
      </c>
      <c r="BJ719" s="174">
        <v>278678.82011274737</v>
      </c>
      <c r="BK719" s="174">
        <v>358727.29465814331</v>
      </c>
      <c r="BL719" s="174">
        <v>359636.30548365385</v>
      </c>
      <c r="BM719" s="174">
        <v>307771.93193136156</v>
      </c>
      <c r="BN719" s="174">
        <v>383177.25000749523</v>
      </c>
      <c r="BO719" s="174">
        <v>348518.58681506285</v>
      </c>
      <c r="BP719" s="174">
        <v>241331.85161053407</v>
      </c>
      <c r="BQ719" s="174">
        <v>259303.24670387444</v>
      </c>
      <c r="BR719" s="174">
        <v>1496353.5827318125</v>
      </c>
      <c r="BS719" s="174">
        <v>0</v>
      </c>
      <c r="BT719" s="174">
        <v>701106.67498291191</v>
      </c>
      <c r="BU719" s="174">
        <v>408368.50252909388</v>
      </c>
      <c r="BV719" s="174">
        <v>283377.62701163354</v>
      </c>
      <c r="BW719" s="174">
        <v>364775.79983796459</v>
      </c>
      <c r="BX719" s="174">
        <v>365700.13750581053</v>
      </c>
      <c r="BY719" s="174">
        <v>312961.27813448355</v>
      </c>
      <c r="BZ719" s="174">
        <v>389638.00617512577</v>
      </c>
      <c r="CA719" s="174">
        <v>354394.9628505797</v>
      </c>
      <c r="CB719" s="174">
        <v>245400.95082951942</v>
      </c>
      <c r="CC719" s="174">
        <v>263675.36182917462</v>
      </c>
      <c r="CD719" s="174">
        <v>1498367.1379886717</v>
      </c>
      <c r="CE719" s="174">
        <v>0</v>
      </c>
      <c r="CF719" s="174">
        <v>702050.11311633338</v>
      </c>
      <c r="CG719" s="174">
        <v>408918.02007260261</v>
      </c>
      <c r="CH719" s="174">
        <v>283758.95166452992</v>
      </c>
      <c r="CI719" s="174">
        <v>365266.65723812382</v>
      </c>
      <c r="CJ719" s="174">
        <v>366192.2387329581</v>
      </c>
      <c r="CK719" s="174">
        <v>313382.4117716488</v>
      </c>
      <c r="CL719" s="174">
        <v>390162.31918821309</v>
      </c>
      <c r="CM719" s="174">
        <v>354871.85136722925</v>
      </c>
      <c r="CN719" s="174">
        <v>245731.17249656617</v>
      </c>
      <c r="CO719" s="174">
        <v>264030.17429933028</v>
      </c>
    </row>
    <row r="720" spans="1:93" x14ac:dyDescent="0.2">
      <c r="A720" s="118">
        <f t="shared" si="57"/>
        <v>17</v>
      </c>
      <c r="B720" s="227" t="s">
        <v>644</v>
      </c>
      <c r="C720" s="263"/>
      <c r="D720" s="172"/>
      <c r="E720" s="230"/>
      <c r="F720" s="197"/>
      <c r="G720" s="227"/>
      <c r="H720" s="203"/>
      <c r="I720" s="308"/>
      <c r="J720" s="172"/>
      <c r="K720" s="230"/>
      <c r="L720" s="197"/>
      <c r="M720" s="227"/>
      <c r="N720" s="203"/>
      <c r="O720" s="227"/>
      <c r="P720" s="262"/>
      <c r="Q720" s="262"/>
      <c r="R720" s="227"/>
      <c r="S720" s="227"/>
      <c r="T720" s="227"/>
      <c r="U720" s="184" t="s">
        <v>139</v>
      </c>
      <c r="V720" s="179">
        <v>258</v>
      </c>
      <c r="W720" s="180">
        <v>232</v>
      </c>
      <c r="X720" s="227"/>
      <c r="Y720" s="184"/>
      <c r="Z720" s="181"/>
      <c r="AA720" s="227"/>
      <c r="AB720" s="182">
        <f>SUM(AH720:AS720)</f>
        <v>0</v>
      </c>
      <c r="AC720" s="182">
        <f>SUM(AT720:BE720)</f>
        <v>0</v>
      </c>
      <c r="AD720" s="182">
        <f>SUM(BF720:BQ720)</f>
        <v>0</v>
      </c>
      <c r="AE720" s="182">
        <f>SUM(BR720:CC720)</f>
        <v>0</v>
      </c>
      <c r="AF720" s="182">
        <f>SUM(CD720:CO720)</f>
        <v>0</v>
      </c>
    </row>
    <row r="721" spans="1:93" x14ac:dyDescent="0.2">
      <c r="A721" s="118">
        <f t="shared" si="57"/>
        <v>18</v>
      </c>
      <c r="B721" s="227" t="s">
        <v>647</v>
      </c>
      <c r="C721" s="263"/>
      <c r="D721" s="172">
        <f>SUMIF($AH$6:$CP$6,1,$AH721:$CP721)</f>
        <v>0</v>
      </c>
      <c r="E721" s="233" t="s">
        <v>596</v>
      </c>
      <c r="F721" s="201">
        <f>'Exhibit MJC-3 - E-13c cal yr'!F723</f>
        <v>1.9570000000000001</v>
      </c>
      <c r="G721" s="233" t="s">
        <v>375</v>
      </c>
      <c r="H721" s="174">
        <f>ROUND(D721*F721,2)</f>
        <v>0</v>
      </c>
      <c r="I721" s="308"/>
      <c r="J721" s="172">
        <f>SUMIF($AH$6:$CP$6,1,$AH721:$CP721)</f>
        <v>0</v>
      </c>
      <c r="K721" s="233" t="s">
        <v>596</v>
      </c>
      <c r="L721" s="201">
        <f>L718</f>
        <v>2.21</v>
      </c>
      <c r="M721" s="233" t="s">
        <v>375</v>
      </c>
      <c r="N721" s="174">
        <f>ROUND(J721*L721,2)</f>
        <v>0</v>
      </c>
      <c r="O721" s="227"/>
      <c r="P721" s="262"/>
      <c r="Q721" s="262"/>
      <c r="R721" s="227"/>
      <c r="S721" s="227"/>
      <c r="T721" s="227"/>
      <c r="U721" s="184" t="s">
        <v>139</v>
      </c>
      <c r="V721" s="179">
        <v>258</v>
      </c>
      <c r="W721" s="180">
        <v>232</v>
      </c>
      <c r="X721" s="227"/>
      <c r="Y721" s="184"/>
      <c r="Z721" s="181"/>
      <c r="AA721" s="227"/>
      <c r="AB721" s="182">
        <f>SUM(AH721:AS721)</f>
        <v>0</v>
      </c>
      <c r="AC721" s="182">
        <f>SUM(AT721:BE721)</f>
        <v>0</v>
      </c>
      <c r="AD721" s="182">
        <f>SUM(BF721:BQ721)</f>
        <v>0</v>
      </c>
      <c r="AE721" s="182">
        <f>SUM(BR721:CC721)</f>
        <v>0</v>
      </c>
      <c r="AF721" s="182">
        <f>SUM(CD721:CO721)</f>
        <v>0</v>
      </c>
      <c r="AH721" s="174">
        <v>0</v>
      </c>
      <c r="AI721" s="174">
        <v>0</v>
      </c>
      <c r="AJ721" s="174">
        <v>0</v>
      </c>
      <c r="AK721" s="174">
        <v>0</v>
      </c>
      <c r="AL721" s="174">
        <v>0</v>
      </c>
      <c r="AM721" s="174">
        <v>0</v>
      </c>
      <c r="AN721" s="174">
        <v>0</v>
      </c>
      <c r="AO721" s="174">
        <v>0</v>
      </c>
      <c r="AP721" s="174">
        <v>0</v>
      </c>
      <c r="AQ721" s="174">
        <v>0</v>
      </c>
      <c r="AR721" s="174">
        <v>0</v>
      </c>
      <c r="AS721" s="174">
        <v>0</v>
      </c>
      <c r="AT721" s="174">
        <v>0</v>
      </c>
      <c r="AU721" s="174">
        <v>0</v>
      </c>
      <c r="AV721" s="174">
        <v>0</v>
      </c>
      <c r="AW721" s="174">
        <v>0</v>
      </c>
      <c r="AX721" s="174">
        <v>0</v>
      </c>
      <c r="AY721" s="174">
        <v>0</v>
      </c>
      <c r="AZ721" s="174">
        <v>0</v>
      </c>
      <c r="BA721" s="174">
        <v>0</v>
      </c>
      <c r="BB721" s="174">
        <v>0</v>
      </c>
      <c r="BC721" s="174">
        <v>0</v>
      </c>
      <c r="BD721" s="174">
        <v>0</v>
      </c>
      <c r="BE721" s="174">
        <v>0</v>
      </c>
      <c r="BF721" s="174">
        <v>0</v>
      </c>
      <c r="BG721" s="174">
        <v>0</v>
      </c>
      <c r="BH721" s="174">
        <v>0</v>
      </c>
      <c r="BI721" s="174">
        <v>0</v>
      </c>
      <c r="BJ721" s="174">
        <v>0</v>
      </c>
      <c r="BK721" s="174">
        <v>0</v>
      </c>
      <c r="BL721" s="174">
        <v>0</v>
      </c>
      <c r="BM721" s="174">
        <v>0</v>
      </c>
      <c r="BN721" s="174">
        <v>0</v>
      </c>
      <c r="BO721" s="174">
        <v>0</v>
      </c>
      <c r="BP721" s="174">
        <v>0</v>
      </c>
      <c r="BQ721" s="174">
        <v>0</v>
      </c>
      <c r="BR721" s="174">
        <v>0</v>
      </c>
      <c r="BS721" s="174">
        <v>0</v>
      </c>
      <c r="BT721" s="174">
        <v>0</v>
      </c>
      <c r="BU721" s="174">
        <v>0</v>
      </c>
      <c r="BV721" s="174">
        <v>0</v>
      </c>
      <c r="BW721" s="174">
        <v>0</v>
      </c>
      <c r="BX721" s="174">
        <v>0</v>
      </c>
      <c r="BY721" s="174">
        <v>0</v>
      </c>
      <c r="BZ721" s="174">
        <v>0</v>
      </c>
      <c r="CA721" s="174">
        <v>0</v>
      </c>
      <c r="CB721" s="174">
        <v>0</v>
      </c>
      <c r="CC721" s="174">
        <v>0</v>
      </c>
      <c r="CD721" s="174">
        <v>0</v>
      </c>
      <c r="CE721" s="174">
        <v>0</v>
      </c>
      <c r="CF721" s="174">
        <v>0</v>
      </c>
      <c r="CG721" s="174">
        <v>0</v>
      </c>
      <c r="CH721" s="174">
        <v>0</v>
      </c>
      <c r="CI721" s="174">
        <v>0</v>
      </c>
      <c r="CJ721" s="174">
        <v>0</v>
      </c>
      <c r="CK721" s="174">
        <v>0</v>
      </c>
      <c r="CL721" s="174">
        <v>0</v>
      </c>
      <c r="CM721" s="174">
        <v>0</v>
      </c>
      <c r="CN721" s="174">
        <v>0</v>
      </c>
      <c r="CO721" s="174">
        <v>0</v>
      </c>
    </row>
    <row r="722" spans="1:93" x14ac:dyDescent="0.2">
      <c r="A722" s="118">
        <f t="shared" si="57"/>
        <v>19</v>
      </c>
      <c r="B722" s="227" t="s">
        <v>648</v>
      </c>
      <c r="C722" s="263"/>
      <c r="D722" s="172">
        <f>+J722</f>
        <v>0</v>
      </c>
      <c r="E722" s="233" t="s">
        <v>596</v>
      </c>
      <c r="F722" s="201">
        <f>'Exhibit MJC-3 - E-13c cal yr'!F724</f>
        <v>0.93100000000000005</v>
      </c>
      <c r="G722" s="233" t="s">
        <v>375</v>
      </c>
      <c r="H722" s="174">
        <f>ROUND(D722*F722,2)</f>
        <v>0</v>
      </c>
      <c r="I722" s="308"/>
      <c r="J722" s="172">
        <f>+(BR722*BR$716)+(BS722*BS$716)+(BT722*BT$716)+(BU722*BU$716)+(BV722*BV$716)+(BW722*BW$716)+(BX722*BX$716)+(BY722*BY$716)+(BZ722*BZ$716)+(CA722*CA$716)+(CB722*CB$716)+(CC722*CC$716)</f>
        <v>0</v>
      </c>
      <c r="K722" s="233" t="s">
        <v>596</v>
      </c>
      <c r="L722" s="201">
        <f>L719</f>
        <v>1.05</v>
      </c>
      <c r="M722" s="233" t="s">
        <v>375</v>
      </c>
      <c r="N722" s="174">
        <f>ROUND(J722*L722,2)</f>
        <v>0</v>
      </c>
      <c r="O722" s="227"/>
      <c r="P722" s="262"/>
      <c r="Q722" s="262"/>
      <c r="R722" s="227"/>
      <c r="S722" s="227"/>
      <c r="T722" s="227"/>
      <c r="U722" s="184" t="s">
        <v>139</v>
      </c>
      <c r="V722" s="179">
        <v>258</v>
      </c>
      <c r="W722" s="180">
        <v>232</v>
      </c>
      <c r="X722" s="227"/>
      <c r="Y722" s="184"/>
      <c r="Z722" s="181"/>
      <c r="AA722" s="227"/>
      <c r="AB722" s="182">
        <f>SUM(AH722:AS722)</f>
        <v>0</v>
      </c>
      <c r="AC722" s="182">
        <f>SUM(AT722:BE722)</f>
        <v>0</v>
      </c>
      <c r="AD722" s="182">
        <f>SUM(BF722:BQ722)</f>
        <v>0</v>
      </c>
      <c r="AE722" s="182">
        <f>SUM(BR722:CC722)</f>
        <v>0</v>
      </c>
      <c r="AF722" s="182">
        <f>SUM(CD722:CO722)</f>
        <v>0</v>
      </c>
      <c r="AH722" s="329">
        <v>0</v>
      </c>
      <c r="AI722" s="329">
        <v>0</v>
      </c>
      <c r="AJ722" s="329">
        <v>0</v>
      </c>
      <c r="AK722" s="329">
        <v>0</v>
      </c>
      <c r="AL722" s="329">
        <v>0</v>
      </c>
      <c r="AM722" s="329">
        <v>0</v>
      </c>
      <c r="AN722" s="329">
        <v>0</v>
      </c>
      <c r="AO722" s="329">
        <v>0</v>
      </c>
      <c r="AP722" s="329">
        <v>0</v>
      </c>
      <c r="AQ722" s="329">
        <v>0</v>
      </c>
      <c r="AR722" s="329">
        <v>0</v>
      </c>
      <c r="AS722" s="329">
        <v>0</v>
      </c>
      <c r="AT722" s="329">
        <v>0</v>
      </c>
      <c r="AU722" s="329">
        <v>0</v>
      </c>
      <c r="AV722" s="329">
        <v>0</v>
      </c>
      <c r="AW722" s="329">
        <v>0</v>
      </c>
      <c r="AX722" s="329">
        <v>0</v>
      </c>
      <c r="AY722" s="329">
        <v>0</v>
      </c>
      <c r="AZ722" s="329">
        <v>0</v>
      </c>
      <c r="BA722" s="329">
        <v>0</v>
      </c>
      <c r="BB722" s="329">
        <v>0</v>
      </c>
      <c r="BC722" s="329">
        <v>0</v>
      </c>
      <c r="BD722" s="329">
        <v>0</v>
      </c>
      <c r="BE722" s="329">
        <v>0</v>
      </c>
      <c r="BF722" s="329">
        <v>0</v>
      </c>
      <c r="BG722" s="329">
        <v>0</v>
      </c>
      <c r="BH722" s="329">
        <v>0</v>
      </c>
      <c r="BI722" s="329">
        <v>0</v>
      </c>
      <c r="BJ722" s="329">
        <v>0</v>
      </c>
      <c r="BK722" s="329">
        <v>0</v>
      </c>
      <c r="BL722" s="329">
        <v>0</v>
      </c>
      <c r="BM722" s="329">
        <v>0</v>
      </c>
      <c r="BN722" s="329">
        <v>0</v>
      </c>
      <c r="BO722" s="329">
        <v>0</v>
      </c>
      <c r="BP722" s="329">
        <v>0</v>
      </c>
      <c r="BQ722" s="329">
        <v>0</v>
      </c>
      <c r="BR722" s="329">
        <v>0</v>
      </c>
      <c r="BS722" s="329">
        <v>0</v>
      </c>
      <c r="BT722" s="329">
        <v>0</v>
      </c>
      <c r="BU722" s="329">
        <v>0</v>
      </c>
      <c r="BV722" s="329">
        <v>0</v>
      </c>
      <c r="BW722" s="329">
        <v>0</v>
      </c>
      <c r="BX722" s="329">
        <v>0</v>
      </c>
      <c r="BY722" s="329">
        <v>0</v>
      </c>
      <c r="BZ722" s="329">
        <v>0</v>
      </c>
      <c r="CA722" s="329">
        <v>0</v>
      </c>
      <c r="CB722" s="329">
        <v>0</v>
      </c>
      <c r="CC722" s="329">
        <v>0</v>
      </c>
      <c r="CD722" s="329">
        <v>0</v>
      </c>
      <c r="CE722" s="329">
        <v>0</v>
      </c>
      <c r="CF722" s="329">
        <v>0</v>
      </c>
      <c r="CG722" s="329">
        <v>0</v>
      </c>
      <c r="CH722" s="329">
        <v>0</v>
      </c>
      <c r="CI722" s="329">
        <v>0</v>
      </c>
      <c r="CJ722" s="329">
        <v>0</v>
      </c>
      <c r="CK722" s="329">
        <v>0</v>
      </c>
      <c r="CL722" s="329">
        <v>0</v>
      </c>
      <c r="CM722" s="329">
        <v>0</v>
      </c>
      <c r="CN722" s="329">
        <v>0</v>
      </c>
      <c r="CO722" s="329">
        <v>0</v>
      </c>
    </row>
    <row r="723" spans="1:93" x14ac:dyDescent="0.2">
      <c r="A723" s="118">
        <f t="shared" si="57"/>
        <v>20</v>
      </c>
      <c r="B723" s="227"/>
      <c r="C723" s="225" t="s">
        <v>121</v>
      </c>
      <c r="D723" s="227"/>
      <c r="E723" s="233" t="s">
        <v>334</v>
      </c>
      <c r="F723" s="326"/>
      <c r="G723" s="227"/>
      <c r="H723" s="300">
        <f>SUM(H713:H722)</f>
        <v>5693659.3600000003</v>
      </c>
      <c r="I723" s="308"/>
      <c r="J723" s="227"/>
      <c r="K723" s="233" t="s">
        <v>334</v>
      </c>
      <c r="L723" s="326"/>
      <c r="M723" s="227"/>
      <c r="N723" s="300">
        <f>SUM(N713:N722)</f>
        <v>7207200.6600000001</v>
      </c>
      <c r="O723" s="227"/>
      <c r="P723" s="262"/>
      <c r="Q723" s="939">
        <f>(N723-H723)/H723</f>
        <v>0.26582926801578094</v>
      </c>
      <c r="R723" s="227"/>
      <c r="S723" s="227"/>
      <c r="T723" s="227"/>
      <c r="U723" s="178"/>
      <c r="V723" s="179"/>
      <c r="W723" s="180"/>
      <c r="X723" s="227"/>
      <c r="Y723" s="178" t="s">
        <v>139</v>
      </c>
      <c r="Z723" s="181" t="s">
        <v>146</v>
      </c>
      <c r="AA723" s="227"/>
      <c r="AB723" s="324">
        <f>SUM(AB718:AB722)</f>
        <v>5055183.6337648518</v>
      </c>
      <c r="AC723" s="324">
        <f>SUM(AC718:AC722)</f>
        <v>5105075.3606824698</v>
      </c>
      <c r="AD723" s="324">
        <f>SUM(AD718:AD722)</f>
        <v>5124458.816749569</v>
      </c>
      <c r="AE723" s="324">
        <f>SUM(AE718:AE722)</f>
        <v>5210446.0264181094</v>
      </c>
      <c r="AF723" s="324">
        <f>SUM(AF718:AF722)</f>
        <v>5217424.1899362076</v>
      </c>
      <c r="AH723" s="247"/>
      <c r="AI723" s="247"/>
      <c r="AJ723" s="247"/>
      <c r="AK723" s="247"/>
      <c r="AL723" s="247"/>
      <c r="AM723" s="247"/>
      <c r="AN723" s="247"/>
      <c r="AO723" s="247"/>
      <c r="AP723" s="247"/>
      <c r="AQ723" s="247"/>
      <c r="AR723" s="247"/>
      <c r="AS723" s="247"/>
      <c r="AT723" s="247"/>
      <c r="AU723" s="247"/>
      <c r="AV723" s="247"/>
      <c r="AW723" s="247"/>
      <c r="AX723" s="247"/>
      <c r="AY723" s="247"/>
      <c r="AZ723" s="247"/>
      <c r="BA723" s="247"/>
      <c r="BB723" s="247"/>
      <c r="BC723" s="247"/>
      <c r="BD723" s="247"/>
      <c r="BE723" s="247"/>
      <c r="BF723" s="247"/>
      <c r="BG723" s="247"/>
      <c r="BH723" s="247"/>
      <c r="BI723" s="247"/>
      <c r="BJ723" s="247"/>
      <c r="BK723" s="247"/>
      <c r="BL723" s="247"/>
      <c r="BM723" s="247"/>
      <c r="BN723" s="247"/>
      <c r="BO723" s="247"/>
      <c r="BP723" s="247"/>
      <c r="BQ723" s="247"/>
      <c r="BR723" s="247"/>
      <c r="BS723" s="247"/>
      <c r="BT723" s="247"/>
      <c r="BU723" s="247"/>
      <c r="BV723" s="247"/>
      <c r="BW723" s="247"/>
      <c r="BX723" s="247"/>
      <c r="BY723" s="247"/>
      <c r="BZ723" s="247"/>
      <c r="CA723" s="247"/>
      <c r="CB723" s="247"/>
      <c r="CC723" s="247"/>
      <c r="CD723" s="247"/>
      <c r="CE723" s="247"/>
      <c r="CF723" s="247"/>
      <c r="CG723" s="247"/>
      <c r="CH723" s="247"/>
      <c r="CI723" s="247"/>
      <c r="CJ723" s="247"/>
      <c r="CK723" s="247"/>
      <c r="CL723" s="247"/>
      <c r="CM723" s="247"/>
      <c r="CN723" s="247"/>
      <c r="CO723" s="247"/>
    </row>
    <row r="724" spans="1:93" x14ac:dyDescent="0.2">
      <c r="A724" s="118">
        <f t="shared" si="57"/>
        <v>21</v>
      </c>
      <c r="B724" s="227"/>
      <c r="C724" s="263"/>
      <c r="D724" s="227"/>
      <c r="E724" s="230"/>
      <c r="F724" s="197"/>
      <c r="G724" s="227"/>
      <c r="H724" s="203"/>
      <c r="I724" s="308"/>
      <c r="J724" s="227"/>
      <c r="K724" s="230"/>
      <c r="L724" s="197"/>
      <c r="M724" s="227"/>
      <c r="N724" s="203"/>
      <c r="O724" s="227"/>
      <c r="P724" s="262"/>
      <c r="Q724" s="262"/>
      <c r="T724" s="264"/>
      <c r="U724" s="184"/>
      <c r="V724" s="179"/>
      <c r="W724" s="180"/>
      <c r="X724" s="264"/>
      <c r="Y724" s="184"/>
      <c r="Z724" s="181"/>
      <c r="AA724" s="264"/>
      <c r="AC724" s="114"/>
      <c r="AD724" s="114"/>
      <c r="AE724" s="238"/>
      <c r="AF724" s="114"/>
    </row>
    <row r="725" spans="1:93" x14ac:dyDescent="0.2">
      <c r="A725" s="118">
        <f t="shared" si="57"/>
        <v>22</v>
      </c>
      <c r="B725" s="286" t="s">
        <v>551</v>
      </c>
      <c r="C725" s="263"/>
      <c r="D725" s="227"/>
      <c r="E725" s="230"/>
      <c r="F725" s="197"/>
      <c r="G725" s="227"/>
      <c r="H725" s="203"/>
      <c r="I725" s="308"/>
      <c r="J725" s="227"/>
      <c r="K725" s="230"/>
      <c r="L725" s="197"/>
      <c r="M725" s="227"/>
      <c r="N725" s="203"/>
      <c r="O725" s="227"/>
      <c r="P725" s="262"/>
      <c r="Q725" s="262"/>
      <c r="T725" s="264"/>
      <c r="U725" s="184"/>
      <c r="V725" s="179"/>
      <c r="W725" s="180"/>
      <c r="X725" s="264"/>
      <c r="Y725" s="184"/>
      <c r="Z725" s="181"/>
      <c r="AA725" s="264"/>
      <c r="AC725" s="114"/>
      <c r="AD725" s="114"/>
      <c r="AE725" s="238"/>
      <c r="AF725" s="114"/>
    </row>
    <row r="726" spans="1:93" x14ac:dyDescent="0.2">
      <c r="A726" s="118">
        <f t="shared" si="57"/>
        <v>23</v>
      </c>
      <c r="B726" s="228" t="s">
        <v>543</v>
      </c>
      <c r="C726" s="225"/>
      <c r="D726" s="168"/>
      <c r="E726" s="233"/>
      <c r="F726" s="183"/>
      <c r="G726" s="223"/>
      <c r="H726" s="174"/>
      <c r="I726" s="308"/>
      <c r="J726" s="168"/>
      <c r="K726" s="233"/>
      <c r="L726" s="857">
        <v>0</v>
      </c>
      <c r="M726" s="223"/>
      <c r="N726" s="174"/>
      <c r="O726" s="227"/>
      <c r="P726" s="262"/>
      <c r="Q726" s="262"/>
      <c r="T726" s="264"/>
      <c r="U726" s="178"/>
      <c r="V726" s="179"/>
      <c r="W726" s="180"/>
      <c r="X726" s="264"/>
      <c r="Y726" s="178"/>
      <c r="Z726" s="181"/>
      <c r="AA726" s="264"/>
      <c r="AB726" s="264"/>
      <c r="AC726" s="242"/>
      <c r="AH726" s="168"/>
      <c r="AT726" s="168"/>
      <c r="BF726" s="168"/>
      <c r="BR726" s="168"/>
      <c r="CD726" s="168"/>
    </row>
    <row r="727" spans="1:93" x14ac:dyDescent="0.2">
      <c r="A727" s="118">
        <f t="shared" si="57"/>
        <v>24</v>
      </c>
      <c r="B727" s="234" t="s">
        <v>148</v>
      </c>
      <c r="C727" s="225"/>
      <c r="D727" s="172">
        <f>SUMIF($AH$6:$CP$6,1,$AH727:$CP727)</f>
        <v>142794.18488681412</v>
      </c>
      <c r="E727" s="233" t="s">
        <v>555</v>
      </c>
      <c r="F727" s="173">
        <f>'Exhibit MJC-3 - E-13c cal yr'!F729</f>
        <v>17.600000000000001</v>
      </c>
      <c r="G727" s="233" t="s">
        <v>375</v>
      </c>
      <c r="H727" s="174">
        <f>ROUND(D727*F727,2)</f>
        <v>2513177.65</v>
      </c>
      <c r="I727" s="308"/>
      <c r="J727" s="172">
        <f>SUMIF($AH$6:$CP$6,1,$AH727:$CP727)</f>
        <v>142794.18488681412</v>
      </c>
      <c r="K727" s="233" t="s">
        <v>555</v>
      </c>
      <c r="L727" s="183">
        <f>ROUND(F727*(1+'Exhibit MJC-2 - Old E-8a'!V27)+L726,2)</f>
        <v>18.309999999999999</v>
      </c>
      <c r="M727" s="233" t="s">
        <v>375</v>
      </c>
      <c r="N727" s="174">
        <f>ROUND(J727*L727,2)</f>
        <v>2614561.5299999998</v>
      </c>
      <c r="O727" s="227"/>
      <c r="P727" s="262"/>
      <c r="Q727" s="262"/>
      <c r="R727" s="311"/>
      <c r="T727" s="264"/>
      <c r="U727" s="184" t="s">
        <v>139</v>
      </c>
      <c r="V727" s="179">
        <v>258</v>
      </c>
      <c r="W727" s="180">
        <v>232</v>
      </c>
      <c r="X727" s="264"/>
      <c r="Y727" s="184"/>
      <c r="Z727" s="181"/>
      <c r="AA727" s="264"/>
      <c r="AB727" s="182">
        <f>SUM(AH727:AS727)</f>
        <v>138518.90079660699</v>
      </c>
      <c r="AC727" s="182">
        <f>SUM(AT727:BE727)</f>
        <v>139892.71259145811</v>
      </c>
      <c r="AD727" s="182">
        <f>SUM(BF727:BQ727)</f>
        <v>140426.45279680178</v>
      </c>
      <c r="AE727" s="182">
        <f>SUM(BR727:CC727)</f>
        <v>142794.18488681412</v>
      </c>
      <c r="AF727" s="182">
        <f>SUM(CD727:CO727)</f>
        <v>142986.33464670097</v>
      </c>
      <c r="AH727" s="168">
        <v>39551.853131221855</v>
      </c>
      <c r="AI727" s="168">
        <v>0</v>
      </c>
      <c r="AJ727" s="168">
        <v>13659.738685515413</v>
      </c>
      <c r="AK727" s="168">
        <v>9840.9744002848656</v>
      </c>
      <c r="AL727" s="168">
        <v>7573.2338075016269</v>
      </c>
      <c r="AM727" s="168">
        <v>11060.767230391146</v>
      </c>
      <c r="AN727" s="168">
        <v>10209.144322757445</v>
      </c>
      <c r="AO727" s="168">
        <v>8994.085487296994</v>
      </c>
      <c r="AP727" s="168">
        <v>9811.8552280509139</v>
      </c>
      <c r="AQ727" s="168">
        <v>11657.045105302443</v>
      </c>
      <c r="AR727" s="168">
        <v>9224.0551391906884</v>
      </c>
      <c r="AS727" s="168">
        <v>6936.1482590936203</v>
      </c>
      <c r="AT727" s="168">
        <v>41674.146117269411</v>
      </c>
      <c r="AU727" s="168">
        <v>0</v>
      </c>
      <c r="AV727" s="168">
        <v>13601.876847970576</v>
      </c>
      <c r="AW727" s="168">
        <v>9933.9947309025065</v>
      </c>
      <c r="AX727" s="168">
        <v>7547.4310321710454</v>
      </c>
      <c r="AY727" s="168">
        <v>10824.29467701081</v>
      </c>
      <c r="AZ727" s="168">
        <v>10242.284270945933</v>
      </c>
      <c r="BA727" s="168">
        <v>8831.242034639703</v>
      </c>
      <c r="BB727" s="168">
        <v>9689.3369476920434</v>
      </c>
      <c r="BC727" s="168">
        <v>11595.694124821443</v>
      </c>
      <c r="BD727" s="168">
        <v>9111.2895687082109</v>
      </c>
      <c r="BE727" s="168">
        <v>6841.122239326417</v>
      </c>
      <c r="BF727" s="168">
        <v>41538.82631009636</v>
      </c>
      <c r="BG727" s="168">
        <v>0</v>
      </c>
      <c r="BH727" s="168">
        <v>13808.980160934214</v>
      </c>
      <c r="BI727" s="168">
        <v>9908.3987036736016</v>
      </c>
      <c r="BJ727" s="168">
        <v>7599.5224679364837</v>
      </c>
      <c r="BK727" s="168">
        <v>10964.724315928312</v>
      </c>
      <c r="BL727" s="168">
        <v>10304.222932370873</v>
      </c>
      <c r="BM727" s="168">
        <v>8899.4011894915548</v>
      </c>
      <c r="BN727" s="168">
        <v>9732.9579557829638</v>
      </c>
      <c r="BO727" s="168">
        <v>11568.334166058667</v>
      </c>
      <c r="BP727" s="168">
        <v>9128.9003980001853</v>
      </c>
      <c r="BQ727" s="168">
        <v>6972.1841965285839</v>
      </c>
      <c r="BR727" s="168">
        <v>42211.066482695082</v>
      </c>
      <c r="BS727" s="168">
        <v>0</v>
      </c>
      <c r="BT727" s="168">
        <v>14161.846642981332</v>
      </c>
      <c r="BU727" s="168">
        <v>10172.018566984148</v>
      </c>
      <c r="BV727" s="168">
        <v>7613.638702518364</v>
      </c>
      <c r="BW727" s="168">
        <v>11221.805497705736</v>
      </c>
      <c r="BX727" s="168">
        <v>10522.767197486453</v>
      </c>
      <c r="BY727" s="168">
        <v>9037.5754542129234</v>
      </c>
      <c r="BZ727" s="168">
        <v>9852.5975705771689</v>
      </c>
      <c r="CA727" s="168">
        <v>11758.379098733651</v>
      </c>
      <c r="CB727" s="168">
        <v>9255.4479882668657</v>
      </c>
      <c r="CC727" s="168">
        <v>6987.0416846523931</v>
      </c>
      <c r="CD727" s="168">
        <v>42390.210393857466</v>
      </c>
      <c r="CE727" s="168">
        <v>0</v>
      </c>
      <c r="CF727" s="168">
        <v>13945.216721805797</v>
      </c>
      <c r="CG727" s="168">
        <v>10266.199755394358</v>
      </c>
      <c r="CH727" s="168">
        <v>7685.4262708593378</v>
      </c>
      <c r="CI727" s="168">
        <v>11098.765170283619</v>
      </c>
      <c r="CJ727" s="168">
        <v>10490.226485147896</v>
      </c>
      <c r="CK727" s="168">
        <v>9029.7502819644797</v>
      </c>
      <c r="CL727" s="168">
        <v>9958.0433373652613</v>
      </c>
      <c r="CM727" s="168">
        <v>11778.039911166465</v>
      </c>
      <c r="CN727" s="168">
        <v>9354.278969704068</v>
      </c>
      <c r="CO727" s="168">
        <v>6990.1773491522126</v>
      </c>
    </row>
    <row r="728" spans="1:93" x14ac:dyDescent="0.2">
      <c r="A728" s="118">
        <f t="shared" si="57"/>
        <v>25</v>
      </c>
      <c r="B728" s="234" t="s">
        <v>216</v>
      </c>
      <c r="C728" s="225"/>
      <c r="D728" s="172">
        <f>SUMIF($AH$6:$CP$6,1,$AH728:$CP728)</f>
        <v>0</v>
      </c>
      <c r="E728" s="233" t="s">
        <v>555</v>
      </c>
      <c r="F728" s="173">
        <f>'Exhibit MJC-3 - E-13c cal yr'!F730</f>
        <v>17.600000000000001</v>
      </c>
      <c r="G728" s="233" t="s">
        <v>375</v>
      </c>
      <c r="H728" s="187">
        <f>ROUND(D728*F728,2)</f>
        <v>0</v>
      </c>
      <c r="I728" s="308"/>
      <c r="J728" s="172">
        <f>SUMIF($AH$6:$CP$6,1,$AH728:$CP728)</f>
        <v>0</v>
      </c>
      <c r="K728" s="233" t="s">
        <v>555</v>
      </c>
      <c r="L728" s="183">
        <f>L727</f>
        <v>18.309999999999999</v>
      </c>
      <c r="M728" s="233" t="s">
        <v>375</v>
      </c>
      <c r="N728" s="187">
        <f>ROUND(J728*L728,2)</f>
        <v>0</v>
      </c>
      <c r="O728" s="227"/>
      <c r="P728" s="262"/>
      <c r="Q728" s="262"/>
      <c r="R728" s="311"/>
      <c r="T728" s="264"/>
      <c r="U728" s="184" t="s">
        <v>139</v>
      </c>
      <c r="V728" s="179">
        <v>258</v>
      </c>
      <c r="W728" s="180">
        <v>232</v>
      </c>
      <c r="X728" s="264"/>
      <c r="Y728" s="184"/>
      <c r="Z728" s="181"/>
      <c r="AA728" s="264"/>
      <c r="AB728" s="182">
        <f>SUM(AH728:AS728)</f>
        <v>0</v>
      </c>
      <c r="AC728" s="182">
        <f>SUM(AT728:BE728)</f>
        <v>0</v>
      </c>
      <c r="AD728" s="182">
        <f>SUM(BF728:BQ728)</f>
        <v>0</v>
      </c>
      <c r="AE728" s="182">
        <f>SUM(BR728:CC728)</f>
        <v>0</v>
      </c>
      <c r="AF728" s="182">
        <f>SUM(CD728:CO728)</f>
        <v>0</v>
      </c>
      <c r="AH728" s="168">
        <v>0</v>
      </c>
      <c r="AI728" s="168">
        <v>0</v>
      </c>
      <c r="AJ728" s="168">
        <v>0</v>
      </c>
      <c r="AK728" s="168">
        <v>0</v>
      </c>
      <c r="AL728" s="168">
        <v>0</v>
      </c>
      <c r="AM728" s="168">
        <v>0</v>
      </c>
      <c r="AN728" s="168">
        <v>0</v>
      </c>
      <c r="AO728" s="168">
        <v>0</v>
      </c>
      <c r="AP728" s="168">
        <v>0</v>
      </c>
      <c r="AQ728" s="168">
        <v>0</v>
      </c>
      <c r="AR728" s="168">
        <v>0</v>
      </c>
      <c r="AS728" s="168">
        <v>0</v>
      </c>
      <c r="AT728" s="168">
        <v>0</v>
      </c>
      <c r="AU728" s="168">
        <v>0</v>
      </c>
      <c r="AV728" s="168">
        <v>0</v>
      </c>
      <c r="AW728" s="168">
        <v>0</v>
      </c>
      <c r="AX728" s="168">
        <v>0</v>
      </c>
      <c r="AY728" s="168">
        <v>0</v>
      </c>
      <c r="AZ728" s="168">
        <v>0</v>
      </c>
      <c r="BA728" s="168">
        <v>0</v>
      </c>
      <c r="BB728" s="168">
        <v>0</v>
      </c>
      <c r="BC728" s="168">
        <v>0</v>
      </c>
      <c r="BD728" s="168">
        <v>0</v>
      </c>
      <c r="BE728" s="168">
        <v>0</v>
      </c>
      <c r="BF728" s="168">
        <v>0</v>
      </c>
      <c r="BG728" s="168">
        <v>0</v>
      </c>
      <c r="BH728" s="168">
        <v>0</v>
      </c>
      <c r="BI728" s="168">
        <v>0</v>
      </c>
      <c r="BJ728" s="168">
        <v>0</v>
      </c>
      <c r="BK728" s="168">
        <v>0</v>
      </c>
      <c r="BL728" s="168">
        <v>0</v>
      </c>
      <c r="BM728" s="168">
        <v>0</v>
      </c>
      <c r="BN728" s="168">
        <v>0</v>
      </c>
      <c r="BO728" s="168">
        <v>0</v>
      </c>
      <c r="BP728" s="168">
        <v>0</v>
      </c>
      <c r="BQ728" s="168">
        <v>0</v>
      </c>
      <c r="BR728" s="168">
        <v>0</v>
      </c>
      <c r="BS728" s="168">
        <v>0</v>
      </c>
      <c r="BT728" s="168">
        <v>0</v>
      </c>
      <c r="BU728" s="168">
        <v>0</v>
      </c>
      <c r="BV728" s="168">
        <v>0</v>
      </c>
      <c r="BW728" s="168">
        <v>0</v>
      </c>
      <c r="BX728" s="168">
        <v>0</v>
      </c>
      <c r="BY728" s="168">
        <v>0</v>
      </c>
      <c r="BZ728" s="168">
        <v>0</v>
      </c>
      <c r="CA728" s="168">
        <v>0</v>
      </c>
      <c r="CB728" s="168">
        <v>0</v>
      </c>
      <c r="CC728" s="168">
        <v>0</v>
      </c>
      <c r="CD728" s="168">
        <v>0</v>
      </c>
      <c r="CE728" s="168">
        <v>0</v>
      </c>
      <c r="CF728" s="168">
        <v>0</v>
      </c>
      <c r="CG728" s="168">
        <v>0</v>
      </c>
      <c r="CH728" s="168">
        <v>0</v>
      </c>
      <c r="CI728" s="168">
        <v>0</v>
      </c>
      <c r="CJ728" s="168">
        <v>0</v>
      </c>
      <c r="CK728" s="168">
        <v>0</v>
      </c>
      <c r="CL728" s="168">
        <v>0</v>
      </c>
      <c r="CM728" s="168">
        <v>0</v>
      </c>
      <c r="CN728" s="168">
        <v>0</v>
      </c>
      <c r="CO728" s="168">
        <v>0</v>
      </c>
    </row>
    <row r="729" spans="1:93" x14ac:dyDescent="0.2">
      <c r="A729" s="118">
        <f t="shared" si="57"/>
        <v>26</v>
      </c>
      <c r="B729" s="227"/>
      <c r="C729" s="225" t="s">
        <v>121</v>
      </c>
      <c r="D729" s="309">
        <f>SUM(D727:D728)</f>
        <v>142794.18488681412</v>
      </c>
      <c r="E729" s="230" t="s">
        <v>663</v>
      </c>
      <c r="F729" s="197"/>
      <c r="G729" s="227"/>
      <c r="H729" s="300">
        <f>SUM(H727:H728)</f>
        <v>2513177.65</v>
      </c>
      <c r="I729" s="308"/>
      <c r="J729" s="309">
        <f>SUM(J727:J728)</f>
        <v>142794.18488681412</v>
      </c>
      <c r="K729" s="230" t="s">
        <v>663</v>
      </c>
      <c r="L729" s="197"/>
      <c r="M729" s="227"/>
      <c r="N729" s="300">
        <f>SUM(N727:N728)</f>
        <v>2614561.5299999998</v>
      </c>
      <c r="O729" s="227"/>
      <c r="P729" s="262"/>
      <c r="Q729" s="939">
        <f>(N729-H729)/H729</f>
        <v>4.0340912629077331E-2</v>
      </c>
      <c r="T729" s="264"/>
      <c r="U729" s="178"/>
      <c r="V729" s="179"/>
      <c r="W729" s="180"/>
      <c r="X729" s="264"/>
      <c r="Y729" s="178" t="s">
        <v>139</v>
      </c>
      <c r="Z729" s="181" t="s">
        <v>141</v>
      </c>
      <c r="AA729" s="264"/>
      <c r="AB729" s="309">
        <f>SUM(AB727:AB728)</f>
        <v>138518.90079660699</v>
      </c>
      <c r="AC729" s="309">
        <f>SUM(AC727:AC728)</f>
        <v>139892.71259145811</v>
      </c>
      <c r="AD729" s="309">
        <f>SUM(AD727:AD728)</f>
        <v>140426.45279680178</v>
      </c>
      <c r="AE729" s="309">
        <f>SUM(AE727:AE728)</f>
        <v>142794.18488681412</v>
      </c>
      <c r="AF729" s="309">
        <f>SUM(AF727:AF728)</f>
        <v>142986.33464670097</v>
      </c>
      <c r="AH729" s="309">
        <f t="shared" ref="AH729:CO729" si="59">SUM(AH727:AH728)</f>
        <v>39551.853131221855</v>
      </c>
      <c r="AI729" s="309">
        <f t="shared" si="59"/>
        <v>0</v>
      </c>
      <c r="AJ729" s="309">
        <f t="shared" si="59"/>
        <v>13659.738685515413</v>
      </c>
      <c r="AK729" s="309">
        <f t="shared" si="59"/>
        <v>9840.9744002848656</v>
      </c>
      <c r="AL729" s="309">
        <f t="shared" si="59"/>
        <v>7573.2338075016269</v>
      </c>
      <c r="AM729" s="309">
        <f t="shared" si="59"/>
        <v>11060.767230391146</v>
      </c>
      <c r="AN729" s="309">
        <f t="shared" si="59"/>
        <v>10209.144322757445</v>
      </c>
      <c r="AO729" s="309">
        <f t="shared" si="59"/>
        <v>8994.085487296994</v>
      </c>
      <c r="AP729" s="309">
        <f t="shared" si="59"/>
        <v>9811.8552280509139</v>
      </c>
      <c r="AQ729" s="309">
        <f t="shared" si="59"/>
        <v>11657.045105302443</v>
      </c>
      <c r="AR729" s="309">
        <f t="shared" si="59"/>
        <v>9224.0551391906884</v>
      </c>
      <c r="AS729" s="309">
        <f t="shared" si="59"/>
        <v>6936.1482590936203</v>
      </c>
      <c r="AT729" s="309">
        <f t="shared" si="59"/>
        <v>41674.146117269411</v>
      </c>
      <c r="AU729" s="309">
        <f t="shared" si="59"/>
        <v>0</v>
      </c>
      <c r="AV729" s="309">
        <f t="shared" si="59"/>
        <v>13601.876847970576</v>
      </c>
      <c r="AW729" s="309">
        <f t="shared" si="59"/>
        <v>9933.9947309025065</v>
      </c>
      <c r="AX729" s="309">
        <f t="shared" si="59"/>
        <v>7547.4310321710454</v>
      </c>
      <c r="AY729" s="309">
        <f t="shared" si="59"/>
        <v>10824.29467701081</v>
      </c>
      <c r="AZ729" s="309">
        <f t="shared" si="59"/>
        <v>10242.284270945933</v>
      </c>
      <c r="BA729" s="309">
        <f t="shared" si="59"/>
        <v>8831.242034639703</v>
      </c>
      <c r="BB729" s="309">
        <f t="shared" si="59"/>
        <v>9689.3369476920434</v>
      </c>
      <c r="BC729" s="309">
        <f t="shared" si="59"/>
        <v>11595.694124821443</v>
      </c>
      <c r="BD729" s="309">
        <f t="shared" si="59"/>
        <v>9111.2895687082109</v>
      </c>
      <c r="BE729" s="309">
        <f t="shared" si="59"/>
        <v>6841.122239326417</v>
      </c>
      <c r="BF729" s="309">
        <f t="shared" si="59"/>
        <v>41538.82631009636</v>
      </c>
      <c r="BG729" s="309">
        <f t="shared" si="59"/>
        <v>0</v>
      </c>
      <c r="BH729" s="309">
        <f t="shared" si="59"/>
        <v>13808.980160934214</v>
      </c>
      <c r="BI729" s="309">
        <f t="shared" si="59"/>
        <v>9908.3987036736016</v>
      </c>
      <c r="BJ729" s="309">
        <f t="shared" si="59"/>
        <v>7599.5224679364837</v>
      </c>
      <c r="BK729" s="309">
        <f t="shared" si="59"/>
        <v>10964.724315928312</v>
      </c>
      <c r="BL729" s="309">
        <f t="shared" si="59"/>
        <v>10304.222932370873</v>
      </c>
      <c r="BM729" s="309">
        <f t="shared" si="59"/>
        <v>8899.4011894915548</v>
      </c>
      <c r="BN729" s="309">
        <f t="shared" si="59"/>
        <v>9732.9579557829638</v>
      </c>
      <c r="BO729" s="309">
        <f t="shared" si="59"/>
        <v>11568.334166058667</v>
      </c>
      <c r="BP729" s="309">
        <f t="shared" si="59"/>
        <v>9128.9003980001853</v>
      </c>
      <c r="BQ729" s="309">
        <f t="shared" si="59"/>
        <v>6972.1841965285839</v>
      </c>
      <c r="BR729" s="309">
        <f t="shared" si="59"/>
        <v>42211.066482695082</v>
      </c>
      <c r="BS729" s="309">
        <f t="shared" si="59"/>
        <v>0</v>
      </c>
      <c r="BT729" s="309">
        <f t="shared" si="59"/>
        <v>14161.846642981332</v>
      </c>
      <c r="BU729" s="309">
        <f t="shared" si="59"/>
        <v>10172.018566984148</v>
      </c>
      <c r="BV729" s="309">
        <f t="shared" si="59"/>
        <v>7613.638702518364</v>
      </c>
      <c r="BW729" s="309">
        <f t="shared" si="59"/>
        <v>11221.805497705736</v>
      </c>
      <c r="BX729" s="309">
        <f t="shared" si="59"/>
        <v>10522.767197486453</v>
      </c>
      <c r="BY729" s="309">
        <f t="shared" si="59"/>
        <v>9037.5754542129234</v>
      </c>
      <c r="BZ729" s="309">
        <f t="shared" si="59"/>
        <v>9852.5975705771689</v>
      </c>
      <c r="CA729" s="309">
        <f t="shared" si="59"/>
        <v>11758.379098733651</v>
      </c>
      <c r="CB729" s="309">
        <f t="shared" si="59"/>
        <v>9255.4479882668657</v>
      </c>
      <c r="CC729" s="309">
        <f t="shared" si="59"/>
        <v>6987.0416846523931</v>
      </c>
      <c r="CD729" s="309">
        <f t="shared" si="59"/>
        <v>42390.210393857466</v>
      </c>
      <c r="CE729" s="309">
        <f t="shared" si="59"/>
        <v>0</v>
      </c>
      <c r="CF729" s="309">
        <f t="shared" si="59"/>
        <v>13945.216721805797</v>
      </c>
      <c r="CG729" s="309">
        <f t="shared" si="59"/>
        <v>10266.199755394358</v>
      </c>
      <c r="CH729" s="309">
        <f t="shared" si="59"/>
        <v>7685.4262708593378</v>
      </c>
      <c r="CI729" s="309">
        <f t="shared" si="59"/>
        <v>11098.765170283619</v>
      </c>
      <c r="CJ729" s="309">
        <f t="shared" si="59"/>
        <v>10490.226485147896</v>
      </c>
      <c r="CK729" s="309">
        <f t="shared" si="59"/>
        <v>9029.7502819644797</v>
      </c>
      <c r="CL729" s="309">
        <f t="shared" si="59"/>
        <v>9958.0433373652613</v>
      </c>
      <c r="CM729" s="309">
        <f t="shared" si="59"/>
        <v>11778.039911166465</v>
      </c>
      <c r="CN729" s="309">
        <f t="shared" si="59"/>
        <v>9354.278969704068</v>
      </c>
      <c r="CO729" s="309">
        <f t="shared" si="59"/>
        <v>6990.1773491522126</v>
      </c>
    </row>
    <row r="730" spans="1:93" x14ac:dyDescent="0.2">
      <c r="A730" s="118">
        <f t="shared" si="57"/>
        <v>27</v>
      </c>
      <c r="B730" s="246" t="s">
        <v>664</v>
      </c>
      <c r="C730" s="263"/>
      <c r="D730" s="227"/>
      <c r="E730" s="230"/>
      <c r="F730" s="197"/>
      <c r="G730" s="227"/>
      <c r="H730" s="203"/>
      <c r="I730" s="308"/>
      <c r="J730" s="227"/>
      <c r="K730" s="230"/>
      <c r="L730" s="197"/>
      <c r="M730" s="227"/>
      <c r="N730" s="203"/>
      <c r="O730" s="227"/>
      <c r="Q730" s="176"/>
      <c r="T730" s="264"/>
      <c r="U730" s="178"/>
      <c r="V730" s="179"/>
      <c r="W730" s="180"/>
      <c r="X730" s="264"/>
      <c r="Y730" s="178"/>
      <c r="Z730" s="181"/>
      <c r="AA730" s="264"/>
      <c r="AB730" s="193">
        <f>SUM(AH730:AS730)</f>
        <v>0</v>
      </c>
      <c r="AC730" s="193">
        <f>SUM(AT730:BE730)</f>
        <v>0</v>
      </c>
      <c r="AD730" s="193">
        <f>SUM(BF730:BQ730)</f>
        <v>0</v>
      </c>
      <c r="AE730" s="193">
        <f>SUM(BR730:CC730)</f>
        <v>0</v>
      </c>
      <c r="AF730" s="193">
        <f>SUM(CD730:CO730)</f>
        <v>0</v>
      </c>
      <c r="AH730" s="328">
        <v>0</v>
      </c>
      <c r="AI730" s="328">
        <v>0</v>
      </c>
      <c r="AJ730" s="328">
        <v>0</v>
      </c>
      <c r="AK730" s="328">
        <v>0</v>
      </c>
      <c r="AL730" s="328">
        <v>0</v>
      </c>
      <c r="AM730" s="328">
        <v>0</v>
      </c>
      <c r="AN730" s="328">
        <v>0</v>
      </c>
      <c r="AO730" s="328">
        <v>0</v>
      </c>
      <c r="AP730" s="328">
        <v>0</v>
      </c>
      <c r="AQ730" s="328">
        <v>0</v>
      </c>
      <c r="AR730" s="328">
        <v>0</v>
      </c>
      <c r="AS730" s="328">
        <v>0</v>
      </c>
      <c r="AT730" s="328">
        <v>0</v>
      </c>
      <c r="AU730" s="328">
        <v>0</v>
      </c>
      <c r="AV730" s="328">
        <v>0</v>
      </c>
      <c r="AW730" s="328">
        <v>0</v>
      </c>
      <c r="AX730" s="328">
        <v>0</v>
      </c>
      <c r="AY730" s="328">
        <v>0</v>
      </c>
      <c r="AZ730" s="328">
        <v>0</v>
      </c>
      <c r="BA730" s="328">
        <v>0</v>
      </c>
      <c r="BB730" s="328">
        <v>0</v>
      </c>
      <c r="BC730" s="328">
        <v>0</v>
      </c>
      <c r="BD730" s="328">
        <v>0</v>
      </c>
      <c r="BE730" s="328">
        <v>0</v>
      </c>
      <c r="BF730" s="328">
        <v>0</v>
      </c>
      <c r="BG730" s="328">
        <v>0</v>
      </c>
      <c r="BH730" s="328">
        <v>0</v>
      </c>
      <c r="BI730" s="328">
        <v>0</v>
      </c>
      <c r="BJ730" s="328">
        <v>0</v>
      </c>
      <c r="BK730" s="328">
        <v>0</v>
      </c>
      <c r="BL730" s="328">
        <v>0</v>
      </c>
      <c r="BM730" s="328">
        <v>0</v>
      </c>
      <c r="BN730" s="328">
        <v>0</v>
      </c>
      <c r="BO730" s="328">
        <v>0</v>
      </c>
      <c r="BP730" s="328">
        <v>0</v>
      </c>
      <c r="BQ730" s="328">
        <v>0</v>
      </c>
      <c r="BR730" s="328">
        <v>0</v>
      </c>
      <c r="BS730" s="328">
        <v>0</v>
      </c>
      <c r="BT730" s="328">
        <v>0</v>
      </c>
      <c r="BU730" s="328">
        <v>0</v>
      </c>
      <c r="BV730" s="328">
        <v>0</v>
      </c>
      <c r="BW730" s="328">
        <v>0</v>
      </c>
      <c r="BX730" s="328">
        <v>0</v>
      </c>
      <c r="BY730" s="328">
        <v>0</v>
      </c>
      <c r="BZ730" s="328">
        <v>0</v>
      </c>
      <c r="CA730" s="328">
        <v>0</v>
      </c>
      <c r="CB730" s="328">
        <v>0</v>
      </c>
      <c r="CC730" s="328">
        <v>0</v>
      </c>
      <c r="CD730" s="328">
        <v>0</v>
      </c>
      <c r="CE730" s="328">
        <v>0</v>
      </c>
      <c r="CF730" s="328">
        <v>0</v>
      </c>
      <c r="CG730" s="328">
        <v>0</v>
      </c>
      <c r="CH730" s="328">
        <v>0</v>
      </c>
      <c r="CI730" s="328">
        <v>0</v>
      </c>
      <c r="CJ730" s="328">
        <v>0</v>
      </c>
      <c r="CK730" s="328">
        <v>0</v>
      </c>
      <c r="CL730" s="328">
        <v>0</v>
      </c>
      <c r="CM730" s="328">
        <v>0</v>
      </c>
      <c r="CN730" s="328">
        <v>0</v>
      </c>
      <c r="CO730" s="328">
        <v>0</v>
      </c>
    </row>
    <row r="731" spans="1:93" x14ac:dyDescent="0.2">
      <c r="A731" s="118">
        <f t="shared" si="57"/>
        <v>28</v>
      </c>
      <c r="B731" s="232" t="s">
        <v>601</v>
      </c>
      <c r="C731" s="263"/>
      <c r="D731" s="103">
        <f>+D713</f>
        <v>296317.70399999997</v>
      </c>
      <c r="E731" s="233" t="s">
        <v>596</v>
      </c>
      <c r="F731" s="173">
        <f>'Exhibit MJC-3 - E-13c cal yr'!F733</f>
        <v>-1.3</v>
      </c>
      <c r="G731" s="230"/>
      <c r="H731" s="203">
        <f>+D731*F731</f>
        <v>-385213.01519999997</v>
      </c>
      <c r="I731" s="308"/>
      <c r="J731" s="103">
        <f>+J713</f>
        <v>296317.70399999997</v>
      </c>
      <c r="K731" s="233" t="s">
        <v>596</v>
      </c>
      <c r="L731" s="183">
        <f>ROUND(-DVC!G29,2)</f>
        <v>-1.34</v>
      </c>
      <c r="M731" s="230"/>
      <c r="N731" s="174">
        <f>ROUND(L731*J731,2)</f>
        <v>-397065.72</v>
      </c>
      <c r="O731" s="227"/>
      <c r="Q731" s="227"/>
      <c r="T731" s="264"/>
      <c r="U731" s="184" t="s">
        <v>139</v>
      </c>
      <c r="V731" s="179">
        <v>258</v>
      </c>
      <c r="W731" s="180">
        <v>232</v>
      </c>
      <c r="X731" s="264"/>
      <c r="Y731" s="178" t="s">
        <v>139</v>
      </c>
      <c r="Z731" s="181" t="s">
        <v>146</v>
      </c>
      <c r="AA731" s="264"/>
      <c r="AB731" s="264"/>
      <c r="AD731" s="245"/>
    </row>
    <row r="732" spans="1:93" x14ac:dyDescent="0.2">
      <c r="A732" s="118">
        <f t="shared" si="57"/>
        <v>29</v>
      </c>
      <c r="B732" s="234" t="s">
        <v>582</v>
      </c>
      <c r="C732" s="263"/>
      <c r="D732" s="172">
        <f>SUM(H713,H718:H719,H727,H731)</f>
        <v>7821623.9947999995</v>
      </c>
      <c r="E732" s="233" t="s">
        <v>10</v>
      </c>
      <c r="F732" s="249">
        <v>0.01</v>
      </c>
      <c r="G732" s="233" t="s">
        <v>375</v>
      </c>
      <c r="H732" s="174">
        <f>-F732*D732</f>
        <v>-78216.239948000002</v>
      </c>
      <c r="I732" s="308"/>
      <c r="J732" s="172">
        <f>SUM(N713,N718:N719,N727,N731)</f>
        <v>9424696.4699999988</v>
      </c>
      <c r="K732" s="233" t="s">
        <v>10</v>
      </c>
      <c r="L732" s="249">
        <v>0.01</v>
      </c>
      <c r="M732" s="233" t="s">
        <v>375</v>
      </c>
      <c r="N732" s="174">
        <f>ROUND(L732*-J732,2)</f>
        <v>-94246.96</v>
      </c>
      <c r="O732" s="227"/>
      <c r="Q732" s="227"/>
      <c r="T732" s="264"/>
      <c r="U732" s="184" t="s">
        <v>139</v>
      </c>
      <c r="V732" s="179">
        <v>258</v>
      </c>
      <c r="W732" s="180">
        <v>232</v>
      </c>
      <c r="X732" s="264"/>
      <c r="Y732" s="178" t="s">
        <v>139</v>
      </c>
      <c r="Z732" s="181" t="s">
        <v>417</v>
      </c>
      <c r="AA732" s="264"/>
      <c r="AB732" s="182">
        <f>SUM(AH732:AS732)</f>
        <v>-56588.442231317742</v>
      </c>
      <c r="AC732" s="182">
        <f>SUM(AT732:BE732)</f>
        <v>-58803.669990008959</v>
      </c>
      <c r="AD732" s="182">
        <f>SUM(BF732:BQ732)</f>
        <v>-59010.647315103124</v>
      </c>
      <c r="AE732" s="182">
        <f>SUM(BR732:CC732)</f>
        <v>-59928.822205478369</v>
      </c>
      <c r="AF732" s="182">
        <f>SUM(CD732:CO732)</f>
        <v>-60003.335316764897</v>
      </c>
      <c r="AH732" s="174">
        <v>-15758.333741226223</v>
      </c>
      <c r="AI732" s="174">
        <v>-704.49534126000015</v>
      </c>
      <c r="AJ732" s="174">
        <v>-5966.2587432060818</v>
      </c>
      <c r="AK732" s="174">
        <v>-3862.1375502217161</v>
      </c>
      <c r="AL732" s="174">
        <v>-2880.6419495355531</v>
      </c>
      <c r="AM732" s="174">
        <v>-4282.3703147511678</v>
      </c>
      <c r="AN732" s="174">
        <v>-4679.2760195344172</v>
      </c>
      <c r="AO732" s="174">
        <v>-4086.7921948616622</v>
      </c>
      <c r="AP732" s="174">
        <v>-4290.0252287885824</v>
      </c>
      <c r="AQ732" s="174">
        <v>-3802.8187994872169</v>
      </c>
      <c r="AR732" s="174">
        <v>-3224.1517970555242</v>
      </c>
      <c r="AS732" s="174">
        <v>-3051.1405513896034</v>
      </c>
      <c r="AT732" s="174">
        <v>-16617.118272616899</v>
      </c>
      <c r="AU732" s="174">
        <v>-725.23758054000007</v>
      </c>
      <c r="AV732" s="174">
        <v>-6175.1821119870119</v>
      </c>
      <c r="AW732" s="174">
        <v>-4012.3208797733419</v>
      </c>
      <c r="AX732" s="174">
        <v>-2978.6498581576102</v>
      </c>
      <c r="AY732" s="174">
        <v>-4403.4847247573289</v>
      </c>
      <c r="AZ732" s="174">
        <v>-4853.5533922626864</v>
      </c>
      <c r="BA732" s="174">
        <v>-4212.6853699736475</v>
      </c>
      <c r="BB732" s="174">
        <v>-4428.3790413835522</v>
      </c>
      <c r="BC732" s="174">
        <v>-3927.5324082618754</v>
      </c>
      <c r="BD732" s="174">
        <v>-3322.0376692662708</v>
      </c>
      <c r="BE732" s="174">
        <v>-3147.4886810287448</v>
      </c>
      <c r="BF732" s="174">
        <v>-16639.662688044224</v>
      </c>
      <c r="BG732" s="174">
        <v>-725.23758054000007</v>
      </c>
      <c r="BH732" s="174">
        <v>-6218.2585583788114</v>
      </c>
      <c r="BI732" s="174">
        <v>-4017.7731539924825</v>
      </c>
      <c r="BJ732" s="174">
        <v>-2991.8146179805108</v>
      </c>
      <c r="BK732" s="174">
        <v>-4432.2704829404556</v>
      </c>
      <c r="BL732" s="174">
        <v>-4873.8132067226088</v>
      </c>
      <c r="BM732" s="174">
        <v>-4232.0584793010903</v>
      </c>
      <c r="BN732" s="174">
        <v>-4444.839935716217</v>
      </c>
      <c r="BO732" s="174">
        <v>-3931.5728303126052</v>
      </c>
      <c r="BP732" s="174">
        <v>-3331.0805053761133</v>
      </c>
      <c r="BQ732" s="174">
        <v>-3172.2652757979949</v>
      </c>
      <c r="BR732" s="174">
        <v>-16910.573613113542</v>
      </c>
      <c r="BS732" s="174">
        <v>-725.23758054000007</v>
      </c>
      <c r="BT732" s="174">
        <v>-6333.3545814528716</v>
      </c>
      <c r="BU732" s="174">
        <v>-4092.6135544754143</v>
      </c>
      <c r="BV732" s="174">
        <v>-3021.0762796639701</v>
      </c>
      <c r="BW732" s="174">
        <v>-4510.8296033622628</v>
      </c>
      <c r="BX732" s="174">
        <v>-4956.137338073192</v>
      </c>
      <c r="BY732" s="174">
        <v>-4295.9494114836434</v>
      </c>
      <c r="BZ732" s="174">
        <v>-4507.9418408834299</v>
      </c>
      <c r="CA732" s="174">
        <v>-3991.3198788017053</v>
      </c>
      <c r="CB732" s="174">
        <v>-3377.698889063141</v>
      </c>
      <c r="CC732" s="174">
        <v>-3206.0896345652072</v>
      </c>
      <c r="CD732" s="174">
        <v>-16949.291322652585</v>
      </c>
      <c r="CE732" s="174">
        <v>-725.23758054000007</v>
      </c>
      <c r="CF732" s="174">
        <v>-6309.7557667280444</v>
      </c>
      <c r="CG732" s="174">
        <v>-4108.4624782523006</v>
      </c>
      <c r="CH732" s="174">
        <v>-3032.9381848706316</v>
      </c>
      <c r="CI732" s="174">
        <v>-4497.8787292626321</v>
      </c>
      <c r="CJ732" s="174">
        <v>-4956.0661167264843</v>
      </c>
      <c r="CK732" s="174">
        <v>-4298.5775143049532</v>
      </c>
      <c r="CL732" s="174">
        <v>-4525.9202060983462</v>
      </c>
      <c r="CM732" s="174">
        <v>-3996.7377246323995</v>
      </c>
      <c r="CN732" s="174">
        <v>-3393.3759036062579</v>
      </c>
      <c r="CO732" s="174">
        <v>-3209.0937890902665</v>
      </c>
    </row>
    <row r="733" spans="1:93" x14ac:dyDescent="0.2">
      <c r="A733" s="118">
        <f t="shared" si="57"/>
        <v>30</v>
      </c>
      <c r="B733" s="234" t="s">
        <v>583</v>
      </c>
      <c r="C733" s="263"/>
      <c r="D733" s="174">
        <f>SUM(H714,H721:H722,H728)</f>
        <v>0</v>
      </c>
      <c r="E733" s="233" t="s">
        <v>10</v>
      </c>
      <c r="F733" s="249">
        <v>0.02</v>
      </c>
      <c r="G733" s="233" t="s">
        <v>375</v>
      </c>
      <c r="H733" s="174">
        <f>-F733*D733</f>
        <v>0</v>
      </c>
      <c r="I733" s="308"/>
      <c r="J733" s="174">
        <f>SUM(N714,N721:N722,N728)</f>
        <v>0</v>
      </c>
      <c r="K733" s="233" t="s">
        <v>10</v>
      </c>
      <c r="L733" s="249">
        <v>0.02</v>
      </c>
      <c r="M733" s="233" t="s">
        <v>375</v>
      </c>
      <c r="N733" s="187">
        <f>ROUND(L733*-J733,2)</f>
        <v>0</v>
      </c>
      <c r="O733" s="227"/>
      <c r="Q733" s="227"/>
      <c r="T733" s="264"/>
      <c r="U733" s="184" t="s">
        <v>139</v>
      </c>
      <c r="V733" s="179">
        <v>258</v>
      </c>
      <c r="W733" s="180">
        <v>232</v>
      </c>
      <c r="X733" s="264"/>
      <c r="Y733" s="178" t="s">
        <v>139</v>
      </c>
      <c r="Z733" s="181" t="s">
        <v>417</v>
      </c>
      <c r="AA733" s="264"/>
      <c r="AB733" s="182">
        <f>SUM(AH733:AS733)</f>
        <v>0</v>
      </c>
      <c r="AC733" s="182">
        <f>SUM(AT733:BE733)</f>
        <v>0</v>
      </c>
      <c r="AD733" s="182">
        <f>SUM(BF733:BQ733)</f>
        <v>0</v>
      </c>
      <c r="AE733" s="182">
        <f>SUM(BR733:CC733)</f>
        <v>0</v>
      </c>
      <c r="AF733" s="182">
        <f>SUM(CD733:CO733)</f>
        <v>0</v>
      </c>
      <c r="AH733" s="174">
        <v>0</v>
      </c>
      <c r="AI733" s="174">
        <v>0</v>
      </c>
      <c r="AJ733" s="174">
        <v>0</v>
      </c>
      <c r="AK733" s="174">
        <v>0</v>
      </c>
      <c r="AL733" s="174">
        <v>0</v>
      </c>
      <c r="AM733" s="174">
        <v>0</v>
      </c>
      <c r="AN733" s="174">
        <v>0</v>
      </c>
      <c r="AO733" s="174">
        <v>0</v>
      </c>
      <c r="AP733" s="174">
        <v>0</v>
      </c>
      <c r="AQ733" s="174">
        <v>0</v>
      </c>
      <c r="AR733" s="174">
        <v>0</v>
      </c>
      <c r="AS733" s="174">
        <v>0</v>
      </c>
      <c r="AT733" s="174">
        <v>0</v>
      </c>
      <c r="AU733" s="174">
        <v>0</v>
      </c>
      <c r="AV733" s="174">
        <v>0</v>
      </c>
      <c r="AW733" s="174">
        <v>0</v>
      </c>
      <c r="AX733" s="174">
        <v>0</v>
      </c>
      <c r="AY733" s="174">
        <v>0</v>
      </c>
      <c r="AZ733" s="174">
        <v>0</v>
      </c>
      <c r="BA733" s="174">
        <v>0</v>
      </c>
      <c r="BB733" s="174">
        <v>0</v>
      </c>
      <c r="BC733" s="174">
        <v>0</v>
      </c>
      <c r="BD733" s="174">
        <v>0</v>
      </c>
      <c r="BE733" s="174">
        <v>0</v>
      </c>
      <c r="BF733" s="174">
        <v>0</v>
      </c>
      <c r="BG733" s="174">
        <v>0</v>
      </c>
      <c r="BH733" s="174">
        <v>0</v>
      </c>
      <c r="BI733" s="174">
        <v>0</v>
      </c>
      <c r="BJ733" s="174">
        <v>0</v>
      </c>
      <c r="BK733" s="174">
        <v>0</v>
      </c>
      <c r="BL733" s="174">
        <v>0</v>
      </c>
      <c r="BM733" s="174">
        <v>0</v>
      </c>
      <c r="BN733" s="174">
        <v>0</v>
      </c>
      <c r="BO733" s="174">
        <v>0</v>
      </c>
      <c r="BP733" s="174">
        <v>0</v>
      </c>
      <c r="BQ733" s="174">
        <v>0</v>
      </c>
      <c r="BR733" s="174">
        <v>0</v>
      </c>
      <c r="BS733" s="174">
        <v>0</v>
      </c>
      <c r="BT733" s="174">
        <v>0</v>
      </c>
      <c r="BU733" s="174">
        <v>0</v>
      </c>
      <c r="BV733" s="174">
        <v>0</v>
      </c>
      <c r="BW733" s="174">
        <v>0</v>
      </c>
      <c r="BX733" s="174">
        <v>0</v>
      </c>
      <c r="BY733" s="174">
        <v>0</v>
      </c>
      <c r="BZ733" s="174">
        <v>0</v>
      </c>
      <c r="CA733" s="174">
        <v>0</v>
      </c>
      <c r="CB733" s="174">
        <v>0</v>
      </c>
      <c r="CC733" s="174">
        <v>0</v>
      </c>
      <c r="CD733" s="174">
        <v>0</v>
      </c>
      <c r="CE733" s="174">
        <v>0</v>
      </c>
      <c r="CF733" s="174">
        <v>0</v>
      </c>
      <c r="CG733" s="174">
        <v>0</v>
      </c>
      <c r="CH733" s="174">
        <v>0</v>
      </c>
      <c r="CI733" s="174">
        <v>0</v>
      </c>
      <c r="CJ733" s="174">
        <v>0</v>
      </c>
      <c r="CK733" s="174">
        <v>0</v>
      </c>
      <c r="CL733" s="174">
        <v>0</v>
      </c>
      <c r="CM733" s="174">
        <v>0</v>
      </c>
      <c r="CN733" s="174">
        <v>0</v>
      </c>
      <c r="CO733" s="174">
        <v>0</v>
      </c>
    </row>
    <row r="734" spans="1:93" x14ac:dyDescent="0.2">
      <c r="A734" s="118">
        <f t="shared" si="57"/>
        <v>31</v>
      </c>
      <c r="B734" s="223"/>
      <c r="C734" s="263" t="s">
        <v>121</v>
      </c>
      <c r="D734" s="227"/>
      <c r="E734" s="230"/>
      <c r="F734" s="197"/>
      <c r="G734" s="227"/>
      <c r="H734" s="300">
        <f>SUM(H731:H733)</f>
        <v>-463429.25514799997</v>
      </c>
      <c r="I734" s="308"/>
      <c r="J734" s="227"/>
      <c r="K734" s="230"/>
      <c r="L734" s="197"/>
      <c r="M734" s="227"/>
      <c r="N734" s="300">
        <f>SUM(N731:N733)</f>
        <v>-491312.68</v>
      </c>
      <c r="O734" s="227"/>
      <c r="Q734" s="176"/>
      <c r="T734" s="264"/>
      <c r="U734" s="184"/>
      <c r="V734" s="179"/>
      <c r="W734" s="180"/>
      <c r="X734" s="264"/>
      <c r="Y734" s="178" t="s">
        <v>139</v>
      </c>
      <c r="Z734" s="181"/>
      <c r="AA734" s="264"/>
      <c r="AB734" s="264"/>
      <c r="AD734" s="245"/>
    </row>
    <row r="735" spans="1:93" x14ac:dyDescent="0.2">
      <c r="A735" s="118">
        <f t="shared" si="57"/>
        <v>32</v>
      </c>
      <c r="B735" s="223"/>
      <c r="C735" s="263"/>
      <c r="D735" s="227"/>
      <c r="E735" s="230"/>
      <c r="F735" s="197"/>
      <c r="G735" s="227"/>
      <c r="H735" s="203"/>
      <c r="I735" s="308"/>
      <c r="J735" s="227"/>
      <c r="K735" s="230"/>
      <c r="L735" s="197"/>
      <c r="M735" s="227"/>
      <c r="N735" s="203"/>
      <c r="O735" s="227"/>
      <c r="Q735" s="227"/>
      <c r="U735" s="184"/>
      <c r="V735" s="179"/>
      <c r="W735" s="180"/>
      <c r="Y735" s="184"/>
      <c r="Z735" s="181"/>
    </row>
    <row r="736" spans="1:93" ht="10.8" thickBot="1" x14ac:dyDescent="0.25">
      <c r="A736" s="118">
        <f t="shared" si="57"/>
        <v>33</v>
      </c>
      <c r="B736" s="246" t="s">
        <v>665</v>
      </c>
      <c r="C736" s="227"/>
      <c r="D736" s="227"/>
      <c r="E736" s="230"/>
      <c r="F736" s="197"/>
      <c r="G736" s="227"/>
      <c r="H736" s="330">
        <f>+H709+H723+H729+H734</f>
        <v>7744900.3948520003</v>
      </c>
      <c r="I736" s="308"/>
      <c r="J736" s="227"/>
      <c r="K736" s="230"/>
      <c r="L736" s="197"/>
      <c r="M736" s="227"/>
      <c r="N736" s="330">
        <f>+N709+N723+N729+N734</f>
        <v>9332002.5899999999</v>
      </c>
      <c r="O736" s="227"/>
      <c r="P736" s="227"/>
      <c r="Q736" s="939">
        <f>(N736-H736)/H736</f>
        <v>0.20492222162120241</v>
      </c>
      <c r="U736" s="184"/>
      <c r="V736" s="179"/>
      <c r="W736" s="180"/>
      <c r="Y736" s="178" t="s">
        <v>139</v>
      </c>
      <c r="Z736" s="181" t="s">
        <v>121</v>
      </c>
    </row>
    <row r="737" spans="1:93" ht="10.8" thickTop="1" x14ac:dyDescent="0.2">
      <c r="A737" s="118">
        <f t="shared" si="57"/>
        <v>34</v>
      </c>
      <c r="B737" s="227"/>
      <c r="C737" s="227"/>
      <c r="D737" s="227"/>
      <c r="E737" s="230"/>
      <c r="F737" s="197"/>
      <c r="G737" s="227"/>
      <c r="H737" s="203"/>
      <c r="I737" s="308"/>
      <c r="J737" s="227"/>
      <c r="K737" s="230"/>
      <c r="L737" s="197"/>
      <c r="M737" s="227"/>
      <c r="N737" s="203"/>
      <c r="O737" s="227"/>
      <c r="P737" s="227"/>
      <c r="Q737" s="227"/>
      <c r="U737" s="178"/>
      <c r="V737" s="179"/>
      <c r="W737" s="180"/>
      <c r="Y737" s="178"/>
      <c r="Z737" s="181"/>
    </row>
    <row r="738" spans="1:93" x14ac:dyDescent="0.2">
      <c r="A738" s="118">
        <f t="shared" si="57"/>
        <v>35</v>
      </c>
      <c r="B738" s="227"/>
      <c r="C738" s="227"/>
      <c r="D738" s="227"/>
      <c r="E738" s="230"/>
      <c r="F738" s="183"/>
      <c r="G738" s="227"/>
      <c r="H738" s="935"/>
      <c r="I738" s="308"/>
      <c r="J738" s="234" t="s">
        <v>573</v>
      </c>
      <c r="K738" s="233"/>
      <c r="L738" s="183"/>
      <c r="M738" s="223"/>
      <c r="N738" s="174">
        <f>N736-H736</f>
        <v>1587102.1951479996</v>
      </c>
      <c r="O738" s="227"/>
      <c r="P738" s="227"/>
      <c r="Q738" s="227"/>
      <c r="U738" s="178"/>
      <c r="V738" s="179"/>
      <c r="W738" s="180"/>
      <c r="Y738" s="178"/>
      <c r="Z738" s="181"/>
    </row>
    <row r="739" spans="1:93" x14ac:dyDescent="0.2">
      <c r="A739" s="118">
        <f t="shared" si="57"/>
        <v>36</v>
      </c>
      <c r="B739" s="234"/>
      <c r="C739" s="223"/>
      <c r="D739" s="174"/>
      <c r="E739" s="225"/>
      <c r="F739" s="183"/>
      <c r="G739" s="233"/>
      <c r="H739" s="935"/>
      <c r="I739" s="308"/>
      <c r="J739" s="168"/>
      <c r="K739" s="225"/>
      <c r="L739" s="183"/>
      <c r="M739" s="233"/>
      <c r="N739" s="174"/>
      <c r="O739" s="227"/>
      <c r="P739" s="227"/>
      <c r="Q739" s="227"/>
      <c r="U739" s="184"/>
      <c r="V739" s="179"/>
      <c r="W739" s="180"/>
      <c r="Y739" s="184"/>
      <c r="Z739" s="181"/>
    </row>
    <row r="740" spans="1:93" x14ac:dyDescent="0.2">
      <c r="A740" s="118">
        <f t="shared" si="57"/>
        <v>37</v>
      </c>
      <c r="B740" s="243"/>
      <c r="C740" s="223" t="s">
        <v>416</v>
      </c>
      <c r="D740" s="168" t="s">
        <v>416</v>
      </c>
      <c r="E740" s="233" t="s">
        <v>416</v>
      </c>
      <c r="F740" s="205" t="s">
        <v>416</v>
      </c>
      <c r="G740" s="233" t="s">
        <v>416</v>
      </c>
      <c r="H740" s="1151"/>
      <c r="I740" s="308"/>
      <c r="J740" s="171" t="s">
        <v>666</v>
      </c>
      <c r="M740" s="233"/>
      <c r="N740" s="174">
        <f>-ROUND((H736-(H736*(1+'Exhibit MJC-2 - Old E-8a'!V27))),2)</f>
        <v>313850.42</v>
      </c>
      <c r="O740" s="227"/>
      <c r="P740" s="227"/>
      <c r="Q740" s="939">
        <f>N740/H736</f>
        <v>4.052349339555289E-2</v>
      </c>
      <c r="U740" s="184"/>
      <c r="V740" s="179"/>
      <c r="W740" s="180"/>
      <c r="Y740" s="184"/>
      <c r="Z740" s="181"/>
    </row>
    <row r="741" spans="1:93" x14ac:dyDescent="0.2">
      <c r="A741" s="118">
        <f t="shared" si="57"/>
        <v>38</v>
      </c>
      <c r="B741" s="243"/>
      <c r="C741" s="223"/>
      <c r="D741" s="168"/>
      <c r="E741" s="233"/>
      <c r="F741" s="205"/>
      <c r="G741" s="233"/>
      <c r="H741" s="1151"/>
      <c r="I741" s="308"/>
      <c r="M741" s="233"/>
      <c r="N741" s="174"/>
      <c r="O741" s="227"/>
      <c r="P741" s="227"/>
      <c r="Q741" s="227"/>
      <c r="U741" s="184"/>
      <c r="V741" s="179"/>
      <c r="W741" s="180"/>
      <c r="Y741" s="184"/>
      <c r="Z741" s="181"/>
    </row>
    <row r="742" spans="1:93" x14ac:dyDescent="0.2">
      <c r="A742" s="118">
        <f t="shared" si="57"/>
        <v>39</v>
      </c>
      <c r="B742" s="243"/>
      <c r="C742" s="223"/>
      <c r="D742" s="168"/>
      <c r="E742" s="233"/>
      <c r="F742" s="205"/>
      <c r="G742" s="233"/>
      <c r="H742" s="1151"/>
      <c r="I742" s="308"/>
      <c r="J742" s="171" t="s">
        <v>575</v>
      </c>
      <c r="N742" s="214">
        <f>N738-N740</f>
        <v>1273251.7751479996</v>
      </c>
      <c r="O742" s="227"/>
      <c r="P742" s="227"/>
      <c r="Q742" s="227"/>
      <c r="U742" s="184"/>
      <c r="V742" s="179"/>
      <c r="W742" s="180"/>
      <c r="Y742" s="184"/>
      <c r="Z742" s="181"/>
    </row>
    <row r="743" spans="1:93" x14ac:dyDescent="0.2">
      <c r="A743" s="118">
        <f t="shared" si="57"/>
        <v>40</v>
      </c>
      <c r="B743" s="243"/>
      <c r="C743" s="223"/>
      <c r="D743" s="168"/>
      <c r="E743" s="233"/>
      <c r="F743" s="205"/>
      <c r="G743" s="233"/>
      <c r="H743" s="174"/>
      <c r="I743" s="308"/>
      <c r="J743" s="168"/>
      <c r="K743" s="233"/>
      <c r="L743" s="205"/>
      <c r="M743" s="233"/>
      <c r="N743" s="174"/>
      <c r="O743" s="227"/>
      <c r="P743" s="227"/>
      <c r="Q743" s="227"/>
      <c r="U743" s="184"/>
      <c r="V743" s="179"/>
      <c r="W743" s="180"/>
      <c r="Y743" s="184"/>
      <c r="Z743" s="181"/>
    </row>
    <row r="744" spans="1:93" x14ac:dyDescent="0.2">
      <c r="A744" s="118">
        <f t="shared" si="57"/>
        <v>41</v>
      </c>
      <c r="B744" s="243"/>
      <c r="C744" s="223"/>
      <c r="D744" s="168"/>
      <c r="E744" s="233"/>
      <c r="F744" s="205"/>
      <c r="G744" s="233"/>
      <c r="H744" s="174"/>
      <c r="I744" s="308"/>
      <c r="J744" s="168"/>
      <c r="K744" s="233"/>
      <c r="L744" s="205"/>
      <c r="M744" s="233"/>
      <c r="N744" s="732">
        <f>N742/N740</f>
        <v>4.0568745300643529</v>
      </c>
      <c r="O744" s="227"/>
      <c r="P744" s="227"/>
      <c r="Q744" s="227"/>
      <c r="U744" s="184"/>
      <c r="V744" s="179"/>
      <c r="W744" s="180"/>
      <c r="Y744" s="184"/>
      <c r="Z744" s="181"/>
    </row>
    <row r="745" spans="1:93" x14ac:dyDescent="0.2">
      <c r="A745" s="118">
        <f t="shared" si="57"/>
        <v>42</v>
      </c>
      <c r="B745" s="243"/>
      <c r="C745" s="223"/>
      <c r="D745" s="168"/>
      <c r="E745" s="233"/>
      <c r="F745" s="205"/>
      <c r="G745" s="233"/>
      <c r="H745" s="174"/>
      <c r="I745" s="308"/>
      <c r="J745" s="168"/>
      <c r="K745" s="233"/>
      <c r="L745" s="205"/>
      <c r="M745" s="233"/>
      <c r="N745" s="174"/>
      <c r="O745" s="227"/>
      <c r="P745" s="227"/>
      <c r="Q745" s="227"/>
      <c r="U745" s="184"/>
      <c r="V745" s="179"/>
      <c r="W745" s="180"/>
      <c r="Y745" s="184"/>
      <c r="Z745" s="181"/>
    </row>
    <row r="746" spans="1:93" x14ac:dyDescent="0.2">
      <c r="A746" s="118">
        <f t="shared" si="57"/>
        <v>43</v>
      </c>
      <c r="B746" s="243"/>
      <c r="C746" s="223"/>
      <c r="D746" s="168"/>
      <c r="E746" s="233"/>
      <c r="F746" s="205"/>
      <c r="G746" s="233"/>
      <c r="H746" s="174"/>
      <c r="I746" s="308"/>
      <c r="J746" s="168"/>
      <c r="K746" s="233"/>
      <c r="L746" s="205"/>
      <c r="M746" s="233"/>
      <c r="N746" s="174"/>
      <c r="O746" s="227"/>
      <c r="P746" s="227"/>
      <c r="Q746" s="227"/>
      <c r="U746" s="184"/>
      <c r="V746" s="179"/>
      <c r="W746" s="180"/>
      <c r="Y746" s="184"/>
      <c r="Z746" s="181"/>
    </row>
    <row r="747" spans="1:93" x14ac:dyDescent="0.2">
      <c r="A747" s="118">
        <f t="shared" si="57"/>
        <v>44</v>
      </c>
      <c r="B747" s="243"/>
      <c r="C747" s="223"/>
      <c r="D747" s="168"/>
      <c r="E747" s="233"/>
      <c r="F747" s="205"/>
      <c r="G747" s="233"/>
      <c r="H747" s="174"/>
      <c r="I747" s="308"/>
      <c r="J747" s="168"/>
      <c r="K747" s="233"/>
      <c r="L747" s="205"/>
      <c r="M747" s="233"/>
      <c r="N747" s="174"/>
      <c r="O747" s="227"/>
      <c r="P747" s="227"/>
      <c r="Q747" s="227"/>
      <c r="U747" s="184"/>
      <c r="V747" s="179"/>
      <c r="W747" s="180"/>
      <c r="Y747" s="184"/>
      <c r="Z747" s="181"/>
    </row>
    <row r="748" spans="1:93" x14ac:dyDescent="0.2">
      <c r="A748" s="118">
        <f t="shared" si="57"/>
        <v>45</v>
      </c>
      <c r="B748" s="243"/>
      <c r="C748" s="223"/>
      <c r="D748" s="168"/>
      <c r="E748" s="233"/>
      <c r="F748" s="205"/>
      <c r="G748" s="233"/>
      <c r="H748" s="174"/>
      <c r="I748" s="308"/>
      <c r="J748" s="168"/>
      <c r="K748" s="233"/>
      <c r="L748" s="205"/>
      <c r="M748" s="233"/>
      <c r="N748" s="174"/>
      <c r="O748" s="227"/>
      <c r="P748" s="227"/>
      <c r="Q748" s="227"/>
      <c r="U748" s="252"/>
      <c r="V748" s="253"/>
      <c r="W748" s="254"/>
      <c r="Y748" s="252"/>
      <c r="Z748" s="255"/>
    </row>
    <row r="749" spans="1:93" x14ac:dyDescent="0.2">
      <c r="A749" s="215"/>
      <c r="B749" s="215" t="s">
        <v>98</v>
      </c>
      <c r="C749" s="215"/>
      <c r="D749" s="215"/>
      <c r="E749" s="215"/>
      <c r="F749" s="299"/>
      <c r="G749" s="215"/>
      <c r="H749" s="300"/>
      <c r="I749" s="215"/>
      <c r="J749" s="215"/>
      <c r="K749" s="215"/>
      <c r="L749" s="299"/>
      <c r="M749" s="215"/>
      <c r="N749" s="300" t="s">
        <v>99</v>
      </c>
      <c r="O749" s="215"/>
      <c r="P749" s="215"/>
      <c r="Q749" s="215"/>
    </row>
    <row r="750" spans="1:93" x14ac:dyDescent="0.2">
      <c r="A750" s="216"/>
      <c r="B750" s="216"/>
      <c r="C750" s="216"/>
      <c r="D750" s="216"/>
      <c r="E750" s="216"/>
      <c r="F750" s="216"/>
      <c r="G750" s="216"/>
      <c r="H750" s="216"/>
      <c r="I750" s="216"/>
      <c r="J750" s="216"/>
      <c r="K750" s="216"/>
      <c r="L750" s="216"/>
      <c r="M750" s="216"/>
      <c r="N750" s="216"/>
      <c r="O750" s="216"/>
      <c r="P750" s="216"/>
      <c r="Q750" s="216"/>
      <c r="R750" s="216"/>
      <c r="S750" s="216"/>
      <c r="T750" s="216"/>
      <c r="U750" s="216"/>
      <c r="V750" s="216"/>
      <c r="W750" s="216"/>
      <c r="X750" s="216"/>
      <c r="Y750" s="217"/>
      <c r="Z750" s="217"/>
      <c r="AA750" s="216"/>
      <c r="AB750" s="216"/>
      <c r="AC750" s="216"/>
      <c r="AD750" s="216"/>
      <c r="AE750" s="216"/>
      <c r="AF750" s="216"/>
      <c r="AG750" s="216"/>
      <c r="AH750" s="216"/>
      <c r="AI750" s="216"/>
      <c r="AJ750" s="216"/>
      <c r="AK750" s="216"/>
      <c r="AL750" s="216"/>
      <c r="AM750" s="216"/>
      <c r="AN750" s="216"/>
      <c r="AO750" s="216"/>
      <c r="AP750" s="216"/>
      <c r="AQ750" s="216"/>
      <c r="AR750" s="216"/>
      <c r="AS750" s="216"/>
      <c r="AT750" s="216"/>
      <c r="AU750" s="216"/>
      <c r="AV750" s="216"/>
      <c r="AW750" s="216"/>
      <c r="AX750" s="216"/>
      <c r="AY750" s="216"/>
      <c r="AZ750" s="216"/>
      <c r="BA750" s="216"/>
      <c r="BB750" s="216"/>
      <c r="BC750" s="216"/>
      <c r="BD750" s="216"/>
      <c r="BE750" s="216"/>
      <c r="BF750" s="216"/>
      <c r="BG750" s="216"/>
      <c r="BH750" s="216"/>
      <c r="BI750" s="216"/>
      <c r="BJ750" s="216"/>
      <c r="BK750" s="216"/>
      <c r="BL750" s="216"/>
      <c r="BM750" s="216"/>
      <c r="BN750" s="216"/>
      <c r="BO750" s="216"/>
      <c r="BP750" s="216"/>
      <c r="BQ750" s="216"/>
      <c r="BR750" s="216"/>
      <c r="BS750" s="216"/>
      <c r="BT750" s="216"/>
      <c r="BU750" s="216"/>
      <c r="BV750" s="216"/>
      <c r="BW750" s="216"/>
      <c r="BX750" s="216"/>
      <c r="BY750" s="216"/>
      <c r="BZ750" s="216"/>
      <c r="CA750" s="216"/>
      <c r="CB750" s="216"/>
      <c r="CC750" s="216"/>
      <c r="CD750" s="216"/>
      <c r="CE750" s="216"/>
      <c r="CF750" s="216"/>
      <c r="CG750" s="216"/>
      <c r="CH750" s="216"/>
      <c r="CI750" s="216"/>
      <c r="CJ750" s="216"/>
      <c r="CK750" s="216"/>
      <c r="CL750" s="216"/>
      <c r="CM750" s="216"/>
      <c r="CN750" s="216"/>
      <c r="CO750" s="216"/>
    </row>
    <row r="755" spans="14:14" x14ac:dyDescent="0.2">
      <c r="N755" s="182"/>
    </row>
  </sheetData>
  <printOptions horizontalCentered="1"/>
  <pageMargins left="0.5" right="0.5" top="0.75" bottom="0.25" header="0.5" footer="0.5"/>
  <pageSetup scale="9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FA6FB-9441-43DC-89F7-4267B5C042DC}">
  <sheetPr>
    <tabColor rgb="FFFFC000"/>
    <pageSetUpPr fitToPage="1"/>
  </sheetPr>
  <dimension ref="A1:CP757"/>
  <sheetViews>
    <sheetView tabSelected="1" workbookViewId="0">
      <selection activeCell="S8" sqref="S8"/>
    </sheetView>
  </sheetViews>
  <sheetFormatPr defaultRowHeight="10.199999999999999" x14ac:dyDescent="0.2"/>
  <cols>
    <col min="1" max="1" width="4.6640625" style="101" customWidth="1"/>
    <col min="2" max="2" width="7.33203125" style="101" customWidth="1"/>
    <col min="3" max="3" width="21.6640625" style="101" customWidth="1"/>
    <col min="4" max="4" width="12.5546875" style="101" bestFit="1" customWidth="1"/>
    <col min="5" max="5" width="7.109375" style="101" customWidth="1"/>
    <col min="6" max="6" width="9.6640625" style="101" customWidth="1"/>
    <col min="7" max="7" width="1.5546875" style="101" customWidth="1"/>
    <col min="8" max="8" width="13" style="101" customWidth="1"/>
    <col min="9" max="9" width="2.109375" style="101" customWidth="1"/>
    <col min="10" max="10" width="11.5546875" style="101" customWidth="1"/>
    <col min="11" max="11" width="6.44140625" style="101" bestFit="1" customWidth="1"/>
    <col min="12" max="12" width="9.6640625" style="101" customWidth="1"/>
    <col min="13" max="13" width="2.88671875" style="101" customWidth="1"/>
    <col min="14" max="14" width="13" style="101" customWidth="1"/>
    <col min="15" max="15" width="1.5546875" style="101" customWidth="1"/>
    <col min="16" max="16" width="14.5546875" style="101" customWidth="1"/>
    <col min="17" max="17" width="14.33203125" style="101" customWidth="1"/>
    <col min="18" max="18" width="2.6640625" style="101" customWidth="1"/>
    <col min="19" max="20" width="13" style="101" hidden="1" customWidth="1"/>
    <col min="21" max="21" width="5.6640625" style="101" hidden="1" customWidth="1"/>
    <col min="22" max="23" width="7.5546875" style="101" hidden="1" customWidth="1"/>
    <col min="24" max="24" width="2.6640625" style="101" hidden="1" customWidth="1"/>
    <col min="25" max="25" width="7.88671875" style="107" hidden="1" customWidth="1"/>
    <col min="26" max="26" width="9" style="107" hidden="1" customWidth="1"/>
    <col min="27" max="27" width="2.6640625" style="101" hidden="1" customWidth="1"/>
    <col min="28" max="32" width="10.109375" style="101" hidden="1" customWidth="1"/>
    <col min="33" max="33" width="2.6640625" style="101" hidden="1" customWidth="1"/>
    <col min="34" max="34" width="10.44140625" style="101" hidden="1" customWidth="1"/>
    <col min="35" max="45" width="10.109375" style="101" hidden="1" customWidth="1"/>
    <col min="46" max="46" width="10.44140625" style="101" hidden="1" customWidth="1"/>
    <col min="47" max="57" width="10.109375" style="101" hidden="1" customWidth="1"/>
    <col min="58" max="93" width="0" style="101" hidden="1" customWidth="1"/>
    <col min="94" max="276" width="9.109375" style="101"/>
    <col min="277" max="277" width="9.6640625" style="101" customWidth="1"/>
    <col min="278" max="278" width="12.44140625" style="101" customWidth="1"/>
    <col min="279" max="279" width="10.5546875" style="101" customWidth="1"/>
    <col min="280" max="280" width="6.44140625" style="101" bestFit="1" customWidth="1"/>
    <col min="281" max="281" width="8.88671875" style="101" customWidth="1"/>
    <col min="282" max="282" width="1.5546875" style="101" customWidth="1"/>
    <col min="283" max="283" width="10.5546875" style="101" customWidth="1"/>
    <col min="284" max="284" width="2.6640625" style="101" customWidth="1"/>
    <col min="285" max="285" width="9.6640625" style="101" customWidth="1"/>
    <col min="286" max="286" width="14.6640625" style="101" customWidth="1"/>
    <col min="287" max="287" width="10.5546875" style="101" customWidth="1"/>
    <col min="288" max="288" width="6.44140625" style="101" customWidth="1"/>
    <col min="289" max="289" width="8.88671875" style="101" customWidth="1"/>
    <col min="290" max="290" width="1.5546875" style="101" customWidth="1"/>
    <col min="291" max="291" width="13.44140625" style="101" customWidth="1"/>
    <col min="292" max="292" width="4" style="101" customWidth="1"/>
    <col min="293" max="293" width="8" style="101" customWidth="1"/>
    <col min="294" max="294" width="2.6640625" style="101" customWidth="1"/>
    <col min="295" max="295" width="10.44140625" style="101" customWidth="1"/>
    <col min="296" max="296" width="11" style="101" bestFit="1" customWidth="1"/>
    <col min="297" max="297" width="13.5546875" style="101" customWidth="1"/>
    <col min="298" max="298" width="11" style="101" bestFit="1" customWidth="1"/>
    <col min="299" max="299" width="9.33203125" style="101" bestFit="1" customWidth="1"/>
    <col min="300" max="300" width="11" style="101" bestFit="1" customWidth="1"/>
    <col min="301" max="532" width="9.109375" style="101"/>
    <col min="533" max="533" width="9.6640625" style="101" customWidth="1"/>
    <col min="534" max="534" width="12.44140625" style="101" customWidth="1"/>
    <col min="535" max="535" width="10.5546875" style="101" customWidth="1"/>
    <col min="536" max="536" width="6.44140625" style="101" bestFit="1" customWidth="1"/>
    <col min="537" max="537" width="8.88671875" style="101" customWidth="1"/>
    <col min="538" max="538" width="1.5546875" style="101" customWidth="1"/>
    <col min="539" max="539" width="10.5546875" style="101" customWidth="1"/>
    <col min="540" max="540" width="2.6640625" style="101" customWidth="1"/>
    <col min="541" max="541" width="9.6640625" style="101" customWidth="1"/>
    <col min="542" max="542" width="14.6640625" style="101" customWidth="1"/>
    <col min="543" max="543" width="10.5546875" style="101" customWidth="1"/>
    <col min="544" max="544" width="6.44140625" style="101" customWidth="1"/>
    <col min="545" max="545" width="8.88671875" style="101" customWidth="1"/>
    <col min="546" max="546" width="1.5546875" style="101" customWidth="1"/>
    <col min="547" max="547" width="13.44140625" style="101" customWidth="1"/>
    <col min="548" max="548" width="4" style="101" customWidth="1"/>
    <col min="549" max="549" width="8" style="101" customWidth="1"/>
    <col min="550" max="550" width="2.6640625" style="101" customWidth="1"/>
    <col min="551" max="551" width="10.44140625" style="101" customWidth="1"/>
    <col min="552" max="552" width="11" style="101" bestFit="1" customWidth="1"/>
    <col min="553" max="553" width="13.5546875" style="101" customWidth="1"/>
    <col min="554" max="554" width="11" style="101" bestFit="1" customWidth="1"/>
    <col min="555" max="555" width="9.33203125" style="101" bestFit="1" customWidth="1"/>
    <col min="556" max="556" width="11" style="101" bestFit="1" customWidth="1"/>
    <col min="557" max="788" width="9.109375" style="101"/>
    <col min="789" max="789" width="9.6640625" style="101" customWidth="1"/>
    <col min="790" max="790" width="12.44140625" style="101" customWidth="1"/>
    <col min="791" max="791" width="10.5546875" style="101" customWidth="1"/>
    <col min="792" max="792" width="6.44140625" style="101" bestFit="1" customWidth="1"/>
    <col min="793" max="793" width="8.88671875" style="101" customWidth="1"/>
    <col min="794" max="794" width="1.5546875" style="101" customWidth="1"/>
    <col min="795" max="795" width="10.5546875" style="101" customWidth="1"/>
    <col min="796" max="796" width="2.6640625" style="101" customWidth="1"/>
    <col min="797" max="797" width="9.6640625" style="101" customWidth="1"/>
    <col min="798" max="798" width="14.6640625" style="101" customWidth="1"/>
    <col min="799" max="799" width="10.5546875" style="101" customWidth="1"/>
    <col min="800" max="800" width="6.44140625" style="101" customWidth="1"/>
    <col min="801" max="801" width="8.88671875" style="101" customWidth="1"/>
    <col min="802" max="802" width="1.5546875" style="101" customWidth="1"/>
    <col min="803" max="803" width="13.44140625" style="101" customWidth="1"/>
    <col min="804" max="804" width="4" style="101" customWidth="1"/>
    <col min="805" max="805" width="8" style="101" customWidth="1"/>
    <col min="806" max="806" width="2.6640625" style="101" customWidth="1"/>
    <col min="807" max="807" width="10.44140625" style="101" customWidth="1"/>
    <col min="808" max="808" width="11" style="101" bestFit="1" customWidth="1"/>
    <col min="809" max="809" width="13.5546875" style="101" customWidth="1"/>
    <col min="810" max="810" width="11" style="101" bestFit="1" customWidth="1"/>
    <col min="811" max="811" width="9.33203125" style="101" bestFit="1" customWidth="1"/>
    <col min="812" max="812" width="11" style="101" bestFit="1" customWidth="1"/>
    <col min="813" max="1044" width="9.109375" style="101"/>
    <col min="1045" max="1045" width="9.6640625" style="101" customWidth="1"/>
    <col min="1046" max="1046" width="12.44140625" style="101" customWidth="1"/>
    <col min="1047" max="1047" width="10.5546875" style="101" customWidth="1"/>
    <col min="1048" max="1048" width="6.44140625" style="101" bestFit="1" customWidth="1"/>
    <col min="1049" max="1049" width="8.88671875" style="101" customWidth="1"/>
    <col min="1050" max="1050" width="1.5546875" style="101" customWidth="1"/>
    <col min="1051" max="1051" width="10.5546875" style="101" customWidth="1"/>
    <col min="1052" max="1052" width="2.6640625" style="101" customWidth="1"/>
    <col min="1053" max="1053" width="9.6640625" style="101" customWidth="1"/>
    <col min="1054" max="1054" width="14.6640625" style="101" customWidth="1"/>
    <col min="1055" max="1055" width="10.5546875" style="101" customWidth="1"/>
    <col min="1056" max="1056" width="6.44140625" style="101" customWidth="1"/>
    <col min="1057" max="1057" width="8.88671875" style="101" customWidth="1"/>
    <col min="1058" max="1058" width="1.5546875" style="101" customWidth="1"/>
    <col min="1059" max="1059" width="13.44140625" style="101" customWidth="1"/>
    <col min="1060" max="1060" width="4" style="101" customWidth="1"/>
    <col min="1061" max="1061" width="8" style="101" customWidth="1"/>
    <col min="1062" max="1062" width="2.6640625" style="101" customWidth="1"/>
    <col min="1063" max="1063" width="10.44140625" style="101" customWidth="1"/>
    <col min="1064" max="1064" width="11" style="101" bestFit="1" customWidth="1"/>
    <col min="1065" max="1065" width="13.5546875" style="101" customWidth="1"/>
    <col min="1066" max="1066" width="11" style="101" bestFit="1" customWidth="1"/>
    <col min="1067" max="1067" width="9.33203125" style="101" bestFit="1" customWidth="1"/>
    <col min="1068" max="1068" width="11" style="101" bestFit="1" customWidth="1"/>
    <col min="1069" max="1300" width="9.109375" style="101"/>
    <col min="1301" max="1301" width="9.6640625" style="101" customWidth="1"/>
    <col min="1302" max="1302" width="12.44140625" style="101" customWidth="1"/>
    <col min="1303" max="1303" width="10.5546875" style="101" customWidth="1"/>
    <col min="1304" max="1304" width="6.44140625" style="101" bestFit="1" customWidth="1"/>
    <col min="1305" max="1305" width="8.88671875" style="101" customWidth="1"/>
    <col min="1306" max="1306" width="1.5546875" style="101" customWidth="1"/>
    <col min="1307" max="1307" width="10.5546875" style="101" customWidth="1"/>
    <col min="1308" max="1308" width="2.6640625" style="101" customWidth="1"/>
    <col min="1309" max="1309" width="9.6640625" style="101" customWidth="1"/>
    <col min="1310" max="1310" width="14.6640625" style="101" customWidth="1"/>
    <col min="1311" max="1311" width="10.5546875" style="101" customWidth="1"/>
    <col min="1312" max="1312" width="6.44140625" style="101" customWidth="1"/>
    <col min="1313" max="1313" width="8.88671875" style="101" customWidth="1"/>
    <col min="1314" max="1314" width="1.5546875" style="101" customWidth="1"/>
    <col min="1315" max="1315" width="13.44140625" style="101" customWidth="1"/>
    <col min="1316" max="1316" width="4" style="101" customWidth="1"/>
    <col min="1317" max="1317" width="8" style="101" customWidth="1"/>
    <col min="1318" max="1318" width="2.6640625" style="101" customWidth="1"/>
    <col min="1319" max="1319" width="10.44140625" style="101" customWidth="1"/>
    <col min="1320" max="1320" width="11" style="101" bestFit="1" customWidth="1"/>
    <col min="1321" max="1321" width="13.5546875" style="101" customWidth="1"/>
    <col min="1322" max="1322" width="11" style="101" bestFit="1" customWidth="1"/>
    <col min="1323" max="1323" width="9.33203125" style="101" bestFit="1" customWidth="1"/>
    <col min="1324" max="1324" width="11" style="101" bestFit="1" customWidth="1"/>
    <col min="1325" max="1556" width="9.109375" style="101"/>
    <col min="1557" max="1557" width="9.6640625" style="101" customWidth="1"/>
    <col min="1558" max="1558" width="12.44140625" style="101" customWidth="1"/>
    <col min="1559" max="1559" width="10.5546875" style="101" customWidth="1"/>
    <col min="1560" max="1560" width="6.44140625" style="101" bestFit="1" customWidth="1"/>
    <col min="1561" max="1561" width="8.88671875" style="101" customWidth="1"/>
    <col min="1562" max="1562" width="1.5546875" style="101" customWidth="1"/>
    <col min="1563" max="1563" width="10.5546875" style="101" customWidth="1"/>
    <col min="1564" max="1564" width="2.6640625" style="101" customWidth="1"/>
    <col min="1565" max="1565" width="9.6640625" style="101" customWidth="1"/>
    <col min="1566" max="1566" width="14.6640625" style="101" customWidth="1"/>
    <col min="1567" max="1567" width="10.5546875" style="101" customWidth="1"/>
    <col min="1568" max="1568" width="6.44140625" style="101" customWidth="1"/>
    <col min="1569" max="1569" width="8.88671875" style="101" customWidth="1"/>
    <col min="1570" max="1570" width="1.5546875" style="101" customWidth="1"/>
    <col min="1571" max="1571" width="13.44140625" style="101" customWidth="1"/>
    <col min="1572" max="1572" width="4" style="101" customWidth="1"/>
    <col min="1573" max="1573" width="8" style="101" customWidth="1"/>
    <col min="1574" max="1574" width="2.6640625" style="101" customWidth="1"/>
    <col min="1575" max="1575" width="10.44140625" style="101" customWidth="1"/>
    <col min="1576" max="1576" width="11" style="101" bestFit="1" customWidth="1"/>
    <col min="1577" max="1577" width="13.5546875" style="101" customWidth="1"/>
    <col min="1578" max="1578" width="11" style="101" bestFit="1" customWidth="1"/>
    <col min="1579" max="1579" width="9.33203125" style="101" bestFit="1" customWidth="1"/>
    <col min="1580" max="1580" width="11" style="101" bestFit="1" customWidth="1"/>
    <col min="1581" max="1812" width="9.109375" style="101"/>
    <col min="1813" max="1813" width="9.6640625" style="101" customWidth="1"/>
    <col min="1814" max="1814" width="12.44140625" style="101" customWidth="1"/>
    <col min="1815" max="1815" width="10.5546875" style="101" customWidth="1"/>
    <col min="1816" max="1816" width="6.44140625" style="101" bestFit="1" customWidth="1"/>
    <col min="1817" max="1817" width="8.88671875" style="101" customWidth="1"/>
    <col min="1818" max="1818" width="1.5546875" style="101" customWidth="1"/>
    <col min="1819" max="1819" width="10.5546875" style="101" customWidth="1"/>
    <col min="1820" max="1820" width="2.6640625" style="101" customWidth="1"/>
    <col min="1821" max="1821" width="9.6640625" style="101" customWidth="1"/>
    <col min="1822" max="1822" width="14.6640625" style="101" customWidth="1"/>
    <col min="1823" max="1823" width="10.5546875" style="101" customWidth="1"/>
    <col min="1824" max="1824" width="6.44140625" style="101" customWidth="1"/>
    <col min="1825" max="1825" width="8.88671875" style="101" customWidth="1"/>
    <col min="1826" max="1826" width="1.5546875" style="101" customWidth="1"/>
    <col min="1827" max="1827" width="13.44140625" style="101" customWidth="1"/>
    <col min="1828" max="1828" width="4" style="101" customWidth="1"/>
    <col min="1829" max="1829" width="8" style="101" customWidth="1"/>
    <col min="1830" max="1830" width="2.6640625" style="101" customWidth="1"/>
    <col min="1831" max="1831" width="10.44140625" style="101" customWidth="1"/>
    <col min="1832" max="1832" width="11" style="101" bestFit="1" customWidth="1"/>
    <col min="1833" max="1833" width="13.5546875" style="101" customWidth="1"/>
    <col min="1834" max="1834" width="11" style="101" bestFit="1" customWidth="1"/>
    <col min="1835" max="1835" width="9.33203125" style="101" bestFit="1" customWidth="1"/>
    <col min="1836" max="1836" width="11" style="101" bestFit="1" customWidth="1"/>
    <col min="1837" max="2068" width="9.109375" style="101"/>
    <col min="2069" max="2069" width="9.6640625" style="101" customWidth="1"/>
    <col min="2070" max="2070" width="12.44140625" style="101" customWidth="1"/>
    <col min="2071" max="2071" width="10.5546875" style="101" customWidth="1"/>
    <col min="2072" max="2072" width="6.44140625" style="101" bestFit="1" customWidth="1"/>
    <col min="2073" max="2073" width="8.88671875" style="101" customWidth="1"/>
    <col min="2074" max="2074" width="1.5546875" style="101" customWidth="1"/>
    <col min="2075" max="2075" width="10.5546875" style="101" customWidth="1"/>
    <col min="2076" max="2076" width="2.6640625" style="101" customWidth="1"/>
    <col min="2077" max="2077" width="9.6640625" style="101" customWidth="1"/>
    <col min="2078" max="2078" width="14.6640625" style="101" customWidth="1"/>
    <col min="2079" max="2079" width="10.5546875" style="101" customWidth="1"/>
    <col min="2080" max="2080" width="6.44140625" style="101" customWidth="1"/>
    <col min="2081" max="2081" width="8.88671875" style="101" customWidth="1"/>
    <col min="2082" max="2082" width="1.5546875" style="101" customWidth="1"/>
    <col min="2083" max="2083" width="13.44140625" style="101" customWidth="1"/>
    <col min="2084" max="2084" width="4" style="101" customWidth="1"/>
    <col min="2085" max="2085" width="8" style="101" customWidth="1"/>
    <col min="2086" max="2086" width="2.6640625" style="101" customWidth="1"/>
    <col min="2087" max="2087" width="10.44140625" style="101" customWidth="1"/>
    <col min="2088" max="2088" width="11" style="101" bestFit="1" customWidth="1"/>
    <col min="2089" max="2089" width="13.5546875" style="101" customWidth="1"/>
    <col min="2090" max="2090" width="11" style="101" bestFit="1" customWidth="1"/>
    <col min="2091" max="2091" width="9.33203125" style="101" bestFit="1" customWidth="1"/>
    <col min="2092" max="2092" width="11" style="101" bestFit="1" customWidth="1"/>
    <col min="2093" max="2324" width="9.109375" style="101"/>
    <col min="2325" max="2325" width="9.6640625" style="101" customWidth="1"/>
    <col min="2326" max="2326" width="12.44140625" style="101" customWidth="1"/>
    <col min="2327" max="2327" width="10.5546875" style="101" customWidth="1"/>
    <col min="2328" max="2328" width="6.44140625" style="101" bestFit="1" customWidth="1"/>
    <col min="2329" max="2329" width="8.88671875" style="101" customWidth="1"/>
    <col min="2330" max="2330" width="1.5546875" style="101" customWidth="1"/>
    <col min="2331" max="2331" width="10.5546875" style="101" customWidth="1"/>
    <col min="2332" max="2332" width="2.6640625" style="101" customWidth="1"/>
    <col min="2333" max="2333" width="9.6640625" style="101" customWidth="1"/>
    <col min="2334" max="2334" width="14.6640625" style="101" customWidth="1"/>
    <col min="2335" max="2335" width="10.5546875" style="101" customWidth="1"/>
    <col min="2336" max="2336" width="6.44140625" style="101" customWidth="1"/>
    <col min="2337" max="2337" width="8.88671875" style="101" customWidth="1"/>
    <col min="2338" max="2338" width="1.5546875" style="101" customWidth="1"/>
    <col min="2339" max="2339" width="13.44140625" style="101" customWidth="1"/>
    <col min="2340" max="2340" width="4" style="101" customWidth="1"/>
    <col min="2341" max="2341" width="8" style="101" customWidth="1"/>
    <col min="2342" max="2342" width="2.6640625" style="101" customWidth="1"/>
    <col min="2343" max="2343" width="10.44140625" style="101" customWidth="1"/>
    <col min="2344" max="2344" width="11" style="101" bestFit="1" customWidth="1"/>
    <col min="2345" max="2345" width="13.5546875" style="101" customWidth="1"/>
    <col min="2346" max="2346" width="11" style="101" bestFit="1" customWidth="1"/>
    <col min="2347" max="2347" width="9.33203125" style="101" bestFit="1" customWidth="1"/>
    <col min="2348" max="2348" width="11" style="101" bestFit="1" customWidth="1"/>
    <col min="2349" max="2580" width="9.109375" style="101"/>
    <col min="2581" max="2581" width="9.6640625" style="101" customWidth="1"/>
    <col min="2582" max="2582" width="12.44140625" style="101" customWidth="1"/>
    <col min="2583" max="2583" width="10.5546875" style="101" customWidth="1"/>
    <col min="2584" max="2584" width="6.44140625" style="101" bestFit="1" customWidth="1"/>
    <col min="2585" max="2585" width="8.88671875" style="101" customWidth="1"/>
    <col min="2586" max="2586" width="1.5546875" style="101" customWidth="1"/>
    <col min="2587" max="2587" width="10.5546875" style="101" customWidth="1"/>
    <col min="2588" max="2588" width="2.6640625" style="101" customWidth="1"/>
    <col min="2589" max="2589" width="9.6640625" style="101" customWidth="1"/>
    <col min="2590" max="2590" width="14.6640625" style="101" customWidth="1"/>
    <col min="2591" max="2591" width="10.5546875" style="101" customWidth="1"/>
    <col min="2592" max="2592" width="6.44140625" style="101" customWidth="1"/>
    <col min="2593" max="2593" width="8.88671875" style="101" customWidth="1"/>
    <col min="2594" max="2594" width="1.5546875" style="101" customWidth="1"/>
    <col min="2595" max="2595" width="13.44140625" style="101" customWidth="1"/>
    <col min="2596" max="2596" width="4" style="101" customWidth="1"/>
    <col min="2597" max="2597" width="8" style="101" customWidth="1"/>
    <col min="2598" max="2598" width="2.6640625" style="101" customWidth="1"/>
    <col min="2599" max="2599" width="10.44140625" style="101" customWidth="1"/>
    <col min="2600" max="2600" width="11" style="101" bestFit="1" customWidth="1"/>
    <col min="2601" max="2601" width="13.5546875" style="101" customWidth="1"/>
    <col min="2602" max="2602" width="11" style="101" bestFit="1" customWidth="1"/>
    <col min="2603" max="2603" width="9.33203125" style="101" bestFit="1" customWidth="1"/>
    <col min="2604" max="2604" width="11" style="101" bestFit="1" customWidth="1"/>
    <col min="2605" max="2836" width="9.109375" style="101"/>
    <col min="2837" max="2837" width="9.6640625" style="101" customWidth="1"/>
    <col min="2838" max="2838" width="12.44140625" style="101" customWidth="1"/>
    <col min="2839" max="2839" width="10.5546875" style="101" customWidth="1"/>
    <col min="2840" max="2840" width="6.44140625" style="101" bestFit="1" customWidth="1"/>
    <col min="2841" max="2841" width="8.88671875" style="101" customWidth="1"/>
    <col min="2842" max="2842" width="1.5546875" style="101" customWidth="1"/>
    <col min="2843" max="2843" width="10.5546875" style="101" customWidth="1"/>
    <col min="2844" max="2844" width="2.6640625" style="101" customWidth="1"/>
    <col min="2845" max="2845" width="9.6640625" style="101" customWidth="1"/>
    <col min="2846" max="2846" width="14.6640625" style="101" customWidth="1"/>
    <col min="2847" max="2847" width="10.5546875" style="101" customWidth="1"/>
    <col min="2848" max="2848" width="6.44140625" style="101" customWidth="1"/>
    <col min="2849" max="2849" width="8.88671875" style="101" customWidth="1"/>
    <col min="2850" max="2850" width="1.5546875" style="101" customWidth="1"/>
    <col min="2851" max="2851" width="13.44140625" style="101" customWidth="1"/>
    <col min="2852" max="2852" width="4" style="101" customWidth="1"/>
    <col min="2853" max="2853" width="8" style="101" customWidth="1"/>
    <col min="2854" max="2854" width="2.6640625" style="101" customWidth="1"/>
    <col min="2855" max="2855" width="10.44140625" style="101" customWidth="1"/>
    <col min="2856" max="2856" width="11" style="101" bestFit="1" customWidth="1"/>
    <col min="2857" max="2857" width="13.5546875" style="101" customWidth="1"/>
    <col min="2858" max="2858" width="11" style="101" bestFit="1" customWidth="1"/>
    <col min="2859" max="2859" width="9.33203125" style="101" bestFit="1" customWidth="1"/>
    <col min="2860" max="2860" width="11" style="101" bestFit="1" customWidth="1"/>
    <col min="2861" max="3092" width="9.109375" style="101"/>
    <col min="3093" max="3093" width="9.6640625" style="101" customWidth="1"/>
    <col min="3094" max="3094" width="12.44140625" style="101" customWidth="1"/>
    <col min="3095" max="3095" width="10.5546875" style="101" customWidth="1"/>
    <col min="3096" max="3096" width="6.44140625" style="101" bestFit="1" customWidth="1"/>
    <col min="3097" max="3097" width="8.88671875" style="101" customWidth="1"/>
    <col min="3098" max="3098" width="1.5546875" style="101" customWidth="1"/>
    <col min="3099" max="3099" width="10.5546875" style="101" customWidth="1"/>
    <col min="3100" max="3100" width="2.6640625" style="101" customWidth="1"/>
    <col min="3101" max="3101" width="9.6640625" style="101" customWidth="1"/>
    <col min="3102" max="3102" width="14.6640625" style="101" customWidth="1"/>
    <col min="3103" max="3103" width="10.5546875" style="101" customWidth="1"/>
    <col min="3104" max="3104" width="6.44140625" style="101" customWidth="1"/>
    <col min="3105" max="3105" width="8.88671875" style="101" customWidth="1"/>
    <col min="3106" max="3106" width="1.5546875" style="101" customWidth="1"/>
    <col min="3107" max="3107" width="13.44140625" style="101" customWidth="1"/>
    <col min="3108" max="3108" width="4" style="101" customWidth="1"/>
    <col min="3109" max="3109" width="8" style="101" customWidth="1"/>
    <col min="3110" max="3110" width="2.6640625" style="101" customWidth="1"/>
    <col min="3111" max="3111" width="10.44140625" style="101" customWidth="1"/>
    <col min="3112" max="3112" width="11" style="101" bestFit="1" customWidth="1"/>
    <col min="3113" max="3113" width="13.5546875" style="101" customWidth="1"/>
    <col min="3114" max="3114" width="11" style="101" bestFit="1" customWidth="1"/>
    <col min="3115" max="3115" width="9.33203125" style="101" bestFit="1" customWidth="1"/>
    <col min="3116" max="3116" width="11" style="101" bestFit="1" customWidth="1"/>
    <col min="3117" max="3348" width="9.109375" style="101"/>
    <col min="3349" max="3349" width="9.6640625" style="101" customWidth="1"/>
    <col min="3350" max="3350" width="12.44140625" style="101" customWidth="1"/>
    <col min="3351" max="3351" width="10.5546875" style="101" customWidth="1"/>
    <col min="3352" max="3352" width="6.44140625" style="101" bestFit="1" customWidth="1"/>
    <col min="3353" max="3353" width="8.88671875" style="101" customWidth="1"/>
    <col min="3354" max="3354" width="1.5546875" style="101" customWidth="1"/>
    <col min="3355" max="3355" width="10.5546875" style="101" customWidth="1"/>
    <col min="3356" max="3356" width="2.6640625" style="101" customWidth="1"/>
    <col min="3357" max="3357" width="9.6640625" style="101" customWidth="1"/>
    <col min="3358" max="3358" width="14.6640625" style="101" customWidth="1"/>
    <col min="3359" max="3359" width="10.5546875" style="101" customWidth="1"/>
    <col min="3360" max="3360" width="6.44140625" style="101" customWidth="1"/>
    <col min="3361" max="3361" width="8.88671875" style="101" customWidth="1"/>
    <col min="3362" max="3362" width="1.5546875" style="101" customWidth="1"/>
    <col min="3363" max="3363" width="13.44140625" style="101" customWidth="1"/>
    <col min="3364" max="3364" width="4" style="101" customWidth="1"/>
    <col min="3365" max="3365" width="8" style="101" customWidth="1"/>
    <col min="3366" max="3366" width="2.6640625" style="101" customWidth="1"/>
    <col min="3367" max="3367" width="10.44140625" style="101" customWidth="1"/>
    <col min="3368" max="3368" width="11" style="101" bestFit="1" customWidth="1"/>
    <col min="3369" max="3369" width="13.5546875" style="101" customWidth="1"/>
    <col min="3370" max="3370" width="11" style="101" bestFit="1" customWidth="1"/>
    <col min="3371" max="3371" width="9.33203125" style="101" bestFit="1" customWidth="1"/>
    <col min="3372" max="3372" width="11" style="101" bestFit="1" customWidth="1"/>
    <col min="3373" max="3604" width="9.109375" style="101"/>
    <col min="3605" max="3605" width="9.6640625" style="101" customWidth="1"/>
    <col min="3606" max="3606" width="12.44140625" style="101" customWidth="1"/>
    <col min="3607" max="3607" width="10.5546875" style="101" customWidth="1"/>
    <col min="3608" max="3608" width="6.44140625" style="101" bestFit="1" customWidth="1"/>
    <col min="3609" max="3609" width="8.88671875" style="101" customWidth="1"/>
    <col min="3610" max="3610" width="1.5546875" style="101" customWidth="1"/>
    <col min="3611" max="3611" width="10.5546875" style="101" customWidth="1"/>
    <col min="3612" max="3612" width="2.6640625" style="101" customWidth="1"/>
    <col min="3613" max="3613" width="9.6640625" style="101" customWidth="1"/>
    <col min="3614" max="3614" width="14.6640625" style="101" customWidth="1"/>
    <col min="3615" max="3615" width="10.5546875" style="101" customWidth="1"/>
    <col min="3616" max="3616" width="6.44140625" style="101" customWidth="1"/>
    <col min="3617" max="3617" width="8.88671875" style="101" customWidth="1"/>
    <col min="3618" max="3618" width="1.5546875" style="101" customWidth="1"/>
    <col min="3619" max="3619" width="13.44140625" style="101" customWidth="1"/>
    <col min="3620" max="3620" width="4" style="101" customWidth="1"/>
    <col min="3621" max="3621" width="8" style="101" customWidth="1"/>
    <col min="3622" max="3622" width="2.6640625" style="101" customWidth="1"/>
    <col min="3623" max="3623" width="10.44140625" style="101" customWidth="1"/>
    <col min="3624" max="3624" width="11" style="101" bestFit="1" customWidth="1"/>
    <col min="3625" max="3625" width="13.5546875" style="101" customWidth="1"/>
    <col min="3626" max="3626" width="11" style="101" bestFit="1" customWidth="1"/>
    <col min="3627" max="3627" width="9.33203125" style="101" bestFit="1" customWidth="1"/>
    <col min="3628" max="3628" width="11" style="101" bestFit="1" customWidth="1"/>
    <col min="3629" max="3860" width="9.109375" style="101"/>
    <col min="3861" max="3861" width="9.6640625" style="101" customWidth="1"/>
    <col min="3862" max="3862" width="12.44140625" style="101" customWidth="1"/>
    <col min="3863" max="3863" width="10.5546875" style="101" customWidth="1"/>
    <col min="3864" max="3864" width="6.44140625" style="101" bestFit="1" customWidth="1"/>
    <col min="3865" max="3865" width="8.88671875" style="101" customWidth="1"/>
    <col min="3866" max="3866" width="1.5546875" style="101" customWidth="1"/>
    <col min="3867" max="3867" width="10.5546875" style="101" customWidth="1"/>
    <col min="3868" max="3868" width="2.6640625" style="101" customWidth="1"/>
    <col min="3869" max="3869" width="9.6640625" style="101" customWidth="1"/>
    <col min="3870" max="3870" width="14.6640625" style="101" customWidth="1"/>
    <col min="3871" max="3871" width="10.5546875" style="101" customWidth="1"/>
    <col min="3872" max="3872" width="6.44140625" style="101" customWidth="1"/>
    <col min="3873" max="3873" width="8.88671875" style="101" customWidth="1"/>
    <col min="3874" max="3874" width="1.5546875" style="101" customWidth="1"/>
    <col min="3875" max="3875" width="13.44140625" style="101" customWidth="1"/>
    <col min="3876" max="3876" width="4" style="101" customWidth="1"/>
    <col min="3877" max="3877" width="8" style="101" customWidth="1"/>
    <col min="3878" max="3878" width="2.6640625" style="101" customWidth="1"/>
    <col min="3879" max="3879" width="10.44140625" style="101" customWidth="1"/>
    <col min="3880" max="3880" width="11" style="101" bestFit="1" customWidth="1"/>
    <col min="3881" max="3881" width="13.5546875" style="101" customWidth="1"/>
    <col min="3882" max="3882" width="11" style="101" bestFit="1" customWidth="1"/>
    <col min="3883" max="3883" width="9.33203125" style="101" bestFit="1" customWidth="1"/>
    <col min="3884" max="3884" width="11" style="101" bestFit="1" customWidth="1"/>
    <col min="3885" max="4116" width="9.109375" style="101"/>
    <col min="4117" max="4117" width="9.6640625" style="101" customWidth="1"/>
    <col min="4118" max="4118" width="12.44140625" style="101" customWidth="1"/>
    <col min="4119" max="4119" width="10.5546875" style="101" customWidth="1"/>
    <col min="4120" max="4120" width="6.44140625" style="101" bestFit="1" customWidth="1"/>
    <col min="4121" max="4121" width="8.88671875" style="101" customWidth="1"/>
    <col min="4122" max="4122" width="1.5546875" style="101" customWidth="1"/>
    <col min="4123" max="4123" width="10.5546875" style="101" customWidth="1"/>
    <col min="4124" max="4124" width="2.6640625" style="101" customWidth="1"/>
    <col min="4125" max="4125" width="9.6640625" style="101" customWidth="1"/>
    <col min="4126" max="4126" width="14.6640625" style="101" customWidth="1"/>
    <col min="4127" max="4127" width="10.5546875" style="101" customWidth="1"/>
    <col min="4128" max="4128" width="6.44140625" style="101" customWidth="1"/>
    <col min="4129" max="4129" width="8.88671875" style="101" customWidth="1"/>
    <col min="4130" max="4130" width="1.5546875" style="101" customWidth="1"/>
    <col min="4131" max="4131" width="13.44140625" style="101" customWidth="1"/>
    <col min="4132" max="4132" width="4" style="101" customWidth="1"/>
    <col min="4133" max="4133" width="8" style="101" customWidth="1"/>
    <col min="4134" max="4134" width="2.6640625" style="101" customWidth="1"/>
    <col min="4135" max="4135" width="10.44140625" style="101" customWidth="1"/>
    <col min="4136" max="4136" width="11" style="101" bestFit="1" customWidth="1"/>
    <col min="4137" max="4137" width="13.5546875" style="101" customWidth="1"/>
    <col min="4138" max="4138" width="11" style="101" bestFit="1" customWidth="1"/>
    <col min="4139" max="4139" width="9.33203125" style="101" bestFit="1" customWidth="1"/>
    <col min="4140" max="4140" width="11" style="101" bestFit="1" customWidth="1"/>
    <col min="4141" max="4372" width="9.109375" style="101"/>
    <col min="4373" max="4373" width="9.6640625" style="101" customWidth="1"/>
    <col min="4374" max="4374" width="12.44140625" style="101" customWidth="1"/>
    <col min="4375" max="4375" width="10.5546875" style="101" customWidth="1"/>
    <col min="4376" max="4376" width="6.44140625" style="101" bestFit="1" customWidth="1"/>
    <col min="4377" max="4377" width="8.88671875" style="101" customWidth="1"/>
    <col min="4378" max="4378" width="1.5546875" style="101" customWidth="1"/>
    <col min="4379" max="4379" width="10.5546875" style="101" customWidth="1"/>
    <col min="4380" max="4380" width="2.6640625" style="101" customWidth="1"/>
    <col min="4381" max="4381" width="9.6640625" style="101" customWidth="1"/>
    <col min="4382" max="4382" width="14.6640625" style="101" customWidth="1"/>
    <col min="4383" max="4383" width="10.5546875" style="101" customWidth="1"/>
    <col min="4384" max="4384" width="6.44140625" style="101" customWidth="1"/>
    <col min="4385" max="4385" width="8.88671875" style="101" customWidth="1"/>
    <col min="4386" max="4386" width="1.5546875" style="101" customWidth="1"/>
    <col min="4387" max="4387" width="13.44140625" style="101" customWidth="1"/>
    <col min="4388" max="4388" width="4" style="101" customWidth="1"/>
    <col min="4389" max="4389" width="8" style="101" customWidth="1"/>
    <col min="4390" max="4390" width="2.6640625" style="101" customWidth="1"/>
    <col min="4391" max="4391" width="10.44140625" style="101" customWidth="1"/>
    <col min="4392" max="4392" width="11" style="101" bestFit="1" customWidth="1"/>
    <col min="4393" max="4393" width="13.5546875" style="101" customWidth="1"/>
    <col min="4394" max="4394" width="11" style="101" bestFit="1" customWidth="1"/>
    <col min="4395" max="4395" width="9.33203125" style="101" bestFit="1" customWidth="1"/>
    <col min="4396" max="4396" width="11" style="101" bestFit="1" customWidth="1"/>
    <col min="4397" max="4628" width="9.109375" style="101"/>
    <col min="4629" max="4629" width="9.6640625" style="101" customWidth="1"/>
    <col min="4630" max="4630" width="12.44140625" style="101" customWidth="1"/>
    <col min="4631" max="4631" width="10.5546875" style="101" customWidth="1"/>
    <col min="4632" max="4632" width="6.44140625" style="101" bestFit="1" customWidth="1"/>
    <col min="4633" max="4633" width="8.88671875" style="101" customWidth="1"/>
    <col min="4634" max="4634" width="1.5546875" style="101" customWidth="1"/>
    <col min="4635" max="4635" width="10.5546875" style="101" customWidth="1"/>
    <col min="4636" max="4636" width="2.6640625" style="101" customWidth="1"/>
    <col min="4637" max="4637" width="9.6640625" style="101" customWidth="1"/>
    <col min="4638" max="4638" width="14.6640625" style="101" customWidth="1"/>
    <col min="4639" max="4639" width="10.5546875" style="101" customWidth="1"/>
    <col min="4640" max="4640" width="6.44140625" style="101" customWidth="1"/>
    <col min="4641" max="4641" width="8.88671875" style="101" customWidth="1"/>
    <col min="4642" max="4642" width="1.5546875" style="101" customWidth="1"/>
    <col min="4643" max="4643" width="13.44140625" style="101" customWidth="1"/>
    <col min="4644" max="4644" width="4" style="101" customWidth="1"/>
    <col min="4645" max="4645" width="8" style="101" customWidth="1"/>
    <col min="4646" max="4646" width="2.6640625" style="101" customWidth="1"/>
    <col min="4647" max="4647" width="10.44140625" style="101" customWidth="1"/>
    <col min="4648" max="4648" width="11" style="101" bestFit="1" customWidth="1"/>
    <col min="4649" max="4649" width="13.5546875" style="101" customWidth="1"/>
    <col min="4650" max="4650" width="11" style="101" bestFit="1" customWidth="1"/>
    <col min="4651" max="4651" width="9.33203125" style="101" bestFit="1" customWidth="1"/>
    <col min="4652" max="4652" width="11" style="101" bestFit="1" customWidth="1"/>
    <col min="4653" max="4884" width="9.109375" style="101"/>
    <col min="4885" max="4885" width="9.6640625" style="101" customWidth="1"/>
    <col min="4886" max="4886" width="12.44140625" style="101" customWidth="1"/>
    <col min="4887" max="4887" width="10.5546875" style="101" customWidth="1"/>
    <col min="4888" max="4888" width="6.44140625" style="101" bestFit="1" customWidth="1"/>
    <col min="4889" max="4889" width="8.88671875" style="101" customWidth="1"/>
    <col min="4890" max="4890" width="1.5546875" style="101" customWidth="1"/>
    <col min="4891" max="4891" width="10.5546875" style="101" customWidth="1"/>
    <col min="4892" max="4892" width="2.6640625" style="101" customWidth="1"/>
    <col min="4893" max="4893" width="9.6640625" style="101" customWidth="1"/>
    <col min="4894" max="4894" width="14.6640625" style="101" customWidth="1"/>
    <col min="4895" max="4895" width="10.5546875" style="101" customWidth="1"/>
    <col min="4896" max="4896" width="6.44140625" style="101" customWidth="1"/>
    <col min="4897" max="4897" width="8.88671875" style="101" customWidth="1"/>
    <col min="4898" max="4898" width="1.5546875" style="101" customWidth="1"/>
    <col min="4899" max="4899" width="13.44140625" style="101" customWidth="1"/>
    <col min="4900" max="4900" width="4" style="101" customWidth="1"/>
    <col min="4901" max="4901" width="8" style="101" customWidth="1"/>
    <col min="4902" max="4902" width="2.6640625" style="101" customWidth="1"/>
    <col min="4903" max="4903" width="10.44140625" style="101" customWidth="1"/>
    <col min="4904" max="4904" width="11" style="101" bestFit="1" customWidth="1"/>
    <col min="4905" max="4905" width="13.5546875" style="101" customWidth="1"/>
    <col min="4906" max="4906" width="11" style="101" bestFit="1" customWidth="1"/>
    <col min="4907" max="4907" width="9.33203125" style="101" bestFit="1" customWidth="1"/>
    <col min="4908" max="4908" width="11" style="101" bestFit="1" customWidth="1"/>
    <col min="4909" max="5140" width="9.109375" style="101"/>
    <col min="5141" max="5141" width="9.6640625" style="101" customWidth="1"/>
    <col min="5142" max="5142" width="12.44140625" style="101" customWidth="1"/>
    <col min="5143" max="5143" width="10.5546875" style="101" customWidth="1"/>
    <col min="5144" max="5144" width="6.44140625" style="101" bestFit="1" customWidth="1"/>
    <col min="5145" max="5145" width="8.88671875" style="101" customWidth="1"/>
    <col min="5146" max="5146" width="1.5546875" style="101" customWidth="1"/>
    <col min="5147" max="5147" width="10.5546875" style="101" customWidth="1"/>
    <col min="5148" max="5148" width="2.6640625" style="101" customWidth="1"/>
    <col min="5149" max="5149" width="9.6640625" style="101" customWidth="1"/>
    <col min="5150" max="5150" width="14.6640625" style="101" customWidth="1"/>
    <col min="5151" max="5151" width="10.5546875" style="101" customWidth="1"/>
    <col min="5152" max="5152" width="6.44140625" style="101" customWidth="1"/>
    <col min="5153" max="5153" width="8.88671875" style="101" customWidth="1"/>
    <col min="5154" max="5154" width="1.5546875" style="101" customWidth="1"/>
    <col min="5155" max="5155" width="13.44140625" style="101" customWidth="1"/>
    <col min="5156" max="5156" width="4" style="101" customWidth="1"/>
    <col min="5157" max="5157" width="8" style="101" customWidth="1"/>
    <col min="5158" max="5158" width="2.6640625" style="101" customWidth="1"/>
    <col min="5159" max="5159" width="10.44140625" style="101" customWidth="1"/>
    <col min="5160" max="5160" width="11" style="101" bestFit="1" customWidth="1"/>
    <col min="5161" max="5161" width="13.5546875" style="101" customWidth="1"/>
    <col min="5162" max="5162" width="11" style="101" bestFit="1" customWidth="1"/>
    <col min="5163" max="5163" width="9.33203125" style="101" bestFit="1" customWidth="1"/>
    <col min="5164" max="5164" width="11" style="101" bestFit="1" customWidth="1"/>
    <col min="5165" max="5396" width="9.109375" style="101"/>
    <col min="5397" max="5397" width="9.6640625" style="101" customWidth="1"/>
    <col min="5398" max="5398" width="12.44140625" style="101" customWidth="1"/>
    <col min="5399" max="5399" width="10.5546875" style="101" customWidth="1"/>
    <col min="5400" max="5400" width="6.44140625" style="101" bestFit="1" customWidth="1"/>
    <col min="5401" max="5401" width="8.88671875" style="101" customWidth="1"/>
    <col min="5402" max="5402" width="1.5546875" style="101" customWidth="1"/>
    <col min="5403" max="5403" width="10.5546875" style="101" customWidth="1"/>
    <col min="5404" max="5404" width="2.6640625" style="101" customWidth="1"/>
    <col min="5405" max="5405" width="9.6640625" style="101" customWidth="1"/>
    <col min="5406" max="5406" width="14.6640625" style="101" customWidth="1"/>
    <col min="5407" max="5407" width="10.5546875" style="101" customWidth="1"/>
    <col min="5408" max="5408" width="6.44140625" style="101" customWidth="1"/>
    <col min="5409" max="5409" width="8.88671875" style="101" customWidth="1"/>
    <col min="5410" max="5410" width="1.5546875" style="101" customWidth="1"/>
    <col min="5411" max="5411" width="13.44140625" style="101" customWidth="1"/>
    <col min="5412" max="5412" width="4" style="101" customWidth="1"/>
    <col min="5413" max="5413" width="8" style="101" customWidth="1"/>
    <col min="5414" max="5414" width="2.6640625" style="101" customWidth="1"/>
    <col min="5415" max="5415" width="10.44140625" style="101" customWidth="1"/>
    <col min="5416" max="5416" width="11" style="101" bestFit="1" customWidth="1"/>
    <col min="5417" max="5417" width="13.5546875" style="101" customWidth="1"/>
    <col min="5418" max="5418" width="11" style="101" bestFit="1" customWidth="1"/>
    <col min="5419" max="5419" width="9.33203125" style="101" bestFit="1" customWidth="1"/>
    <col min="5420" max="5420" width="11" style="101" bestFit="1" customWidth="1"/>
    <col min="5421" max="5652" width="9.109375" style="101"/>
    <col min="5653" max="5653" width="9.6640625" style="101" customWidth="1"/>
    <col min="5654" max="5654" width="12.44140625" style="101" customWidth="1"/>
    <col min="5655" max="5655" width="10.5546875" style="101" customWidth="1"/>
    <col min="5656" max="5656" width="6.44140625" style="101" bestFit="1" customWidth="1"/>
    <col min="5657" max="5657" width="8.88671875" style="101" customWidth="1"/>
    <col min="5658" max="5658" width="1.5546875" style="101" customWidth="1"/>
    <col min="5659" max="5659" width="10.5546875" style="101" customWidth="1"/>
    <col min="5660" max="5660" width="2.6640625" style="101" customWidth="1"/>
    <col min="5661" max="5661" width="9.6640625" style="101" customWidth="1"/>
    <col min="5662" max="5662" width="14.6640625" style="101" customWidth="1"/>
    <col min="5663" max="5663" width="10.5546875" style="101" customWidth="1"/>
    <col min="5664" max="5664" width="6.44140625" style="101" customWidth="1"/>
    <col min="5665" max="5665" width="8.88671875" style="101" customWidth="1"/>
    <col min="5666" max="5666" width="1.5546875" style="101" customWidth="1"/>
    <col min="5667" max="5667" width="13.44140625" style="101" customWidth="1"/>
    <col min="5668" max="5668" width="4" style="101" customWidth="1"/>
    <col min="5669" max="5669" width="8" style="101" customWidth="1"/>
    <col min="5670" max="5670" width="2.6640625" style="101" customWidth="1"/>
    <col min="5671" max="5671" width="10.44140625" style="101" customWidth="1"/>
    <col min="5672" max="5672" width="11" style="101" bestFit="1" customWidth="1"/>
    <col min="5673" max="5673" width="13.5546875" style="101" customWidth="1"/>
    <col min="5674" max="5674" width="11" style="101" bestFit="1" customWidth="1"/>
    <col min="5675" max="5675" width="9.33203125" style="101" bestFit="1" customWidth="1"/>
    <col min="5676" max="5676" width="11" style="101" bestFit="1" customWidth="1"/>
    <col min="5677" max="5908" width="9.109375" style="101"/>
    <col min="5909" max="5909" width="9.6640625" style="101" customWidth="1"/>
    <col min="5910" max="5910" width="12.44140625" style="101" customWidth="1"/>
    <col min="5911" max="5911" width="10.5546875" style="101" customWidth="1"/>
    <col min="5912" max="5912" width="6.44140625" style="101" bestFit="1" customWidth="1"/>
    <col min="5913" max="5913" width="8.88671875" style="101" customWidth="1"/>
    <col min="5914" max="5914" width="1.5546875" style="101" customWidth="1"/>
    <col min="5915" max="5915" width="10.5546875" style="101" customWidth="1"/>
    <col min="5916" max="5916" width="2.6640625" style="101" customWidth="1"/>
    <col min="5917" max="5917" width="9.6640625" style="101" customWidth="1"/>
    <col min="5918" max="5918" width="14.6640625" style="101" customWidth="1"/>
    <col min="5919" max="5919" width="10.5546875" style="101" customWidth="1"/>
    <col min="5920" max="5920" width="6.44140625" style="101" customWidth="1"/>
    <col min="5921" max="5921" width="8.88671875" style="101" customWidth="1"/>
    <col min="5922" max="5922" width="1.5546875" style="101" customWidth="1"/>
    <col min="5923" max="5923" width="13.44140625" style="101" customWidth="1"/>
    <col min="5924" max="5924" width="4" style="101" customWidth="1"/>
    <col min="5925" max="5925" width="8" style="101" customWidth="1"/>
    <col min="5926" max="5926" width="2.6640625" style="101" customWidth="1"/>
    <col min="5927" max="5927" width="10.44140625" style="101" customWidth="1"/>
    <col min="5928" max="5928" width="11" style="101" bestFit="1" customWidth="1"/>
    <col min="5929" max="5929" width="13.5546875" style="101" customWidth="1"/>
    <col min="5930" max="5930" width="11" style="101" bestFit="1" customWidth="1"/>
    <col min="5931" max="5931" width="9.33203125" style="101" bestFit="1" customWidth="1"/>
    <col min="5932" max="5932" width="11" style="101" bestFit="1" customWidth="1"/>
    <col min="5933" max="6164" width="9.109375" style="101"/>
    <col min="6165" max="6165" width="9.6640625" style="101" customWidth="1"/>
    <col min="6166" max="6166" width="12.44140625" style="101" customWidth="1"/>
    <col min="6167" max="6167" width="10.5546875" style="101" customWidth="1"/>
    <col min="6168" max="6168" width="6.44140625" style="101" bestFit="1" customWidth="1"/>
    <col min="6169" max="6169" width="8.88671875" style="101" customWidth="1"/>
    <col min="6170" max="6170" width="1.5546875" style="101" customWidth="1"/>
    <col min="6171" max="6171" width="10.5546875" style="101" customWidth="1"/>
    <col min="6172" max="6172" width="2.6640625" style="101" customWidth="1"/>
    <col min="6173" max="6173" width="9.6640625" style="101" customWidth="1"/>
    <col min="6174" max="6174" width="14.6640625" style="101" customWidth="1"/>
    <col min="6175" max="6175" width="10.5546875" style="101" customWidth="1"/>
    <col min="6176" max="6176" width="6.44140625" style="101" customWidth="1"/>
    <col min="6177" max="6177" width="8.88671875" style="101" customWidth="1"/>
    <col min="6178" max="6178" width="1.5546875" style="101" customWidth="1"/>
    <col min="6179" max="6179" width="13.44140625" style="101" customWidth="1"/>
    <col min="6180" max="6180" width="4" style="101" customWidth="1"/>
    <col min="6181" max="6181" width="8" style="101" customWidth="1"/>
    <col min="6182" max="6182" width="2.6640625" style="101" customWidth="1"/>
    <col min="6183" max="6183" width="10.44140625" style="101" customWidth="1"/>
    <col min="6184" max="6184" width="11" style="101" bestFit="1" customWidth="1"/>
    <col min="6185" max="6185" width="13.5546875" style="101" customWidth="1"/>
    <col min="6186" max="6186" width="11" style="101" bestFit="1" customWidth="1"/>
    <col min="6187" max="6187" width="9.33203125" style="101" bestFit="1" customWidth="1"/>
    <col min="6188" max="6188" width="11" style="101" bestFit="1" customWidth="1"/>
    <col min="6189" max="6420" width="9.109375" style="101"/>
    <col min="6421" max="6421" width="9.6640625" style="101" customWidth="1"/>
    <col min="6422" max="6422" width="12.44140625" style="101" customWidth="1"/>
    <col min="6423" max="6423" width="10.5546875" style="101" customWidth="1"/>
    <col min="6424" max="6424" width="6.44140625" style="101" bestFit="1" customWidth="1"/>
    <col min="6425" max="6425" width="8.88671875" style="101" customWidth="1"/>
    <col min="6426" max="6426" width="1.5546875" style="101" customWidth="1"/>
    <col min="6427" max="6427" width="10.5546875" style="101" customWidth="1"/>
    <col min="6428" max="6428" width="2.6640625" style="101" customWidth="1"/>
    <col min="6429" max="6429" width="9.6640625" style="101" customWidth="1"/>
    <col min="6430" max="6430" width="14.6640625" style="101" customWidth="1"/>
    <col min="6431" max="6431" width="10.5546875" style="101" customWidth="1"/>
    <col min="6432" max="6432" width="6.44140625" style="101" customWidth="1"/>
    <col min="6433" max="6433" width="8.88671875" style="101" customWidth="1"/>
    <col min="6434" max="6434" width="1.5546875" style="101" customWidth="1"/>
    <col min="6435" max="6435" width="13.44140625" style="101" customWidth="1"/>
    <col min="6436" max="6436" width="4" style="101" customWidth="1"/>
    <col min="6437" max="6437" width="8" style="101" customWidth="1"/>
    <col min="6438" max="6438" width="2.6640625" style="101" customWidth="1"/>
    <col min="6439" max="6439" width="10.44140625" style="101" customWidth="1"/>
    <col min="6440" max="6440" width="11" style="101" bestFit="1" customWidth="1"/>
    <col min="6441" max="6441" width="13.5546875" style="101" customWidth="1"/>
    <col min="6442" max="6442" width="11" style="101" bestFit="1" customWidth="1"/>
    <col min="6443" max="6443" width="9.33203125" style="101" bestFit="1" customWidth="1"/>
    <col min="6444" max="6444" width="11" style="101" bestFit="1" customWidth="1"/>
    <col min="6445" max="6676" width="9.109375" style="101"/>
    <col min="6677" max="6677" width="9.6640625" style="101" customWidth="1"/>
    <col min="6678" max="6678" width="12.44140625" style="101" customWidth="1"/>
    <col min="6679" max="6679" width="10.5546875" style="101" customWidth="1"/>
    <col min="6680" max="6680" width="6.44140625" style="101" bestFit="1" customWidth="1"/>
    <col min="6681" max="6681" width="8.88671875" style="101" customWidth="1"/>
    <col min="6682" max="6682" width="1.5546875" style="101" customWidth="1"/>
    <col min="6683" max="6683" width="10.5546875" style="101" customWidth="1"/>
    <col min="6684" max="6684" width="2.6640625" style="101" customWidth="1"/>
    <col min="6685" max="6685" width="9.6640625" style="101" customWidth="1"/>
    <col min="6686" max="6686" width="14.6640625" style="101" customWidth="1"/>
    <col min="6687" max="6687" width="10.5546875" style="101" customWidth="1"/>
    <col min="6688" max="6688" width="6.44140625" style="101" customWidth="1"/>
    <col min="6689" max="6689" width="8.88671875" style="101" customWidth="1"/>
    <col min="6690" max="6690" width="1.5546875" style="101" customWidth="1"/>
    <col min="6691" max="6691" width="13.44140625" style="101" customWidth="1"/>
    <col min="6692" max="6692" width="4" style="101" customWidth="1"/>
    <col min="6693" max="6693" width="8" style="101" customWidth="1"/>
    <col min="6694" max="6694" width="2.6640625" style="101" customWidth="1"/>
    <col min="6695" max="6695" width="10.44140625" style="101" customWidth="1"/>
    <col min="6696" max="6696" width="11" style="101" bestFit="1" customWidth="1"/>
    <col min="6697" max="6697" width="13.5546875" style="101" customWidth="1"/>
    <col min="6698" max="6698" width="11" style="101" bestFit="1" customWidth="1"/>
    <col min="6699" max="6699" width="9.33203125" style="101" bestFit="1" customWidth="1"/>
    <col min="6700" max="6700" width="11" style="101" bestFit="1" customWidth="1"/>
    <col min="6701" max="6932" width="9.109375" style="101"/>
    <col min="6933" max="6933" width="9.6640625" style="101" customWidth="1"/>
    <col min="6934" max="6934" width="12.44140625" style="101" customWidth="1"/>
    <col min="6935" max="6935" width="10.5546875" style="101" customWidth="1"/>
    <col min="6936" max="6936" width="6.44140625" style="101" bestFit="1" customWidth="1"/>
    <col min="6937" max="6937" width="8.88671875" style="101" customWidth="1"/>
    <col min="6938" max="6938" width="1.5546875" style="101" customWidth="1"/>
    <col min="6939" max="6939" width="10.5546875" style="101" customWidth="1"/>
    <col min="6940" max="6940" width="2.6640625" style="101" customWidth="1"/>
    <col min="6941" max="6941" width="9.6640625" style="101" customWidth="1"/>
    <col min="6942" max="6942" width="14.6640625" style="101" customWidth="1"/>
    <col min="6943" max="6943" width="10.5546875" style="101" customWidth="1"/>
    <col min="6944" max="6944" width="6.44140625" style="101" customWidth="1"/>
    <col min="6945" max="6945" width="8.88671875" style="101" customWidth="1"/>
    <col min="6946" max="6946" width="1.5546875" style="101" customWidth="1"/>
    <col min="6947" max="6947" width="13.44140625" style="101" customWidth="1"/>
    <col min="6948" max="6948" width="4" style="101" customWidth="1"/>
    <col min="6949" max="6949" width="8" style="101" customWidth="1"/>
    <col min="6950" max="6950" width="2.6640625" style="101" customWidth="1"/>
    <col min="6951" max="6951" width="10.44140625" style="101" customWidth="1"/>
    <col min="6952" max="6952" width="11" style="101" bestFit="1" customWidth="1"/>
    <col min="6953" max="6953" width="13.5546875" style="101" customWidth="1"/>
    <col min="6954" max="6954" width="11" style="101" bestFit="1" customWidth="1"/>
    <col min="6955" max="6955" width="9.33203125" style="101" bestFit="1" customWidth="1"/>
    <col min="6956" max="6956" width="11" style="101" bestFit="1" customWidth="1"/>
    <col min="6957" max="7188" width="9.109375" style="101"/>
    <col min="7189" max="7189" width="9.6640625" style="101" customWidth="1"/>
    <col min="7190" max="7190" width="12.44140625" style="101" customWidth="1"/>
    <col min="7191" max="7191" width="10.5546875" style="101" customWidth="1"/>
    <col min="7192" max="7192" width="6.44140625" style="101" bestFit="1" customWidth="1"/>
    <col min="7193" max="7193" width="8.88671875" style="101" customWidth="1"/>
    <col min="7194" max="7194" width="1.5546875" style="101" customWidth="1"/>
    <col min="7195" max="7195" width="10.5546875" style="101" customWidth="1"/>
    <col min="7196" max="7196" width="2.6640625" style="101" customWidth="1"/>
    <col min="7197" max="7197" width="9.6640625" style="101" customWidth="1"/>
    <col min="7198" max="7198" width="14.6640625" style="101" customWidth="1"/>
    <col min="7199" max="7199" width="10.5546875" style="101" customWidth="1"/>
    <col min="7200" max="7200" width="6.44140625" style="101" customWidth="1"/>
    <col min="7201" max="7201" width="8.88671875" style="101" customWidth="1"/>
    <col min="7202" max="7202" width="1.5546875" style="101" customWidth="1"/>
    <col min="7203" max="7203" width="13.44140625" style="101" customWidth="1"/>
    <col min="7204" max="7204" width="4" style="101" customWidth="1"/>
    <col min="7205" max="7205" width="8" style="101" customWidth="1"/>
    <col min="7206" max="7206" width="2.6640625" style="101" customWidth="1"/>
    <col min="7207" max="7207" width="10.44140625" style="101" customWidth="1"/>
    <col min="7208" max="7208" width="11" style="101" bestFit="1" customWidth="1"/>
    <col min="7209" max="7209" width="13.5546875" style="101" customWidth="1"/>
    <col min="7210" max="7210" width="11" style="101" bestFit="1" customWidth="1"/>
    <col min="7211" max="7211" width="9.33203125" style="101" bestFit="1" customWidth="1"/>
    <col min="7212" max="7212" width="11" style="101" bestFit="1" customWidth="1"/>
    <col min="7213" max="7444" width="9.109375" style="101"/>
    <col min="7445" max="7445" width="9.6640625" style="101" customWidth="1"/>
    <col min="7446" max="7446" width="12.44140625" style="101" customWidth="1"/>
    <col min="7447" max="7447" width="10.5546875" style="101" customWidth="1"/>
    <col min="7448" max="7448" width="6.44140625" style="101" bestFit="1" customWidth="1"/>
    <col min="7449" max="7449" width="8.88671875" style="101" customWidth="1"/>
    <col min="7450" max="7450" width="1.5546875" style="101" customWidth="1"/>
    <col min="7451" max="7451" width="10.5546875" style="101" customWidth="1"/>
    <col min="7452" max="7452" width="2.6640625" style="101" customWidth="1"/>
    <col min="7453" max="7453" width="9.6640625" style="101" customWidth="1"/>
    <col min="7454" max="7454" width="14.6640625" style="101" customWidth="1"/>
    <col min="7455" max="7455" width="10.5546875" style="101" customWidth="1"/>
    <col min="7456" max="7456" width="6.44140625" style="101" customWidth="1"/>
    <col min="7457" max="7457" width="8.88671875" style="101" customWidth="1"/>
    <col min="7458" max="7458" width="1.5546875" style="101" customWidth="1"/>
    <col min="7459" max="7459" width="13.44140625" style="101" customWidth="1"/>
    <col min="7460" max="7460" width="4" style="101" customWidth="1"/>
    <col min="7461" max="7461" width="8" style="101" customWidth="1"/>
    <col min="7462" max="7462" width="2.6640625" style="101" customWidth="1"/>
    <col min="7463" max="7463" width="10.44140625" style="101" customWidth="1"/>
    <col min="7464" max="7464" width="11" style="101" bestFit="1" customWidth="1"/>
    <col min="7465" max="7465" width="13.5546875" style="101" customWidth="1"/>
    <col min="7466" max="7466" width="11" style="101" bestFit="1" customWidth="1"/>
    <col min="7467" max="7467" width="9.33203125" style="101" bestFit="1" customWidth="1"/>
    <col min="7468" max="7468" width="11" style="101" bestFit="1" customWidth="1"/>
    <col min="7469" max="7700" width="9.109375" style="101"/>
    <col min="7701" max="7701" width="9.6640625" style="101" customWidth="1"/>
    <col min="7702" max="7702" width="12.44140625" style="101" customWidth="1"/>
    <col min="7703" max="7703" width="10.5546875" style="101" customWidth="1"/>
    <col min="7704" max="7704" width="6.44140625" style="101" bestFit="1" customWidth="1"/>
    <col min="7705" max="7705" width="8.88671875" style="101" customWidth="1"/>
    <col min="7706" max="7706" width="1.5546875" style="101" customWidth="1"/>
    <col min="7707" max="7707" width="10.5546875" style="101" customWidth="1"/>
    <col min="7708" max="7708" width="2.6640625" style="101" customWidth="1"/>
    <col min="7709" max="7709" width="9.6640625" style="101" customWidth="1"/>
    <col min="7710" max="7710" width="14.6640625" style="101" customWidth="1"/>
    <col min="7711" max="7711" width="10.5546875" style="101" customWidth="1"/>
    <col min="7712" max="7712" width="6.44140625" style="101" customWidth="1"/>
    <col min="7713" max="7713" width="8.88671875" style="101" customWidth="1"/>
    <col min="7714" max="7714" width="1.5546875" style="101" customWidth="1"/>
    <col min="7715" max="7715" width="13.44140625" style="101" customWidth="1"/>
    <col min="7716" max="7716" width="4" style="101" customWidth="1"/>
    <col min="7717" max="7717" width="8" style="101" customWidth="1"/>
    <col min="7718" max="7718" width="2.6640625" style="101" customWidth="1"/>
    <col min="7719" max="7719" width="10.44140625" style="101" customWidth="1"/>
    <col min="7720" max="7720" width="11" style="101" bestFit="1" customWidth="1"/>
    <col min="7721" max="7721" width="13.5546875" style="101" customWidth="1"/>
    <col min="7722" max="7722" width="11" style="101" bestFit="1" customWidth="1"/>
    <col min="7723" max="7723" width="9.33203125" style="101" bestFit="1" customWidth="1"/>
    <col min="7724" max="7724" width="11" style="101" bestFit="1" customWidth="1"/>
    <col min="7725" max="7956" width="9.109375" style="101"/>
    <col min="7957" max="7957" width="9.6640625" style="101" customWidth="1"/>
    <col min="7958" max="7958" width="12.44140625" style="101" customWidth="1"/>
    <col min="7959" max="7959" width="10.5546875" style="101" customWidth="1"/>
    <col min="7960" max="7960" width="6.44140625" style="101" bestFit="1" customWidth="1"/>
    <col min="7961" max="7961" width="8.88671875" style="101" customWidth="1"/>
    <col min="7962" max="7962" width="1.5546875" style="101" customWidth="1"/>
    <col min="7963" max="7963" width="10.5546875" style="101" customWidth="1"/>
    <col min="7964" max="7964" width="2.6640625" style="101" customWidth="1"/>
    <col min="7965" max="7965" width="9.6640625" style="101" customWidth="1"/>
    <col min="7966" max="7966" width="14.6640625" style="101" customWidth="1"/>
    <col min="7967" max="7967" width="10.5546875" style="101" customWidth="1"/>
    <col min="7968" max="7968" width="6.44140625" style="101" customWidth="1"/>
    <col min="7969" max="7969" width="8.88671875" style="101" customWidth="1"/>
    <col min="7970" max="7970" width="1.5546875" style="101" customWidth="1"/>
    <col min="7971" max="7971" width="13.44140625" style="101" customWidth="1"/>
    <col min="7972" max="7972" width="4" style="101" customWidth="1"/>
    <col min="7973" max="7973" width="8" style="101" customWidth="1"/>
    <col min="7974" max="7974" width="2.6640625" style="101" customWidth="1"/>
    <col min="7975" max="7975" width="10.44140625" style="101" customWidth="1"/>
    <col min="7976" max="7976" width="11" style="101" bestFit="1" customWidth="1"/>
    <col min="7977" max="7977" width="13.5546875" style="101" customWidth="1"/>
    <col min="7978" max="7978" width="11" style="101" bestFit="1" customWidth="1"/>
    <col min="7979" max="7979" width="9.33203125" style="101" bestFit="1" customWidth="1"/>
    <col min="7980" max="7980" width="11" style="101" bestFit="1" customWidth="1"/>
    <col min="7981" max="8212" width="9.109375" style="101"/>
    <col min="8213" max="8213" width="9.6640625" style="101" customWidth="1"/>
    <col min="8214" max="8214" width="12.44140625" style="101" customWidth="1"/>
    <col min="8215" max="8215" width="10.5546875" style="101" customWidth="1"/>
    <col min="8216" max="8216" width="6.44140625" style="101" bestFit="1" customWidth="1"/>
    <col min="8217" max="8217" width="8.88671875" style="101" customWidth="1"/>
    <col min="8218" max="8218" width="1.5546875" style="101" customWidth="1"/>
    <col min="8219" max="8219" width="10.5546875" style="101" customWidth="1"/>
    <col min="8220" max="8220" width="2.6640625" style="101" customWidth="1"/>
    <col min="8221" max="8221" width="9.6640625" style="101" customWidth="1"/>
    <col min="8222" max="8222" width="14.6640625" style="101" customWidth="1"/>
    <col min="8223" max="8223" width="10.5546875" style="101" customWidth="1"/>
    <col min="8224" max="8224" width="6.44140625" style="101" customWidth="1"/>
    <col min="8225" max="8225" width="8.88671875" style="101" customWidth="1"/>
    <col min="8226" max="8226" width="1.5546875" style="101" customWidth="1"/>
    <col min="8227" max="8227" width="13.44140625" style="101" customWidth="1"/>
    <col min="8228" max="8228" width="4" style="101" customWidth="1"/>
    <col min="8229" max="8229" width="8" style="101" customWidth="1"/>
    <col min="8230" max="8230" width="2.6640625" style="101" customWidth="1"/>
    <col min="8231" max="8231" width="10.44140625" style="101" customWidth="1"/>
    <col min="8232" max="8232" width="11" style="101" bestFit="1" customWidth="1"/>
    <col min="8233" max="8233" width="13.5546875" style="101" customWidth="1"/>
    <col min="8234" max="8234" width="11" style="101" bestFit="1" customWidth="1"/>
    <col min="8235" max="8235" width="9.33203125" style="101" bestFit="1" customWidth="1"/>
    <col min="8236" max="8236" width="11" style="101" bestFit="1" customWidth="1"/>
    <col min="8237" max="8468" width="9.109375" style="101"/>
    <col min="8469" max="8469" width="9.6640625" style="101" customWidth="1"/>
    <col min="8470" max="8470" width="12.44140625" style="101" customWidth="1"/>
    <col min="8471" max="8471" width="10.5546875" style="101" customWidth="1"/>
    <col min="8472" max="8472" width="6.44140625" style="101" bestFit="1" customWidth="1"/>
    <col min="8473" max="8473" width="8.88671875" style="101" customWidth="1"/>
    <col min="8474" max="8474" width="1.5546875" style="101" customWidth="1"/>
    <col min="8475" max="8475" width="10.5546875" style="101" customWidth="1"/>
    <col min="8476" max="8476" width="2.6640625" style="101" customWidth="1"/>
    <col min="8477" max="8477" width="9.6640625" style="101" customWidth="1"/>
    <col min="8478" max="8478" width="14.6640625" style="101" customWidth="1"/>
    <col min="8479" max="8479" width="10.5546875" style="101" customWidth="1"/>
    <col min="8480" max="8480" width="6.44140625" style="101" customWidth="1"/>
    <col min="8481" max="8481" width="8.88671875" style="101" customWidth="1"/>
    <col min="8482" max="8482" width="1.5546875" style="101" customWidth="1"/>
    <col min="8483" max="8483" width="13.44140625" style="101" customWidth="1"/>
    <col min="8484" max="8484" width="4" style="101" customWidth="1"/>
    <col min="8485" max="8485" width="8" style="101" customWidth="1"/>
    <col min="8486" max="8486" width="2.6640625" style="101" customWidth="1"/>
    <col min="8487" max="8487" width="10.44140625" style="101" customWidth="1"/>
    <col min="8488" max="8488" width="11" style="101" bestFit="1" customWidth="1"/>
    <col min="8489" max="8489" width="13.5546875" style="101" customWidth="1"/>
    <col min="8490" max="8490" width="11" style="101" bestFit="1" customWidth="1"/>
    <col min="8491" max="8491" width="9.33203125" style="101" bestFit="1" customWidth="1"/>
    <col min="8492" max="8492" width="11" style="101" bestFit="1" customWidth="1"/>
    <col min="8493" max="8724" width="9.109375" style="101"/>
    <col min="8725" max="8725" width="9.6640625" style="101" customWidth="1"/>
    <col min="8726" max="8726" width="12.44140625" style="101" customWidth="1"/>
    <col min="8727" max="8727" width="10.5546875" style="101" customWidth="1"/>
    <col min="8728" max="8728" width="6.44140625" style="101" bestFit="1" customWidth="1"/>
    <col min="8729" max="8729" width="8.88671875" style="101" customWidth="1"/>
    <col min="8730" max="8730" width="1.5546875" style="101" customWidth="1"/>
    <col min="8731" max="8731" width="10.5546875" style="101" customWidth="1"/>
    <col min="8732" max="8732" width="2.6640625" style="101" customWidth="1"/>
    <col min="8733" max="8733" width="9.6640625" style="101" customWidth="1"/>
    <col min="8734" max="8734" width="14.6640625" style="101" customWidth="1"/>
    <col min="8735" max="8735" width="10.5546875" style="101" customWidth="1"/>
    <col min="8736" max="8736" width="6.44140625" style="101" customWidth="1"/>
    <col min="8737" max="8737" width="8.88671875" style="101" customWidth="1"/>
    <col min="8738" max="8738" width="1.5546875" style="101" customWidth="1"/>
    <col min="8739" max="8739" width="13.44140625" style="101" customWidth="1"/>
    <col min="8740" max="8740" width="4" style="101" customWidth="1"/>
    <col min="8741" max="8741" width="8" style="101" customWidth="1"/>
    <col min="8742" max="8742" width="2.6640625" style="101" customWidth="1"/>
    <col min="8743" max="8743" width="10.44140625" style="101" customWidth="1"/>
    <col min="8744" max="8744" width="11" style="101" bestFit="1" customWidth="1"/>
    <col min="8745" max="8745" width="13.5546875" style="101" customWidth="1"/>
    <col min="8746" max="8746" width="11" style="101" bestFit="1" customWidth="1"/>
    <col min="8747" max="8747" width="9.33203125" style="101" bestFit="1" customWidth="1"/>
    <col min="8748" max="8748" width="11" style="101" bestFit="1" customWidth="1"/>
    <col min="8749" max="8980" width="9.109375" style="101"/>
    <col min="8981" max="8981" width="9.6640625" style="101" customWidth="1"/>
    <col min="8982" max="8982" width="12.44140625" style="101" customWidth="1"/>
    <col min="8983" max="8983" width="10.5546875" style="101" customWidth="1"/>
    <col min="8984" max="8984" width="6.44140625" style="101" bestFit="1" customWidth="1"/>
    <col min="8985" max="8985" width="8.88671875" style="101" customWidth="1"/>
    <col min="8986" max="8986" width="1.5546875" style="101" customWidth="1"/>
    <col min="8987" max="8987" width="10.5546875" style="101" customWidth="1"/>
    <col min="8988" max="8988" width="2.6640625" style="101" customWidth="1"/>
    <col min="8989" max="8989" width="9.6640625" style="101" customWidth="1"/>
    <col min="8990" max="8990" width="14.6640625" style="101" customWidth="1"/>
    <col min="8991" max="8991" width="10.5546875" style="101" customWidth="1"/>
    <col min="8992" max="8992" width="6.44140625" style="101" customWidth="1"/>
    <col min="8993" max="8993" width="8.88671875" style="101" customWidth="1"/>
    <col min="8994" max="8994" width="1.5546875" style="101" customWidth="1"/>
    <col min="8995" max="8995" width="13.44140625" style="101" customWidth="1"/>
    <col min="8996" max="8996" width="4" style="101" customWidth="1"/>
    <col min="8997" max="8997" width="8" style="101" customWidth="1"/>
    <col min="8998" max="8998" width="2.6640625" style="101" customWidth="1"/>
    <col min="8999" max="8999" width="10.44140625" style="101" customWidth="1"/>
    <col min="9000" max="9000" width="11" style="101" bestFit="1" customWidth="1"/>
    <col min="9001" max="9001" width="13.5546875" style="101" customWidth="1"/>
    <col min="9002" max="9002" width="11" style="101" bestFit="1" customWidth="1"/>
    <col min="9003" max="9003" width="9.33203125" style="101" bestFit="1" customWidth="1"/>
    <col min="9004" max="9004" width="11" style="101" bestFit="1" customWidth="1"/>
    <col min="9005" max="9236" width="9.109375" style="101"/>
    <col min="9237" max="9237" width="9.6640625" style="101" customWidth="1"/>
    <col min="9238" max="9238" width="12.44140625" style="101" customWidth="1"/>
    <col min="9239" max="9239" width="10.5546875" style="101" customWidth="1"/>
    <col min="9240" max="9240" width="6.44140625" style="101" bestFit="1" customWidth="1"/>
    <col min="9241" max="9241" width="8.88671875" style="101" customWidth="1"/>
    <col min="9242" max="9242" width="1.5546875" style="101" customWidth="1"/>
    <col min="9243" max="9243" width="10.5546875" style="101" customWidth="1"/>
    <col min="9244" max="9244" width="2.6640625" style="101" customWidth="1"/>
    <col min="9245" max="9245" width="9.6640625" style="101" customWidth="1"/>
    <col min="9246" max="9246" width="14.6640625" style="101" customWidth="1"/>
    <col min="9247" max="9247" width="10.5546875" style="101" customWidth="1"/>
    <col min="9248" max="9248" width="6.44140625" style="101" customWidth="1"/>
    <col min="9249" max="9249" width="8.88671875" style="101" customWidth="1"/>
    <col min="9250" max="9250" width="1.5546875" style="101" customWidth="1"/>
    <col min="9251" max="9251" width="13.44140625" style="101" customWidth="1"/>
    <col min="9252" max="9252" width="4" style="101" customWidth="1"/>
    <col min="9253" max="9253" width="8" style="101" customWidth="1"/>
    <col min="9254" max="9254" width="2.6640625" style="101" customWidth="1"/>
    <col min="9255" max="9255" width="10.44140625" style="101" customWidth="1"/>
    <col min="9256" max="9256" width="11" style="101" bestFit="1" customWidth="1"/>
    <col min="9257" max="9257" width="13.5546875" style="101" customWidth="1"/>
    <col min="9258" max="9258" width="11" style="101" bestFit="1" customWidth="1"/>
    <col min="9259" max="9259" width="9.33203125" style="101" bestFit="1" customWidth="1"/>
    <col min="9260" max="9260" width="11" style="101" bestFit="1" customWidth="1"/>
    <col min="9261" max="9492" width="9.109375" style="101"/>
    <col min="9493" max="9493" width="9.6640625" style="101" customWidth="1"/>
    <col min="9494" max="9494" width="12.44140625" style="101" customWidth="1"/>
    <col min="9495" max="9495" width="10.5546875" style="101" customWidth="1"/>
    <col min="9496" max="9496" width="6.44140625" style="101" bestFit="1" customWidth="1"/>
    <col min="9497" max="9497" width="8.88671875" style="101" customWidth="1"/>
    <col min="9498" max="9498" width="1.5546875" style="101" customWidth="1"/>
    <col min="9499" max="9499" width="10.5546875" style="101" customWidth="1"/>
    <col min="9500" max="9500" width="2.6640625" style="101" customWidth="1"/>
    <col min="9501" max="9501" width="9.6640625" style="101" customWidth="1"/>
    <col min="9502" max="9502" width="14.6640625" style="101" customWidth="1"/>
    <col min="9503" max="9503" width="10.5546875" style="101" customWidth="1"/>
    <col min="9504" max="9504" width="6.44140625" style="101" customWidth="1"/>
    <col min="9505" max="9505" width="8.88671875" style="101" customWidth="1"/>
    <col min="9506" max="9506" width="1.5546875" style="101" customWidth="1"/>
    <col min="9507" max="9507" width="13.44140625" style="101" customWidth="1"/>
    <col min="9508" max="9508" width="4" style="101" customWidth="1"/>
    <col min="9509" max="9509" width="8" style="101" customWidth="1"/>
    <col min="9510" max="9510" width="2.6640625" style="101" customWidth="1"/>
    <col min="9511" max="9511" width="10.44140625" style="101" customWidth="1"/>
    <col min="9512" max="9512" width="11" style="101" bestFit="1" customWidth="1"/>
    <col min="9513" max="9513" width="13.5546875" style="101" customWidth="1"/>
    <col min="9514" max="9514" width="11" style="101" bestFit="1" customWidth="1"/>
    <col min="9515" max="9515" width="9.33203125" style="101" bestFit="1" customWidth="1"/>
    <col min="9516" max="9516" width="11" style="101" bestFit="1" customWidth="1"/>
    <col min="9517" max="9748" width="9.109375" style="101"/>
    <col min="9749" max="9749" width="9.6640625" style="101" customWidth="1"/>
    <col min="9750" max="9750" width="12.44140625" style="101" customWidth="1"/>
    <col min="9751" max="9751" width="10.5546875" style="101" customWidth="1"/>
    <col min="9752" max="9752" width="6.44140625" style="101" bestFit="1" customWidth="1"/>
    <col min="9753" max="9753" width="8.88671875" style="101" customWidth="1"/>
    <col min="9754" max="9754" width="1.5546875" style="101" customWidth="1"/>
    <col min="9755" max="9755" width="10.5546875" style="101" customWidth="1"/>
    <col min="9756" max="9756" width="2.6640625" style="101" customWidth="1"/>
    <col min="9757" max="9757" width="9.6640625" style="101" customWidth="1"/>
    <col min="9758" max="9758" width="14.6640625" style="101" customWidth="1"/>
    <col min="9759" max="9759" width="10.5546875" style="101" customWidth="1"/>
    <col min="9760" max="9760" width="6.44140625" style="101" customWidth="1"/>
    <col min="9761" max="9761" width="8.88671875" style="101" customWidth="1"/>
    <col min="9762" max="9762" width="1.5546875" style="101" customWidth="1"/>
    <col min="9763" max="9763" width="13.44140625" style="101" customWidth="1"/>
    <col min="9764" max="9764" width="4" style="101" customWidth="1"/>
    <col min="9765" max="9765" width="8" style="101" customWidth="1"/>
    <col min="9766" max="9766" width="2.6640625" style="101" customWidth="1"/>
    <col min="9767" max="9767" width="10.44140625" style="101" customWidth="1"/>
    <col min="9768" max="9768" width="11" style="101" bestFit="1" customWidth="1"/>
    <col min="9769" max="9769" width="13.5546875" style="101" customWidth="1"/>
    <col min="9770" max="9770" width="11" style="101" bestFit="1" customWidth="1"/>
    <col min="9771" max="9771" width="9.33203125" style="101" bestFit="1" customWidth="1"/>
    <col min="9772" max="9772" width="11" style="101" bestFit="1" customWidth="1"/>
    <col min="9773" max="10004" width="9.109375" style="101"/>
    <col min="10005" max="10005" width="9.6640625" style="101" customWidth="1"/>
    <col min="10006" max="10006" width="12.44140625" style="101" customWidth="1"/>
    <col min="10007" max="10007" width="10.5546875" style="101" customWidth="1"/>
    <col min="10008" max="10008" width="6.44140625" style="101" bestFit="1" customWidth="1"/>
    <col min="10009" max="10009" width="8.88671875" style="101" customWidth="1"/>
    <col min="10010" max="10010" width="1.5546875" style="101" customWidth="1"/>
    <col min="10011" max="10011" width="10.5546875" style="101" customWidth="1"/>
    <col min="10012" max="10012" width="2.6640625" style="101" customWidth="1"/>
    <col min="10013" max="10013" width="9.6640625" style="101" customWidth="1"/>
    <col min="10014" max="10014" width="14.6640625" style="101" customWidth="1"/>
    <col min="10015" max="10015" width="10.5546875" style="101" customWidth="1"/>
    <col min="10016" max="10016" width="6.44140625" style="101" customWidth="1"/>
    <col min="10017" max="10017" width="8.88671875" style="101" customWidth="1"/>
    <col min="10018" max="10018" width="1.5546875" style="101" customWidth="1"/>
    <col min="10019" max="10019" width="13.44140625" style="101" customWidth="1"/>
    <col min="10020" max="10020" width="4" style="101" customWidth="1"/>
    <col min="10021" max="10021" width="8" style="101" customWidth="1"/>
    <col min="10022" max="10022" width="2.6640625" style="101" customWidth="1"/>
    <col min="10023" max="10023" width="10.44140625" style="101" customWidth="1"/>
    <col min="10024" max="10024" width="11" style="101" bestFit="1" customWidth="1"/>
    <col min="10025" max="10025" width="13.5546875" style="101" customWidth="1"/>
    <col min="10026" max="10026" width="11" style="101" bestFit="1" customWidth="1"/>
    <col min="10027" max="10027" width="9.33203125" style="101" bestFit="1" customWidth="1"/>
    <col min="10028" max="10028" width="11" style="101" bestFit="1" customWidth="1"/>
    <col min="10029" max="10260" width="9.109375" style="101"/>
    <col min="10261" max="10261" width="9.6640625" style="101" customWidth="1"/>
    <col min="10262" max="10262" width="12.44140625" style="101" customWidth="1"/>
    <col min="10263" max="10263" width="10.5546875" style="101" customWidth="1"/>
    <col min="10264" max="10264" width="6.44140625" style="101" bestFit="1" customWidth="1"/>
    <col min="10265" max="10265" width="8.88671875" style="101" customWidth="1"/>
    <col min="10266" max="10266" width="1.5546875" style="101" customWidth="1"/>
    <col min="10267" max="10267" width="10.5546875" style="101" customWidth="1"/>
    <col min="10268" max="10268" width="2.6640625" style="101" customWidth="1"/>
    <col min="10269" max="10269" width="9.6640625" style="101" customWidth="1"/>
    <col min="10270" max="10270" width="14.6640625" style="101" customWidth="1"/>
    <col min="10271" max="10271" width="10.5546875" style="101" customWidth="1"/>
    <col min="10272" max="10272" width="6.44140625" style="101" customWidth="1"/>
    <col min="10273" max="10273" width="8.88671875" style="101" customWidth="1"/>
    <col min="10274" max="10274" width="1.5546875" style="101" customWidth="1"/>
    <col min="10275" max="10275" width="13.44140625" style="101" customWidth="1"/>
    <col min="10276" max="10276" width="4" style="101" customWidth="1"/>
    <col min="10277" max="10277" width="8" style="101" customWidth="1"/>
    <col min="10278" max="10278" width="2.6640625" style="101" customWidth="1"/>
    <col min="10279" max="10279" width="10.44140625" style="101" customWidth="1"/>
    <col min="10280" max="10280" width="11" style="101" bestFit="1" customWidth="1"/>
    <col min="10281" max="10281" width="13.5546875" style="101" customWidth="1"/>
    <col min="10282" max="10282" width="11" style="101" bestFit="1" customWidth="1"/>
    <col min="10283" max="10283" width="9.33203125" style="101" bestFit="1" customWidth="1"/>
    <col min="10284" max="10284" width="11" style="101" bestFit="1" customWidth="1"/>
    <col min="10285" max="10516" width="9.109375" style="101"/>
    <col min="10517" max="10517" width="9.6640625" style="101" customWidth="1"/>
    <col min="10518" max="10518" width="12.44140625" style="101" customWidth="1"/>
    <col min="10519" max="10519" width="10.5546875" style="101" customWidth="1"/>
    <col min="10520" max="10520" width="6.44140625" style="101" bestFit="1" customWidth="1"/>
    <col min="10521" max="10521" width="8.88671875" style="101" customWidth="1"/>
    <col min="10522" max="10522" width="1.5546875" style="101" customWidth="1"/>
    <col min="10523" max="10523" width="10.5546875" style="101" customWidth="1"/>
    <col min="10524" max="10524" width="2.6640625" style="101" customWidth="1"/>
    <col min="10525" max="10525" width="9.6640625" style="101" customWidth="1"/>
    <col min="10526" max="10526" width="14.6640625" style="101" customWidth="1"/>
    <col min="10527" max="10527" width="10.5546875" style="101" customWidth="1"/>
    <col min="10528" max="10528" width="6.44140625" style="101" customWidth="1"/>
    <col min="10529" max="10529" width="8.88671875" style="101" customWidth="1"/>
    <col min="10530" max="10530" width="1.5546875" style="101" customWidth="1"/>
    <col min="10531" max="10531" width="13.44140625" style="101" customWidth="1"/>
    <col min="10532" max="10532" width="4" style="101" customWidth="1"/>
    <col min="10533" max="10533" width="8" style="101" customWidth="1"/>
    <col min="10534" max="10534" width="2.6640625" style="101" customWidth="1"/>
    <col min="10535" max="10535" width="10.44140625" style="101" customWidth="1"/>
    <col min="10536" max="10536" width="11" style="101" bestFit="1" customWidth="1"/>
    <col min="10537" max="10537" width="13.5546875" style="101" customWidth="1"/>
    <col min="10538" max="10538" width="11" style="101" bestFit="1" customWidth="1"/>
    <col min="10539" max="10539" width="9.33203125" style="101" bestFit="1" customWidth="1"/>
    <col min="10540" max="10540" width="11" style="101" bestFit="1" customWidth="1"/>
    <col min="10541" max="10772" width="9.109375" style="101"/>
    <col min="10773" max="10773" width="9.6640625" style="101" customWidth="1"/>
    <col min="10774" max="10774" width="12.44140625" style="101" customWidth="1"/>
    <col min="10775" max="10775" width="10.5546875" style="101" customWidth="1"/>
    <col min="10776" max="10776" width="6.44140625" style="101" bestFit="1" customWidth="1"/>
    <col min="10777" max="10777" width="8.88671875" style="101" customWidth="1"/>
    <col min="10778" max="10778" width="1.5546875" style="101" customWidth="1"/>
    <col min="10779" max="10779" width="10.5546875" style="101" customWidth="1"/>
    <col min="10780" max="10780" width="2.6640625" style="101" customWidth="1"/>
    <col min="10781" max="10781" width="9.6640625" style="101" customWidth="1"/>
    <col min="10782" max="10782" width="14.6640625" style="101" customWidth="1"/>
    <col min="10783" max="10783" width="10.5546875" style="101" customWidth="1"/>
    <col min="10784" max="10784" width="6.44140625" style="101" customWidth="1"/>
    <col min="10785" max="10785" width="8.88671875" style="101" customWidth="1"/>
    <col min="10786" max="10786" width="1.5546875" style="101" customWidth="1"/>
    <col min="10787" max="10787" width="13.44140625" style="101" customWidth="1"/>
    <col min="10788" max="10788" width="4" style="101" customWidth="1"/>
    <col min="10789" max="10789" width="8" style="101" customWidth="1"/>
    <col min="10790" max="10790" width="2.6640625" style="101" customWidth="1"/>
    <col min="10791" max="10791" width="10.44140625" style="101" customWidth="1"/>
    <col min="10792" max="10792" width="11" style="101" bestFit="1" customWidth="1"/>
    <col min="10793" max="10793" width="13.5546875" style="101" customWidth="1"/>
    <col min="10794" max="10794" width="11" style="101" bestFit="1" customWidth="1"/>
    <col min="10795" max="10795" width="9.33203125" style="101" bestFit="1" customWidth="1"/>
    <col min="10796" max="10796" width="11" style="101" bestFit="1" customWidth="1"/>
    <col min="10797" max="11028" width="9.109375" style="101"/>
    <col min="11029" max="11029" width="9.6640625" style="101" customWidth="1"/>
    <col min="11030" max="11030" width="12.44140625" style="101" customWidth="1"/>
    <col min="11031" max="11031" width="10.5546875" style="101" customWidth="1"/>
    <col min="11032" max="11032" width="6.44140625" style="101" bestFit="1" customWidth="1"/>
    <col min="11033" max="11033" width="8.88671875" style="101" customWidth="1"/>
    <col min="11034" max="11034" width="1.5546875" style="101" customWidth="1"/>
    <col min="11035" max="11035" width="10.5546875" style="101" customWidth="1"/>
    <col min="11036" max="11036" width="2.6640625" style="101" customWidth="1"/>
    <col min="11037" max="11037" width="9.6640625" style="101" customWidth="1"/>
    <col min="11038" max="11038" width="14.6640625" style="101" customWidth="1"/>
    <col min="11039" max="11039" width="10.5546875" style="101" customWidth="1"/>
    <col min="11040" max="11040" width="6.44140625" style="101" customWidth="1"/>
    <col min="11041" max="11041" width="8.88671875" style="101" customWidth="1"/>
    <col min="11042" max="11042" width="1.5546875" style="101" customWidth="1"/>
    <col min="11043" max="11043" width="13.44140625" style="101" customWidth="1"/>
    <col min="11044" max="11044" width="4" style="101" customWidth="1"/>
    <col min="11045" max="11045" width="8" style="101" customWidth="1"/>
    <col min="11046" max="11046" width="2.6640625" style="101" customWidth="1"/>
    <col min="11047" max="11047" width="10.44140625" style="101" customWidth="1"/>
    <col min="11048" max="11048" width="11" style="101" bestFit="1" customWidth="1"/>
    <col min="11049" max="11049" width="13.5546875" style="101" customWidth="1"/>
    <col min="11050" max="11050" width="11" style="101" bestFit="1" customWidth="1"/>
    <col min="11051" max="11051" width="9.33203125" style="101" bestFit="1" customWidth="1"/>
    <col min="11052" max="11052" width="11" style="101" bestFit="1" customWidth="1"/>
    <col min="11053" max="11284" width="9.109375" style="101"/>
    <col min="11285" max="11285" width="9.6640625" style="101" customWidth="1"/>
    <col min="11286" max="11286" width="12.44140625" style="101" customWidth="1"/>
    <col min="11287" max="11287" width="10.5546875" style="101" customWidth="1"/>
    <col min="11288" max="11288" width="6.44140625" style="101" bestFit="1" customWidth="1"/>
    <col min="11289" max="11289" width="8.88671875" style="101" customWidth="1"/>
    <col min="11290" max="11290" width="1.5546875" style="101" customWidth="1"/>
    <col min="11291" max="11291" width="10.5546875" style="101" customWidth="1"/>
    <col min="11292" max="11292" width="2.6640625" style="101" customWidth="1"/>
    <col min="11293" max="11293" width="9.6640625" style="101" customWidth="1"/>
    <col min="11294" max="11294" width="14.6640625" style="101" customWidth="1"/>
    <col min="11295" max="11295" width="10.5546875" style="101" customWidth="1"/>
    <col min="11296" max="11296" width="6.44140625" style="101" customWidth="1"/>
    <col min="11297" max="11297" width="8.88671875" style="101" customWidth="1"/>
    <col min="11298" max="11298" width="1.5546875" style="101" customWidth="1"/>
    <col min="11299" max="11299" width="13.44140625" style="101" customWidth="1"/>
    <col min="11300" max="11300" width="4" style="101" customWidth="1"/>
    <col min="11301" max="11301" width="8" style="101" customWidth="1"/>
    <col min="11302" max="11302" width="2.6640625" style="101" customWidth="1"/>
    <col min="11303" max="11303" width="10.44140625" style="101" customWidth="1"/>
    <col min="11304" max="11304" width="11" style="101" bestFit="1" customWidth="1"/>
    <col min="11305" max="11305" width="13.5546875" style="101" customWidth="1"/>
    <col min="11306" max="11306" width="11" style="101" bestFit="1" customWidth="1"/>
    <col min="11307" max="11307" width="9.33203125" style="101" bestFit="1" customWidth="1"/>
    <col min="11308" max="11308" width="11" style="101" bestFit="1" customWidth="1"/>
    <col min="11309" max="11540" width="9.109375" style="101"/>
    <col min="11541" max="11541" width="9.6640625" style="101" customWidth="1"/>
    <col min="11542" max="11542" width="12.44140625" style="101" customWidth="1"/>
    <col min="11543" max="11543" width="10.5546875" style="101" customWidth="1"/>
    <col min="11544" max="11544" width="6.44140625" style="101" bestFit="1" customWidth="1"/>
    <col min="11545" max="11545" width="8.88671875" style="101" customWidth="1"/>
    <col min="11546" max="11546" width="1.5546875" style="101" customWidth="1"/>
    <col min="11547" max="11547" width="10.5546875" style="101" customWidth="1"/>
    <col min="11548" max="11548" width="2.6640625" style="101" customWidth="1"/>
    <col min="11549" max="11549" width="9.6640625" style="101" customWidth="1"/>
    <col min="11550" max="11550" width="14.6640625" style="101" customWidth="1"/>
    <col min="11551" max="11551" width="10.5546875" style="101" customWidth="1"/>
    <col min="11552" max="11552" width="6.44140625" style="101" customWidth="1"/>
    <col min="11553" max="11553" width="8.88671875" style="101" customWidth="1"/>
    <col min="11554" max="11554" width="1.5546875" style="101" customWidth="1"/>
    <col min="11555" max="11555" width="13.44140625" style="101" customWidth="1"/>
    <col min="11556" max="11556" width="4" style="101" customWidth="1"/>
    <col min="11557" max="11557" width="8" style="101" customWidth="1"/>
    <col min="11558" max="11558" width="2.6640625" style="101" customWidth="1"/>
    <col min="11559" max="11559" width="10.44140625" style="101" customWidth="1"/>
    <col min="11560" max="11560" width="11" style="101" bestFit="1" customWidth="1"/>
    <col min="11561" max="11561" width="13.5546875" style="101" customWidth="1"/>
    <col min="11562" max="11562" width="11" style="101" bestFit="1" customWidth="1"/>
    <col min="11563" max="11563" width="9.33203125" style="101" bestFit="1" customWidth="1"/>
    <col min="11564" max="11564" width="11" style="101" bestFit="1" customWidth="1"/>
    <col min="11565" max="11796" width="9.109375" style="101"/>
    <col min="11797" max="11797" width="9.6640625" style="101" customWidth="1"/>
    <col min="11798" max="11798" width="12.44140625" style="101" customWidth="1"/>
    <col min="11799" max="11799" width="10.5546875" style="101" customWidth="1"/>
    <col min="11800" max="11800" width="6.44140625" style="101" bestFit="1" customWidth="1"/>
    <col min="11801" max="11801" width="8.88671875" style="101" customWidth="1"/>
    <col min="11802" max="11802" width="1.5546875" style="101" customWidth="1"/>
    <col min="11803" max="11803" width="10.5546875" style="101" customWidth="1"/>
    <col min="11804" max="11804" width="2.6640625" style="101" customWidth="1"/>
    <col min="11805" max="11805" width="9.6640625" style="101" customWidth="1"/>
    <col min="11806" max="11806" width="14.6640625" style="101" customWidth="1"/>
    <col min="11807" max="11807" width="10.5546875" style="101" customWidth="1"/>
    <col min="11808" max="11808" width="6.44140625" style="101" customWidth="1"/>
    <col min="11809" max="11809" width="8.88671875" style="101" customWidth="1"/>
    <col min="11810" max="11810" width="1.5546875" style="101" customWidth="1"/>
    <col min="11811" max="11811" width="13.44140625" style="101" customWidth="1"/>
    <col min="11812" max="11812" width="4" style="101" customWidth="1"/>
    <col min="11813" max="11813" width="8" style="101" customWidth="1"/>
    <col min="11814" max="11814" width="2.6640625" style="101" customWidth="1"/>
    <col min="11815" max="11815" width="10.44140625" style="101" customWidth="1"/>
    <col min="11816" max="11816" width="11" style="101" bestFit="1" customWidth="1"/>
    <col min="11817" max="11817" width="13.5546875" style="101" customWidth="1"/>
    <col min="11818" max="11818" width="11" style="101" bestFit="1" customWidth="1"/>
    <col min="11819" max="11819" width="9.33203125" style="101" bestFit="1" customWidth="1"/>
    <col min="11820" max="11820" width="11" style="101" bestFit="1" customWidth="1"/>
    <col min="11821" max="12052" width="9.109375" style="101"/>
    <col min="12053" max="12053" width="9.6640625" style="101" customWidth="1"/>
    <col min="12054" max="12054" width="12.44140625" style="101" customWidth="1"/>
    <col min="12055" max="12055" width="10.5546875" style="101" customWidth="1"/>
    <col min="12056" max="12056" width="6.44140625" style="101" bestFit="1" customWidth="1"/>
    <col min="12057" max="12057" width="8.88671875" style="101" customWidth="1"/>
    <col min="12058" max="12058" width="1.5546875" style="101" customWidth="1"/>
    <col min="12059" max="12059" width="10.5546875" style="101" customWidth="1"/>
    <col min="12060" max="12060" width="2.6640625" style="101" customWidth="1"/>
    <col min="12061" max="12061" width="9.6640625" style="101" customWidth="1"/>
    <col min="12062" max="12062" width="14.6640625" style="101" customWidth="1"/>
    <col min="12063" max="12063" width="10.5546875" style="101" customWidth="1"/>
    <col min="12064" max="12064" width="6.44140625" style="101" customWidth="1"/>
    <col min="12065" max="12065" width="8.88671875" style="101" customWidth="1"/>
    <col min="12066" max="12066" width="1.5546875" style="101" customWidth="1"/>
    <col min="12067" max="12067" width="13.44140625" style="101" customWidth="1"/>
    <col min="12068" max="12068" width="4" style="101" customWidth="1"/>
    <col min="12069" max="12069" width="8" style="101" customWidth="1"/>
    <col min="12070" max="12070" width="2.6640625" style="101" customWidth="1"/>
    <col min="12071" max="12071" width="10.44140625" style="101" customWidth="1"/>
    <col min="12072" max="12072" width="11" style="101" bestFit="1" customWidth="1"/>
    <col min="12073" max="12073" width="13.5546875" style="101" customWidth="1"/>
    <col min="12074" max="12074" width="11" style="101" bestFit="1" customWidth="1"/>
    <col min="12075" max="12075" width="9.33203125" style="101" bestFit="1" customWidth="1"/>
    <col min="12076" max="12076" width="11" style="101" bestFit="1" customWidth="1"/>
    <col min="12077" max="12308" width="9.109375" style="101"/>
    <col min="12309" max="12309" width="9.6640625" style="101" customWidth="1"/>
    <col min="12310" max="12310" width="12.44140625" style="101" customWidth="1"/>
    <col min="12311" max="12311" width="10.5546875" style="101" customWidth="1"/>
    <col min="12312" max="12312" width="6.44140625" style="101" bestFit="1" customWidth="1"/>
    <col min="12313" max="12313" width="8.88671875" style="101" customWidth="1"/>
    <col min="12314" max="12314" width="1.5546875" style="101" customWidth="1"/>
    <col min="12315" max="12315" width="10.5546875" style="101" customWidth="1"/>
    <col min="12316" max="12316" width="2.6640625" style="101" customWidth="1"/>
    <col min="12317" max="12317" width="9.6640625" style="101" customWidth="1"/>
    <col min="12318" max="12318" width="14.6640625" style="101" customWidth="1"/>
    <col min="12319" max="12319" width="10.5546875" style="101" customWidth="1"/>
    <col min="12320" max="12320" width="6.44140625" style="101" customWidth="1"/>
    <col min="12321" max="12321" width="8.88671875" style="101" customWidth="1"/>
    <col min="12322" max="12322" width="1.5546875" style="101" customWidth="1"/>
    <col min="12323" max="12323" width="13.44140625" style="101" customWidth="1"/>
    <col min="12324" max="12324" width="4" style="101" customWidth="1"/>
    <col min="12325" max="12325" width="8" style="101" customWidth="1"/>
    <col min="12326" max="12326" width="2.6640625" style="101" customWidth="1"/>
    <col min="12327" max="12327" width="10.44140625" style="101" customWidth="1"/>
    <col min="12328" max="12328" width="11" style="101" bestFit="1" customWidth="1"/>
    <col min="12329" max="12329" width="13.5546875" style="101" customWidth="1"/>
    <col min="12330" max="12330" width="11" style="101" bestFit="1" customWidth="1"/>
    <col min="12331" max="12331" width="9.33203125" style="101" bestFit="1" customWidth="1"/>
    <col min="12332" max="12332" width="11" style="101" bestFit="1" customWidth="1"/>
    <col min="12333" max="12564" width="9.109375" style="101"/>
    <col min="12565" max="12565" width="9.6640625" style="101" customWidth="1"/>
    <col min="12566" max="12566" width="12.44140625" style="101" customWidth="1"/>
    <col min="12567" max="12567" width="10.5546875" style="101" customWidth="1"/>
    <col min="12568" max="12568" width="6.44140625" style="101" bestFit="1" customWidth="1"/>
    <col min="12569" max="12569" width="8.88671875" style="101" customWidth="1"/>
    <col min="12570" max="12570" width="1.5546875" style="101" customWidth="1"/>
    <col min="12571" max="12571" width="10.5546875" style="101" customWidth="1"/>
    <col min="12572" max="12572" width="2.6640625" style="101" customWidth="1"/>
    <col min="12573" max="12573" width="9.6640625" style="101" customWidth="1"/>
    <col min="12574" max="12574" width="14.6640625" style="101" customWidth="1"/>
    <col min="12575" max="12575" width="10.5546875" style="101" customWidth="1"/>
    <col min="12576" max="12576" width="6.44140625" style="101" customWidth="1"/>
    <col min="12577" max="12577" width="8.88671875" style="101" customWidth="1"/>
    <col min="12578" max="12578" width="1.5546875" style="101" customWidth="1"/>
    <col min="12579" max="12579" width="13.44140625" style="101" customWidth="1"/>
    <col min="12580" max="12580" width="4" style="101" customWidth="1"/>
    <col min="12581" max="12581" width="8" style="101" customWidth="1"/>
    <col min="12582" max="12582" width="2.6640625" style="101" customWidth="1"/>
    <col min="12583" max="12583" width="10.44140625" style="101" customWidth="1"/>
    <col min="12584" max="12584" width="11" style="101" bestFit="1" customWidth="1"/>
    <col min="12585" max="12585" width="13.5546875" style="101" customWidth="1"/>
    <col min="12586" max="12586" width="11" style="101" bestFit="1" customWidth="1"/>
    <col min="12587" max="12587" width="9.33203125" style="101" bestFit="1" customWidth="1"/>
    <col min="12588" max="12588" width="11" style="101" bestFit="1" customWidth="1"/>
    <col min="12589" max="12820" width="9.109375" style="101"/>
    <col min="12821" max="12821" width="9.6640625" style="101" customWidth="1"/>
    <col min="12822" max="12822" width="12.44140625" style="101" customWidth="1"/>
    <col min="12823" max="12823" width="10.5546875" style="101" customWidth="1"/>
    <col min="12824" max="12824" width="6.44140625" style="101" bestFit="1" customWidth="1"/>
    <col min="12825" max="12825" width="8.88671875" style="101" customWidth="1"/>
    <col min="12826" max="12826" width="1.5546875" style="101" customWidth="1"/>
    <col min="12827" max="12827" width="10.5546875" style="101" customWidth="1"/>
    <col min="12828" max="12828" width="2.6640625" style="101" customWidth="1"/>
    <col min="12829" max="12829" width="9.6640625" style="101" customWidth="1"/>
    <col min="12830" max="12830" width="14.6640625" style="101" customWidth="1"/>
    <col min="12831" max="12831" width="10.5546875" style="101" customWidth="1"/>
    <col min="12832" max="12832" width="6.44140625" style="101" customWidth="1"/>
    <col min="12833" max="12833" width="8.88671875" style="101" customWidth="1"/>
    <col min="12834" max="12834" width="1.5546875" style="101" customWidth="1"/>
    <col min="12835" max="12835" width="13.44140625" style="101" customWidth="1"/>
    <col min="12836" max="12836" width="4" style="101" customWidth="1"/>
    <col min="12837" max="12837" width="8" style="101" customWidth="1"/>
    <col min="12838" max="12838" width="2.6640625" style="101" customWidth="1"/>
    <col min="12839" max="12839" width="10.44140625" style="101" customWidth="1"/>
    <col min="12840" max="12840" width="11" style="101" bestFit="1" customWidth="1"/>
    <col min="12841" max="12841" width="13.5546875" style="101" customWidth="1"/>
    <col min="12842" max="12842" width="11" style="101" bestFit="1" customWidth="1"/>
    <col min="12843" max="12843" width="9.33203125" style="101" bestFit="1" customWidth="1"/>
    <col min="12844" max="12844" width="11" style="101" bestFit="1" customWidth="1"/>
    <col min="12845" max="13076" width="9.109375" style="101"/>
    <col min="13077" max="13077" width="9.6640625" style="101" customWidth="1"/>
    <col min="13078" max="13078" width="12.44140625" style="101" customWidth="1"/>
    <col min="13079" max="13079" width="10.5546875" style="101" customWidth="1"/>
    <col min="13080" max="13080" width="6.44140625" style="101" bestFit="1" customWidth="1"/>
    <col min="13081" max="13081" width="8.88671875" style="101" customWidth="1"/>
    <col min="13082" max="13082" width="1.5546875" style="101" customWidth="1"/>
    <col min="13083" max="13083" width="10.5546875" style="101" customWidth="1"/>
    <col min="13084" max="13084" width="2.6640625" style="101" customWidth="1"/>
    <col min="13085" max="13085" width="9.6640625" style="101" customWidth="1"/>
    <col min="13086" max="13086" width="14.6640625" style="101" customWidth="1"/>
    <col min="13087" max="13087" width="10.5546875" style="101" customWidth="1"/>
    <col min="13088" max="13088" width="6.44140625" style="101" customWidth="1"/>
    <col min="13089" max="13089" width="8.88671875" style="101" customWidth="1"/>
    <col min="13090" max="13090" width="1.5546875" style="101" customWidth="1"/>
    <col min="13091" max="13091" width="13.44140625" style="101" customWidth="1"/>
    <col min="13092" max="13092" width="4" style="101" customWidth="1"/>
    <col min="13093" max="13093" width="8" style="101" customWidth="1"/>
    <col min="13094" max="13094" width="2.6640625" style="101" customWidth="1"/>
    <col min="13095" max="13095" width="10.44140625" style="101" customWidth="1"/>
    <col min="13096" max="13096" width="11" style="101" bestFit="1" customWidth="1"/>
    <col min="13097" max="13097" width="13.5546875" style="101" customWidth="1"/>
    <col min="13098" max="13098" width="11" style="101" bestFit="1" customWidth="1"/>
    <col min="13099" max="13099" width="9.33203125" style="101" bestFit="1" customWidth="1"/>
    <col min="13100" max="13100" width="11" style="101" bestFit="1" customWidth="1"/>
    <col min="13101" max="13332" width="9.109375" style="101"/>
    <col min="13333" max="13333" width="9.6640625" style="101" customWidth="1"/>
    <col min="13334" max="13334" width="12.44140625" style="101" customWidth="1"/>
    <col min="13335" max="13335" width="10.5546875" style="101" customWidth="1"/>
    <col min="13336" max="13336" width="6.44140625" style="101" bestFit="1" customWidth="1"/>
    <col min="13337" max="13337" width="8.88671875" style="101" customWidth="1"/>
    <col min="13338" max="13338" width="1.5546875" style="101" customWidth="1"/>
    <col min="13339" max="13339" width="10.5546875" style="101" customWidth="1"/>
    <col min="13340" max="13340" width="2.6640625" style="101" customWidth="1"/>
    <col min="13341" max="13341" width="9.6640625" style="101" customWidth="1"/>
    <col min="13342" max="13342" width="14.6640625" style="101" customWidth="1"/>
    <col min="13343" max="13343" width="10.5546875" style="101" customWidth="1"/>
    <col min="13344" max="13344" width="6.44140625" style="101" customWidth="1"/>
    <col min="13345" max="13345" width="8.88671875" style="101" customWidth="1"/>
    <col min="13346" max="13346" width="1.5546875" style="101" customWidth="1"/>
    <col min="13347" max="13347" width="13.44140625" style="101" customWidth="1"/>
    <col min="13348" max="13348" width="4" style="101" customWidth="1"/>
    <col min="13349" max="13349" width="8" style="101" customWidth="1"/>
    <col min="13350" max="13350" width="2.6640625" style="101" customWidth="1"/>
    <col min="13351" max="13351" width="10.44140625" style="101" customWidth="1"/>
    <col min="13352" max="13352" width="11" style="101" bestFit="1" customWidth="1"/>
    <col min="13353" max="13353" width="13.5546875" style="101" customWidth="1"/>
    <col min="13354" max="13354" width="11" style="101" bestFit="1" customWidth="1"/>
    <col min="13355" max="13355" width="9.33203125" style="101" bestFit="1" customWidth="1"/>
    <col min="13356" max="13356" width="11" style="101" bestFit="1" customWidth="1"/>
    <col min="13357" max="13588" width="9.109375" style="101"/>
    <col min="13589" max="13589" width="9.6640625" style="101" customWidth="1"/>
    <col min="13590" max="13590" width="12.44140625" style="101" customWidth="1"/>
    <col min="13591" max="13591" width="10.5546875" style="101" customWidth="1"/>
    <col min="13592" max="13592" width="6.44140625" style="101" bestFit="1" customWidth="1"/>
    <col min="13593" max="13593" width="8.88671875" style="101" customWidth="1"/>
    <col min="13594" max="13594" width="1.5546875" style="101" customWidth="1"/>
    <col min="13595" max="13595" width="10.5546875" style="101" customWidth="1"/>
    <col min="13596" max="13596" width="2.6640625" style="101" customWidth="1"/>
    <col min="13597" max="13597" width="9.6640625" style="101" customWidth="1"/>
    <col min="13598" max="13598" width="14.6640625" style="101" customWidth="1"/>
    <col min="13599" max="13599" width="10.5546875" style="101" customWidth="1"/>
    <col min="13600" max="13600" width="6.44140625" style="101" customWidth="1"/>
    <col min="13601" max="13601" width="8.88671875" style="101" customWidth="1"/>
    <col min="13602" max="13602" width="1.5546875" style="101" customWidth="1"/>
    <col min="13603" max="13603" width="13.44140625" style="101" customWidth="1"/>
    <col min="13604" max="13604" width="4" style="101" customWidth="1"/>
    <col min="13605" max="13605" width="8" style="101" customWidth="1"/>
    <col min="13606" max="13606" width="2.6640625" style="101" customWidth="1"/>
    <col min="13607" max="13607" width="10.44140625" style="101" customWidth="1"/>
    <col min="13608" max="13608" width="11" style="101" bestFit="1" customWidth="1"/>
    <col min="13609" max="13609" width="13.5546875" style="101" customWidth="1"/>
    <col min="13610" max="13610" width="11" style="101" bestFit="1" customWidth="1"/>
    <col min="13611" max="13611" width="9.33203125" style="101" bestFit="1" customWidth="1"/>
    <col min="13612" max="13612" width="11" style="101" bestFit="1" customWidth="1"/>
    <col min="13613" max="13844" width="9.109375" style="101"/>
    <col min="13845" max="13845" width="9.6640625" style="101" customWidth="1"/>
    <col min="13846" max="13846" width="12.44140625" style="101" customWidth="1"/>
    <col min="13847" max="13847" width="10.5546875" style="101" customWidth="1"/>
    <col min="13848" max="13848" width="6.44140625" style="101" bestFit="1" customWidth="1"/>
    <col min="13849" max="13849" width="8.88671875" style="101" customWidth="1"/>
    <col min="13850" max="13850" width="1.5546875" style="101" customWidth="1"/>
    <col min="13851" max="13851" width="10.5546875" style="101" customWidth="1"/>
    <col min="13852" max="13852" width="2.6640625" style="101" customWidth="1"/>
    <col min="13853" max="13853" width="9.6640625" style="101" customWidth="1"/>
    <col min="13854" max="13854" width="14.6640625" style="101" customWidth="1"/>
    <col min="13855" max="13855" width="10.5546875" style="101" customWidth="1"/>
    <col min="13856" max="13856" width="6.44140625" style="101" customWidth="1"/>
    <col min="13857" max="13857" width="8.88671875" style="101" customWidth="1"/>
    <col min="13858" max="13858" width="1.5546875" style="101" customWidth="1"/>
    <col min="13859" max="13859" width="13.44140625" style="101" customWidth="1"/>
    <col min="13860" max="13860" width="4" style="101" customWidth="1"/>
    <col min="13861" max="13861" width="8" style="101" customWidth="1"/>
    <col min="13862" max="13862" width="2.6640625" style="101" customWidth="1"/>
    <col min="13863" max="13863" width="10.44140625" style="101" customWidth="1"/>
    <col min="13864" max="13864" width="11" style="101" bestFit="1" customWidth="1"/>
    <col min="13865" max="13865" width="13.5546875" style="101" customWidth="1"/>
    <col min="13866" max="13866" width="11" style="101" bestFit="1" customWidth="1"/>
    <col min="13867" max="13867" width="9.33203125" style="101" bestFit="1" customWidth="1"/>
    <col min="13868" max="13868" width="11" style="101" bestFit="1" customWidth="1"/>
    <col min="13869" max="14100" width="9.109375" style="101"/>
    <col min="14101" max="14101" width="9.6640625" style="101" customWidth="1"/>
    <col min="14102" max="14102" width="12.44140625" style="101" customWidth="1"/>
    <col min="14103" max="14103" width="10.5546875" style="101" customWidth="1"/>
    <col min="14104" max="14104" width="6.44140625" style="101" bestFit="1" customWidth="1"/>
    <col min="14105" max="14105" width="8.88671875" style="101" customWidth="1"/>
    <col min="14106" max="14106" width="1.5546875" style="101" customWidth="1"/>
    <col min="14107" max="14107" width="10.5546875" style="101" customWidth="1"/>
    <col min="14108" max="14108" width="2.6640625" style="101" customWidth="1"/>
    <col min="14109" max="14109" width="9.6640625" style="101" customWidth="1"/>
    <col min="14110" max="14110" width="14.6640625" style="101" customWidth="1"/>
    <col min="14111" max="14111" width="10.5546875" style="101" customWidth="1"/>
    <col min="14112" max="14112" width="6.44140625" style="101" customWidth="1"/>
    <col min="14113" max="14113" width="8.88671875" style="101" customWidth="1"/>
    <col min="14114" max="14114" width="1.5546875" style="101" customWidth="1"/>
    <col min="14115" max="14115" width="13.44140625" style="101" customWidth="1"/>
    <col min="14116" max="14116" width="4" style="101" customWidth="1"/>
    <col min="14117" max="14117" width="8" style="101" customWidth="1"/>
    <col min="14118" max="14118" width="2.6640625" style="101" customWidth="1"/>
    <col min="14119" max="14119" width="10.44140625" style="101" customWidth="1"/>
    <col min="14120" max="14120" width="11" style="101" bestFit="1" customWidth="1"/>
    <col min="14121" max="14121" width="13.5546875" style="101" customWidth="1"/>
    <col min="14122" max="14122" width="11" style="101" bestFit="1" customWidth="1"/>
    <col min="14123" max="14123" width="9.33203125" style="101" bestFit="1" customWidth="1"/>
    <col min="14124" max="14124" width="11" style="101" bestFit="1" customWidth="1"/>
    <col min="14125" max="14356" width="9.109375" style="101"/>
    <col min="14357" max="14357" width="9.6640625" style="101" customWidth="1"/>
    <col min="14358" max="14358" width="12.44140625" style="101" customWidth="1"/>
    <col min="14359" max="14359" width="10.5546875" style="101" customWidth="1"/>
    <col min="14360" max="14360" width="6.44140625" style="101" bestFit="1" customWidth="1"/>
    <col min="14361" max="14361" width="8.88671875" style="101" customWidth="1"/>
    <col min="14362" max="14362" width="1.5546875" style="101" customWidth="1"/>
    <col min="14363" max="14363" width="10.5546875" style="101" customWidth="1"/>
    <col min="14364" max="14364" width="2.6640625" style="101" customWidth="1"/>
    <col min="14365" max="14365" width="9.6640625" style="101" customWidth="1"/>
    <col min="14366" max="14366" width="14.6640625" style="101" customWidth="1"/>
    <col min="14367" max="14367" width="10.5546875" style="101" customWidth="1"/>
    <col min="14368" max="14368" width="6.44140625" style="101" customWidth="1"/>
    <col min="14369" max="14369" width="8.88671875" style="101" customWidth="1"/>
    <col min="14370" max="14370" width="1.5546875" style="101" customWidth="1"/>
    <col min="14371" max="14371" width="13.44140625" style="101" customWidth="1"/>
    <col min="14372" max="14372" width="4" style="101" customWidth="1"/>
    <col min="14373" max="14373" width="8" style="101" customWidth="1"/>
    <col min="14374" max="14374" width="2.6640625" style="101" customWidth="1"/>
    <col min="14375" max="14375" width="10.44140625" style="101" customWidth="1"/>
    <col min="14376" max="14376" width="11" style="101" bestFit="1" customWidth="1"/>
    <col min="14377" max="14377" width="13.5546875" style="101" customWidth="1"/>
    <col min="14378" max="14378" width="11" style="101" bestFit="1" customWidth="1"/>
    <col min="14379" max="14379" width="9.33203125" style="101" bestFit="1" customWidth="1"/>
    <col min="14380" max="14380" width="11" style="101" bestFit="1" customWidth="1"/>
    <col min="14381" max="14612" width="9.109375" style="101"/>
    <col min="14613" max="14613" width="9.6640625" style="101" customWidth="1"/>
    <col min="14614" max="14614" width="12.44140625" style="101" customWidth="1"/>
    <col min="14615" max="14615" width="10.5546875" style="101" customWidth="1"/>
    <col min="14616" max="14616" width="6.44140625" style="101" bestFit="1" customWidth="1"/>
    <col min="14617" max="14617" width="8.88671875" style="101" customWidth="1"/>
    <col min="14618" max="14618" width="1.5546875" style="101" customWidth="1"/>
    <col min="14619" max="14619" width="10.5546875" style="101" customWidth="1"/>
    <col min="14620" max="14620" width="2.6640625" style="101" customWidth="1"/>
    <col min="14621" max="14621" width="9.6640625" style="101" customWidth="1"/>
    <col min="14622" max="14622" width="14.6640625" style="101" customWidth="1"/>
    <col min="14623" max="14623" width="10.5546875" style="101" customWidth="1"/>
    <col min="14624" max="14624" width="6.44140625" style="101" customWidth="1"/>
    <col min="14625" max="14625" width="8.88671875" style="101" customWidth="1"/>
    <col min="14626" max="14626" width="1.5546875" style="101" customWidth="1"/>
    <col min="14627" max="14627" width="13.44140625" style="101" customWidth="1"/>
    <col min="14628" max="14628" width="4" style="101" customWidth="1"/>
    <col min="14629" max="14629" width="8" style="101" customWidth="1"/>
    <col min="14630" max="14630" width="2.6640625" style="101" customWidth="1"/>
    <col min="14631" max="14631" width="10.44140625" style="101" customWidth="1"/>
    <col min="14632" max="14632" width="11" style="101" bestFit="1" customWidth="1"/>
    <col min="14633" max="14633" width="13.5546875" style="101" customWidth="1"/>
    <col min="14634" max="14634" width="11" style="101" bestFit="1" customWidth="1"/>
    <col min="14635" max="14635" width="9.33203125" style="101" bestFit="1" customWidth="1"/>
    <col min="14636" max="14636" width="11" style="101" bestFit="1" customWidth="1"/>
    <col min="14637" max="14868" width="9.109375" style="101"/>
    <col min="14869" max="14869" width="9.6640625" style="101" customWidth="1"/>
    <col min="14870" max="14870" width="12.44140625" style="101" customWidth="1"/>
    <col min="14871" max="14871" width="10.5546875" style="101" customWidth="1"/>
    <col min="14872" max="14872" width="6.44140625" style="101" bestFit="1" customWidth="1"/>
    <col min="14873" max="14873" width="8.88671875" style="101" customWidth="1"/>
    <col min="14874" max="14874" width="1.5546875" style="101" customWidth="1"/>
    <col min="14875" max="14875" width="10.5546875" style="101" customWidth="1"/>
    <col min="14876" max="14876" width="2.6640625" style="101" customWidth="1"/>
    <col min="14877" max="14877" width="9.6640625" style="101" customWidth="1"/>
    <col min="14878" max="14878" width="14.6640625" style="101" customWidth="1"/>
    <col min="14879" max="14879" width="10.5546875" style="101" customWidth="1"/>
    <col min="14880" max="14880" width="6.44140625" style="101" customWidth="1"/>
    <col min="14881" max="14881" width="8.88671875" style="101" customWidth="1"/>
    <col min="14882" max="14882" width="1.5546875" style="101" customWidth="1"/>
    <col min="14883" max="14883" width="13.44140625" style="101" customWidth="1"/>
    <col min="14884" max="14884" width="4" style="101" customWidth="1"/>
    <col min="14885" max="14885" width="8" style="101" customWidth="1"/>
    <col min="14886" max="14886" width="2.6640625" style="101" customWidth="1"/>
    <col min="14887" max="14887" width="10.44140625" style="101" customWidth="1"/>
    <col min="14888" max="14888" width="11" style="101" bestFit="1" customWidth="1"/>
    <col min="14889" max="14889" width="13.5546875" style="101" customWidth="1"/>
    <col min="14890" max="14890" width="11" style="101" bestFit="1" customWidth="1"/>
    <col min="14891" max="14891" width="9.33203125" style="101" bestFit="1" customWidth="1"/>
    <col min="14892" max="14892" width="11" style="101" bestFit="1" customWidth="1"/>
    <col min="14893" max="15124" width="9.109375" style="101"/>
    <col min="15125" max="15125" width="9.6640625" style="101" customWidth="1"/>
    <col min="15126" max="15126" width="12.44140625" style="101" customWidth="1"/>
    <col min="15127" max="15127" width="10.5546875" style="101" customWidth="1"/>
    <col min="15128" max="15128" width="6.44140625" style="101" bestFit="1" customWidth="1"/>
    <col min="15129" max="15129" width="8.88671875" style="101" customWidth="1"/>
    <col min="15130" max="15130" width="1.5546875" style="101" customWidth="1"/>
    <col min="15131" max="15131" width="10.5546875" style="101" customWidth="1"/>
    <col min="15132" max="15132" width="2.6640625" style="101" customWidth="1"/>
    <col min="15133" max="15133" width="9.6640625" style="101" customWidth="1"/>
    <col min="15134" max="15134" width="14.6640625" style="101" customWidth="1"/>
    <col min="15135" max="15135" width="10.5546875" style="101" customWidth="1"/>
    <col min="15136" max="15136" width="6.44140625" style="101" customWidth="1"/>
    <col min="15137" max="15137" width="8.88671875" style="101" customWidth="1"/>
    <col min="15138" max="15138" width="1.5546875" style="101" customWidth="1"/>
    <col min="15139" max="15139" width="13.44140625" style="101" customWidth="1"/>
    <col min="15140" max="15140" width="4" style="101" customWidth="1"/>
    <col min="15141" max="15141" width="8" style="101" customWidth="1"/>
    <col min="15142" max="15142" width="2.6640625" style="101" customWidth="1"/>
    <col min="15143" max="15143" width="10.44140625" style="101" customWidth="1"/>
    <col min="15144" max="15144" width="11" style="101" bestFit="1" customWidth="1"/>
    <col min="15145" max="15145" width="13.5546875" style="101" customWidth="1"/>
    <col min="15146" max="15146" width="11" style="101" bestFit="1" customWidth="1"/>
    <col min="15147" max="15147" width="9.33203125" style="101" bestFit="1" customWidth="1"/>
    <col min="15148" max="15148" width="11" style="101" bestFit="1" customWidth="1"/>
    <col min="15149" max="15380" width="9.109375" style="101"/>
    <col min="15381" max="15381" width="9.6640625" style="101" customWidth="1"/>
    <col min="15382" max="15382" width="12.44140625" style="101" customWidth="1"/>
    <col min="15383" max="15383" width="10.5546875" style="101" customWidth="1"/>
    <col min="15384" max="15384" width="6.44140625" style="101" bestFit="1" customWidth="1"/>
    <col min="15385" max="15385" width="8.88671875" style="101" customWidth="1"/>
    <col min="15386" max="15386" width="1.5546875" style="101" customWidth="1"/>
    <col min="15387" max="15387" width="10.5546875" style="101" customWidth="1"/>
    <col min="15388" max="15388" width="2.6640625" style="101" customWidth="1"/>
    <col min="15389" max="15389" width="9.6640625" style="101" customWidth="1"/>
    <col min="15390" max="15390" width="14.6640625" style="101" customWidth="1"/>
    <col min="15391" max="15391" width="10.5546875" style="101" customWidth="1"/>
    <col min="15392" max="15392" width="6.44140625" style="101" customWidth="1"/>
    <col min="15393" max="15393" width="8.88671875" style="101" customWidth="1"/>
    <col min="15394" max="15394" width="1.5546875" style="101" customWidth="1"/>
    <col min="15395" max="15395" width="13.44140625" style="101" customWidth="1"/>
    <col min="15396" max="15396" width="4" style="101" customWidth="1"/>
    <col min="15397" max="15397" width="8" style="101" customWidth="1"/>
    <col min="15398" max="15398" width="2.6640625" style="101" customWidth="1"/>
    <col min="15399" max="15399" width="10.44140625" style="101" customWidth="1"/>
    <col min="15400" max="15400" width="11" style="101" bestFit="1" customWidth="1"/>
    <col min="15401" max="15401" width="13.5546875" style="101" customWidth="1"/>
    <col min="15402" max="15402" width="11" style="101" bestFit="1" customWidth="1"/>
    <col min="15403" max="15403" width="9.33203125" style="101" bestFit="1" customWidth="1"/>
    <col min="15404" max="15404" width="11" style="101" bestFit="1" customWidth="1"/>
    <col min="15405" max="15636" width="9.109375" style="101"/>
    <col min="15637" max="15637" width="9.6640625" style="101" customWidth="1"/>
    <col min="15638" max="15638" width="12.44140625" style="101" customWidth="1"/>
    <col min="15639" max="15639" width="10.5546875" style="101" customWidth="1"/>
    <col min="15640" max="15640" width="6.44140625" style="101" bestFit="1" customWidth="1"/>
    <col min="15641" max="15641" width="8.88671875" style="101" customWidth="1"/>
    <col min="15642" max="15642" width="1.5546875" style="101" customWidth="1"/>
    <col min="15643" max="15643" width="10.5546875" style="101" customWidth="1"/>
    <col min="15644" max="15644" width="2.6640625" style="101" customWidth="1"/>
    <col min="15645" max="15645" width="9.6640625" style="101" customWidth="1"/>
    <col min="15646" max="15646" width="14.6640625" style="101" customWidth="1"/>
    <col min="15647" max="15647" width="10.5546875" style="101" customWidth="1"/>
    <col min="15648" max="15648" width="6.44140625" style="101" customWidth="1"/>
    <col min="15649" max="15649" width="8.88671875" style="101" customWidth="1"/>
    <col min="15650" max="15650" width="1.5546875" style="101" customWidth="1"/>
    <col min="15651" max="15651" width="13.44140625" style="101" customWidth="1"/>
    <col min="15652" max="15652" width="4" style="101" customWidth="1"/>
    <col min="15653" max="15653" width="8" style="101" customWidth="1"/>
    <col min="15654" max="15654" width="2.6640625" style="101" customWidth="1"/>
    <col min="15655" max="15655" width="10.44140625" style="101" customWidth="1"/>
    <col min="15656" max="15656" width="11" style="101" bestFit="1" customWidth="1"/>
    <col min="15657" max="15657" width="13.5546875" style="101" customWidth="1"/>
    <col min="15658" max="15658" width="11" style="101" bestFit="1" customWidth="1"/>
    <col min="15659" max="15659" width="9.33203125" style="101" bestFit="1" customWidth="1"/>
    <col min="15660" max="15660" width="11" style="101" bestFit="1" customWidth="1"/>
    <col min="15661" max="15892" width="9.109375" style="101"/>
    <col min="15893" max="15893" width="9.6640625" style="101" customWidth="1"/>
    <col min="15894" max="15894" width="12.44140625" style="101" customWidth="1"/>
    <col min="15895" max="15895" width="10.5546875" style="101" customWidth="1"/>
    <col min="15896" max="15896" width="6.44140625" style="101" bestFit="1" customWidth="1"/>
    <col min="15897" max="15897" width="8.88671875" style="101" customWidth="1"/>
    <col min="15898" max="15898" width="1.5546875" style="101" customWidth="1"/>
    <col min="15899" max="15899" width="10.5546875" style="101" customWidth="1"/>
    <col min="15900" max="15900" width="2.6640625" style="101" customWidth="1"/>
    <col min="15901" max="15901" width="9.6640625" style="101" customWidth="1"/>
    <col min="15902" max="15902" width="14.6640625" style="101" customWidth="1"/>
    <col min="15903" max="15903" width="10.5546875" style="101" customWidth="1"/>
    <col min="15904" max="15904" width="6.44140625" style="101" customWidth="1"/>
    <col min="15905" max="15905" width="8.88671875" style="101" customWidth="1"/>
    <col min="15906" max="15906" width="1.5546875" style="101" customWidth="1"/>
    <col min="15907" max="15907" width="13.44140625" style="101" customWidth="1"/>
    <col min="15908" max="15908" width="4" style="101" customWidth="1"/>
    <col min="15909" max="15909" width="8" style="101" customWidth="1"/>
    <col min="15910" max="15910" width="2.6640625" style="101" customWidth="1"/>
    <col min="15911" max="15911" width="10.44140625" style="101" customWidth="1"/>
    <col min="15912" max="15912" width="11" style="101" bestFit="1" customWidth="1"/>
    <col min="15913" max="15913" width="13.5546875" style="101" customWidth="1"/>
    <col min="15914" max="15914" width="11" style="101" bestFit="1" customWidth="1"/>
    <col min="15915" max="15915" width="9.33203125" style="101" bestFit="1" customWidth="1"/>
    <col min="15916" max="15916" width="11" style="101" bestFit="1" customWidth="1"/>
    <col min="15917" max="16148" width="9.109375" style="101"/>
    <col min="16149" max="16149" width="9.6640625" style="101" customWidth="1"/>
    <col min="16150" max="16150" width="12.44140625" style="101" customWidth="1"/>
    <col min="16151" max="16151" width="10.5546875" style="101" customWidth="1"/>
    <col min="16152" max="16152" width="6.44140625" style="101" bestFit="1" customWidth="1"/>
    <col min="16153" max="16153" width="8.88671875" style="101" customWidth="1"/>
    <col min="16154" max="16154" width="1.5546875" style="101" customWidth="1"/>
    <col min="16155" max="16155" width="10.5546875" style="101" customWidth="1"/>
    <col min="16156" max="16156" width="2.6640625" style="101" customWidth="1"/>
    <col min="16157" max="16157" width="9.6640625" style="101" customWidth="1"/>
    <col min="16158" max="16158" width="14.6640625" style="101" customWidth="1"/>
    <col min="16159" max="16159" width="10.5546875" style="101" customWidth="1"/>
    <col min="16160" max="16160" width="6.44140625" style="101" customWidth="1"/>
    <col min="16161" max="16161" width="8.88671875" style="101" customWidth="1"/>
    <col min="16162" max="16162" width="1.5546875" style="101" customWidth="1"/>
    <col min="16163" max="16163" width="13.44140625" style="101" customWidth="1"/>
    <col min="16164" max="16164" width="4" style="101" customWidth="1"/>
    <col min="16165" max="16165" width="8" style="101" customWidth="1"/>
    <col min="16166" max="16166" width="2.6640625" style="101" customWidth="1"/>
    <col min="16167" max="16167" width="10.44140625" style="101" customWidth="1"/>
    <col min="16168" max="16168" width="11" style="101" bestFit="1" customWidth="1"/>
    <col min="16169" max="16169" width="13.5546875" style="101" customWidth="1"/>
    <col min="16170" max="16170" width="11" style="101" bestFit="1" customWidth="1"/>
    <col min="16171" max="16171" width="9.33203125" style="101" bestFit="1" customWidth="1"/>
    <col min="16172" max="16172" width="11" style="101" bestFit="1" customWidth="1"/>
    <col min="16173" max="16384" width="9.109375" style="101"/>
  </cols>
  <sheetData>
    <row r="1" spans="1:93" customFormat="1" ht="21" x14ac:dyDescent="0.4">
      <c r="A1" s="8"/>
      <c r="B1" s="1373"/>
      <c r="C1" s="1373"/>
      <c r="D1" s="1373"/>
      <c r="E1" s="1373"/>
      <c r="F1" s="1373"/>
      <c r="G1" s="1373"/>
      <c r="H1" s="1373"/>
      <c r="I1" s="1373"/>
      <c r="J1" s="1373"/>
      <c r="K1" s="1373"/>
      <c r="L1" s="1373"/>
      <c r="M1" s="1373"/>
      <c r="N1" s="1373"/>
      <c r="O1" s="1373"/>
      <c r="P1" s="1373"/>
      <c r="Q1" s="1373"/>
      <c r="R1" s="1373"/>
      <c r="S1" s="1373"/>
      <c r="T1" s="1373"/>
      <c r="U1" s="1373"/>
      <c r="V1" s="1373"/>
      <c r="W1" s="1373"/>
      <c r="X1" s="1373"/>
      <c r="Y1" s="8"/>
      <c r="Z1" s="8"/>
      <c r="AA1" s="8"/>
    </row>
    <row r="2" spans="1:93" customFormat="1" ht="15.6" x14ac:dyDescent="0.3">
      <c r="A2" s="10"/>
      <c r="B2" s="10">
        <v>2026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</row>
    <row r="3" spans="1:93" ht="13.8" x14ac:dyDescent="0.3">
      <c r="A3" s="12" t="s">
        <v>667</v>
      </c>
      <c r="C3" s="102"/>
      <c r="D3" s="1280"/>
      <c r="F3" s="104"/>
      <c r="G3" s="104"/>
      <c r="H3" s="361" t="s">
        <v>668</v>
      </c>
      <c r="I3" s="104"/>
      <c r="J3" s="104"/>
      <c r="K3" s="104"/>
      <c r="L3" s="104"/>
      <c r="N3" s="105"/>
      <c r="Q3" s="106" t="str">
        <f>'MFR E-13c'!Q1</f>
        <v>Page 14 of 39</v>
      </c>
      <c r="R3" s="105"/>
      <c r="S3" s="105"/>
      <c r="U3" s="107"/>
    </row>
    <row r="4" spans="1:93" ht="10.8" thickBot="1" x14ac:dyDescent="0.25">
      <c r="A4" s="108"/>
      <c r="B4" s="109"/>
      <c r="C4" s="109"/>
      <c r="D4" s="109"/>
      <c r="E4" s="110" t="s">
        <v>416</v>
      </c>
      <c r="F4" s="109"/>
      <c r="G4" s="109" t="s">
        <v>416</v>
      </c>
      <c r="H4" s="109" t="s">
        <v>416</v>
      </c>
      <c r="I4" s="109" t="s">
        <v>416</v>
      </c>
      <c r="J4" s="109"/>
      <c r="K4" s="109"/>
      <c r="L4" s="109"/>
      <c r="M4" s="111"/>
      <c r="N4" s="111"/>
      <c r="O4" s="109"/>
      <c r="P4" s="112"/>
      <c r="Q4" s="109"/>
    </row>
    <row r="5" spans="1:93" x14ac:dyDescent="0.2">
      <c r="A5" s="113"/>
      <c r="M5" s="105"/>
      <c r="N5" s="105"/>
      <c r="P5" s="114"/>
    </row>
    <row r="6" spans="1:93" ht="12.75" customHeight="1" x14ac:dyDescent="0.2">
      <c r="A6" s="100"/>
      <c r="C6" s="1278" t="s">
        <v>4</v>
      </c>
      <c r="D6" s="1386" t="s">
        <v>669</v>
      </c>
      <c r="E6" s="1386"/>
      <c r="F6" s="1386"/>
      <c r="G6" s="1386"/>
      <c r="H6" s="1386"/>
      <c r="I6" s="1386"/>
      <c r="J6" s="1386"/>
      <c r="K6" s="1386"/>
      <c r="L6" s="1386"/>
      <c r="M6" s="1386"/>
      <c r="N6" s="1386"/>
      <c r="O6" s="1279"/>
      <c r="P6" s="1279"/>
      <c r="Q6" s="1279"/>
      <c r="R6" s="1279"/>
      <c r="S6" s="1279"/>
      <c r="T6" s="1279"/>
      <c r="U6" s="1279"/>
      <c r="V6" s="1279"/>
    </row>
    <row r="7" spans="1:93" ht="12.75" customHeight="1" x14ac:dyDescent="0.2">
      <c r="C7" s="1279"/>
      <c r="D7" s="1386" t="s">
        <v>670</v>
      </c>
      <c r="E7" s="1386"/>
      <c r="F7" s="1386"/>
      <c r="G7" s="1386"/>
      <c r="H7" s="1386"/>
      <c r="I7" s="1386"/>
      <c r="J7" s="1386"/>
      <c r="K7" s="1386"/>
      <c r="L7" s="1386"/>
      <c r="M7" s="1386"/>
      <c r="N7" s="1386"/>
      <c r="O7" s="1279"/>
      <c r="P7" s="1279"/>
      <c r="Q7" s="1279"/>
      <c r="R7" s="1279"/>
      <c r="S7" s="1279"/>
      <c r="T7" s="1279"/>
      <c r="U7" s="1279"/>
      <c r="V7" s="1279"/>
      <c r="AB7" s="115"/>
      <c r="AC7" s="115"/>
      <c r="AD7" s="115"/>
      <c r="AE7" s="115"/>
      <c r="AF7" s="115"/>
      <c r="AG7" s="116"/>
    </row>
    <row r="8" spans="1:93" ht="13.8" x14ac:dyDescent="0.3">
      <c r="A8" s="100"/>
      <c r="C8" s="21"/>
      <c r="D8" s="1386" t="s">
        <v>671</v>
      </c>
      <c r="E8" s="1386"/>
      <c r="F8" s="1386"/>
      <c r="G8" s="1386"/>
      <c r="H8" s="1386"/>
      <c r="I8" s="1386"/>
      <c r="J8" s="1386"/>
      <c r="K8" s="1386"/>
      <c r="L8" s="1386"/>
      <c r="M8" s="1386"/>
      <c r="N8" s="1386"/>
      <c r="O8" s="107"/>
      <c r="W8" s="107" t="s">
        <v>511</v>
      </c>
      <c r="AH8" s="117">
        <v>0</v>
      </c>
      <c r="AI8" s="117">
        <v>0</v>
      </c>
      <c r="AJ8" s="117">
        <v>0</v>
      </c>
      <c r="AK8" s="117">
        <v>0</v>
      </c>
      <c r="AL8" s="117">
        <v>0</v>
      </c>
      <c r="AM8" s="117">
        <v>0</v>
      </c>
      <c r="AN8" s="117">
        <v>0</v>
      </c>
      <c r="AO8" s="117">
        <v>0</v>
      </c>
      <c r="AP8" s="117">
        <v>0</v>
      </c>
      <c r="AQ8" s="117">
        <v>0</v>
      </c>
      <c r="AR8" s="117">
        <v>0</v>
      </c>
      <c r="AS8" s="117">
        <v>0</v>
      </c>
      <c r="AT8" s="117">
        <v>0</v>
      </c>
      <c r="AU8" s="117">
        <v>0</v>
      </c>
      <c r="AV8" s="117">
        <v>0</v>
      </c>
      <c r="AW8" s="117">
        <v>0</v>
      </c>
      <c r="AX8" s="117">
        <v>0</v>
      </c>
      <c r="AY8" s="117">
        <v>0</v>
      </c>
      <c r="AZ8" s="117">
        <v>0</v>
      </c>
      <c r="BA8" s="117">
        <v>0</v>
      </c>
      <c r="BB8" s="117">
        <v>0</v>
      </c>
      <c r="BC8" s="117">
        <v>0</v>
      </c>
      <c r="BD8" s="117">
        <v>0</v>
      </c>
      <c r="BE8" s="117">
        <v>0</v>
      </c>
      <c r="BF8" s="117">
        <v>0</v>
      </c>
      <c r="BG8" s="117">
        <v>0</v>
      </c>
      <c r="BH8" s="117">
        <v>0</v>
      </c>
      <c r="BI8" s="117">
        <v>0</v>
      </c>
      <c r="BJ8" s="117">
        <v>0</v>
      </c>
      <c r="BK8" s="117">
        <v>0</v>
      </c>
      <c r="BL8" s="117">
        <v>0</v>
      </c>
      <c r="BM8" s="117">
        <v>0</v>
      </c>
      <c r="BN8" s="117">
        <v>0</v>
      </c>
      <c r="BO8" s="117">
        <v>0</v>
      </c>
      <c r="BP8" s="117">
        <v>0</v>
      </c>
      <c r="BQ8" s="117">
        <v>0</v>
      </c>
      <c r="BR8" s="117">
        <v>1</v>
      </c>
      <c r="BS8" s="117">
        <v>1</v>
      </c>
      <c r="BT8" s="117">
        <v>1</v>
      </c>
      <c r="BU8" s="117">
        <v>1</v>
      </c>
      <c r="BV8" s="117">
        <v>1</v>
      </c>
      <c r="BW8" s="117">
        <v>1</v>
      </c>
      <c r="BX8" s="117">
        <v>1</v>
      </c>
      <c r="BY8" s="117">
        <v>1</v>
      </c>
      <c r="BZ8" s="117">
        <v>1</v>
      </c>
      <c r="CA8" s="117">
        <v>1</v>
      </c>
      <c r="CB8" s="117">
        <v>1</v>
      </c>
      <c r="CC8" s="117">
        <v>1</v>
      </c>
      <c r="CD8" s="117">
        <v>0</v>
      </c>
      <c r="CE8" s="117">
        <v>0</v>
      </c>
      <c r="CF8" s="117">
        <v>0</v>
      </c>
      <c r="CG8" s="117">
        <v>0</v>
      </c>
      <c r="CH8" s="117">
        <v>0</v>
      </c>
      <c r="CI8" s="117">
        <v>0</v>
      </c>
      <c r="CJ8" s="117">
        <v>0</v>
      </c>
      <c r="CK8" s="117">
        <v>0</v>
      </c>
      <c r="CL8" s="117">
        <v>0</v>
      </c>
      <c r="CM8" s="117">
        <v>0</v>
      </c>
      <c r="CN8" s="117">
        <v>0</v>
      </c>
      <c r="CO8" s="117">
        <v>0</v>
      </c>
    </row>
    <row r="9" spans="1:93" x14ac:dyDescent="0.2">
      <c r="AB9" s="118" t="s">
        <v>513</v>
      </c>
      <c r="AC9" s="118" t="s">
        <v>514</v>
      </c>
      <c r="AD9" s="118" t="s">
        <v>515</v>
      </c>
      <c r="AE9" s="118" t="s">
        <v>321</v>
      </c>
      <c r="AF9" s="118" t="s">
        <v>516</v>
      </c>
      <c r="AH9" s="117" t="s">
        <v>513</v>
      </c>
      <c r="AI9" s="117" t="s">
        <v>513</v>
      </c>
      <c r="AJ9" s="117" t="s">
        <v>513</v>
      </c>
      <c r="AK9" s="117" t="s">
        <v>513</v>
      </c>
      <c r="AL9" s="117" t="s">
        <v>513</v>
      </c>
      <c r="AM9" s="117" t="s">
        <v>513</v>
      </c>
      <c r="AN9" s="117" t="s">
        <v>513</v>
      </c>
      <c r="AO9" s="117" t="s">
        <v>513</v>
      </c>
      <c r="AP9" s="117" t="s">
        <v>513</v>
      </c>
      <c r="AQ9" s="117" t="s">
        <v>513</v>
      </c>
      <c r="AR9" s="117" t="s">
        <v>513</v>
      </c>
      <c r="AS9" s="117" t="s">
        <v>513</v>
      </c>
      <c r="AT9" s="117" t="s">
        <v>514</v>
      </c>
      <c r="AU9" s="117" t="s">
        <v>514</v>
      </c>
      <c r="AV9" s="117" t="s">
        <v>514</v>
      </c>
      <c r="AW9" s="117" t="s">
        <v>514</v>
      </c>
      <c r="AX9" s="117" t="s">
        <v>514</v>
      </c>
      <c r="AY9" s="117" t="s">
        <v>514</v>
      </c>
      <c r="AZ9" s="117" t="s">
        <v>514</v>
      </c>
      <c r="BA9" s="117" t="s">
        <v>514</v>
      </c>
      <c r="BB9" s="117" t="s">
        <v>514</v>
      </c>
      <c r="BC9" s="117" t="s">
        <v>514</v>
      </c>
      <c r="BD9" s="117" t="s">
        <v>514</v>
      </c>
      <c r="BE9" s="117" t="s">
        <v>514</v>
      </c>
      <c r="BF9" s="117" t="s">
        <v>515</v>
      </c>
      <c r="BG9" s="117" t="s">
        <v>515</v>
      </c>
      <c r="BH9" s="117" t="s">
        <v>515</v>
      </c>
      <c r="BI9" s="117" t="s">
        <v>515</v>
      </c>
      <c r="BJ9" s="117" t="s">
        <v>515</v>
      </c>
      <c r="BK9" s="117" t="s">
        <v>515</v>
      </c>
      <c r="BL9" s="117" t="s">
        <v>515</v>
      </c>
      <c r="BM9" s="117" t="s">
        <v>515</v>
      </c>
      <c r="BN9" s="117" t="s">
        <v>515</v>
      </c>
      <c r="BO9" s="117" t="s">
        <v>515</v>
      </c>
      <c r="BP9" s="117" t="s">
        <v>515</v>
      </c>
      <c r="BQ9" s="117" t="s">
        <v>515</v>
      </c>
      <c r="BR9" s="117" t="s">
        <v>321</v>
      </c>
      <c r="BS9" s="117" t="s">
        <v>321</v>
      </c>
      <c r="BT9" s="117" t="s">
        <v>321</v>
      </c>
      <c r="BU9" s="117" t="s">
        <v>321</v>
      </c>
      <c r="BV9" s="117" t="s">
        <v>321</v>
      </c>
      <c r="BW9" s="117" t="s">
        <v>321</v>
      </c>
      <c r="BX9" s="117" t="s">
        <v>321</v>
      </c>
      <c r="BY9" s="117" t="s">
        <v>321</v>
      </c>
      <c r="BZ9" s="117" t="s">
        <v>321</v>
      </c>
      <c r="CA9" s="117" t="s">
        <v>321</v>
      </c>
      <c r="CB9" s="117" t="s">
        <v>321</v>
      </c>
      <c r="CC9" s="117" t="s">
        <v>321</v>
      </c>
      <c r="CD9" s="117" t="s">
        <v>516</v>
      </c>
      <c r="CE9" s="117" t="s">
        <v>516</v>
      </c>
      <c r="CF9" s="117" t="s">
        <v>516</v>
      </c>
      <c r="CG9" s="117" t="s">
        <v>516</v>
      </c>
      <c r="CH9" s="117" t="s">
        <v>516</v>
      </c>
      <c r="CI9" s="117" t="s">
        <v>516</v>
      </c>
      <c r="CJ9" s="117" t="s">
        <v>516</v>
      </c>
      <c r="CK9" s="117" t="s">
        <v>516</v>
      </c>
      <c r="CL9" s="117" t="s">
        <v>516</v>
      </c>
      <c r="CM9" s="117" t="s">
        <v>516</v>
      </c>
      <c r="CN9" s="117" t="s">
        <v>516</v>
      </c>
      <c r="CO9" s="117" t="s">
        <v>516</v>
      </c>
    </row>
    <row r="10" spans="1:93" x14ac:dyDescent="0.2">
      <c r="A10" s="100"/>
      <c r="C10" s="119"/>
      <c r="O10" s="100"/>
      <c r="V10" s="120">
        <v>45717</v>
      </c>
      <c r="W10" s="120">
        <v>46082</v>
      </c>
      <c r="AB10" s="121" t="s">
        <v>121</v>
      </c>
      <c r="AC10" s="121" t="s">
        <v>121</v>
      </c>
      <c r="AD10" s="121" t="s">
        <v>121</v>
      </c>
      <c r="AE10" s="121" t="s">
        <v>121</v>
      </c>
      <c r="AF10" s="121" t="s">
        <v>121</v>
      </c>
      <c r="AH10" s="122" t="s">
        <v>517</v>
      </c>
      <c r="AI10" s="122" t="s">
        <v>518</v>
      </c>
      <c r="AJ10" s="122" t="s">
        <v>519</v>
      </c>
      <c r="AK10" s="122" t="s">
        <v>520</v>
      </c>
      <c r="AL10" s="122" t="s">
        <v>521</v>
      </c>
      <c r="AM10" s="122" t="s">
        <v>522</v>
      </c>
      <c r="AN10" s="122" t="s">
        <v>523</v>
      </c>
      <c r="AO10" s="122" t="s">
        <v>524</v>
      </c>
      <c r="AP10" s="122" t="s">
        <v>525</v>
      </c>
      <c r="AQ10" s="122" t="s">
        <v>526</v>
      </c>
      <c r="AR10" s="122" t="s">
        <v>527</v>
      </c>
      <c r="AS10" s="122" t="s">
        <v>528</v>
      </c>
      <c r="AT10" s="122" t="s">
        <v>517</v>
      </c>
      <c r="AU10" s="122" t="s">
        <v>518</v>
      </c>
      <c r="AV10" s="122" t="s">
        <v>519</v>
      </c>
      <c r="AW10" s="122" t="s">
        <v>520</v>
      </c>
      <c r="AX10" s="122" t="s">
        <v>521</v>
      </c>
      <c r="AY10" s="122" t="s">
        <v>522</v>
      </c>
      <c r="AZ10" s="122" t="s">
        <v>523</v>
      </c>
      <c r="BA10" s="122" t="s">
        <v>524</v>
      </c>
      <c r="BB10" s="122" t="s">
        <v>525</v>
      </c>
      <c r="BC10" s="122" t="s">
        <v>526</v>
      </c>
      <c r="BD10" s="122" t="s">
        <v>527</v>
      </c>
      <c r="BE10" s="122" t="s">
        <v>528</v>
      </c>
      <c r="BF10" s="122" t="s">
        <v>517</v>
      </c>
      <c r="BG10" s="122" t="s">
        <v>518</v>
      </c>
      <c r="BH10" s="122" t="s">
        <v>519</v>
      </c>
      <c r="BI10" s="122" t="s">
        <v>520</v>
      </c>
      <c r="BJ10" s="122" t="s">
        <v>521</v>
      </c>
      <c r="BK10" s="122" t="s">
        <v>522</v>
      </c>
      <c r="BL10" s="122" t="s">
        <v>523</v>
      </c>
      <c r="BM10" s="122" t="s">
        <v>524</v>
      </c>
      <c r="BN10" s="122" t="s">
        <v>525</v>
      </c>
      <c r="BO10" s="122" t="s">
        <v>526</v>
      </c>
      <c r="BP10" s="122" t="s">
        <v>527</v>
      </c>
      <c r="BQ10" s="122" t="s">
        <v>528</v>
      </c>
      <c r="BR10" s="122" t="s">
        <v>517</v>
      </c>
      <c r="BS10" s="122" t="s">
        <v>518</v>
      </c>
      <c r="BT10" s="122" t="s">
        <v>519</v>
      </c>
      <c r="BU10" s="122" t="s">
        <v>520</v>
      </c>
      <c r="BV10" s="122" t="s">
        <v>521</v>
      </c>
      <c r="BW10" s="122" t="s">
        <v>522</v>
      </c>
      <c r="BX10" s="122" t="s">
        <v>523</v>
      </c>
      <c r="BY10" s="122" t="s">
        <v>524</v>
      </c>
      <c r="BZ10" s="122" t="s">
        <v>525</v>
      </c>
      <c r="CA10" s="122" t="s">
        <v>526</v>
      </c>
      <c r="CB10" s="122" t="s">
        <v>527</v>
      </c>
      <c r="CC10" s="122" t="s">
        <v>528</v>
      </c>
      <c r="CD10" s="122" t="s">
        <v>517</v>
      </c>
      <c r="CE10" s="122" t="s">
        <v>518</v>
      </c>
      <c r="CF10" s="122" t="s">
        <v>519</v>
      </c>
      <c r="CG10" s="122" t="s">
        <v>520</v>
      </c>
      <c r="CH10" s="122" t="s">
        <v>521</v>
      </c>
      <c r="CI10" s="122" t="s">
        <v>522</v>
      </c>
      <c r="CJ10" s="122" t="s">
        <v>523</v>
      </c>
      <c r="CK10" s="122" t="s">
        <v>524</v>
      </c>
      <c r="CL10" s="122" t="s">
        <v>525</v>
      </c>
      <c r="CM10" s="122" t="s">
        <v>526</v>
      </c>
      <c r="CN10" s="122" t="s">
        <v>527</v>
      </c>
      <c r="CO10" s="122" t="s">
        <v>528</v>
      </c>
    </row>
    <row r="11" spans="1:93" ht="10.8" thickBot="1" x14ac:dyDescent="0.25">
      <c r="A11" s="123"/>
      <c r="B11" s="109"/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23"/>
      <c r="O11" s="109"/>
      <c r="P11" s="109"/>
      <c r="Q11" s="109"/>
    </row>
    <row r="12" spans="1:93" ht="15.6" x14ac:dyDescent="0.2">
      <c r="B12" s="1369"/>
      <c r="C12" s="125"/>
      <c r="D12" s="125"/>
      <c r="E12" s="125"/>
      <c r="F12" s="125"/>
      <c r="G12" s="125"/>
      <c r="H12" s="125"/>
      <c r="I12" s="126" t="s">
        <v>529</v>
      </c>
      <c r="J12" s="125"/>
      <c r="K12" s="125"/>
      <c r="L12" s="125"/>
      <c r="M12" s="125"/>
      <c r="N12" s="125"/>
      <c r="U12" s="127" t="s">
        <v>530</v>
      </c>
      <c r="V12" s="128"/>
      <c r="W12" s="129"/>
      <c r="Y12" s="130" t="s">
        <v>531</v>
      </c>
      <c r="Z12" s="131"/>
    </row>
    <row r="13" spans="1:93" x14ac:dyDescent="0.2">
      <c r="A13" s="101" t="s">
        <v>30</v>
      </c>
      <c r="B13" s="101" t="s">
        <v>532</v>
      </c>
      <c r="C13" s="132"/>
      <c r="D13" s="133" t="s">
        <v>533</v>
      </c>
      <c r="E13" s="134"/>
      <c r="F13" s="133"/>
      <c r="G13" s="133"/>
      <c r="H13" s="133"/>
      <c r="I13" s="135"/>
      <c r="J13" s="136" t="s">
        <v>534</v>
      </c>
      <c r="K13" s="133"/>
      <c r="L13" s="133"/>
      <c r="M13" s="134"/>
      <c r="N13" s="134"/>
      <c r="O13" s="137"/>
      <c r="Q13" s="118" t="s">
        <v>332</v>
      </c>
      <c r="R13" s="118"/>
      <c r="U13" s="138"/>
      <c r="V13" s="139"/>
      <c r="W13" s="140"/>
      <c r="Y13" s="138"/>
      <c r="Z13" s="141"/>
    </row>
    <row r="14" spans="1:93" x14ac:dyDescent="0.2">
      <c r="A14" s="101" t="s">
        <v>39</v>
      </c>
      <c r="B14" s="102" t="s">
        <v>535</v>
      </c>
      <c r="C14" s="104"/>
      <c r="D14" s="142" t="s">
        <v>536</v>
      </c>
      <c r="E14" s="143"/>
      <c r="F14" s="142" t="s">
        <v>537</v>
      </c>
      <c r="G14" s="142"/>
      <c r="H14" s="142" t="s">
        <v>538</v>
      </c>
      <c r="I14" s="144"/>
      <c r="J14" s="142" t="s">
        <v>536</v>
      </c>
      <c r="K14" s="143"/>
      <c r="L14" s="142" t="s">
        <v>537</v>
      </c>
      <c r="M14" s="142"/>
      <c r="N14" s="142" t="s">
        <v>538</v>
      </c>
      <c r="O14" s="132"/>
      <c r="Q14" s="145" t="s">
        <v>539</v>
      </c>
      <c r="R14" s="145"/>
      <c r="S14" s="132"/>
      <c r="U14" s="138" t="s">
        <v>128</v>
      </c>
      <c r="V14" s="146" t="s">
        <v>343</v>
      </c>
      <c r="W14" s="147" t="s">
        <v>344</v>
      </c>
      <c r="Y14" s="148" t="s">
        <v>128</v>
      </c>
      <c r="Z14" s="149"/>
    </row>
    <row r="15" spans="1:93" ht="10.8" thickBot="1" x14ac:dyDescent="0.25">
      <c r="A15" s="109"/>
      <c r="B15" s="1370" t="s">
        <v>346</v>
      </c>
      <c r="C15" s="150"/>
      <c r="D15" s="220" t="str">
        <f>'MFR E-13c'!D551</f>
        <v>Jan '26-Dec '26</v>
      </c>
      <c r="E15" s="221"/>
      <c r="F15" s="717">
        <f>'MFR E-13c'!F551</f>
        <v>46023</v>
      </c>
      <c r="G15" s="717"/>
      <c r="H15" s="154"/>
      <c r="I15" s="154"/>
      <c r="J15" s="154"/>
      <c r="K15" s="221"/>
      <c r="L15" s="717">
        <f>'MFR E-13c'!L551</f>
        <v>46023</v>
      </c>
      <c r="M15" s="154"/>
      <c r="N15" s="154"/>
      <c r="O15" s="155"/>
      <c r="P15" s="109"/>
      <c r="Q15" s="156"/>
      <c r="R15" s="132"/>
      <c r="S15" s="132"/>
      <c r="U15" s="157" t="s">
        <v>144</v>
      </c>
      <c r="V15" s="158" t="s">
        <v>540</v>
      </c>
      <c r="W15" s="159" t="s">
        <v>540</v>
      </c>
      <c r="Y15" s="160" t="s">
        <v>144</v>
      </c>
      <c r="Z15" s="159" t="s">
        <v>541</v>
      </c>
    </row>
    <row r="16" spans="1:93" x14ac:dyDescent="0.2">
      <c r="A16" s="118">
        <v>1</v>
      </c>
      <c r="B16" s="102"/>
      <c r="C16" s="104"/>
      <c r="E16" s="143"/>
      <c r="F16" s="142"/>
      <c r="G16" s="142"/>
      <c r="H16" s="142"/>
      <c r="I16" s="162"/>
      <c r="J16" s="142"/>
      <c r="K16" s="143"/>
      <c r="L16" s="142"/>
      <c r="M16" s="142"/>
      <c r="N16" s="142"/>
      <c r="O16" s="132"/>
      <c r="Q16" s="145"/>
      <c r="R16" s="132"/>
      <c r="S16" s="132"/>
      <c r="U16" s="163"/>
      <c r="V16" s="139"/>
      <c r="W16" s="140"/>
      <c r="Y16" s="138"/>
      <c r="Z16" s="141"/>
    </row>
    <row r="17" spans="1:94" x14ac:dyDescent="0.2">
      <c r="A17" s="118">
        <f t="shared" ref="A17:A58" si="0">+A16+1</f>
        <v>2</v>
      </c>
      <c r="B17" s="164" t="s">
        <v>542</v>
      </c>
      <c r="C17" s="143"/>
      <c r="D17" s="165"/>
      <c r="E17" s="166"/>
      <c r="F17" s="166"/>
      <c r="H17" s="167"/>
      <c r="I17" s="162"/>
      <c r="J17" s="102"/>
      <c r="K17" s="166"/>
      <c r="L17" s="166"/>
      <c r="M17" s="102"/>
      <c r="N17" s="100"/>
      <c r="O17" s="100"/>
      <c r="P17" s="118"/>
      <c r="U17" s="163"/>
      <c r="V17" s="139"/>
      <c r="W17" s="140"/>
      <c r="Y17" s="138"/>
      <c r="Z17" s="141"/>
    </row>
    <row r="18" spans="1:94" x14ac:dyDescent="0.2">
      <c r="A18" s="118">
        <f t="shared" si="0"/>
        <v>3</v>
      </c>
      <c r="B18" s="100" t="s">
        <v>543</v>
      </c>
      <c r="C18" s="143"/>
      <c r="D18" s="168"/>
      <c r="E18" s="166"/>
      <c r="F18" s="166"/>
      <c r="G18" s="143"/>
      <c r="H18" s="168"/>
      <c r="I18" s="162"/>
      <c r="J18" s="168"/>
      <c r="K18" s="166"/>
      <c r="L18" s="1368">
        <v>-0.11</v>
      </c>
      <c r="M18" s="169"/>
      <c r="N18" s="170"/>
      <c r="Q18" s="118"/>
      <c r="U18" s="163"/>
      <c r="V18" s="139"/>
      <c r="W18" s="140"/>
      <c r="Y18" s="163"/>
      <c r="Z18" s="141"/>
    </row>
    <row r="19" spans="1:94" x14ac:dyDescent="0.2">
      <c r="A19" s="118">
        <f t="shared" si="0"/>
        <v>4</v>
      </c>
      <c r="B19" s="171" t="s">
        <v>544</v>
      </c>
      <c r="C19" s="143"/>
      <c r="D19" s="172">
        <f>SUMIF($AH$8:$CP$8,1,$AH19:$CP19)</f>
        <v>21694045.352867588</v>
      </c>
      <c r="E19" s="166" t="s">
        <v>545</v>
      </c>
      <c r="F19" s="173">
        <v>14.86</v>
      </c>
      <c r="G19" s="142" t="s">
        <v>375</v>
      </c>
      <c r="H19" s="174">
        <f>ROUND(D19*F19,2)</f>
        <v>322373513.94</v>
      </c>
      <c r="I19" s="162"/>
      <c r="J19" s="175">
        <f>SUMIF($AH$8:$CP$8,1,$AH19:$CP19)</f>
        <v>21694045.352867588</v>
      </c>
      <c r="K19" s="166" t="s">
        <v>545</v>
      </c>
      <c r="L19" s="173">
        <f>ROUND(F19*(1+'Exhibit MJC-2 - Old E-8a'!$V$16)+L18,2)</f>
        <v>15.13</v>
      </c>
      <c r="M19" s="142" t="s">
        <v>375</v>
      </c>
      <c r="N19" s="174">
        <f>ROUND(J19*L19,2)</f>
        <v>328230906.19</v>
      </c>
      <c r="Q19" s="939"/>
      <c r="S19" s="933"/>
      <c r="T19" s="934"/>
      <c r="U19" s="178" t="s">
        <v>135</v>
      </c>
      <c r="V19" s="179">
        <v>238</v>
      </c>
      <c r="W19" s="180">
        <v>212</v>
      </c>
      <c r="Y19" s="178"/>
      <c r="Z19" s="181"/>
      <c r="AB19" s="182">
        <f>SUM(AH19:AS19)</f>
        <v>20569549.648774758</v>
      </c>
      <c r="AC19" s="182">
        <f>SUM(AT19:BE19)</f>
        <v>20944240.176859379</v>
      </c>
      <c r="AD19" s="182">
        <f>SUM(BF19:BQ19)</f>
        <v>21319311.352096535</v>
      </c>
      <c r="AE19" s="182">
        <f>SUM(BR19:CC19)</f>
        <v>21694045.352867588</v>
      </c>
      <c r="AF19" s="182">
        <f>SUM(CD19:CO19)</f>
        <v>22062145.335498188</v>
      </c>
      <c r="AH19" s="168">
        <v>1699981.6276198393</v>
      </c>
      <c r="AI19" s="168">
        <v>1702004.3853422354</v>
      </c>
      <c r="AJ19" s="168">
        <v>1704442.1037751939</v>
      </c>
      <c r="AK19" s="168">
        <v>1707548.2641942834</v>
      </c>
      <c r="AL19" s="168">
        <v>1709620.5732782208</v>
      </c>
      <c r="AM19" s="168">
        <v>1712312.1823846046</v>
      </c>
      <c r="AN19" s="168">
        <v>1715599.7079942469</v>
      </c>
      <c r="AO19" s="168">
        <v>1717833.3511546836</v>
      </c>
      <c r="AP19" s="168">
        <v>1720943.9407831896</v>
      </c>
      <c r="AQ19" s="168">
        <v>1723364.9361986045</v>
      </c>
      <c r="AR19" s="168">
        <v>1726792.3734078582</v>
      </c>
      <c r="AS19" s="168">
        <v>1729106.2026417949</v>
      </c>
      <c r="AT19" s="168">
        <v>1730385.8320566979</v>
      </c>
      <c r="AU19" s="168">
        <v>1732592.9115993064</v>
      </c>
      <c r="AV19" s="168">
        <v>1735222.3412282395</v>
      </c>
      <c r="AW19" s="168">
        <v>1738532.2990745723</v>
      </c>
      <c r="AX19" s="168">
        <v>1740789.5025047397</v>
      </c>
      <c r="AY19" s="168">
        <v>1743677.0641125743</v>
      </c>
      <c r="AZ19" s="168">
        <v>1747171.7121884269</v>
      </c>
      <c r="BA19" s="168">
        <v>1749474.1277926883</v>
      </c>
      <c r="BB19" s="168">
        <v>1752551.336028188</v>
      </c>
      <c r="BC19" s="168">
        <v>1754926.1138558306</v>
      </c>
      <c r="BD19" s="168">
        <v>1758325.7495296437</v>
      </c>
      <c r="BE19" s="168">
        <v>1760591.1868884696</v>
      </c>
      <c r="BF19" s="168">
        <v>1761807.3545681564</v>
      </c>
      <c r="BG19" s="168">
        <v>1763964.2313335198</v>
      </c>
      <c r="BH19" s="168">
        <v>1766551.1083406236</v>
      </c>
      <c r="BI19" s="168">
        <v>1769830.7346118111</v>
      </c>
      <c r="BJ19" s="168">
        <v>1772038.4832159528</v>
      </c>
      <c r="BK19" s="168">
        <v>1774887.7103984961</v>
      </c>
      <c r="BL19" s="168">
        <v>1778354.9993240563</v>
      </c>
      <c r="BM19" s="168">
        <v>1780637.4923999698</v>
      </c>
      <c r="BN19" s="168">
        <v>1783738.0006877498</v>
      </c>
      <c r="BO19" s="168">
        <v>1786123.4265349577</v>
      </c>
      <c r="BP19" s="168">
        <v>1789551.9344415395</v>
      </c>
      <c r="BQ19" s="168">
        <v>1791825.8762396998</v>
      </c>
      <c r="BR19" s="168">
        <v>1793035.445044945</v>
      </c>
      <c r="BS19" s="168">
        <v>1795198.955476884</v>
      </c>
      <c r="BT19" s="168">
        <v>1797800.0712042428</v>
      </c>
      <c r="BU19" s="168">
        <v>1801106.1507228687</v>
      </c>
      <c r="BV19" s="168">
        <v>1803321.2569401159</v>
      </c>
      <c r="BW19" s="168">
        <v>1806188.9754695867</v>
      </c>
      <c r="BX19" s="168">
        <v>1809685.7974278536</v>
      </c>
      <c r="BY19" s="168">
        <v>1811934.5369921201</v>
      </c>
      <c r="BZ19" s="168">
        <v>1814973.9022563794</v>
      </c>
      <c r="CA19" s="168">
        <v>1817285.5080638314</v>
      </c>
      <c r="CB19" s="168">
        <v>1820658.3764794045</v>
      </c>
      <c r="CC19" s="168">
        <v>1822856.3767893587</v>
      </c>
      <c r="CD19" s="168">
        <v>1823974.959027125</v>
      </c>
      <c r="CE19" s="168">
        <v>1826060.7862786059</v>
      </c>
      <c r="CF19" s="168">
        <v>1828591.7591991245</v>
      </c>
      <c r="CG19" s="168">
        <v>1831839.7042911598</v>
      </c>
      <c r="CH19" s="168">
        <v>1833977.9043680383</v>
      </c>
      <c r="CI19" s="168">
        <v>1836779.6451381608</v>
      </c>
      <c r="CJ19" s="168">
        <v>1840221.2263412573</v>
      </c>
      <c r="CK19" s="168">
        <v>1842448.0289401815</v>
      </c>
      <c r="CL19" s="168">
        <v>1845533.7745767375</v>
      </c>
      <c r="CM19" s="168">
        <v>1847879.3778032516</v>
      </c>
      <c r="CN19" s="168">
        <v>1851304.1273617831</v>
      </c>
      <c r="CO19" s="168">
        <v>1853534.0421727633</v>
      </c>
      <c r="CP19" s="172"/>
    </row>
    <row r="20" spans="1:94" x14ac:dyDescent="0.2">
      <c r="A20" s="118">
        <f t="shared" si="0"/>
        <v>5</v>
      </c>
      <c r="B20" s="102" t="s">
        <v>546</v>
      </c>
      <c r="C20" s="143"/>
      <c r="D20" s="166"/>
      <c r="E20" s="166"/>
      <c r="F20" s="183"/>
      <c r="G20" s="142"/>
      <c r="H20" s="174"/>
      <c r="I20" s="162"/>
      <c r="J20" s="168"/>
      <c r="K20" s="166"/>
      <c r="L20" s="183"/>
      <c r="M20" s="142"/>
      <c r="N20" s="174"/>
      <c r="S20" s="933"/>
      <c r="T20" s="177"/>
      <c r="U20" s="184"/>
      <c r="V20" s="139"/>
      <c r="W20" s="180"/>
      <c r="Y20" s="184"/>
      <c r="Z20" s="181"/>
    </row>
    <row r="21" spans="1:94" x14ac:dyDescent="0.2">
      <c r="A21" s="118">
        <f t="shared" si="0"/>
        <v>6</v>
      </c>
      <c r="B21" s="171" t="s">
        <v>547</v>
      </c>
      <c r="C21" s="143"/>
      <c r="D21" s="172">
        <f>SUMIF($AH$8:$CP$8,1,$AH21:$CP21)</f>
        <v>2332.4394039326739</v>
      </c>
      <c r="E21" s="166" t="s">
        <v>545</v>
      </c>
      <c r="F21" s="183">
        <v>14.86</v>
      </c>
      <c r="G21" s="142" t="s">
        <v>375</v>
      </c>
      <c r="H21" s="174">
        <f>ROUND(D21*F21,2)</f>
        <v>34660.050000000003</v>
      </c>
      <c r="I21" s="162"/>
      <c r="J21" s="185">
        <f>SUMIF($AH$8:$CP$8,1,$AH21:$CP21)</f>
        <v>2332.4394039326739</v>
      </c>
      <c r="K21" s="166" t="s">
        <v>545</v>
      </c>
      <c r="L21" s="173">
        <f>L19</f>
        <v>15.13</v>
      </c>
      <c r="M21" s="142" t="s">
        <v>375</v>
      </c>
      <c r="N21" s="174">
        <f>ROUND(J21*L21,2)</f>
        <v>35289.81</v>
      </c>
      <c r="R21" s="186"/>
      <c r="S21" s="933"/>
      <c r="T21" s="177"/>
      <c r="U21" s="178" t="s">
        <v>548</v>
      </c>
      <c r="V21" s="179">
        <v>240</v>
      </c>
      <c r="W21" s="180">
        <v>214</v>
      </c>
      <c r="Y21" s="178"/>
      <c r="Z21" s="181"/>
      <c r="AB21" s="182">
        <f>SUM(AH21:AS21)</f>
        <v>2211.5390348628521</v>
      </c>
      <c r="AC21" s="182">
        <f>SUM(AT21:BE21)</f>
        <v>2251.8239581111288</v>
      </c>
      <c r="AD21" s="182">
        <f>SUM(BF21:BQ21)</f>
        <v>2292.1498067102625</v>
      </c>
      <c r="AE21" s="182">
        <f>SUM(BR21:CC21)</f>
        <v>2332.4394039326739</v>
      </c>
      <c r="AF21" s="182">
        <f>SUM(CD21:CO21)</f>
        <v>2372.0157434354887</v>
      </c>
      <c r="AH21" s="168">
        <v>182.7738473727305</v>
      </c>
      <c r="AI21" s="168">
        <v>182.99132455320037</v>
      </c>
      <c r="AJ21" s="168">
        <v>183.25341631323136</v>
      </c>
      <c r="AK21" s="168">
        <v>183.58737574028041</v>
      </c>
      <c r="AL21" s="168">
        <v>183.81018044479183</v>
      </c>
      <c r="AM21" s="168">
        <v>184.099569308768</v>
      </c>
      <c r="AN21" s="168">
        <v>184.45302824870487</v>
      </c>
      <c r="AO21" s="168">
        <v>184.69317881707451</v>
      </c>
      <c r="AP21" s="168">
        <v>185.02761445141471</v>
      </c>
      <c r="AQ21" s="168">
        <v>185.2879082330403</v>
      </c>
      <c r="AR21" s="168">
        <v>185.65640979516647</v>
      </c>
      <c r="AS21" s="168">
        <v>185.9051815844488</v>
      </c>
      <c r="AT21" s="168">
        <v>186.04276118388282</v>
      </c>
      <c r="AU21" s="168">
        <v>186.28005575983954</v>
      </c>
      <c r="AV21" s="168">
        <v>186.56275938549504</v>
      </c>
      <c r="AW21" s="168">
        <v>186.9186301316177</v>
      </c>
      <c r="AX21" s="168">
        <v>187.16131378685944</v>
      </c>
      <c r="AY21" s="168">
        <v>187.47177052122345</v>
      </c>
      <c r="AZ21" s="168">
        <v>187.84749827242956</v>
      </c>
      <c r="BA21" s="168">
        <v>188.09504292315094</v>
      </c>
      <c r="BB21" s="168">
        <v>188.42588955068581</v>
      </c>
      <c r="BC21" s="168">
        <v>188.68121423958934</v>
      </c>
      <c r="BD21" s="168">
        <v>189.04672671435554</v>
      </c>
      <c r="BE21" s="168">
        <v>189.29029564199996</v>
      </c>
      <c r="BF21" s="168">
        <v>189.42105214092629</v>
      </c>
      <c r="BG21" s="168">
        <v>189.65294915575834</v>
      </c>
      <c r="BH21" s="168">
        <v>189.93107772820082</v>
      </c>
      <c r="BI21" s="168">
        <v>190.28368736926433</v>
      </c>
      <c r="BJ21" s="168">
        <v>190.52105387949879</v>
      </c>
      <c r="BK21" s="168">
        <v>190.82738908085125</v>
      </c>
      <c r="BL21" s="168">
        <v>191.20017530782053</v>
      </c>
      <c r="BM21" s="168">
        <v>191.44557798412495</v>
      </c>
      <c r="BN21" s="168">
        <v>191.7789297212035</v>
      </c>
      <c r="BO21" s="168">
        <v>192.03539923395167</v>
      </c>
      <c r="BP21" s="168">
        <v>192.40401591230432</v>
      </c>
      <c r="BQ21" s="168">
        <v>192.64849919635802</v>
      </c>
      <c r="BR21" s="168">
        <v>192.77854621604621</v>
      </c>
      <c r="BS21" s="168">
        <v>193.01115645079932</v>
      </c>
      <c r="BT21" s="168">
        <v>193.29081590195275</v>
      </c>
      <c r="BU21" s="168">
        <v>193.64626966893582</v>
      </c>
      <c r="BV21" s="168">
        <v>193.88442723433982</v>
      </c>
      <c r="BW21" s="168">
        <v>194.19275053636707</v>
      </c>
      <c r="BX21" s="168">
        <v>194.5687120129536</v>
      </c>
      <c r="BY21" s="168">
        <v>194.81048567404645</v>
      </c>
      <c r="BZ21" s="168">
        <v>195.13726360734535</v>
      </c>
      <c r="CA21" s="168">
        <v>195.38579634450718</v>
      </c>
      <c r="CB21" s="168">
        <v>195.74843093242293</v>
      </c>
      <c r="CC21" s="168">
        <v>195.98474935295741</v>
      </c>
      <c r="CD21" s="168">
        <v>196.1050139345727</v>
      </c>
      <c r="CE21" s="168">
        <v>196.32927204743351</v>
      </c>
      <c r="CF21" s="168">
        <v>196.60139008139546</v>
      </c>
      <c r="CG21" s="168">
        <v>196.95059351446889</v>
      </c>
      <c r="CH21" s="168">
        <v>197.18048250159342</v>
      </c>
      <c r="CI21" s="168">
        <v>197.48171219230088</v>
      </c>
      <c r="CJ21" s="168">
        <v>197.85173444860982</v>
      </c>
      <c r="CK21" s="168">
        <v>198.09114955270999</v>
      </c>
      <c r="CL21" s="168">
        <v>198.42291408054001</v>
      </c>
      <c r="CM21" s="168">
        <v>198.67510205666545</v>
      </c>
      <c r="CN21" s="168">
        <v>199.04331465551408</v>
      </c>
      <c r="CO21" s="168">
        <v>199.28306436968418</v>
      </c>
    </row>
    <row r="22" spans="1:94" x14ac:dyDescent="0.2">
      <c r="A22" s="118">
        <f t="shared" si="0"/>
        <v>7</v>
      </c>
      <c r="B22" s="100" t="s">
        <v>549</v>
      </c>
      <c r="C22" s="143"/>
      <c r="D22" s="172">
        <f>SUMIF($AH$8:$CP$8,1,$AH22:$CP22)</f>
        <v>0</v>
      </c>
      <c r="E22" s="166" t="s">
        <v>545</v>
      </c>
      <c r="F22" s="183">
        <v>14.86</v>
      </c>
      <c r="G22" s="142" t="s">
        <v>375</v>
      </c>
      <c r="H22" s="187">
        <f>ROUND(D22*F22,2)</f>
        <v>0</v>
      </c>
      <c r="I22" s="162"/>
      <c r="J22" s="172">
        <f>SUMIF($AH$8:$CP$8,1,$AH22:$CP22)*0</f>
        <v>0</v>
      </c>
      <c r="K22" s="166" t="s">
        <v>545</v>
      </c>
      <c r="L22" s="173">
        <f>L21</f>
        <v>15.13</v>
      </c>
      <c r="M22" s="142" t="s">
        <v>375</v>
      </c>
      <c r="N22" s="174">
        <f>ROUND(J22*L22,2)</f>
        <v>0</v>
      </c>
      <c r="R22" s="186"/>
      <c r="S22" s="933"/>
      <c r="T22" s="177"/>
      <c r="U22" s="178" t="s">
        <v>135</v>
      </c>
      <c r="V22" s="179">
        <v>238</v>
      </c>
      <c r="W22" s="180">
        <v>212</v>
      </c>
      <c r="Y22" s="178"/>
      <c r="Z22" s="181"/>
      <c r="AB22" s="182">
        <f>SUM(AH22:AS22)</f>
        <v>0</v>
      </c>
      <c r="AC22" s="182">
        <f>SUM(AT22:BE22)</f>
        <v>0</v>
      </c>
      <c r="AD22" s="182">
        <f>SUM(BF22:BQ22)</f>
        <v>0</v>
      </c>
      <c r="AE22" s="182">
        <f>SUM(BR22:CC22)</f>
        <v>0</v>
      </c>
      <c r="AF22" s="182">
        <f>SUM(CD22:CO22)</f>
        <v>0</v>
      </c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</row>
    <row r="23" spans="1:94" x14ac:dyDescent="0.2">
      <c r="A23" s="118">
        <f t="shared" si="0"/>
        <v>8</v>
      </c>
      <c r="B23" s="102"/>
      <c r="C23" s="143" t="s">
        <v>374</v>
      </c>
      <c r="D23" s="188">
        <f>SUM(D19:D22)</f>
        <v>21696377.792271521</v>
      </c>
      <c r="E23" s="189" t="s">
        <v>550</v>
      </c>
      <c r="F23" s="183"/>
      <c r="G23" s="142"/>
      <c r="H23" s="188">
        <f>SUM(H19:H22)</f>
        <v>322408173.99000001</v>
      </c>
      <c r="I23" s="162"/>
      <c r="J23" s="188">
        <f>SUM(J19:J22)</f>
        <v>21696377.792271521</v>
      </c>
      <c r="K23" s="189" t="s">
        <v>550</v>
      </c>
      <c r="L23" s="183"/>
      <c r="M23" s="142"/>
      <c r="N23" s="188">
        <f>SUM(N19:N22)</f>
        <v>328266196</v>
      </c>
      <c r="Q23" s="1022"/>
      <c r="S23" s="933"/>
      <c r="T23" s="177"/>
      <c r="U23" s="190"/>
      <c r="V23" s="191"/>
      <c r="W23" s="140"/>
      <c r="Y23" s="192" t="s">
        <v>135</v>
      </c>
      <c r="Z23" s="141" t="s">
        <v>451</v>
      </c>
      <c r="AB23" s="188">
        <f>+AB19+AB21+AB22</f>
        <v>20571761.18780962</v>
      </c>
      <c r="AC23" s="188">
        <f>+AC19+AC21+AC22</f>
        <v>20946492.000817489</v>
      </c>
      <c r="AD23" s="188">
        <f>+AD19+AD21+AD22</f>
        <v>21321603.501903247</v>
      </c>
      <c r="AE23" s="188">
        <f>+AE19+AE21+AE22</f>
        <v>21696377.792271521</v>
      </c>
      <c r="AF23" s="188">
        <f>+AF19+AF21+AF22</f>
        <v>22064517.351241622</v>
      </c>
      <c r="AH23" s="188">
        <f t="shared" ref="AH23:CO23" si="1">+AH19+AH21+AH22</f>
        <v>1700164.401467212</v>
      </c>
      <c r="AI23" s="188">
        <f t="shared" si="1"/>
        <v>1702187.3766667887</v>
      </c>
      <c r="AJ23" s="188">
        <f t="shared" si="1"/>
        <v>1704625.3571915072</v>
      </c>
      <c r="AK23" s="188">
        <f t="shared" si="1"/>
        <v>1707731.8515700237</v>
      </c>
      <c r="AL23" s="188">
        <f t="shared" si="1"/>
        <v>1709804.3834586656</v>
      </c>
      <c r="AM23" s="188">
        <f t="shared" si="1"/>
        <v>1712496.2819539134</v>
      </c>
      <c r="AN23" s="188">
        <f t="shared" si="1"/>
        <v>1715784.1610224955</v>
      </c>
      <c r="AO23" s="188">
        <f t="shared" si="1"/>
        <v>1718018.0443335008</v>
      </c>
      <c r="AP23" s="188">
        <f t="shared" si="1"/>
        <v>1721128.9683976411</v>
      </c>
      <c r="AQ23" s="188">
        <f t="shared" si="1"/>
        <v>1723550.2241068375</v>
      </c>
      <c r="AR23" s="188">
        <f t="shared" si="1"/>
        <v>1726978.0298176534</v>
      </c>
      <c r="AS23" s="188">
        <f t="shared" si="1"/>
        <v>1729292.1078233793</v>
      </c>
      <c r="AT23" s="188">
        <f t="shared" si="1"/>
        <v>1730571.8748178817</v>
      </c>
      <c r="AU23" s="188">
        <f t="shared" si="1"/>
        <v>1732779.1916550663</v>
      </c>
      <c r="AV23" s="188">
        <f t="shared" si="1"/>
        <v>1735408.9039876249</v>
      </c>
      <c r="AW23" s="188">
        <f t="shared" si="1"/>
        <v>1738719.2177047038</v>
      </c>
      <c r="AX23" s="188">
        <f t="shared" si="1"/>
        <v>1740976.6638185265</v>
      </c>
      <c r="AY23" s="188">
        <f t="shared" si="1"/>
        <v>1743864.5358830956</v>
      </c>
      <c r="AZ23" s="188">
        <f t="shared" si="1"/>
        <v>1747359.5596866994</v>
      </c>
      <c r="BA23" s="188">
        <f t="shared" si="1"/>
        <v>1749662.2228356116</v>
      </c>
      <c r="BB23" s="188">
        <f t="shared" si="1"/>
        <v>1752739.7619177387</v>
      </c>
      <c r="BC23" s="188">
        <f t="shared" si="1"/>
        <v>1755114.7950700703</v>
      </c>
      <c r="BD23" s="188">
        <f t="shared" si="1"/>
        <v>1758514.796256358</v>
      </c>
      <c r="BE23" s="188">
        <f t="shared" si="1"/>
        <v>1760780.4771841117</v>
      </c>
      <c r="BF23" s="188">
        <f t="shared" si="1"/>
        <v>1761996.7756202973</v>
      </c>
      <c r="BG23" s="188">
        <f t="shared" si="1"/>
        <v>1764153.8842826756</v>
      </c>
      <c r="BH23" s="188">
        <f t="shared" si="1"/>
        <v>1766741.0394183518</v>
      </c>
      <c r="BI23" s="188">
        <f t="shared" si="1"/>
        <v>1770021.0182991803</v>
      </c>
      <c r="BJ23" s="188">
        <f t="shared" si="1"/>
        <v>1772229.0042698323</v>
      </c>
      <c r="BK23" s="188">
        <f t="shared" si="1"/>
        <v>1775078.5377875769</v>
      </c>
      <c r="BL23" s="188">
        <f t="shared" si="1"/>
        <v>1778546.1994993642</v>
      </c>
      <c r="BM23" s="188">
        <f t="shared" si="1"/>
        <v>1780828.937977954</v>
      </c>
      <c r="BN23" s="188">
        <f t="shared" si="1"/>
        <v>1783929.7796174709</v>
      </c>
      <c r="BO23" s="188">
        <f t="shared" si="1"/>
        <v>1786315.4619341916</v>
      </c>
      <c r="BP23" s="188">
        <f t="shared" si="1"/>
        <v>1789744.3384574517</v>
      </c>
      <c r="BQ23" s="188">
        <f t="shared" si="1"/>
        <v>1792018.5247388962</v>
      </c>
      <c r="BR23" s="188">
        <f t="shared" si="1"/>
        <v>1793228.223591161</v>
      </c>
      <c r="BS23" s="188">
        <f t="shared" si="1"/>
        <v>1795391.9666333348</v>
      </c>
      <c r="BT23" s="188">
        <f t="shared" si="1"/>
        <v>1797993.3620201447</v>
      </c>
      <c r="BU23" s="188">
        <f t="shared" si="1"/>
        <v>1801299.7969925376</v>
      </c>
      <c r="BV23" s="188">
        <f t="shared" si="1"/>
        <v>1803515.1413673502</v>
      </c>
      <c r="BW23" s="188">
        <f t="shared" si="1"/>
        <v>1806383.168220123</v>
      </c>
      <c r="BX23" s="188">
        <f t="shared" si="1"/>
        <v>1809880.3661398664</v>
      </c>
      <c r="BY23" s="188">
        <f t="shared" si="1"/>
        <v>1812129.3474777942</v>
      </c>
      <c r="BZ23" s="188">
        <f t="shared" si="1"/>
        <v>1815169.0395199866</v>
      </c>
      <c r="CA23" s="188">
        <f t="shared" si="1"/>
        <v>1817480.893860176</v>
      </c>
      <c r="CB23" s="188">
        <f t="shared" si="1"/>
        <v>1820854.1249103369</v>
      </c>
      <c r="CC23" s="188">
        <f t="shared" si="1"/>
        <v>1823052.3615387117</v>
      </c>
      <c r="CD23" s="188">
        <f t="shared" si="1"/>
        <v>1824171.0640410597</v>
      </c>
      <c r="CE23" s="188">
        <f t="shared" si="1"/>
        <v>1826257.1155506533</v>
      </c>
      <c r="CF23" s="188">
        <f t="shared" si="1"/>
        <v>1828788.360589206</v>
      </c>
      <c r="CG23" s="188">
        <f t="shared" si="1"/>
        <v>1832036.6548846741</v>
      </c>
      <c r="CH23" s="188">
        <f t="shared" si="1"/>
        <v>1834175.0848505399</v>
      </c>
      <c r="CI23" s="188">
        <f t="shared" si="1"/>
        <v>1836977.1268503531</v>
      </c>
      <c r="CJ23" s="188">
        <f t="shared" si="1"/>
        <v>1840419.078075706</v>
      </c>
      <c r="CK23" s="188">
        <f t="shared" si="1"/>
        <v>1842646.1200897342</v>
      </c>
      <c r="CL23" s="188">
        <f t="shared" si="1"/>
        <v>1845732.1974908181</v>
      </c>
      <c r="CM23" s="188">
        <f t="shared" si="1"/>
        <v>1848078.0529053083</v>
      </c>
      <c r="CN23" s="188">
        <f t="shared" si="1"/>
        <v>1851503.1706764386</v>
      </c>
      <c r="CO23" s="188">
        <f t="shared" si="1"/>
        <v>1853733.3252371328</v>
      </c>
    </row>
    <row r="24" spans="1:94" x14ac:dyDescent="0.2">
      <c r="A24" s="118">
        <f t="shared" si="0"/>
        <v>9</v>
      </c>
      <c r="B24" s="102"/>
      <c r="C24" s="143"/>
      <c r="D24" s="168"/>
      <c r="E24" s="189"/>
      <c r="F24" s="183"/>
      <c r="G24" s="142"/>
      <c r="H24" s="174"/>
      <c r="I24" s="162"/>
      <c r="J24" s="168"/>
      <c r="K24" s="189"/>
      <c r="L24" s="183"/>
      <c r="M24" s="142"/>
      <c r="N24" s="174"/>
      <c r="T24" s="935"/>
      <c r="U24" s="190"/>
      <c r="V24" s="191"/>
      <c r="W24" s="140"/>
      <c r="Y24" s="190"/>
      <c r="Z24" s="141"/>
      <c r="AB24" s="193">
        <f>SUM(AH24:AS24)</f>
        <v>0</v>
      </c>
      <c r="AC24" s="193">
        <f>SUM(AT24:BE24)</f>
        <v>0</v>
      </c>
      <c r="AD24" s="193">
        <f>SUM(BF24:BQ24)</f>
        <v>0</v>
      </c>
      <c r="AE24" s="193">
        <f>SUM(BR24:CC24)</f>
        <v>0</v>
      </c>
      <c r="AF24" s="193">
        <f>SUM(CD24:CO24)</f>
        <v>0</v>
      </c>
      <c r="AH24" s="194">
        <v>0</v>
      </c>
      <c r="AI24" s="194">
        <v>0</v>
      </c>
      <c r="AJ24" s="194">
        <v>0</v>
      </c>
      <c r="AK24" s="194">
        <v>0</v>
      </c>
      <c r="AL24" s="194">
        <v>0</v>
      </c>
      <c r="AM24" s="194">
        <v>0</v>
      </c>
      <c r="AN24" s="194">
        <v>0</v>
      </c>
      <c r="AO24" s="194">
        <v>0</v>
      </c>
      <c r="AP24" s="194">
        <v>0</v>
      </c>
      <c r="AQ24" s="194">
        <v>0</v>
      </c>
      <c r="AR24" s="194">
        <v>0</v>
      </c>
      <c r="AS24" s="194">
        <v>0</v>
      </c>
      <c r="AT24" s="194">
        <v>0</v>
      </c>
      <c r="AU24" s="194">
        <v>0</v>
      </c>
      <c r="AV24" s="194">
        <v>0</v>
      </c>
      <c r="AW24" s="194">
        <v>0</v>
      </c>
      <c r="AX24" s="194">
        <v>0</v>
      </c>
      <c r="AY24" s="194">
        <v>0</v>
      </c>
      <c r="AZ24" s="194">
        <v>0</v>
      </c>
      <c r="BA24" s="194">
        <v>0</v>
      </c>
      <c r="BB24" s="194">
        <v>0</v>
      </c>
      <c r="BC24" s="194">
        <v>0</v>
      </c>
      <c r="BD24" s="194">
        <v>0</v>
      </c>
      <c r="BE24" s="194">
        <v>0</v>
      </c>
      <c r="BF24" s="194">
        <v>0</v>
      </c>
      <c r="BG24" s="194">
        <v>0</v>
      </c>
      <c r="BH24" s="194">
        <v>0</v>
      </c>
      <c r="BI24" s="194">
        <v>0</v>
      </c>
      <c r="BJ24" s="194">
        <v>0</v>
      </c>
      <c r="BK24" s="194">
        <v>0</v>
      </c>
      <c r="BL24" s="194">
        <v>0</v>
      </c>
      <c r="BM24" s="194">
        <v>0</v>
      </c>
      <c r="BN24" s="194">
        <v>0</v>
      </c>
      <c r="BO24" s="194">
        <v>0</v>
      </c>
      <c r="BP24" s="194">
        <v>0</v>
      </c>
      <c r="BQ24" s="194">
        <v>0</v>
      </c>
      <c r="BR24" s="194">
        <v>0</v>
      </c>
      <c r="BS24" s="194">
        <v>0</v>
      </c>
      <c r="BT24" s="194">
        <v>0</v>
      </c>
      <c r="BU24" s="194">
        <v>0</v>
      </c>
      <c r="BV24" s="194">
        <v>0</v>
      </c>
      <c r="BW24" s="194">
        <v>0</v>
      </c>
      <c r="BX24" s="194">
        <v>0</v>
      </c>
      <c r="BY24" s="194">
        <v>0</v>
      </c>
      <c r="BZ24" s="194">
        <v>0</v>
      </c>
      <c r="CA24" s="194">
        <v>0</v>
      </c>
      <c r="CB24" s="194">
        <v>0</v>
      </c>
      <c r="CC24" s="194">
        <v>0</v>
      </c>
      <c r="CD24" s="194">
        <v>0</v>
      </c>
      <c r="CE24" s="194">
        <v>0</v>
      </c>
      <c r="CF24" s="194">
        <v>0</v>
      </c>
      <c r="CG24" s="194">
        <v>0</v>
      </c>
      <c r="CH24" s="194">
        <v>0</v>
      </c>
      <c r="CI24" s="194">
        <v>0</v>
      </c>
      <c r="CJ24" s="194">
        <v>0</v>
      </c>
      <c r="CK24" s="194">
        <v>0</v>
      </c>
      <c r="CL24" s="194">
        <v>0</v>
      </c>
      <c r="CM24" s="194">
        <v>0</v>
      </c>
      <c r="CN24" s="194">
        <v>0</v>
      </c>
      <c r="CO24" s="194">
        <v>0</v>
      </c>
    </row>
    <row r="25" spans="1:94" x14ac:dyDescent="0.2">
      <c r="A25" s="118">
        <f t="shared" si="0"/>
        <v>10</v>
      </c>
      <c r="B25" s="195" t="s">
        <v>551</v>
      </c>
      <c r="C25" s="143"/>
      <c r="D25" s="143"/>
      <c r="E25" s="166"/>
      <c r="F25" s="183"/>
      <c r="G25" s="142"/>
      <c r="H25" s="174"/>
      <c r="I25" s="162"/>
      <c r="J25" s="143"/>
      <c r="K25" s="166"/>
      <c r="L25" s="310"/>
      <c r="M25" s="142"/>
      <c r="N25" s="174"/>
      <c r="R25" s="196"/>
      <c r="U25" s="184"/>
      <c r="V25" s="139"/>
      <c r="W25" s="140"/>
      <c r="Y25" s="184"/>
      <c r="Z25" s="141"/>
      <c r="AB25" s="107" t="s">
        <v>552</v>
      </c>
      <c r="AH25" s="118">
        <f t="shared" ref="AH25:CO25" si="2">IF(AH10="Mo 1",1,IF(AH10="Mo 2",1,IF(AH10="Mo 12",1,2)))</f>
        <v>1</v>
      </c>
      <c r="AI25" s="118">
        <f t="shared" si="2"/>
        <v>1</v>
      </c>
      <c r="AJ25" s="118">
        <f t="shared" si="2"/>
        <v>2</v>
      </c>
      <c r="AK25" s="118">
        <f t="shared" si="2"/>
        <v>2</v>
      </c>
      <c r="AL25" s="118">
        <f t="shared" si="2"/>
        <v>2</v>
      </c>
      <c r="AM25" s="118">
        <f t="shared" si="2"/>
        <v>2</v>
      </c>
      <c r="AN25" s="118">
        <f t="shared" si="2"/>
        <v>2</v>
      </c>
      <c r="AO25" s="118">
        <f t="shared" si="2"/>
        <v>2</v>
      </c>
      <c r="AP25" s="118">
        <f t="shared" si="2"/>
        <v>2</v>
      </c>
      <c r="AQ25" s="118">
        <f t="shared" si="2"/>
        <v>2</v>
      </c>
      <c r="AR25" s="118">
        <f t="shared" si="2"/>
        <v>2</v>
      </c>
      <c r="AS25" s="118">
        <f t="shared" si="2"/>
        <v>1</v>
      </c>
      <c r="AT25" s="118">
        <f t="shared" si="2"/>
        <v>1</v>
      </c>
      <c r="AU25" s="118">
        <f t="shared" si="2"/>
        <v>1</v>
      </c>
      <c r="AV25" s="118">
        <f t="shared" si="2"/>
        <v>2</v>
      </c>
      <c r="AW25" s="118">
        <f t="shared" si="2"/>
        <v>2</v>
      </c>
      <c r="AX25" s="118">
        <f t="shared" si="2"/>
        <v>2</v>
      </c>
      <c r="AY25" s="118">
        <f t="shared" si="2"/>
        <v>2</v>
      </c>
      <c r="AZ25" s="118">
        <f t="shared" si="2"/>
        <v>2</v>
      </c>
      <c r="BA25" s="118">
        <f t="shared" si="2"/>
        <v>2</v>
      </c>
      <c r="BB25" s="118">
        <f t="shared" si="2"/>
        <v>2</v>
      </c>
      <c r="BC25" s="118">
        <f t="shared" si="2"/>
        <v>2</v>
      </c>
      <c r="BD25" s="118">
        <f t="shared" si="2"/>
        <v>2</v>
      </c>
      <c r="BE25" s="118">
        <f t="shared" si="2"/>
        <v>1</v>
      </c>
      <c r="BF25" s="118">
        <f t="shared" si="2"/>
        <v>1</v>
      </c>
      <c r="BG25" s="118">
        <f t="shared" si="2"/>
        <v>1</v>
      </c>
      <c r="BH25" s="118">
        <f t="shared" si="2"/>
        <v>2</v>
      </c>
      <c r="BI25" s="118">
        <f t="shared" si="2"/>
        <v>2</v>
      </c>
      <c r="BJ25" s="118">
        <f t="shared" si="2"/>
        <v>2</v>
      </c>
      <c r="BK25" s="118">
        <f t="shared" si="2"/>
        <v>2</v>
      </c>
      <c r="BL25" s="118">
        <f t="shared" si="2"/>
        <v>2</v>
      </c>
      <c r="BM25" s="118">
        <f t="shared" si="2"/>
        <v>2</v>
      </c>
      <c r="BN25" s="118">
        <f t="shared" si="2"/>
        <v>2</v>
      </c>
      <c r="BO25" s="118">
        <f t="shared" si="2"/>
        <v>2</v>
      </c>
      <c r="BP25" s="118">
        <f t="shared" si="2"/>
        <v>2</v>
      </c>
      <c r="BQ25" s="118">
        <f t="shared" si="2"/>
        <v>1</v>
      </c>
      <c r="BR25" s="118">
        <f t="shared" si="2"/>
        <v>1</v>
      </c>
      <c r="BS25" s="118">
        <f t="shared" si="2"/>
        <v>1</v>
      </c>
      <c r="BT25" s="118">
        <f t="shared" si="2"/>
        <v>2</v>
      </c>
      <c r="BU25" s="118">
        <f t="shared" si="2"/>
        <v>2</v>
      </c>
      <c r="BV25" s="118">
        <f t="shared" si="2"/>
        <v>2</v>
      </c>
      <c r="BW25" s="118">
        <f t="shared" si="2"/>
        <v>2</v>
      </c>
      <c r="BX25" s="118">
        <f t="shared" si="2"/>
        <v>2</v>
      </c>
      <c r="BY25" s="118">
        <f t="shared" si="2"/>
        <v>2</v>
      </c>
      <c r="BZ25" s="118">
        <f t="shared" si="2"/>
        <v>2</v>
      </c>
      <c r="CA25" s="118">
        <f t="shared" si="2"/>
        <v>2</v>
      </c>
      <c r="CB25" s="118">
        <f t="shared" si="2"/>
        <v>2</v>
      </c>
      <c r="CC25" s="118">
        <f t="shared" si="2"/>
        <v>1</v>
      </c>
      <c r="CD25" s="118">
        <f t="shared" si="2"/>
        <v>1</v>
      </c>
      <c r="CE25" s="118">
        <f t="shared" si="2"/>
        <v>1</v>
      </c>
      <c r="CF25" s="118">
        <f t="shared" si="2"/>
        <v>2</v>
      </c>
      <c r="CG25" s="118">
        <f t="shared" si="2"/>
        <v>2</v>
      </c>
      <c r="CH25" s="118">
        <f t="shared" si="2"/>
        <v>2</v>
      </c>
      <c r="CI25" s="118">
        <f t="shared" si="2"/>
        <v>2</v>
      </c>
      <c r="CJ25" s="118">
        <f t="shared" si="2"/>
        <v>2</v>
      </c>
      <c r="CK25" s="118">
        <f t="shared" si="2"/>
        <v>2</v>
      </c>
      <c r="CL25" s="118">
        <f t="shared" si="2"/>
        <v>2</v>
      </c>
      <c r="CM25" s="118">
        <f t="shared" si="2"/>
        <v>2</v>
      </c>
      <c r="CN25" s="118">
        <f t="shared" si="2"/>
        <v>2</v>
      </c>
      <c r="CO25" s="118">
        <f t="shared" si="2"/>
        <v>1</v>
      </c>
    </row>
    <row r="26" spans="1:94" x14ac:dyDescent="0.2">
      <c r="A26" s="118">
        <f t="shared" si="0"/>
        <v>11</v>
      </c>
      <c r="B26" s="100" t="s">
        <v>553</v>
      </c>
      <c r="C26" s="143"/>
      <c r="D26" s="143"/>
      <c r="E26" s="166"/>
      <c r="F26" s="183"/>
      <c r="G26" s="142"/>
      <c r="H26" s="174"/>
      <c r="I26" s="162"/>
      <c r="J26" s="168"/>
      <c r="K26" s="166"/>
      <c r="L26" s="183"/>
      <c r="M26" s="142"/>
      <c r="N26" s="174"/>
      <c r="U26" s="184"/>
      <c r="V26" s="139"/>
      <c r="W26" s="140"/>
      <c r="Y26" s="184"/>
      <c r="Z26" s="141"/>
    </row>
    <row r="27" spans="1:94" x14ac:dyDescent="0.2">
      <c r="A27" s="118">
        <f t="shared" si="0"/>
        <v>12</v>
      </c>
      <c r="B27" s="171"/>
      <c r="F27" s="197"/>
      <c r="I27" s="162"/>
      <c r="L27" s="1368">
        <v>-12.77</v>
      </c>
      <c r="S27" s="732"/>
      <c r="T27" s="858" t="s">
        <v>554</v>
      </c>
      <c r="U27" s="184"/>
      <c r="V27" s="139"/>
      <c r="W27" s="140"/>
      <c r="Y27" s="184"/>
      <c r="Z27" s="141"/>
    </row>
    <row r="28" spans="1:94" x14ac:dyDescent="0.2">
      <c r="A28" s="118">
        <f t="shared" si="0"/>
        <v>13</v>
      </c>
      <c r="B28" s="198" t="s">
        <v>348</v>
      </c>
      <c r="C28" s="143"/>
      <c r="D28" s="172">
        <f>SUMIFS($AH28:$CO28,$AH$8:$CO$8,1,$AH$25:$CO$25,1)+'Unbilled to E-13c'!Q37</f>
        <v>3302541.7818163768</v>
      </c>
      <c r="E28" s="166" t="s">
        <v>555</v>
      </c>
      <c r="F28" s="183">
        <v>88.67</v>
      </c>
      <c r="G28" s="142" t="s">
        <v>375</v>
      </c>
      <c r="H28" s="174">
        <f>ROUND(D28*F28,2)</f>
        <v>292836379.79000002</v>
      </c>
      <c r="I28" s="162"/>
      <c r="J28" s="185">
        <f>D28</f>
        <v>3302541.7818163768</v>
      </c>
      <c r="K28" s="166" t="s">
        <v>555</v>
      </c>
      <c r="L28" s="183">
        <f>ROUND('MFR E-14B'!G50*10+($L$27*(1+T28)),2)</f>
        <v>90.85</v>
      </c>
      <c r="M28" s="142" t="s">
        <v>375</v>
      </c>
      <c r="N28" s="174">
        <f>ROUND(J28*L28,2)</f>
        <v>300035920.88</v>
      </c>
      <c r="Q28" s="1022"/>
      <c r="T28" s="859">
        <f>'MFR E-14B'!G45</f>
        <v>0.1573</v>
      </c>
      <c r="U28" s="178" t="s">
        <v>135</v>
      </c>
      <c r="V28" s="179">
        <v>238</v>
      </c>
      <c r="W28" s="180">
        <v>212</v>
      </c>
      <c r="Y28" s="178"/>
      <c r="Z28" s="181"/>
      <c r="AB28" s="182">
        <f>SUM(AH28:AS28)</f>
        <v>14987995.473220017</v>
      </c>
      <c r="AC28" s="182">
        <f>SUM(AT28:BE28)</f>
        <v>15070158.104417343</v>
      </c>
      <c r="AD28" s="182">
        <f>SUM(BF28:BQ28)</f>
        <v>15013144.373565374</v>
      </c>
      <c r="AE28" s="182">
        <f>SUM(BR28:CC28)</f>
        <v>14946335.265957752</v>
      </c>
      <c r="AF28" s="182">
        <f>SUM(CD28:CO28)</f>
        <v>15440352.074610243</v>
      </c>
      <c r="AH28" s="168">
        <v>1349521.3100839802</v>
      </c>
      <c r="AI28" s="168">
        <v>998433.68865364487</v>
      </c>
      <c r="AJ28" s="168">
        <v>1070175.7267304664</v>
      </c>
      <c r="AK28" s="168">
        <v>1090211.371000106</v>
      </c>
      <c r="AL28" s="168">
        <v>1264749.2062485528</v>
      </c>
      <c r="AM28" s="168">
        <v>1345825.2949063445</v>
      </c>
      <c r="AN28" s="168">
        <v>1318345.1304139977</v>
      </c>
      <c r="AO28" s="168">
        <v>1411748.6277431981</v>
      </c>
      <c r="AP28" s="168">
        <v>1426400.1763021729</v>
      </c>
      <c r="AQ28" s="168">
        <v>1461511.3692986062</v>
      </c>
      <c r="AR28" s="168">
        <v>1162192.2166807102</v>
      </c>
      <c r="AS28" s="168">
        <v>1088881.3551582387</v>
      </c>
      <c r="AT28" s="168">
        <v>1312974.5634247565</v>
      </c>
      <c r="AU28" s="168">
        <v>1089061.5338510454</v>
      </c>
      <c r="AV28" s="168">
        <v>1035125.9280180109</v>
      </c>
      <c r="AW28" s="168">
        <v>1129907.8645380577</v>
      </c>
      <c r="AX28" s="168">
        <v>1268459.7676146461</v>
      </c>
      <c r="AY28" s="168">
        <v>1279759.3262698518</v>
      </c>
      <c r="AZ28" s="168">
        <v>1371546.4336380993</v>
      </c>
      <c r="BA28" s="168">
        <v>1384991.6330856672</v>
      </c>
      <c r="BB28" s="168">
        <v>1432298.0486183902</v>
      </c>
      <c r="BC28" s="168">
        <v>1508463.256931965</v>
      </c>
      <c r="BD28" s="168">
        <v>1167342.1752888064</v>
      </c>
      <c r="BE28" s="168">
        <v>1090227.5731380442</v>
      </c>
      <c r="BF28" s="168">
        <v>1244856.8551657491</v>
      </c>
      <c r="BG28" s="168">
        <v>1107083.5880324915</v>
      </c>
      <c r="BH28" s="168">
        <v>1061222.1541909911</v>
      </c>
      <c r="BI28" s="168">
        <v>1070545.9829492178</v>
      </c>
      <c r="BJ28" s="168">
        <v>1254337.6680893656</v>
      </c>
      <c r="BK28" s="168">
        <v>1307320.9147047503</v>
      </c>
      <c r="BL28" s="168">
        <v>1371467.9402417501</v>
      </c>
      <c r="BM28" s="168">
        <v>1397257.6062328261</v>
      </c>
      <c r="BN28" s="168">
        <v>1429598.930002894</v>
      </c>
      <c r="BO28" s="168">
        <v>1464166.4249993437</v>
      </c>
      <c r="BP28" s="168">
        <v>1151283.1195119726</v>
      </c>
      <c r="BQ28" s="168">
        <v>1154003.1894440216</v>
      </c>
      <c r="BR28" s="168">
        <v>1233292.3866749797</v>
      </c>
      <c r="BS28" s="168">
        <v>1061144.1089033578</v>
      </c>
      <c r="BT28" s="168">
        <v>1082757.6152831407</v>
      </c>
      <c r="BU28" s="168">
        <v>1101831.9726066822</v>
      </c>
      <c r="BV28" s="168">
        <v>1170490.1258331609</v>
      </c>
      <c r="BW28" s="168">
        <v>1340041.7159403192</v>
      </c>
      <c r="BX28" s="168">
        <v>1401116.4797399039</v>
      </c>
      <c r="BY28" s="168">
        <v>1404580.527448941</v>
      </c>
      <c r="BZ28" s="168">
        <v>1423881.7026463861</v>
      </c>
      <c r="CA28" s="168">
        <v>1477955.6781624062</v>
      </c>
      <c r="CB28" s="168">
        <v>1150481.0944804365</v>
      </c>
      <c r="CC28" s="168">
        <v>1098761.8582380398</v>
      </c>
      <c r="CD28" s="168">
        <v>1291229.6005704643</v>
      </c>
      <c r="CE28" s="168">
        <v>1057700.9506949368</v>
      </c>
      <c r="CF28" s="168">
        <v>1028274.6829603468</v>
      </c>
      <c r="CG28" s="168">
        <v>1176689.6849928589</v>
      </c>
      <c r="CH28" s="168">
        <v>1258932.8366042154</v>
      </c>
      <c r="CI28" s="168">
        <v>1325411.7155332258</v>
      </c>
      <c r="CJ28" s="168">
        <v>1421940.6537261424</v>
      </c>
      <c r="CK28" s="168">
        <v>1441073.4124573357</v>
      </c>
      <c r="CL28" s="168">
        <v>1521195.7408981293</v>
      </c>
      <c r="CM28" s="168">
        <v>1526697.3336581797</v>
      </c>
      <c r="CN28" s="168">
        <v>1236759.6323954361</v>
      </c>
      <c r="CO28" s="168">
        <v>1154445.8301189742</v>
      </c>
    </row>
    <row r="29" spans="1:94" x14ac:dyDescent="0.2">
      <c r="A29" s="118">
        <f t="shared" si="0"/>
        <v>14</v>
      </c>
      <c r="B29" s="198" t="s">
        <v>349</v>
      </c>
      <c r="C29" s="143"/>
      <c r="D29" s="172">
        <f>SUMIFS($AH29:$CO29,$AH$8:$CO$8,1,$AH$25:$CO$25,1)+'Unbilled to E-13c'!Q38</f>
        <v>854060.99531853595</v>
      </c>
      <c r="E29" s="166" t="s">
        <v>555</v>
      </c>
      <c r="F29" s="183">
        <v>103.08</v>
      </c>
      <c r="G29" s="142" t="s">
        <v>375</v>
      </c>
      <c r="H29" s="174">
        <f>ROUND(D29*F29,2)</f>
        <v>88036607.400000006</v>
      </c>
      <c r="I29" s="162"/>
      <c r="J29" s="185">
        <f>D29</f>
        <v>854060.99531853595</v>
      </c>
      <c r="K29" s="166" t="s">
        <v>555</v>
      </c>
      <c r="L29" s="183">
        <f>ROUND('MFR E-14B'!G51*10+($L$27*(1+T29)),2)</f>
        <v>105.31</v>
      </c>
      <c r="M29" s="142" t="s">
        <v>375</v>
      </c>
      <c r="N29" s="174">
        <f>ROUND(J29*L29,2)</f>
        <v>89941163.420000002</v>
      </c>
      <c r="Q29" s="1022"/>
      <c r="T29" s="859">
        <f>'MFR E-14B'!G46</f>
        <v>0.19</v>
      </c>
      <c r="U29" s="178" t="s">
        <v>135</v>
      </c>
      <c r="V29" s="179">
        <v>238</v>
      </c>
      <c r="W29" s="180">
        <v>212</v>
      </c>
      <c r="Y29" s="178"/>
      <c r="Z29" s="181"/>
      <c r="AB29" s="182">
        <f>SUM(AH29:AS29)</f>
        <v>5861703.6245576572</v>
      </c>
      <c r="AC29" s="182">
        <f>SUM(AT29:BE29)</f>
        <v>5881721.880669564</v>
      </c>
      <c r="AD29" s="182">
        <f>SUM(BF29:BQ29)</f>
        <v>5870705.838589102</v>
      </c>
      <c r="AE29" s="182">
        <f>SUM(BR29:CC29)</f>
        <v>5870584.6471353546</v>
      </c>
      <c r="AF29" s="182">
        <f>SUM(CD29:CO29)</f>
        <v>6055540.6666690279</v>
      </c>
      <c r="AH29" s="168">
        <v>377723.74317184283</v>
      </c>
      <c r="AI29" s="168">
        <v>270931.40528787987</v>
      </c>
      <c r="AJ29" s="168">
        <v>232607.24294336492</v>
      </c>
      <c r="AK29" s="168">
        <v>283620.74474470172</v>
      </c>
      <c r="AL29" s="168">
        <v>408440.32671771653</v>
      </c>
      <c r="AM29" s="168">
        <v>741827.7094499463</v>
      </c>
      <c r="AN29" s="168">
        <v>851231.78130831919</v>
      </c>
      <c r="AO29" s="168">
        <v>865546.64991835866</v>
      </c>
      <c r="AP29" s="168">
        <v>800452.9911470206</v>
      </c>
      <c r="AQ29" s="168">
        <v>475145.35383805388</v>
      </c>
      <c r="AR29" s="168">
        <v>299953.79961426568</v>
      </c>
      <c r="AS29" s="168">
        <v>254221.87641618701</v>
      </c>
      <c r="AT29" s="168">
        <v>367494.50570391724</v>
      </c>
      <c r="AU29" s="168">
        <v>295523.85417715396</v>
      </c>
      <c r="AV29" s="168">
        <v>224989.02021546566</v>
      </c>
      <c r="AW29" s="168">
        <v>293947.86970456975</v>
      </c>
      <c r="AX29" s="168">
        <v>409638.62191267352</v>
      </c>
      <c r="AY29" s="168">
        <v>705411.71521080402</v>
      </c>
      <c r="AZ29" s="168">
        <v>885582.90763072227</v>
      </c>
      <c r="BA29" s="168">
        <v>849141.86890239862</v>
      </c>
      <c r="BB29" s="168">
        <v>803762.70017212606</v>
      </c>
      <c r="BC29" s="168">
        <v>490409.66975892364</v>
      </c>
      <c r="BD29" s="168">
        <v>301282.96843004605</v>
      </c>
      <c r="BE29" s="168">
        <v>254536.17885076365</v>
      </c>
      <c r="BF29" s="168">
        <v>348428.72619556793</v>
      </c>
      <c r="BG29" s="168">
        <v>300414.25453227188</v>
      </c>
      <c r="BH29" s="168">
        <v>230661.14589511327</v>
      </c>
      <c r="BI29" s="168">
        <v>278504.75333876919</v>
      </c>
      <c r="BJ29" s="168">
        <v>405078.00632537092</v>
      </c>
      <c r="BK29" s="168">
        <v>720603.8431154039</v>
      </c>
      <c r="BL29" s="168">
        <v>885532.2258539598</v>
      </c>
      <c r="BM29" s="168">
        <v>856662.16802426416</v>
      </c>
      <c r="BN29" s="168">
        <v>802248.03577069868</v>
      </c>
      <c r="BO29" s="168">
        <v>476008.52699351974</v>
      </c>
      <c r="BP29" s="168">
        <v>297138.23683630308</v>
      </c>
      <c r="BQ29" s="168">
        <v>269425.91570785973</v>
      </c>
      <c r="BR29" s="168">
        <v>345191.89377692732</v>
      </c>
      <c r="BS29" s="168">
        <v>287948.28129830275</v>
      </c>
      <c r="BT29" s="168">
        <v>235341.96989909542</v>
      </c>
      <c r="BU29" s="168">
        <v>286643.86830560828</v>
      </c>
      <c r="BV29" s="168">
        <v>378000.13398166501</v>
      </c>
      <c r="BW29" s="168">
        <v>738639.76287691959</v>
      </c>
      <c r="BX29" s="168">
        <v>904675.75550182851</v>
      </c>
      <c r="BY29" s="168">
        <v>861151.86952045513</v>
      </c>
      <c r="BZ29" s="168">
        <v>799039.69927816675</v>
      </c>
      <c r="CA29" s="168">
        <v>480491.48874869937</v>
      </c>
      <c r="CB29" s="168">
        <v>296931.23970438098</v>
      </c>
      <c r="CC29" s="168">
        <v>256528.68424330599</v>
      </c>
      <c r="CD29" s="168">
        <v>361408.20776769216</v>
      </c>
      <c r="CE29" s="168">
        <v>287013.95816534245</v>
      </c>
      <c r="CF29" s="168">
        <v>223499.87298124324</v>
      </c>
      <c r="CG29" s="168">
        <v>306118.25712745258</v>
      </c>
      <c r="CH29" s="168">
        <v>406561.97810432565</v>
      </c>
      <c r="CI29" s="168">
        <v>730575.61091579811</v>
      </c>
      <c r="CJ29" s="168">
        <v>918121.55077018403</v>
      </c>
      <c r="CK29" s="168">
        <v>883525.74950457492</v>
      </c>
      <c r="CL29" s="168">
        <v>853649.41841122287</v>
      </c>
      <c r="CM29" s="168">
        <v>496337.6680078496</v>
      </c>
      <c r="CN29" s="168">
        <v>319199.13558367128</v>
      </c>
      <c r="CO29" s="168">
        <v>269529.25932967087</v>
      </c>
    </row>
    <row r="30" spans="1:94" x14ac:dyDescent="0.2">
      <c r="A30" s="118">
        <f t="shared" si="0"/>
        <v>15</v>
      </c>
      <c r="B30" s="199" t="s">
        <v>556</v>
      </c>
      <c r="C30" s="143"/>
      <c r="D30" s="188">
        <f>SUM(D28:D29)</f>
        <v>4156602.777134913</v>
      </c>
      <c r="E30" s="166"/>
      <c r="F30" s="183"/>
      <c r="G30" s="142"/>
      <c r="H30" s="174"/>
      <c r="I30" s="162"/>
      <c r="J30" s="200">
        <f>SUM(J28:J29)</f>
        <v>4156602.777134913</v>
      </c>
      <c r="K30" s="166"/>
      <c r="L30" s="183"/>
      <c r="M30" s="142"/>
      <c r="N30" s="174"/>
      <c r="Q30" s="1219"/>
      <c r="T30" s="927"/>
      <c r="U30" s="184"/>
      <c r="V30" s="139"/>
      <c r="W30" s="140"/>
      <c r="Y30" s="184"/>
      <c r="Z30" s="141"/>
      <c r="AB30" s="188">
        <f>+AB28+AB29</f>
        <v>20849699.097777672</v>
      </c>
      <c r="AC30" s="188">
        <f>+AC28+AC29</f>
        <v>20951879.985086907</v>
      </c>
      <c r="AD30" s="188">
        <f>+AD28+AD29</f>
        <v>20883850.212154478</v>
      </c>
      <c r="AE30" s="188">
        <f>+AE28+AE29</f>
        <v>20816919.913093105</v>
      </c>
      <c r="AF30" s="188">
        <f>+AF28+AF29</f>
        <v>21495892.74127927</v>
      </c>
      <c r="AH30" s="188">
        <f t="shared" ref="AH30:CO30" si="3">+AH28+AH29</f>
        <v>1727245.053255823</v>
      </c>
      <c r="AI30" s="188">
        <f t="shared" si="3"/>
        <v>1269365.0939415246</v>
      </c>
      <c r="AJ30" s="188">
        <f t="shared" si="3"/>
        <v>1302782.9696738312</v>
      </c>
      <c r="AK30" s="188">
        <f t="shared" si="3"/>
        <v>1373832.1157448078</v>
      </c>
      <c r="AL30" s="188">
        <f t="shared" si="3"/>
        <v>1673189.5329662692</v>
      </c>
      <c r="AM30" s="188">
        <f t="shared" si="3"/>
        <v>2087653.0043562907</v>
      </c>
      <c r="AN30" s="188">
        <f t="shared" si="3"/>
        <v>2169576.9117223169</v>
      </c>
      <c r="AO30" s="188">
        <f t="shared" si="3"/>
        <v>2277295.2776615568</v>
      </c>
      <c r="AP30" s="188">
        <f t="shared" si="3"/>
        <v>2226853.1674491935</v>
      </c>
      <c r="AQ30" s="188">
        <f t="shared" si="3"/>
        <v>1936656.7231366602</v>
      </c>
      <c r="AR30" s="188">
        <f t="shared" si="3"/>
        <v>1462146.0162949758</v>
      </c>
      <c r="AS30" s="188">
        <f t="shared" si="3"/>
        <v>1343103.2315744257</v>
      </c>
      <c r="AT30" s="188">
        <f t="shared" si="3"/>
        <v>1680469.0691286738</v>
      </c>
      <c r="AU30" s="188">
        <f t="shared" si="3"/>
        <v>1384585.3880281993</v>
      </c>
      <c r="AV30" s="188">
        <f t="shared" si="3"/>
        <v>1260114.9482334766</v>
      </c>
      <c r="AW30" s="188">
        <f t="shared" si="3"/>
        <v>1423855.7342426274</v>
      </c>
      <c r="AX30" s="188">
        <f t="shared" si="3"/>
        <v>1678098.3895273197</v>
      </c>
      <c r="AY30" s="188">
        <f t="shared" si="3"/>
        <v>1985171.0414806558</v>
      </c>
      <c r="AZ30" s="188">
        <f t="shared" si="3"/>
        <v>2257129.3412688216</v>
      </c>
      <c r="BA30" s="188">
        <f t="shared" si="3"/>
        <v>2234133.5019880659</v>
      </c>
      <c r="BB30" s="188">
        <f t="shared" si="3"/>
        <v>2236060.7487905165</v>
      </c>
      <c r="BC30" s="188">
        <f t="shared" si="3"/>
        <v>1998872.9266908886</v>
      </c>
      <c r="BD30" s="188">
        <f t="shared" si="3"/>
        <v>1468625.1437188524</v>
      </c>
      <c r="BE30" s="188">
        <f t="shared" si="3"/>
        <v>1344763.7519888079</v>
      </c>
      <c r="BF30" s="188">
        <f t="shared" si="3"/>
        <v>1593285.5813613171</v>
      </c>
      <c r="BG30" s="188">
        <f t="shared" si="3"/>
        <v>1407497.8425647635</v>
      </c>
      <c r="BH30" s="188">
        <f t="shared" si="3"/>
        <v>1291883.3000861043</v>
      </c>
      <c r="BI30" s="188">
        <f t="shared" si="3"/>
        <v>1349050.7362879869</v>
      </c>
      <c r="BJ30" s="188">
        <f t="shared" si="3"/>
        <v>1659415.6744147365</v>
      </c>
      <c r="BK30" s="188">
        <f t="shared" si="3"/>
        <v>2027924.7578201541</v>
      </c>
      <c r="BL30" s="188">
        <f t="shared" si="3"/>
        <v>2257000.1660957099</v>
      </c>
      <c r="BM30" s="188">
        <f t="shared" si="3"/>
        <v>2253919.7742570904</v>
      </c>
      <c r="BN30" s="188">
        <f t="shared" si="3"/>
        <v>2231846.9657735927</v>
      </c>
      <c r="BO30" s="188">
        <f t="shared" si="3"/>
        <v>1940174.9519928633</v>
      </c>
      <c r="BP30" s="188">
        <f t="shared" si="3"/>
        <v>1448421.3563482757</v>
      </c>
      <c r="BQ30" s="188">
        <f t="shared" si="3"/>
        <v>1423429.1051518812</v>
      </c>
      <c r="BR30" s="188">
        <f t="shared" si="3"/>
        <v>1578484.2804519071</v>
      </c>
      <c r="BS30" s="188">
        <f t="shared" si="3"/>
        <v>1349092.3902016606</v>
      </c>
      <c r="BT30" s="188">
        <f t="shared" si="3"/>
        <v>1318099.585182236</v>
      </c>
      <c r="BU30" s="188">
        <f t="shared" si="3"/>
        <v>1388475.8409122904</v>
      </c>
      <c r="BV30" s="188">
        <f t="shared" si="3"/>
        <v>1548490.2598148258</v>
      </c>
      <c r="BW30" s="188">
        <f t="shared" si="3"/>
        <v>2078681.4788172389</v>
      </c>
      <c r="BX30" s="188">
        <f t="shared" si="3"/>
        <v>2305792.2352417326</v>
      </c>
      <c r="BY30" s="188">
        <f t="shared" si="3"/>
        <v>2265732.3969693962</v>
      </c>
      <c r="BZ30" s="188">
        <f t="shared" si="3"/>
        <v>2222921.4019245529</v>
      </c>
      <c r="CA30" s="188">
        <f t="shared" si="3"/>
        <v>1958447.1669111056</v>
      </c>
      <c r="CB30" s="188">
        <f t="shared" si="3"/>
        <v>1447412.3341848175</v>
      </c>
      <c r="CC30" s="188">
        <f t="shared" si="3"/>
        <v>1355290.5424813458</v>
      </c>
      <c r="CD30" s="188">
        <f t="shared" si="3"/>
        <v>1652637.8083381564</v>
      </c>
      <c r="CE30" s="188">
        <f t="shared" si="3"/>
        <v>1344714.9088602792</v>
      </c>
      <c r="CF30" s="188">
        <f t="shared" si="3"/>
        <v>1251774.5559415901</v>
      </c>
      <c r="CG30" s="188">
        <f t="shared" si="3"/>
        <v>1482807.9421203115</v>
      </c>
      <c r="CH30" s="188">
        <f t="shared" si="3"/>
        <v>1665494.8147085411</v>
      </c>
      <c r="CI30" s="188">
        <f t="shared" si="3"/>
        <v>2055987.326449024</v>
      </c>
      <c r="CJ30" s="188">
        <f t="shared" si="3"/>
        <v>2340062.2044963264</v>
      </c>
      <c r="CK30" s="188">
        <f t="shared" si="3"/>
        <v>2324599.1619619108</v>
      </c>
      <c r="CL30" s="188">
        <f t="shared" si="3"/>
        <v>2374845.1593093523</v>
      </c>
      <c r="CM30" s="188">
        <f t="shared" si="3"/>
        <v>2023035.0016660294</v>
      </c>
      <c r="CN30" s="188">
        <f t="shared" si="3"/>
        <v>1555958.7679791073</v>
      </c>
      <c r="CO30" s="188">
        <f t="shared" si="3"/>
        <v>1423975.089448645</v>
      </c>
    </row>
    <row r="31" spans="1:94" x14ac:dyDescent="0.2">
      <c r="A31" s="118">
        <f t="shared" si="0"/>
        <v>16</v>
      </c>
      <c r="B31" s="100" t="s">
        <v>557</v>
      </c>
      <c r="C31" s="143"/>
      <c r="D31" s="143"/>
      <c r="E31" s="166"/>
      <c r="F31" s="183"/>
      <c r="G31" s="142"/>
      <c r="H31" s="174"/>
      <c r="I31" s="162"/>
      <c r="J31" s="175"/>
      <c r="K31" s="166"/>
      <c r="L31" s="183"/>
      <c r="M31" s="142"/>
      <c r="N31" s="174"/>
      <c r="Q31" s="1219"/>
      <c r="T31" s="860"/>
      <c r="U31" s="184"/>
      <c r="V31" s="139"/>
      <c r="W31" s="140"/>
      <c r="Y31" s="184"/>
      <c r="Z31" s="141"/>
    </row>
    <row r="32" spans="1:94" x14ac:dyDescent="0.2">
      <c r="A32" s="118">
        <f t="shared" si="0"/>
        <v>17</v>
      </c>
      <c r="B32" s="171" t="s">
        <v>149</v>
      </c>
      <c r="I32" s="162"/>
      <c r="L32" s="1368">
        <v>-0.4</v>
      </c>
      <c r="Q32" s="1219"/>
      <c r="S32" s="732"/>
      <c r="T32" s="858" t="s">
        <v>554</v>
      </c>
      <c r="U32" s="184"/>
      <c r="V32" s="139"/>
      <c r="W32" s="140"/>
      <c r="Y32" s="184"/>
      <c r="Z32" s="141"/>
    </row>
    <row r="33" spans="1:93" x14ac:dyDescent="0.2">
      <c r="A33" s="118">
        <f t="shared" si="0"/>
        <v>18</v>
      </c>
      <c r="B33" s="198" t="s">
        <v>348</v>
      </c>
      <c r="C33" s="143"/>
      <c r="D33" s="172">
        <f>SUMIFS($AH33:$CO33,AH$8:CO$8,1,AH$25:CO$25,2)+'Unbilled to E-13c'!R37</f>
        <v>11799106.745141376</v>
      </c>
      <c r="E33" s="166" t="s">
        <v>555</v>
      </c>
      <c r="F33" s="183">
        <v>84.48</v>
      </c>
      <c r="G33" s="142" t="s">
        <v>375</v>
      </c>
      <c r="H33" s="174">
        <f>ROUND(D33*F33,2)</f>
        <v>996788537.83000004</v>
      </c>
      <c r="I33" s="162"/>
      <c r="J33" s="185">
        <f>D33</f>
        <v>11799106.745141376</v>
      </c>
      <c r="K33" s="166" t="s">
        <v>555</v>
      </c>
      <c r="L33" s="183">
        <f>ROUND('MFR E-14B'!G52*10+($L$32*(1+T33)),2)</f>
        <v>87.03</v>
      </c>
      <c r="M33" s="142" t="s">
        <v>375</v>
      </c>
      <c r="N33" s="174">
        <f>ROUND(J33*L33,2)</f>
        <v>1026876260.03</v>
      </c>
      <c r="Q33" s="1022"/>
      <c r="S33" s="182"/>
      <c r="T33" s="859">
        <f>'MFR E-14B'!G47</f>
        <v>-4.2299999999999997E-2</v>
      </c>
      <c r="U33" s="178" t="s">
        <v>135</v>
      </c>
      <c r="V33" s="179">
        <v>264</v>
      </c>
      <c r="W33" s="180">
        <v>186</v>
      </c>
      <c r="Y33" s="178"/>
      <c r="Z33" s="181"/>
      <c r="AB33" s="182">
        <f>SUM(AH33:AS33)</f>
        <v>14987995.473220017</v>
      </c>
      <c r="AC33" s="182">
        <f>SUM(AT33:BE33)</f>
        <v>15070158.104417343</v>
      </c>
      <c r="AD33" s="182">
        <f>SUM(BF33:BQ33)</f>
        <v>15013144.373565374</v>
      </c>
      <c r="AE33" s="182">
        <f>SUM(BR33:CC33)</f>
        <v>14946335.265957752</v>
      </c>
      <c r="AF33" s="182">
        <f>SUM(CD33:CO33)</f>
        <v>15440352.074610243</v>
      </c>
      <c r="AH33" s="168">
        <v>1349521.3100839802</v>
      </c>
      <c r="AI33" s="168">
        <v>998433.68865364487</v>
      </c>
      <c r="AJ33" s="168">
        <v>1070175.7267304664</v>
      </c>
      <c r="AK33" s="168">
        <v>1090211.371000106</v>
      </c>
      <c r="AL33" s="168">
        <v>1264749.2062485528</v>
      </c>
      <c r="AM33" s="168">
        <v>1345825.2949063445</v>
      </c>
      <c r="AN33" s="168">
        <v>1318345.1304139977</v>
      </c>
      <c r="AO33" s="168">
        <v>1411748.6277431981</v>
      </c>
      <c r="AP33" s="168">
        <v>1426400.1763021729</v>
      </c>
      <c r="AQ33" s="168">
        <v>1461511.3692986062</v>
      </c>
      <c r="AR33" s="168">
        <v>1162192.2166807102</v>
      </c>
      <c r="AS33" s="168">
        <v>1088881.3551582387</v>
      </c>
      <c r="AT33" s="168">
        <v>1312974.5634247565</v>
      </c>
      <c r="AU33" s="168">
        <v>1089061.5338510454</v>
      </c>
      <c r="AV33" s="168">
        <v>1035125.9280180109</v>
      </c>
      <c r="AW33" s="168">
        <v>1129907.8645380577</v>
      </c>
      <c r="AX33" s="168">
        <v>1268459.7676146461</v>
      </c>
      <c r="AY33" s="168">
        <v>1279759.3262698518</v>
      </c>
      <c r="AZ33" s="168">
        <v>1371546.4336380993</v>
      </c>
      <c r="BA33" s="168">
        <v>1384991.6330856672</v>
      </c>
      <c r="BB33" s="168">
        <v>1432298.0486183902</v>
      </c>
      <c r="BC33" s="168">
        <v>1508463.256931965</v>
      </c>
      <c r="BD33" s="168">
        <v>1167342.1752888064</v>
      </c>
      <c r="BE33" s="168">
        <v>1090227.5731380442</v>
      </c>
      <c r="BF33" s="168">
        <v>1244856.8551657491</v>
      </c>
      <c r="BG33" s="168">
        <v>1107083.5880324915</v>
      </c>
      <c r="BH33" s="168">
        <v>1061222.1541909911</v>
      </c>
      <c r="BI33" s="168">
        <v>1070545.9829492178</v>
      </c>
      <c r="BJ33" s="168">
        <v>1254337.6680893656</v>
      </c>
      <c r="BK33" s="168">
        <v>1307320.9147047503</v>
      </c>
      <c r="BL33" s="168">
        <v>1371467.9402417501</v>
      </c>
      <c r="BM33" s="168">
        <v>1397257.6062328261</v>
      </c>
      <c r="BN33" s="168">
        <v>1429598.930002894</v>
      </c>
      <c r="BO33" s="168">
        <v>1464166.4249993437</v>
      </c>
      <c r="BP33" s="168">
        <v>1151283.1195119726</v>
      </c>
      <c r="BQ33" s="168">
        <v>1154003.1894440216</v>
      </c>
      <c r="BR33" s="168">
        <v>1233292.3866749797</v>
      </c>
      <c r="BS33" s="168">
        <v>1061144.1089033578</v>
      </c>
      <c r="BT33" s="168">
        <v>1082757.6152831407</v>
      </c>
      <c r="BU33" s="168">
        <v>1101831.9726066822</v>
      </c>
      <c r="BV33" s="168">
        <v>1170490.1258331609</v>
      </c>
      <c r="BW33" s="168">
        <v>1340041.7159403192</v>
      </c>
      <c r="BX33" s="168">
        <v>1401116.4797399039</v>
      </c>
      <c r="BY33" s="168">
        <v>1404580.527448941</v>
      </c>
      <c r="BZ33" s="168">
        <v>1423881.7026463861</v>
      </c>
      <c r="CA33" s="168">
        <v>1477955.6781624062</v>
      </c>
      <c r="CB33" s="168">
        <v>1150481.0944804365</v>
      </c>
      <c r="CC33" s="168">
        <v>1098761.8582380398</v>
      </c>
      <c r="CD33" s="168">
        <v>1291229.6005704643</v>
      </c>
      <c r="CE33" s="168">
        <v>1057700.9506949368</v>
      </c>
      <c r="CF33" s="168">
        <v>1028274.6829603468</v>
      </c>
      <c r="CG33" s="168">
        <v>1176689.6849928589</v>
      </c>
      <c r="CH33" s="168">
        <v>1258932.8366042154</v>
      </c>
      <c r="CI33" s="168">
        <v>1325411.7155332258</v>
      </c>
      <c r="CJ33" s="168">
        <v>1421940.6537261424</v>
      </c>
      <c r="CK33" s="168">
        <v>1441073.4124573357</v>
      </c>
      <c r="CL33" s="168">
        <v>1521195.7408981293</v>
      </c>
      <c r="CM33" s="168">
        <v>1526697.3336581797</v>
      </c>
      <c r="CN33" s="168">
        <v>1236759.6323954361</v>
      </c>
      <c r="CO33" s="168">
        <v>1154445.8301189742</v>
      </c>
    </row>
    <row r="34" spans="1:93" x14ac:dyDescent="0.2">
      <c r="A34" s="118">
        <f t="shared" si="0"/>
        <v>19</v>
      </c>
      <c r="B34" s="198" t="s">
        <v>349</v>
      </c>
      <c r="C34" s="143"/>
      <c r="D34" s="172">
        <f>SUMIFS($AH34:$CO34,AH$8:CO$8,1,AH$25:CO$25,2)+'Unbilled to E-13c'!R38</f>
        <v>5077527.2118168185</v>
      </c>
      <c r="E34" s="166" t="s">
        <v>555</v>
      </c>
      <c r="F34" s="183">
        <v>91.56</v>
      </c>
      <c r="G34" s="142" t="s">
        <v>375</v>
      </c>
      <c r="H34" s="174">
        <f>ROUND(D34*F34,2)</f>
        <v>464898391.50999999</v>
      </c>
      <c r="I34" s="162"/>
      <c r="J34" s="185">
        <f>D34</f>
        <v>5077527.2118168185</v>
      </c>
      <c r="K34" s="166" t="s">
        <v>555</v>
      </c>
      <c r="L34" s="183">
        <f>ROUND('MFR E-14B'!G53*10+($L$32*(1+T34)),2)</f>
        <v>94.03</v>
      </c>
      <c r="M34" s="142" t="s">
        <v>375</v>
      </c>
      <c r="N34" s="174">
        <f>ROUND(J34*L34,2)</f>
        <v>477439883.73000002</v>
      </c>
      <c r="Q34" s="1022"/>
      <c r="S34" s="182"/>
      <c r="T34" s="859">
        <f>'MFR E-14B'!G48</f>
        <v>-6.7799999999999999E-2</v>
      </c>
      <c r="U34" s="178" t="s">
        <v>135</v>
      </c>
      <c r="V34" s="179">
        <v>264</v>
      </c>
      <c r="W34" s="180">
        <v>186</v>
      </c>
      <c r="Y34" s="178"/>
      <c r="Z34" s="181"/>
      <c r="AB34" s="182">
        <f>SUM(AH34:AS34)</f>
        <v>5861703.6245576572</v>
      </c>
      <c r="AC34" s="182">
        <f>SUM(AT34:BE34)</f>
        <v>5881721.880669564</v>
      </c>
      <c r="AD34" s="182">
        <f>SUM(BF34:BQ34)</f>
        <v>5870705.838589102</v>
      </c>
      <c r="AE34" s="182">
        <f>SUM(BR34:CC34)</f>
        <v>5870584.6471353546</v>
      </c>
      <c r="AF34" s="182">
        <f>SUM(CD34:CO34)</f>
        <v>6055540.6666690279</v>
      </c>
      <c r="AH34" s="168">
        <v>377723.74317184283</v>
      </c>
      <c r="AI34" s="168">
        <v>270931.40528787987</v>
      </c>
      <c r="AJ34" s="168">
        <v>232607.24294336492</v>
      </c>
      <c r="AK34" s="168">
        <v>283620.74474470172</v>
      </c>
      <c r="AL34" s="168">
        <v>408440.32671771653</v>
      </c>
      <c r="AM34" s="168">
        <v>741827.7094499463</v>
      </c>
      <c r="AN34" s="168">
        <v>851231.78130831919</v>
      </c>
      <c r="AO34" s="168">
        <v>865546.64991835866</v>
      </c>
      <c r="AP34" s="168">
        <v>800452.9911470206</v>
      </c>
      <c r="AQ34" s="168">
        <v>475145.35383805388</v>
      </c>
      <c r="AR34" s="168">
        <v>299953.79961426568</v>
      </c>
      <c r="AS34" s="168">
        <v>254221.87641618701</v>
      </c>
      <c r="AT34" s="168">
        <v>367494.50570391724</v>
      </c>
      <c r="AU34" s="168">
        <v>295523.85417715396</v>
      </c>
      <c r="AV34" s="168">
        <v>224989.02021546566</v>
      </c>
      <c r="AW34" s="168">
        <v>293947.86970456975</v>
      </c>
      <c r="AX34" s="168">
        <v>409638.62191267352</v>
      </c>
      <c r="AY34" s="168">
        <v>705411.71521080402</v>
      </c>
      <c r="AZ34" s="168">
        <v>885582.90763072227</v>
      </c>
      <c r="BA34" s="168">
        <v>849141.86890239862</v>
      </c>
      <c r="BB34" s="168">
        <v>803762.70017212606</v>
      </c>
      <c r="BC34" s="168">
        <v>490409.66975892364</v>
      </c>
      <c r="BD34" s="168">
        <v>301282.96843004605</v>
      </c>
      <c r="BE34" s="168">
        <v>254536.17885076365</v>
      </c>
      <c r="BF34" s="168">
        <v>348428.72619556793</v>
      </c>
      <c r="BG34" s="168">
        <v>300414.25453227188</v>
      </c>
      <c r="BH34" s="168">
        <v>230661.14589511327</v>
      </c>
      <c r="BI34" s="168">
        <v>278504.75333876919</v>
      </c>
      <c r="BJ34" s="168">
        <v>405078.00632537092</v>
      </c>
      <c r="BK34" s="168">
        <v>720603.8431154039</v>
      </c>
      <c r="BL34" s="168">
        <v>885532.2258539598</v>
      </c>
      <c r="BM34" s="168">
        <v>856662.16802426416</v>
      </c>
      <c r="BN34" s="168">
        <v>802248.03577069868</v>
      </c>
      <c r="BO34" s="168">
        <v>476008.52699351974</v>
      </c>
      <c r="BP34" s="168">
        <v>297138.23683630308</v>
      </c>
      <c r="BQ34" s="168">
        <v>269425.91570785973</v>
      </c>
      <c r="BR34" s="168">
        <v>345191.89377692732</v>
      </c>
      <c r="BS34" s="168">
        <v>287948.28129830275</v>
      </c>
      <c r="BT34" s="168">
        <v>235341.96989909542</v>
      </c>
      <c r="BU34" s="168">
        <v>286643.86830560828</v>
      </c>
      <c r="BV34" s="168">
        <v>378000.13398166501</v>
      </c>
      <c r="BW34" s="168">
        <v>738639.76287691959</v>
      </c>
      <c r="BX34" s="168">
        <v>904675.75550182851</v>
      </c>
      <c r="BY34" s="168">
        <v>861151.86952045513</v>
      </c>
      <c r="BZ34" s="168">
        <v>799039.69927816675</v>
      </c>
      <c r="CA34" s="168">
        <v>480491.48874869937</v>
      </c>
      <c r="CB34" s="168">
        <v>296931.23970438098</v>
      </c>
      <c r="CC34" s="168">
        <v>256528.68424330599</v>
      </c>
      <c r="CD34" s="168">
        <v>361408.20776769216</v>
      </c>
      <c r="CE34" s="168">
        <v>287013.95816534245</v>
      </c>
      <c r="CF34" s="168">
        <v>223499.87298124324</v>
      </c>
      <c r="CG34" s="168">
        <v>306118.25712745258</v>
      </c>
      <c r="CH34" s="168">
        <v>406561.97810432565</v>
      </c>
      <c r="CI34" s="168">
        <v>730575.61091579811</v>
      </c>
      <c r="CJ34" s="168">
        <v>918121.55077018403</v>
      </c>
      <c r="CK34" s="168">
        <v>883525.74950457492</v>
      </c>
      <c r="CL34" s="168">
        <v>853649.41841122287</v>
      </c>
      <c r="CM34" s="168">
        <v>496337.6680078496</v>
      </c>
      <c r="CN34" s="168">
        <v>319199.13558367128</v>
      </c>
      <c r="CO34" s="168">
        <v>269529.25932967087</v>
      </c>
    </row>
    <row r="35" spans="1:93" x14ac:dyDescent="0.2">
      <c r="A35" s="118">
        <f t="shared" si="0"/>
        <v>20</v>
      </c>
      <c r="B35" s="199" t="s">
        <v>556</v>
      </c>
      <c r="C35" s="143"/>
      <c r="D35" s="188">
        <f>SUM(D33:D34)</f>
        <v>16876633.956958193</v>
      </c>
      <c r="E35" s="166"/>
      <c r="F35" s="183"/>
      <c r="G35" s="142"/>
      <c r="H35" s="174"/>
      <c r="I35" s="162"/>
      <c r="J35" s="200">
        <f>SUM(J33:J34)</f>
        <v>16876633.956958193</v>
      </c>
      <c r="K35" s="166"/>
      <c r="L35" s="183"/>
      <c r="M35" s="142"/>
      <c r="N35" s="174"/>
      <c r="S35" s="182"/>
      <c r="T35" s="860"/>
      <c r="U35" s="184"/>
      <c r="V35" s="139"/>
      <c r="W35" s="140"/>
      <c r="Y35" s="184"/>
      <c r="Z35" s="141"/>
      <c r="AB35" s="188">
        <f>+AB33+AB34</f>
        <v>20849699.097777672</v>
      </c>
      <c r="AC35" s="188">
        <f>+AC33+AC34</f>
        <v>20951879.985086907</v>
      </c>
      <c r="AD35" s="188">
        <f>+AD33+AD34</f>
        <v>20883850.212154478</v>
      </c>
      <c r="AE35" s="188">
        <f>+AE33+AE34</f>
        <v>20816919.913093105</v>
      </c>
      <c r="AF35" s="188">
        <f>+AF33+AF34</f>
        <v>21495892.74127927</v>
      </c>
      <c r="AH35" s="188">
        <f t="shared" ref="AH35:CO35" si="4">+AH33+AH34</f>
        <v>1727245.053255823</v>
      </c>
      <c r="AI35" s="188">
        <f t="shared" si="4"/>
        <v>1269365.0939415246</v>
      </c>
      <c r="AJ35" s="188">
        <f t="shared" si="4"/>
        <v>1302782.9696738312</v>
      </c>
      <c r="AK35" s="188">
        <f t="shared" si="4"/>
        <v>1373832.1157448078</v>
      </c>
      <c r="AL35" s="188">
        <f t="shared" si="4"/>
        <v>1673189.5329662692</v>
      </c>
      <c r="AM35" s="188">
        <f t="shared" si="4"/>
        <v>2087653.0043562907</v>
      </c>
      <c r="AN35" s="188">
        <f t="shared" si="4"/>
        <v>2169576.9117223169</v>
      </c>
      <c r="AO35" s="188">
        <f t="shared" si="4"/>
        <v>2277295.2776615568</v>
      </c>
      <c r="AP35" s="188">
        <f t="shared" si="4"/>
        <v>2226853.1674491935</v>
      </c>
      <c r="AQ35" s="188">
        <f t="shared" si="4"/>
        <v>1936656.7231366602</v>
      </c>
      <c r="AR35" s="188">
        <f t="shared" si="4"/>
        <v>1462146.0162949758</v>
      </c>
      <c r="AS35" s="188">
        <f t="shared" si="4"/>
        <v>1343103.2315744257</v>
      </c>
      <c r="AT35" s="188">
        <f t="shared" si="4"/>
        <v>1680469.0691286738</v>
      </c>
      <c r="AU35" s="188">
        <f t="shared" si="4"/>
        <v>1384585.3880281993</v>
      </c>
      <c r="AV35" s="188">
        <f t="shared" si="4"/>
        <v>1260114.9482334766</v>
      </c>
      <c r="AW35" s="188">
        <f t="shared" si="4"/>
        <v>1423855.7342426274</v>
      </c>
      <c r="AX35" s="188">
        <f t="shared" si="4"/>
        <v>1678098.3895273197</v>
      </c>
      <c r="AY35" s="188">
        <f t="shared" si="4"/>
        <v>1985171.0414806558</v>
      </c>
      <c r="AZ35" s="188">
        <f t="shared" si="4"/>
        <v>2257129.3412688216</v>
      </c>
      <c r="BA35" s="188">
        <f t="shared" si="4"/>
        <v>2234133.5019880659</v>
      </c>
      <c r="BB35" s="188">
        <f t="shared" si="4"/>
        <v>2236060.7487905165</v>
      </c>
      <c r="BC35" s="188">
        <f t="shared" si="4"/>
        <v>1998872.9266908886</v>
      </c>
      <c r="BD35" s="188">
        <f t="shared" si="4"/>
        <v>1468625.1437188524</v>
      </c>
      <c r="BE35" s="188">
        <f t="shared" si="4"/>
        <v>1344763.7519888079</v>
      </c>
      <c r="BF35" s="188">
        <f t="shared" si="4"/>
        <v>1593285.5813613171</v>
      </c>
      <c r="BG35" s="188">
        <f t="shared" si="4"/>
        <v>1407497.8425647635</v>
      </c>
      <c r="BH35" s="188">
        <f t="shared" si="4"/>
        <v>1291883.3000861043</v>
      </c>
      <c r="BI35" s="188">
        <f t="shared" si="4"/>
        <v>1349050.7362879869</v>
      </c>
      <c r="BJ35" s="188">
        <f t="shared" si="4"/>
        <v>1659415.6744147365</v>
      </c>
      <c r="BK35" s="188">
        <f t="shared" si="4"/>
        <v>2027924.7578201541</v>
      </c>
      <c r="BL35" s="188">
        <f t="shared" si="4"/>
        <v>2257000.1660957099</v>
      </c>
      <c r="BM35" s="188">
        <f t="shared" si="4"/>
        <v>2253919.7742570904</v>
      </c>
      <c r="BN35" s="188">
        <f t="shared" si="4"/>
        <v>2231846.9657735927</v>
      </c>
      <c r="BO35" s="188">
        <f t="shared" si="4"/>
        <v>1940174.9519928633</v>
      </c>
      <c r="BP35" s="188">
        <f t="shared" si="4"/>
        <v>1448421.3563482757</v>
      </c>
      <c r="BQ35" s="188">
        <f t="shared" si="4"/>
        <v>1423429.1051518812</v>
      </c>
      <c r="BR35" s="188">
        <f t="shared" si="4"/>
        <v>1578484.2804519071</v>
      </c>
      <c r="BS35" s="188">
        <f t="shared" si="4"/>
        <v>1349092.3902016606</v>
      </c>
      <c r="BT35" s="188">
        <f t="shared" si="4"/>
        <v>1318099.585182236</v>
      </c>
      <c r="BU35" s="188">
        <f t="shared" si="4"/>
        <v>1388475.8409122904</v>
      </c>
      <c r="BV35" s="188">
        <f t="shared" si="4"/>
        <v>1548490.2598148258</v>
      </c>
      <c r="BW35" s="188">
        <f t="shared" si="4"/>
        <v>2078681.4788172389</v>
      </c>
      <c r="BX35" s="188">
        <f t="shared" si="4"/>
        <v>2305792.2352417326</v>
      </c>
      <c r="BY35" s="188">
        <f t="shared" si="4"/>
        <v>2265732.3969693962</v>
      </c>
      <c r="BZ35" s="188">
        <f t="shared" si="4"/>
        <v>2222921.4019245529</v>
      </c>
      <c r="CA35" s="188">
        <f t="shared" si="4"/>
        <v>1958447.1669111056</v>
      </c>
      <c r="CB35" s="188">
        <f t="shared" si="4"/>
        <v>1447412.3341848175</v>
      </c>
      <c r="CC35" s="188">
        <f t="shared" si="4"/>
        <v>1355290.5424813458</v>
      </c>
      <c r="CD35" s="188">
        <f t="shared" si="4"/>
        <v>1652637.8083381564</v>
      </c>
      <c r="CE35" s="188">
        <f t="shared" si="4"/>
        <v>1344714.9088602792</v>
      </c>
      <c r="CF35" s="188">
        <f t="shared" si="4"/>
        <v>1251774.5559415901</v>
      </c>
      <c r="CG35" s="188">
        <f t="shared" si="4"/>
        <v>1482807.9421203115</v>
      </c>
      <c r="CH35" s="188">
        <f t="shared" si="4"/>
        <v>1665494.8147085411</v>
      </c>
      <c r="CI35" s="188">
        <f t="shared" si="4"/>
        <v>2055987.326449024</v>
      </c>
      <c r="CJ35" s="188">
        <f t="shared" si="4"/>
        <v>2340062.2044963264</v>
      </c>
      <c r="CK35" s="188">
        <f t="shared" si="4"/>
        <v>2324599.1619619108</v>
      </c>
      <c r="CL35" s="188">
        <f t="shared" si="4"/>
        <v>2374845.1593093523</v>
      </c>
      <c r="CM35" s="188">
        <f t="shared" si="4"/>
        <v>2023035.0016660294</v>
      </c>
      <c r="CN35" s="188">
        <f t="shared" si="4"/>
        <v>1555958.7679791073</v>
      </c>
      <c r="CO35" s="188">
        <f t="shared" si="4"/>
        <v>1423975.089448645</v>
      </c>
    </row>
    <row r="36" spans="1:93" x14ac:dyDescent="0.2">
      <c r="A36" s="118">
        <f t="shared" si="0"/>
        <v>21</v>
      </c>
      <c r="B36" s="171"/>
      <c r="C36" s="143"/>
      <c r="E36" s="166"/>
      <c r="F36" s="183"/>
      <c r="G36" s="142"/>
      <c r="H36" s="1145"/>
      <c r="I36" s="162"/>
      <c r="J36" s="1136"/>
      <c r="K36" s="202"/>
      <c r="L36" s="183"/>
      <c r="N36" s="1145"/>
      <c r="P36" s="1146"/>
      <c r="U36" s="184"/>
      <c r="V36" s="139"/>
      <c r="W36" s="140"/>
      <c r="Y36" s="184"/>
      <c r="Z36" s="141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</row>
    <row r="37" spans="1:93" x14ac:dyDescent="0.2">
      <c r="A37" s="118">
        <f t="shared" si="0"/>
        <v>22</v>
      </c>
      <c r="B37" s="102" t="s">
        <v>546</v>
      </c>
      <c r="C37" s="143"/>
      <c r="D37" s="143"/>
      <c r="E37" s="166"/>
      <c r="F37" s="183"/>
      <c r="G37" s="142"/>
      <c r="H37" s="174"/>
      <c r="I37" s="162"/>
      <c r="J37" s="175"/>
      <c r="L37" s="183"/>
      <c r="N37" s="203"/>
      <c r="U37" s="184"/>
      <c r="V37" s="139"/>
      <c r="W37" s="140"/>
      <c r="Y37" s="184"/>
      <c r="Z37" s="141"/>
    </row>
    <row r="38" spans="1:93" x14ac:dyDescent="0.2">
      <c r="A38" s="118">
        <f t="shared" si="0"/>
        <v>23</v>
      </c>
      <c r="B38" s="171" t="s">
        <v>149</v>
      </c>
      <c r="C38" s="143"/>
      <c r="F38" s="197"/>
      <c r="I38" s="162"/>
      <c r="J38" s="182"/>
      <c r="L38" s="1368">
        <v>-13.07</v>
      </c>
      <c r="N38" s="174"/>
      <c r="T38" s="858" t="s">
        <v>558</v>
      </c>
      <c r="U38" s="184"/>
      <c r="V38" s="139"/>
      <c r="W38" s="140"/>
      <c r="Y38" s="184"/>
      <c r="Z38" s="141"/>
    </row>
    <row r="39" spans="1:93" x14ac:dyDescent="0.2">
      <c r="A39" s="118">
        <f t="shared" si="0"/>
        <v>24</v>
      </c>
      <c r="B39" s="199" t="s">
        <v>559</v>
      </c>
      <c r="C39" s="143"/>
      <c r="D39" s="172">
        <f>SUMIF($AH$8:$CP$8,1,$AH39:$CP39)+($AE$42*'TOU Split'!C20)+'Unbilled to E-13c'!P39</f>
        <v>333.10053653305613</v>
      </c>
      <c r="E39" s="166" t="s">
        <v>555</v>
      </c>
      <c r="F39" s="183">
        <v>119.1</v>
      </c>
      <c r="G39" s="142" t="s">
        <v>375</v>
      </c>
      <c r="H39" s="174">
        <f>ROUND(D39*F39,2)</f>
        <v>39672.269999999997</v>
      </c>
      <c r="I39" s="162"/>
      <c r="J39" s="172">
        <f>D39</f>
        <v>333.10053653305613</v>
      </c>
      <c r="K39" s="166" t="s">
        <v>555</v>
      </c>
      <c r="L39" s="1102">
        <f>ROUND(('MFR E-14A'!I23*10)+($L$38*T39),2)</f>
        <v>125.85</v>
      </c>
      <c r="M39" s="142" t="s">
        <v>375</v>
      </c>
      <c r="N39" s="174">
        <f>ROUND(J39*L39,2)</f>
        <v>41920.699999999997</v>
      </c>
      <c r="Q39" s="1022"/>
      <c r="S39" s="935"/>
      <c r="T39" s="859">
        <f>'MFR E-14C'!Z45</f>
        <v>1.4</v>
      </c>
      <c r="U39" s="184" t="s">
        <v>548</v>
      </c>
      <c r="V39" s="179">
        <v>240</v>
      </c>
      <c r="W39" s="180">
        <v>214</v>
      </c>
      <c r="Y39" s="184"/>
      <c r="Z39" s="181"/>
      <c r="AB39" s="182">
        <f>SUM(AH39:AS39)</f>
        <v>329.56395031231091</v>
      </c>
      <c r="AC39" s="182">
        <f>SUM(AT39:BE39)</f>
        <v>331.45503091364225</v>
      </c>
      <c r="AD39" s="182">
        <f>SUM(BF39:BQ39)</f>
        <v>332.2643275590969</v>
      </c>
      <c r="AE39" s="182">
        <f>SUM(BR39:CC39)</f>
        <v>329.67553653305612</v>
      </c>
      <c r="AF39" s="182">
        <f>SUM(CD39:CO39)</f>
        <v>345.42013753226672</v>
      </c>
      <c r="AH39" s="168">
        <v>8.7910793188577649</v>
      </c>
      <c r="AI39" s="168">
        <v>6.7997837346381225</v>
      </c>
      <c r="AJ39" s="168">
        <v>5.5068248458420364</v>
      </c>
      <c r="AK39" s="168">
        <v>5.4847387898621038</v>
      </c>
      <c r="AL39" s="168">
        <v>12.999467131971569</v>
      </c>
      <c r="AM39" s="168">
        <v>16.265641298964432</v>
      </c>
      <c r="AN39" s="168">
        <v>17.293272977303079</v>
      </c>
      <c r="AO39" s="168">
        <v>25.214685320186945</v>
      </c>
      <c r="AP39" s="168">
        <v>104.62302972042311</v>
      </c>
      <c r="AQ39" s="168">
        <v>43.186462776032108</v>
      </c>
      <c r="AR39" s="168">
        <v>34.385797012781907</v>
      </c>
      <c r="AS39" s="168">
        <v>49.013167385447744</v>
      </c>
      <c r="AT39" s="168">
        <v>8.5530057543080904</v>
      </c>
      <c r="AU39" s="168">
        <v>7.4170002355252054</v>
      </c>
      <c r="AV39" s="168">
        <v>5.3264683888878199</v>
      </c>
      <c r="AW39" s="168">
        <v>5.6844476754237956</v>
      </c>
      <c r="AX39" s="168">
        <v>13.037605381263511</v>
      </c>
      <c r="AY39" s="168">
        <v>15.46716815986014</v>
      </c>
      <c r="AZ39" s="168">
        <v>17.991136259214514</v>
      </c>
      <c r="BA39" s="168">
        <v>24.736789193960792</v>
      </c>
      <c r="BB39" s="168">
        <v>105.05562450054047</v>
      </c>
      <c r="BC39" s="168">
        <v>44.57385256316433</v>
      </c>
      <c r="BD39" s="168">
        <v>34.538168908566931</v>
      </c>
      <c r="BE39" s="168">
        <v>49.07376389292665</v>
      </c>
      <c r="BF39" s="168">
        <v>8.1092719860088085</v>
      </c>
      <c r="BG39" s="168">
        <v>7.5397385528319978</v>
      </c>
      <c r="BH39" s="168">
        <v>5.4607522668366553</v>
      </c>
      <c r="BI39" s="168">
        <v>5.385804290067397</v>
      </c>
      <c r="BJ39" s="168">
        <v>12.892454257462578</v>
      </c>
      <c r="BK39" s="168">
        <v>15.800277451837706</v>
      </c>
      <c r="BL39" s="168">
        <v>17.990106629189214</v>
      </c>
      <c r="BM39" s="168">
        <v>24.955866901545249</v>
      </c>
      <c r="BN39" s="168">
        <v>104.8576506276964</v>
      </c>
      <c r="BO39" s="168">
        <v>43.264917495302079</v>
      </c>
      <c r="BP39" s="168">
        <v>34.063029405622842</v>
      </c>
      <c r="BQ39" s="168">
        <v>51.944457694695998</v>
      </c>
      <c r="BR39" s="168">
        <v>8.0339384888471681</v>
      </c>
      <c r="BS39" s="168">
        <v>7.2268699802768568</v>
      </c>
      <c r="BT39" s="168">
        <v>5.5715677238188759</v>
      </c>
      <c r="BU39" s="168">
        <v>5.5432008148313106</v>
      </c>
      <c r="BV39" s="168">
        <v>12.030644371145934</v>
      </c>
      <c r="BW39" s="168">
        <v>16.195740977398437</v>
      </c>
      <c r="BX39" s="168">
        <v>18.37901866374796</v>
      </c>
      <c r="BY39" s="168">
        <v>25.086658708571132</v>
      </c>
      <c r="BZ39" s="168">
        <v>104.43830572184469</v>
      </c>
      <c r="CA39" s="168">
        <v>43.672378621466073</v>
      </c>
      <c r="CB39" s="168">
        <v>34.039299880043728</v>
      </c>
      <c r="CC39" s="168">
        <v>49.457912581063979</v>
      </c>
      <c r="CD39" s="168">
        <v>8.4113542725498629</v>
      </c>
      <c r="CE39" s="168">
        <v>7.2034205199396588</v>
      </c>
      <c r="CF39" s="168">
        <v>5.2912137988554306</v>
      </c>
      <c r="CG39" s="168">
        <v>5.9198020957995716</v>
      </c>
      <c r="CH39" s="168">
        <v>12.939684761169984</v>
      </c>
      <c r="CI39" s="168">
        <v>16.018922827430437</v>
      </c>
      <c r="CJ39" s="168">
        <v>18.652177882045969</v>
      </c>
      <c r="CK39" s="168">
        <v>25.738443731648076</v>
      </c>
      <c r="CL39" s="168">
        <v>111.5760568840891</v>
      </c>
      <c r="CM39" s="168">
        <v>45.112654581632306</v>
      </c>
      <c r="CN39" s="168">
        <v>36.592024161555472</v>
      </c>
      <c r="CO39" s="168">
        <v>51.964382015550889</v>
      </c>
    </row>
    <row r="40" spans="1:93" x14ac:dyDescent="0.2">
      <c r="A40" s="118">
        <f t="shared" si="0"/>
        <v>25</v>
      </c>
      <c r="B40" s="199" t="s">
        <v>560</v>
      </c>
      <c r="C40" s="143"/>
      <c r="D40" s="172">
        <f>SUMIF($AH$8:$CP$8,1,$AH40:$CP40)+($AE$42*'TOU Split'!C21)+'Unbilled to E-13c'!P40</f>
        <v>2270.9949455353171</v>
      </c>
      <c r="E40" s="166" t="s">
        <v>555</v>
      </c>
      <c r="F40" s="183">
        <v>88.22</v>
      </c>
      <c r="G40" s="142" t="s">
        <v>375</v>
      </c>
      <c r="H40" s="174">
        <f>ROUND(D40*F40,2)</f>
        <v>200347.17</v>
      </c>
      <c r="I40" s="162"/>
      <c r="J40" s="172">
        <f t="shared" ref="J40:J41" si="5">D40</f>
        <v>2270.9949455353171</v>
      </c>
      <c r="K40" s="166" t="s">
        <v>555</v>
      </c>
      <c r="L40" s="1102">
        <f>IF(ROUND(('MFR E-14A'!I24*10)+($L$38*T40),2)&lt;F40,F40,ROUND(('MFR E-14A'!I24*10)+($L$38*T40),2))</f>
        <v>89.89</v>
      </c>
      <c r="M40" s="142" t="s">
        <v>375</v>
      </c>
      <c r="N40" s="174">
        <f>ROUND(J40*L40,2)</f>
        <v>204139.74</v>
      </c>
      <c r="Q40" s="1022"/>
      <c r="S40" s="1102"/>
      <c r="T40" s="859">
        <f>'MFR E-14C'!Z46</f>
        <v>1</v>
      </c>
      <c r="U40" s="184" t="s">
        <v>548</v>
      </c>
      <c r="V40" s="179">
        <v>240</v>
      </c>
      <c r="W40" s="180">
        <v>214</v>
      </c>
      <c r="Y40" s="184"/>
      <c r="Z40" s="181"/>
      <c r="AB40" s="182">
        <f>SUM(AH40:AS40)</f>
        <v>2254.3443625580367</v>
      </c>
      <c r="AC40" s="182">
        <f>SUM(AT40:BE40)</f>
        <v>2269.8839919461816</v>
      </c>
      <c r="AD40" s="182">
        <f>SUM(BF40:BQ40)</f>
        <v>2273.3661046706898</v>
      </c>
      <c r="AE40" s="182">
        <f>SUM(BR40:CC40)</f>
        <v>2267.4604522431864</v>
      </c>
      <c r="AF40" s="182">
        <f>SUM(CD40:CO40)</f>
        <v>2356.6889767937359</v>
      </c>
      <c r="AH40" s="168">
        <v>46.970737268564157</v>
      </c>
      <c r="AI40" s="168">
        <v>37.963567029387974</v>
      </c>
      <c r="AJ40" s="168">
        <v>48.862648246959886</v>
      </c>
      <c r="AK40" s="168">
        <v>54.908889899221975</v>
      </c>
      <c r="AL40" s="168">
        <v>74.519419723203711</v>
      </c>
      <c r="AM40" s="168">
        <v>129.38124623598088</v>
      </c>
      <c r="AN40" s="168">
        <v>293.91882830341001</v>
      </c>
      <c r="AO40" s="168">
        <v>340.69882253211739</v>
      </c>
      <c r="AP40" s="168">
        <v>329.39180059893937</v>
      </c>
      <c r="AQ40" s="168">
        <v>334.78568437405335</v>
      </c>
      <c r="AR40" s="168">
        <v>276.22643978621863</v>
      </c>
      <c r="AS40" s="168">
        <v>286.71627855997917</v>
      </c>
      <c r="AT40" s="168">
        <v>45.69871020050374</v>
      </c>
      <c r="AU40" s="168">
        <v>41.409520741667045</v>
      </c>
      <c r="AV40" s="168">
        <v>47.26232603553602</v>
      </c>
      <c r="AW40" s="168">
        <v>56.908218149725407</v>
      </c>
      <c r="AX40" s="168">
        <v>74.738047162131906</v>
      </c>
      <c r="AY40" s="168">
        <v>123.02997806742449</v>
      </c>
      <c r="AZ40" s="168">
        <v>305.77980791117932</v>
      </c>
      <c r="BA40" s="168">
        <v>334.24152808523576</v>
      </c>
      <c r="BB40" s="168">
        <v>330.75376816892231</v>
      </c>
      <c r="BC40" s="168">
        <v>345.54086573232854</v>
      </c>
      <c r="BD40" s="168">
        <v>277.45046685415383</v>
      </c>
      <c r="BE40" s="168">
        <v>287.07075483737322</v>
      </c>
      <c r="BF40" s="168">
        <v>43.327840652862847</v>
      </c>
      <c r="BG40" s="168">
        <v>42.094775525935376</v>
      </c>
      <c r="BH40" s="168">
        <v>48.453841305611462</v>
      </c>
      <c r="BI40" s="168">
        <v>53.91843551942484</v>
      </c>
      <c r="BJ40" s="168">
        <v>73.905968630911673</v>
      </c>
      <c r="BK40" s="168">
        <v>125.6796181607165</v>
      </c>
      <c r="BL40" s="168">
        <v>305.76230817870999</v>
      </c>
      <c r="BM40" s="168">
        <v>337.20168864521327</v>
      </c>
      <c r="BN40" s="168">
        <v>330.13047355948567</v>
      </c>
      <c r="BO40" s="168">
        <v>335.39387303306398</v>
      </c>
      <c r="BP40" s="168">
        <v>273.63359754467564</v>
      </c>
      <c r="BQ40" s="168">
        <v>303.86368391407848</v>
      </c>
      <c r="BR40" s="168">
        <v>42.925333773518553</v>
      </c>
      <c r="BS40" s="168">
        <v>40.348013056846618</v>
      </c>
      <c r="BT40" s="168">
        <v>49.437118756125756</v>
      </c>
      <c r="BU40" s="168">
        <v>55.494165700916163</v>
      </c>
      <c r="BV40" s="168">
        <v>68.965645155491188</v>
      </c>
      <c r="BW40" s="168">
        <v>128.82524044744306</v>
      </c>
      <c r="BX40" s="168">
        <v>312.37231021017215</v>
      </c>
      <c r="BY40" s="168">
        <v>338.96893713888727</v>
      </c>
      <c r="BZ40" s="168">
        <v>328.81022146986828</v>
      </c>
      <c r="CA40" s="168">
        <v>338.55255154503374</v>
      </c>
      <c r="CB40" s="168">
        <v>273.44297458583884</v>
      </c>
      <c r="CC40" s="168">
        <v>289.31794040304493</v>
      </c>
      <c r="CD40" s="168">
        <v>44.941866325930093</v>
      </c>
      <c r="CE40" s="168">
        <v>40.217093428509123</v>
      </c>
      <c r="CF40" s="168">
        <v>46.949508272112126</v>
      </c>
      <c r="CG40" s="168">
        <v>59.264401452309549</v>
      </c>
      <c r="CH40" s="168">
        <v>74.176717400363472</v>
      </c>
      <c r="CI40" s="168">
        <v>127.41878175457508</v>
      </c>
      <c r="CJ40" s="168">
        <v>317.01496157453789</v>
      </c>
      <c r="CK40" s="168">
        <v>347.77580452932034</v>
      </c>
      <c r="CL40" s="168">
        <v>351.28248894139523</v>
      </c>
      <c r="CM40" s="168">
        <v>349.71771169052624</v>
      </c>
      <c r="CN40" s="168">
        <v>293.94940460331691</v>
      </c>
      <c r="CO40" s="168">
        <v>303.98023682083965</v>
      </c>
    </row>
    <row r="41" spans="1:93" x14ac:dyDescent="0.2">
      <c r="A41" s="118">
        <f t="shared" si="0"/>
        <v>26</v>
      </c>
      <c r="B41" s="199" t="s">
        <v>561</v>
      </c>
      <c r="C41" s="143"/>
      <c r="D41" s="172">
        <f>SUMIF($AH$8:$CP$8,1,$AH41:$CP41)+($AE$42*'TOU Split'!C22)+'Unbilled to E-13c'!P41</f>
        <v>730.91555424550791</v>
      </c>
      <c r="E41" s="166" t="s">
        <v>555</v>
      </c>
      <c r="F41" s="183">
        <v>53.52</v>
      </c>
      <c r="G41" s="142" t="s">
        <v>375</v>
      </c>
      <c r="H41" s="174">
        <f>ROUND(D41*F41,2)</f>
        <v>39118.6</v>
      </c>
      <c r="I41" s="162"/>
      <c r="J41" s="172">
        <f t="shared" si="5"/>
        <v>730.91555424550791</v>
      </c>
      <c r="K41" s="166" t="s">
        <v>555</v>
      </c>
      <c r="L41" s="1102">
        <f>ROUND(('MFR E-14A'!I25*10)+($L$38*T41),2)</f>
        <v>54.8</v>
      </c>
      <c r="M41" s="142" t="s">
        <v>375</v>
      </c>
      <c r="N41" s="174">
        <f>ROUND(J41*L41,2)</f>
        <v>40054.17</v>
      </c>
      <c r="Q41" s="1022"/>
      <c r="S41" s="935"/>
      <c r="T41" s="859">
        <f>'MFR E-14C'!Z47</f>
        <v>0.60959085470100693</v>
      </c>
      <c r="U41" s="184" t="s">
        <v>548</v>
      </c>
      <c r="V41" s="179">
        <v>240</v>
      </c>
      <c r="W41" s="180">
        <v>214</v>
      </c>
      <c r="Y41" s="184"/>
      <c r="Z41" s="181"/>
      <c r="AB41" s="182">
        <f>SUM(AH41:AS41)</f>
        <v>703.24552862451878</v>
      </c>
      <c r="AC41" s="182">
        <f>SUM(AT41:BE41)</f>
        <v>707.27577493598665</v>
      </c>
      <c r="AD41" s="182">
        <f>SUM(BF41:BQ41)</f>
        <v>705.78501803724464</v>
      </c>
      <c r="AE41" s="182">
        <f>SUM(BR41:CC41)</f>
        <v>703.57704753763858</v>
      </c>
      <c r="AF41" s="182">
        <f>SUM(CD41:CO41)</f>
        <v>738.09255496968854</v>
      </c>
      <c r="AH41" s="168">
        <v>0</v>
      </c>
      <c r="AI41" s="168">
        <v>0</v>
      </c>
      <c r="AJ41" s="168">
        <v>2.3532491333139478</v>
      </c>
      <c r="AK41" s="168">
        <v>8.5437125190332264</v>
      </c>
      <c r="AL41" s="168">
        <v>35.605723038687557</v>
      </c>
      <c r="AM41" s="168">
        <v>41.790472036308486</v>
      </c>
      <c r="AN41" s="168">
        <v>47.12237815604977</v>
      </c>
      <c r="AO41" s="168">
        <v>71.73655542027474</v>
      </c>
      <c r="AP41" s="168">
        <v>233.08716794383511</v>
      </c>
      <c r="AQ41" s="168">
        <v>117.05313033151228</v>
      </c>
      <c r="AR41" s="168">
        <v>92.851643578424628</v>
      </c>
      <c r="AS41" s="168">
        <v>53.101496467079045</v>
      </c>
      <c r="AT41" s="168">
        <v>0</v>
      </c>
      <c r="AU41" s="168">
        <v>0</v>
      </c>
      <c r="AV41" s="168">
        <v>2.2761768297821678</v>
      </c>
      <c r="AW41" s="168">
        <v>8.8548039622373054</v>
      </c>
      <c r="AX41" s="168">
        <v>35.710184239110887</v>
      </c>
      <c r="AY41" s="168">
        <v>39.738996242753039</v>
      </c>
      <c r="AZ41" s="168">
        <v>49.023983335972218</v>
      </c>
      <c r="BA41" s="168">
        <v>70.376926239548467</v>
      </c>
      <c r="BB41" s="168">
        <v>234.0509356002899</v>
      </c>
      <c r="BC41" s="168">
        <v>120.8135290105151</v>
      </c>
      <c r="BD41" s="168">
        <v>93.263091972467691</v>
      </c>
      <c r="BE41" s="168">
        <v>53.167147503309856</v>
      </c>
      <c r="BF41" s="168">
        <v>0</v>
      </c>
      <c r="BG41" s="168">
        <v>0</v>
      </c>
      <c r="BH41" s="168">
        <v>2.3335607902761604</v>
      </c>
      <c r="BI41" s="168">
        <v>8.3895998152481877</v>
      </c>
      <c r="BJ41" s="168">
        <v>35.312613272521084</v>
      </c>
      <c r="BK41" s="168">
        <v>40.594836740865418</v>
      </c>
      <c r="BL41" s="168">
        <v>49.021177700770792</v>
      </c>
      <c r="BM41" s="168">
        <v>71.000209057157036</v>
      </c>
      <c r="BN41" s="168">
        <v>233.60987430172676</v>
      </c>
      <c r="BO41" s="168">
        <v>117.26577498656205</v>
      </c>
      <c r="BP41" s="168">
        <v>91.980077250982688</v>
      </c>
      <c r="BQ41" s="168">
        <v>56.277294121134446</v>
      </c>
      <c r="BR41" s="168">
        <v>0</v>
      </c>
      <c r="BS41" s="168">
        <v>0</v>
      </c>
      <c r="BT41" s="168">
        <v>2.3809159151260268</v>
      </c>
      <c r="BU41" s="168">
        <v>8.6347802532962845</v>
      </c>
      <c r="BV41" s="168">
        <v>32.952103890661583</v>
      </c>
      <c r="BW41" s="168">
        <v>41.610880750601318</v>
      </c>
      <c r="BX41" s="168">
        <v>50.080922723356686</v>
      </c>
      <c r="BY41" s="168">
        <v>71.37231577171984</v>
      </c>
      <c r="BZ41" s="168">
        <v>232.67562572607522</v>
      </c>
      <c r="CA41" s="168">
        <v>118.37016273309379</v>
      </c>
      <c r="CB41" s="168">
        <v>91.916000636718451</v>
      </c>
      <c r="CC41" s="168">
        <v>53.583339136989366</v>
      </c>
      <c r="CD41" s="168">
        <v>0</v>
      </c>
      <c r="CE41" s="168">
        <v>0</v>
      </c>
      <c r="CF41" s="168">
        <v>2.2611113726881946</v>
      </c>
      <c r="CG41" s="168">
        <v>9.2214213317811478</v>
      </c>
      <c r="CH41" s="168">
        <v>35.441978285479777</v>
      </c>
      <c r="CI41" s="168">
        <v>41.15659101090197</v>
      </c>
      <c r="CJ41" s="168">
        <v>50.825253307760448</v>
      </c>
      <c r="CK41" s="168">
        <v>73.226664213365083</v>
      </c>
      <c r="CL41" s="168">
        <v>248.57765234814121</v>
      </c>
      <c r="CM41" s="168">
        <v>122.27390475876035</v>
      </c>
      <c r="CN41" s="168">
        <v>98.809097953986097</v>
      </c>
      <c r="CO41" s="168">
        <v>56.298880386824329</v>
      </c>
    </row>
    <row r="42" spans="1:93" x14ac:dyDescent="0.2">
      <c r="A42" s="118">
        <f t="shared" si="0"/>
        <v>27</v>
      </c>
      <c r="B42" s="199" t="s">
        <v>556</v>
      </c>
      <c r="C42" s="143"/>
      <c r="D42" s="188">
        <f>SUM(D39:D41)</f>
        <v>3335.011036313881</v>
      </c>
      <c r="E42" s="166"/>
      <c r="F42" s="183"/>
      <c r="G42" s="142"/>
      <c r="H42" s="1145"/>
      <c r="I42" s="162"/>
      <c r="J42" s="188">
        <f>SUM(J39:J41)</f>
        <v>3335.011036313881</v>
      </c>
      <c r="K42" s="166"/>
      <c r="L42" s="183"/>
      <c r="M42" s="142"/>
      <c r="N42" s="1145"/>
      <c r="P42" s="1146"/>
      <c r="T42" s="176"/>
      <c r="U42" s="184"/>
      <c r="V42" s="139"/>
      <c r="W42" s="140"/>
      <c r="Y42" s="184"/>
      <c r="Z42" s="141"/>
      <c r="AB42" s="188">
        <f>SUM(AB39:AB41)</f>
        <v>3287.1538414948664</v>
      </c>
      <c r="AC42" s="188">
        <f>SUM(AC39:AC41)</f>
        <v>3308.6147977958103</v>
      </c>
      <c r="AD42" s="188">
        <f>SUM(AD39:AD41)</f>
        <v>3311.4154502670312</v>
      </c>
      <c r="AE42" s="188">
        <f>SUM(AE39:AE41)</f>
        <v>3300.7130363138808</v>
      </c>
      <c r="AF42" s="188">
        <f>SUM(AF39:AF41)</f>
        <v>3440.2016692956913</v>
      </c>
      <c r="AH42" s="188">
        <f t="shared" ref="AH42:CO42" si="6">SUM(AH39:AH41)</f>
        <v>55.761816587421919</v>
      </c>
      <c r="AI42" s="188">
        <f t="shared" si="6"/>
        <v>44.7633507640261</v>
      </c>
      <c r="AJ42" s="188">
        <f t="shared" si="6"/>
        <v>56.72272222611587</v>
      </c>
      <c r="AK42" s="188">
        <f t="shared" si="6"/>
        <v>68.937341208117303</v>
      </c>
      <c r="AL42" s="188">
        <f t="shared" si="6"/>
        <v>123.12460989386284</v>
      </c>
      <c r="AM42" s="188">
        <f t="shared" si="6"/>
        <v>187.43735957125381</v>
      </c>
      <c r="AN42" s="188">
        <f t="shared" si="6"/>
        <v>358.33447943676288</v>
      </c>
      <c r="AO42" s="188">
        <f t="shared" si="6"/>
        <v>437.65006327257908</v>
      </c>
      <c r="AP42" s="188">
        <f t="shared" si="6"/>
        <v>667.10199826319763</v>
      </c>
      <c r="AQ42" s="188">
        <f t="shared" si="6"/>
        <v>495.02527748159775</v>
      </c>
      <c r="AR42" s="188">
        <f t="shared" si="6"/>
        <v>403.46388037742514</v>
      </c>
      <c r="AS42" s="188">
        <f t="shared" si="6"/>
        <v>388.83094241250592</v>
      </c>
      <c r="AT42" s="188">
        <f t="shared" si="6"/>
        <v>54.251715954811829</v>
      </c>
      <c r="AU42" s="188">
        <f t="shared" si="6"/>
        <v>48.826520977192253</v>
      </c>
      <c r="AV42" s="188">
        <f t="shared" si="6"/>
        <v>54.864971254206004</v>
      </c>
      <c r="AW42" s="188">
        <f t="shared" si="6"/>
        <v>71.44746978738651</v>
      </c>
      <c r="AX42" s="188">
        <f t="shared" si="6"/>
        <v>123.4858367825063</v>
      </c>
      <c r="AY42" s="188">
        <f t="shared" si="6"/>
        <v>178.23614247003769</v>
      </c>
      <c r="AZ42" s="188">
        <f t="shared" si="6"/>
        <v>372.79492750636604</v>
      </c>
      <c r="BA42" s="188">
        <f t="shared" si="6"/>
        <v>429.35524351874506</v>
      </c>
      <c r="BB42" s="188">
        <f t="shared" si="6"/>
        <v>669.8603282697527</v>
      </c>
      <c r="BC42" s="188">
        <f t="shared" si="6"/>
        <v>510.92824730600796</v>
      </c>
      <c r="BD42" s="188">
        <f t="shared" si="6"/>
        <v>405.25172773518847</v>
      </c>
      <c r="BE42" s="188">
        <f t="shared" si="6"/>
        <v>389.31166623360974</v>
      </c>
      <c r="BF42" s="188">
        <f t="shared" si="6"/>
        <v>51.437112638871653</v>
      </c>
      <c r="BG42" s="188">
        <f t="shared" si="6"/>
        <v>49.634514078767374</v>
      </c>
      <c r="BH42" s="188">
        <f t="shared" si="6"/>
        <v>56.248154362724279</v>
      </c>
      <c r="BI42" s="188">
        <f t="shared" si="6"/>
        <v>67.69383962474042</v>
      </c>
      <c r="BJ42" s="188">
        <f t="shared" si="6"/>
        <v>122.11103616089534</v>
      </c>
      <c r="BK42" s="188">
        <f t="shared" si="6"/>
        <v>182.07473235341962</v>
      </c>
      <c r="BL42" s="188">
        <f t="shared" si="6"/>
        <v>372.77359250866999</v>
      </c>
      <c r="BM42" s="188">
        <f t="shared" si="6"/>
        <v>433.15776460391555</v>
      </c>
      <c r="BN42" s="188">
        <f t="shared" si="6"/>
        <v>668.59799848890884</v>
      </c>
      <c r="BO42" s="188">
        <f t="shared" si="6"/>
        <v>495.92456551492813</v>
      </c>
      <c r="BP42" s="188">
        <f t="shared" si="6"/>
        <v>399.67670420128115</v>
      </c>
      <c r="BQ42" s="188">
        <f t="shared" si="6"/>
        <v>412.08543572990891</v>
      </c>
      <c r="BR42" s="188">
        <f t="shared" si="6"/>
        <v>50.959272262365722</v>
      </c>
      <c r="BS42" s="188">
        <f t="shared" si="6"/>
        <v>47.574883037123477</v>
      </c>
      <c r="BT42" s="188">
        <f t="shared" si="6"/>
        <v>57.389602395070654</v>
      </c>
      <c r="BU42" s="188">
        <f t="shared" si="6"/>
        <v>69.672146769043763</v>
      </c>
      <c r="BV42" s="188">
        <f t="shared" si="6"/>
        <v>113.94839341729872</v>
      </c>
      <c r="BW42" s="188">
        <f t="shared" si="6"/>
        <v>186.63186217544282</v>
      </c>
      <c r="BX42" s="188">
        <f t="shared" si="6"/>
        <v>380.83225159727681</v>
      </c>
      <c r="BY42" s="188">
        <f t="shared" si="6"/>
        <v>435.42791161917825</v>
      </c>
      <c r="BZ42" s="188">
        <f t="shared" si="6"/>
        <v>665.92415291778821</v>
      </c>
      <c r="CA42" s="188">
        <f t="shared" si="6"/>
        <v>500.59509289959362</v>
      </c>
      <c r="CB42" s="188">
        <f t="shared" si="6"/>
        <v>399.39827510260102</v>
      </c>
      <c r="CC42" s="188">
        <f t="shared" si="6"/>
        <v>392.35919212109826</v>
      </c>
      <c r="CD42" s="188">
        <f t="shared" si="6"/>
        <v>53.353220598479957</v>
      </c>
      <c r="CE42" s="188">
        <f t="shared" si="6"/>
        <v>47.420513948448786</v>
      </c>
      <c r="CF42" s="188">
        <f t="shared" si="6"/>
        <v>54.501833443655755</v>
      </c>
      <c r="CG42" s="188">
        <f t="shared" si="6"/>
        <v>74.405624879890269</v>
      </c>
      <c r="CH42" s="188">
        <f t="shared" si="6"/>
        <v>122.55838044701323</v>
      </c>
      <c r="CI42" s="188">
        <f t="shared" si="6"/>
        <v>184.59429559290749</v>
      </c>
      <c r="CJ42" s="188">
        <f t="shared" si="6"/>
        <v>386.49239276434434</v>
      </c>
      <c r="CK42" s="188">
        <f t="shared" si="6"/>
        <v>446.74091247433353</v>
      </c>
      <c r="CL42" s="188">
        <f t="shared" si="6"/>
        <v>711.4361981736256</v>
      </c>
      <c r="CM42" s="188">
        <f t="shared" si="6"/>
        <v>517.10427103091888</v>
      </c>
      <c r="CN42" s="188">
        <f t="shared" si="6"/>
        <v>429.35052671885848</v>
      </c>
      <c r="CO42" s="188">
        <f t="shared" si="6"/>
        <v>412.24349922321488</v>
      </c>
    </row>
    <row r="43" spans="1:93" x14ac:dyDescent="0.2">
      <c r="A43" s="118">
        <f t="shared" si="0"/>
        <v>28</v>
      </c>
      <c r="B43" s="199"/>
      <c r="C43" s="143"/>
      <c r="D43" s="168"/>
      <c r="E43" s="166"/>
      <c r="F43" s="183"/>
      <c r="G43" s="142"/>
      <c r="H43" s="187"/>
      <c r="I43" s="162"/>
      <c r="J43" s="168"/>
      <c r="K43" s="166"/>
      <c r="L43" s="183"/>
      <c r="M43" s="142"/>
      <c r="N43" s="174"/>
      <c r="U43" s="184"/>
      <c r="V43" s="139"/>
      <c r="W43" s="140"/>
      <c r="Y43" s="184"/>
      <c r="Z43" s="141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</row>
    <row r="44" spans="1:93" x14ac:dyDescent="0.2">
      <c r="A44" s="118">
        <f t="shared" si="0"/>
        <v>29</v>
      </c>
      <c r="B44" s="199"/>
      <c r="C44" s="143" t="s">
        <v>374</v>
      </c>
      <c r="D44" s="204">
        <f>+D30+D35+D42</f>
        <v>21036571.745129421</v>
      </c>
      <c r="E44" s="166" t="s">
        <v>562</v>
      </c>
      <c r="F44" s="205">
        <f>H44/D44</f>
        <v>87.601681343190862</v>
      </c>
      <c r="G44" s="142"/>
      <c r="H44" s="206">
        <f>SUM(H28:H43)</f>
        <v>1842839054.5699999</v>
      </c>
      <c r="I44" s="162"/>
      <c r="J44" s="204">
        <f>+J30+J35+J42</f>
        <v>21036571.745129421</v>
      </c>
      <c r="K44" s="166" t="s">
        <v>562</v>
      </c>
      <c r="L44" s="205">
        <f>N44/J44</f>
        <v>90.061221268558185</v>
      </c>
      <c r="M44" s="142"/>
      <c r="N44" s="206">
        <f>SUM(N28:N43)-N42-N36</f>
        <v>1894579342.6700001</v>
      </c>
      <c r="Q44" s="1022"/>
      <c r="T44" s="176"/>
      <c r="U44" s="184"/>
      <c r="V44" s="139"/>
      <c r="W44" s="140"/>
      <c r="Y44" s="192" t="s">
        <v>135</v>
      </c>
      <c r="Z44" s="141" t="s">
        <v>141</v>
      </c>
      <c r="AB44" s="204">
        <f>+AB30+AB42</f>
        <v>20852986.251619168</v>
      </c>
      <c r="AC44" s="204">
        <f>+AC30+AC42</f>
        <v>20955188.599884704</v>
      </c>
      <c r="AD44" s="204">
        <f>+AD30+AD42</f>
        <v>20887161.627604745</v>
      </c>
      <c r="AE44" s="204">
        <f>+AE30+AE42</f>
        <v>20820220.626129419</v>
      </c>
      <c r="AF44" s="204">
        <f>+AF30+AF42</f>
        <v>21499332.942948565</v>
      </c>
      <c r="AH44" s="204">
        <f t="shared" ref="AH44:CO44" si="7">+AH30+AH42</f>
        <v>1727300.8150724105</v>
      </c>
      <c r="AI44" s="204">
        <f t="shared" si="7"/>
        <v>1269409.8572922887</v>
      </c>
      <c r="AJ44" s="204">
        <f t="shared" si="7"/>
        <v>1302839.6923960573</v>
      </c>
      <c r="AK44" s="204">
        <f t="shared" si="7"/>
        <v>1373901.0530860159</v>
      </c>
      <c r="AL44" s="204">
        <f t="shared" si="7"/>
        <v>1673312.6575761631</v>
      </c>
      <c r="AM44" s="204">
        <f t="shared" si="7"/>
        <v>2087840.4417158619</v>
      </c>
      <c r="AN44" s="204">
        <f t="shared" si="7"/>
        <v>2169935.2462017536</v>
      </c>
      <c r="AO44" s="204">
        <f t="shared" si="7"/>
        <v>2277732.9277248294</v>
      </c>
      <c r="AP44" s="204">
        <f t="shared" si="7"/>
        <v>2227520.2694474566</v>
      </c>
      <c r="AQ44" s="204">
        <f t="shared" si="7"/>
        <v>1937151.7484141418</v>
      </c>
      <c r="AR44" s="204">
        <f t="shared" si="7"/>
        <v>1462549.4801753531</v>
      </c>
      <c r="AS44" s="204">
        <f t="shared" si="7"/>
        <v>1343492.0625168383</v>
      </c>
      <c r="AT44" s="204">
        <f t="shared" si="7"/>
        <v>1680523.3208446286</v>
      </c>
      <c r="AU44" s="204">
        <f t="shared" si="7"/>
        <v>1384634.2145491764</v>
      </c>
      <c r="AV44" s="204">
        <f t="shared" si="7"/>
        <v>1260169.8132047309</v>
      </c>
      <c r="AW44" s="204">
        <f t="shared" si="7"/>
        <v>1423927.1817124148</v>
      </c>
      <c r="AX44" s="204">
        <f t="shared" si="7"/>
        <v>1678221.8753641022</v>
      </c>
      <c r="AY44" s="204">
        <f t="shared" si="7"/>
        <v>1985349.2776231258</v>
      </c>
      <c r="AZ44" s="204">
        <f t="shared" si="7"/>
        <v>2257502.1361963279</v>
      </c>
      <c r="BA44" s="204">
        <f t="shared" si="7"/>
        <v>2234562.8572315848</v>
      </c>
      <c r="BB44" s="204">
        <f t="shared" si="7"/>
        <v>2236730.6091187862</v>
      </c>
      <c r="BC44" s="204">
        <f t="shared" si="7"/>
        <v>1999383.8549381946</v>
      </c>
      <c r="BD44" s="204">
        <f t="shared" si="7"/>
        <v>1469030.3954465876</v>
      </c>
      <c r="BE44" s="204">
        <f t="shared" si="7"/>
        <v>1345153.0636550416</v>
      </c>
      <c r="BF44" s="204">
        <f t="shared" si="7"/>
        <v>1593337.018473956</v>
      </c>
      <c r="BG44" s="204">
        <f t="shared" si="7"/>
        <v>1407547.4770788422</v>
      </c>
      <c r="BH44" s="204">
        <f t="shared" si="7"/>
        <v>1291939.548240467</v>
      </c>
      <c r="BI44" s="204">
        <f t="shared" si="7"/>
        <v>1349118.4301276116</v>
      </c>
      <c r="BJ44" s="204">
        <f t="shared" si="7"/>
        <v>1659537.7854508974</v>
      </c>
      <c r="BK44" s="204">
        <f t="shared" si="7"/>
        <v>2028106.8325525075</v>
      </c>
      <c r="BL44" s="204">
        <f t="shared" si="7"/>
        <v>2257372.9396882188</v>
      </c>
      <c r="BM44" s="204">
        <f t="shared" si="7"/>
        <v>2254352.9320216943</v>
      </c>
      <c r="BN44" s="204">
        <f t="shared" si="7"/>
        <v>2232515.5637720814</v>
      </c>
      <c r="BO44" s="204">
        <f t="shared" si="7"/>
        <v>1940670.8765583783</v>
      </c>
      <c r="BP44" s="204">
        <f t="shared" si="7"/>
        <v>1448821.0330524771</v>
      </c>
      <c r="BQ44" s="204">
        <f t="shared" si="7"/>
        <v>1423841.1905876112</v>
      </c>
      <c r="BR44" s="204">
        <f t="shared" si="7"/>
        <v>1578535.2397241695</v>
      </c>
      <c r="BS44" s="204">
        <f t="shared" si="7"/>
        <v>1349139.9650846976</v>
      </c>
      <c r="BT44" s="204">
        <f t="shared" si="7"/>
        <v>1318156.974784631</v>
      </c>
      <c r="BU44" s="204">
        <f t="shared" si="7"/>
        <v>1388545.5130590594</v>
      </c>
      <c r="BV44" s="204">
        <f t="shared" si="7"/>
        <v>1548604.2082082431</v>
      </c>
      <c r="BW44" s="204">
        <f t="shared" si="7"/>
        <v>2078868.1106794144</v>
      </c>
      <c r="BX44" s="204">
        <f t="shared" si="7"/>
        <v>2306173.0674933298</v>
      </c>
      <c r="BY44" s="204">
        <f t="shared" si="7"/>
        <v>2266167.8248810153</v>
      </c>
      <c r="BZ44" s="204">
        <f t="shared" si="7"/>
        <v>2223587.3260774706</v>
      </c>
      <c r="CA44" s="204">
        <f t="shared" si="7"/>
        <v>1958947.7620040053</v>
      </c>
      <c r="CB44" s="204">
        <f t="shared" si="7"/>
        <v>1447811.73245992</v>
      </c>
      <c r="CC44" s="204">
        <f t="shared" si="7"/>
        <v>1355682.9016734669</v>
      </c>
      <c r="CD44" s="204">
        <f t="shared" si="7"/>
        <v>1652691.161558755</v>
      </c>
      <c r="CE44" s="204">
        <f t="shared" si="7"/>
        <v>1344762.3293742277</v>
      </c>
      <c r="CF44" s="204">
        <f t="shared" si="7"/>
        <v>1251829.0577750339</v>
      </c>
      <c r="CG44" s="204">
        <f t="shared" si="7"/>
        <v>1482882.3477451915</v>
      </c>
      <c r="CH44" s="204">
        <f t="shared" si="7"/>
        <v>1665617.3730889882</v>
      </c>
      <c r="CI44" s="204">
        <f t="shared" si="7"/>
        <v>2056171.920744617</v>
      </c>
      <c r="CJ44" s="204">
        <f t="shared" si="7"/>
        <v>2340448.6968890908</v>
      </c>
      <c r="CK44" s="204">
        <f t="shared" si="7"/>
        <v>2325045.902874385</v>
      </c>
      <c r="CL44" s="204">
        <f t="shared" si="7"/>
        <v>2375556.5955075258</v>
      </c>
      <c r="CM44" s="204">
        <f t="shared" si="7"/>
        <v>2023552.1059370604</v>
      </c>
      <c r="CN44" s="204">
        <f t="shared" si="7"/>
        <v>1556388.1185058262</v>
      </c>
      <c r="CO44" s="204">
        <f t="shared" si="7"/>
        <v>1424387.3329478682</v>
      </c>
    </row>
    <row r="45" spans="1:93" x14ac:dyDescent="0.2">
      <c r="A45" s="118">
        <f t="shared" si="0"/>
        <v>30</v>
      </c>
      <c r="B45" s="143"/>
      <c r="C45" s="143"/>
      <c r="D45" s="143"/>
      <c r="E45" s="166"/>
      <c r="F45" s="197"/>
      <c r="G45" s="143"/>
      <c r="H45" s="174"/>
      <c r="I45" s="162"/>
      <c r="J45" s="101" t="s">
        <v>416</v>
      </c>
      <c r="L45" s="197"/>
      <c r="M45" s="142"/>
      <c r="N45" s="203"/>
      <c r="S45" s="1068"/>
      <c r="T45" s="1350"/>
      <c r="U45" s="184"/>
      <c r="V45" s="139"/>
      <c r="W45" s="140"/>
      <c r="Y45" s="184"/>
      <c r="Z45" s="141"/>
      <c r="AB45" s="193">
        <f>SUM(AH45:AS45)</f>
        <v>0</v>
      </c>
      <c r="AC45" s="193">
        <f>SUM(AT45:BE45)</f>
        <v>0</v>
      </c>
      <c r="AD45" s="193">
        <f>SUM(BF45:BQ45)</f>
        <v>0</v>
      </c>
      <c r="AE45" s="193">
        <f>SUM(BR45:CC45)</f>
        <v>0</v>
      </c>
      <c r="AF45" s="193">
        <f>SUM(CD45:CO45)</f>
        <v>0</v>
      </c>
      <c r="AH45" s="194">
        <v>0</v>
      </c>
      <c r="AI45" s="194">
        <v>0</v>
      </c>
      <c r="AJ45" s="194">
        <v>0</v>
      </c>
      <c r="AK45" s="194">
        <v>0</v>
      </c>
      <c r="AL45" s="194">
        <v>0</v>
      </c>
      <c r="AM45" s="194">
        <v>0</v>
      </c>
      <c r="AN45" s="194">
        <v>0</v>
      </c>
      <c r="AO45" s="194">
        <v>0</v>
      </c>
      <c r="AP45" s="194">
        <v>0</v>
      </c>
      <c r="AQ45" s="194">
        <v>0</v>
      </c>
      <c r="AR45" s="194">
        <v>0</v>
      </c>
      <c r="AS45" s="194">
        <v>0</v>
      </c>
      <c r="AT45" s="194">
        <v>0</v>
      </c>
      <c r="AU45" s="194">
        <v>0</v>
      </c>
      <c r="AV45" s="194">
        <v>0</v>
      </c>
      <c r="AW45" s="194">
        <v>0</v>
      </c>
      <c r="AX45" s="194">
        <v>0</v>
      </c>
      <c r="AY45" s="194">
        <v>0</v>
      </c>
      <c r="AZ45" s="194">
        <v>0</v>
      </c>
      <c r="BA45" s="194">
        <v>0</v>
      </c>
      <c r="BB45" s="194">
        <v>0</v>
      </c>
      <c r="BC45" s="194">
        <v>0</v>
      </c>
      <c r="BD45" s="194">
        <v>0</v>
      </c>
      <c r="BE45" s="194">
        <v>0</v>
      </c>
      <c r="BF45" s="194">
        <v>0</v>
      </c>
      <c r="BG45" s="194">
        <v>0</v>
      </c>
      <c r="BH45" s="194">
        <v>0</v>
      </c>
      <c r="BI45" s="194">
        <v>0</v>
      </c>
      <c r="BJ45" s="194">
        <v>0</v>
      </c>
      <c r="BK45" s="194">
        <v>0</v>
      </c>
      <c r="BL45" s="194">
        <v>0</v>
      </c>
      <c r="BM45" s="194">
        <v>0</v>
      </c>
      <c r="BN45" s="194">
        <v>0</v>
      </c>
      <c r="BO45" s="194">
        <v>0</v>
      </c>
      <c r="BP45" s="194">
        <v>0</v>
      </c>
      <c r="BQ45" s="194">
        <v>0</v>
      </c>
      <c r="BR45" s="194">
        <v>0</v>
      </c>
      <c r="BS45" s="194">
        <v>0</v>
      </c>
      <c r="BT45" s="194">
        <v>0</v>
      </c>
      <c r="BU45" s="194">
        <v>0</v>
      </c>
      <c r="BV45" s="194">
        <v>0</v>
      </c>
      <c r="BW45" s="194">
        <v>0</v>
      </c>
      <c r="BX45" s="194">
        <v>0</v>
      </c>
      <c r="BY45" s="194">
        <v>0</v>
      </c>
      <c r="BZ45" s="194">
        <v>0</v>
      </c>
      <c r="CA45" s="194">
        <v>0</v>
      </c>
      <c r="CB45" s="194">
        <v>0</v>
      </c>
      <c r="CC45" s="194">
        <v>0</v>
      </c>
      <c r="CD45" s="194">
        <v>0</v>
      </c>
      <c r="CE45" s="194">
        <v>0</v>
      </c>
      <c r="CF45" s="194">
        <v>0</v>
      </c>
      <c r="CG45" s="194">
        <v>0</v>
      </c>
      <c r="CH45" s="194">
        <v>0</v>
      </c>
      <c r="CI45" s="194">
        <v>0</v>
      </c>
      <c r="CJ45" s="194">
        <v>0</v>
      </c>
      <c r="CK45" s="194">
        <v>0</v>
      </c>
      <c r="CL45" s="194">
        <v>0</v>
      </c>
      <c r="CM45" s="194">
        <v>0</v>
      </c>
      <c r="CN45" s="194">
        <v>0</v>
      </c>
      <c r="CO45" s="194">
        <v>0</v>
      </c>
    </row>
    <row r="46" spans="1:93" x14ac:dyDescent="0.2">
      <c r="A46" s="118">
        <f t="shared" si="0"/>
        <v>31</v>
      </c>
      <c r="B46" s="207" t="s">
        <v>563</v>
      </c>
      <c r="C46" s="143"/>
      <c r="D46" s="143"/>
      <c r="E46" s="166"/>
      <c r="F46" s="166"/>
      <c r="G46" s="143"/>
      <c r="H46" s="174"/>
      <c r="I46" s="162"/>
      <c r="J46" s="208"/>
      <c r="K46" s="166"/>
      <c r="L46" s="166"/>
      <c r="M46" s="143"/>
      <c r="N46" s="174"/>
      <c r="S46" s="1068"/>
      <c r="T46" s="1362"/>
      <c r="U46" s="184"/>
      <c r="V46" s="139"/>
      <c r="W46" s="140"/>
      <c r="Y46" s="184"/>
      <c r="Z46" s="141"/>
    </row>
    <row r="47" spans="1:93" x14ac:dyDescent="0.2">
      <c r="A47" s="118">
        <f t="shared" si="0"/>
        <v>32</v>
      </c>
      <c r="B47" s="171" t="s">
        <v>564</v>
      </c>
      <c r="C47" s="143"/>
      <c r="D47" s="143"/>
      <c r="E47" s="166"/>
      <c r="F47" s="166"/>
      <c r="G47" s="143"/>
      <c r="H47" s="174">
        <f>'MFR E-5 Yr4'!J22*1000</f>
        <v>45059899.920000002</v>
      </c>
      <c r="I47" s="162"/>
      <c r="J47" s="208"/>
      <c r="K47" s="166"/>
      <c r="L47" s="166"/>
      <c r="M47" s="143"/>
      <c r="N47" s="174">
        <f>H47</f>
        <v>45059899.920000002</v>
      </c>
      <c r="S47" s="1068"/>
      <c r="T47" s="1362"/>
      <c r="U47" s="184"/>
      <c r="V47" s="139"/>
      <c r="W47" s="140"/>
      <c r="Y47" s="184" t="s">
        <v>135</v>
      </c>
      <c r="Z47" s="141" t="s">
        <v>565</v>
      </c>
    </row>
    <row r="48" spans="1:93" x14ac:dyDescent="0.2">
      <c r="A48" s="118">
        <f t="shared" si="0"/>
        <v>33</v>
      </c>
      <c r="B48" s="171" t="s">
        <v>566</v>
      </c>
      <c r="C48" s="143"/>
      <c r="D48" s="143"/>
      <c r="E48" s="166"/>
      <c r="F48" s="166"/>
      <c r="G48" s="143"/>
      <c r="H48" s="174">
        <f>'MFR E-5 Yr4'!J23*1000</f>
        <v>19150457.465999942</v>
      </c>
      <c r="I48" s="162"/>
      <c r="J48" s="208"/>
      <c r="K48" s="166"/>
      <c r="L48" s="166"/>
      <c r="M48" s="143"/>
      <c r="N48" s="174">
        <f t="shared" ref="N48:N49" si="8">H48</f>
        <v>19150457.465999942</v>
      </c>
      <c r="S48" s="1068"/>
      <c r="T48" s="1362"/>
      <c r="U48" s="184"/>
      <c r="V48" s="139"/>
      <c r="W48" s="140"/>
      <c r="Y48" s="184" t="s">
        <v>135</v>
      </c>
      <c r="Z48" s="141" t="s">
        <v>565</v>
      </c>
    </row>
    <row r="49" spans="1:93" x14ac:dyDescent="0.2">
      <c r="A49" s="118">
        <f t="shared" si="0"/>
        <v>34</v>
      </c>
      <c r="B49" s="171" t="s">
        <v>567</v>
      </c>
      <c r="C49" s="143"/>
      <c r="D49" s="143"/>
      <c r="E49" s="166"/>
      <c r="F49" s="166"/>
      <c r="G49" s="143"/>
      <c r="H49" s="174">
        <f>'MFR E-5 Yr4'!J21*1000</f>
        <v>1201989.332713814</v>
      </c>
      <c r="I49" s="162"/>
      <c r="J49" s="208"/>
      <c r="K49" s="166"/>
      <c r="L49" s="166"/>
      <c r="M49" s="143"/>
      <c r="N49" s="174">
        <f t="shared" si="8"/>
        <v>1201989.332713814</v>
      </c>
      <c r="S49" s="1068"/>
      <c r="T49" s="1362"/>
      <c r="U49" s="184"/>
      <c r="V49" s="139"/>
      <c r="W49" s="140"/>
      <c r="Y49" s="184" t="s">
        <v>135</v>
      </c>
      <c r="Z49" s="141" t="s">
        <v>568</v>
      </c>
    </row>
    <row r="50" spans="1:93" x14ac:dyDescent="0.2">
      <c r="A50" s="118">
        <f t="shared" si="0"/>
        <v>35</v>
      </c>
      <c r="B50" s="171" t="s">
        <v>158</v>
      </c>
      <c r="C50" s="143"/>
      <c r="D50" s="143"/>
      <c r="E50" s="166"/>
      <c r="F50" s="166"/>
      <c r="G50" s="143"/>
      <c r="H50" s="174">
        <f>'MFR E-5 Yr4'!J19*1000</f>
        <v>12642725</v>
      </c>
      <c r="I50" s="162"/>
      <c r="J50" s="208"/>
      <c r="K50" s="166"/>
      <c r="L50" s="166"/>
      <c r="M50" s="143"/>
      <c r="N50" s="174">
        <f>H50</f>
        <v>12642725</v>
      </c>
      <c r="S50" s="1355"/>
      <c r="T50" s="927"/>
      <c r="U50" s="184"/>
      <c r="V50" s="139"/>
      <c r="W50" s="140"/>
      <c r="Y50" s="184" t="s">
        <v>135</v>
      </c>
      <c r="Z50" s="141" t="s">
        <v>569</v>
      </c>
    </row>
    <row r="51" spans="1:93" x14ac:dyDescent="0.2">
      <c r="A51" s="118">
        <f t="shared" si="0"/>
        <v>36</v>
      </c>
      <c r="B51" s="171" t="s">
        <v>570</v>
      </c>
      <c r="C51" s="143"/>
      <c r="D51" s="172">
        <f>ROUND(H51/F51,0)</f>
        <v>14211</v>
      </c>
      <c r="E51" s="166" t="s">
        <v>545</v>
      </c>
      <c r="F51" s="205">
        <f>-'MFR E-14A'!G27*12</f>
        <v>-90</v>
      </c>
      <c r="G51" s="143"/>
      <c r="H51" s="174">
        <f>'MFR E-5 Yr4'!J20*1000</f>
        <v>-1278968</v>
      </c>
      <c r="I51" s="162"/>
      <c r="J51" s="172">
        <f>ROUND(N51/L51,0)</f>
        <v>14211</v>
      </c>
      <c r="K51" s="166" t="s">
        <v>545</v>
      </c>
      <c r="L51" s="205">
        <f>-'MFR E-14A'!H27*12</f>
        <v>-90</v>
      </c>
      <c r="M51" s="143"/>
      <c r="N51" s="203">
        <f>H51</f>
        <v>-1278968</v>
      </c>
      <c r="S51" s="1068"/>
      <c r="T51" s="1363"/>
      <c r="U51" s="184"/>
      <c r="V51" s="139"/>
      <c r="W51" s="140"/>
      <c r="Y51" s="184" t="s">
        <v>135</v>
      </c>
      <c r="Z51" s="141" t="s">
        <v>571</v>
      </c>
      <c r="AB51" s="101">
        <v>91.38</v>
      </c>
      <c r="AC51" s="101">
        <f>AB51/AB52</f>
        <v>1.2049050632911391</v>
      </c>
    </row>
    <row r="52" spans="1:93" ht="10.8" thickBot="1" x14ac:dyDescent="0.25">
      <c r="A52" s="118">
        <f t="shared" si="0"/>
        <v>37</v>
      </c>
      <c r="B52" s="207" t="s">
        <v>572</v>
      </c>
      <c r="C52" s="143"/>
      <c r="D52" s="143"/>
      <c r="E52" s="166"/>
      <c r="F52" s="209" t="s">
        <v>416</v>
      </c>
      <c r="G52" s="143"/>
      <c r="H52" s="210">
        <f>H23+H44+H47+H48+H49+H50+H51</f>
        <v>2242023332.2787137</v>
      </c>
      <c r="I52" s="162"/>
      <c r="J52" s="143"/>
      <c r="K52" s="166"/>
      <c r="L52" s="209" t="s">
        <v>416</v>
      </c>
      <c r="M52" s="143"/>
      <c r="N52" s="210">
        <f>N23+N44+N47+N48+N49+N50+N51</f>
        <v>2299621642.3887138</v>
      </c>
      <c r="P52" s="1238"/>
      <c r="Q52" s="939">
        <f>(N52-H52)/H52</f>
        <v>2.5690325912647499E-2</v>
      </c>
      <c r="S52" s="1068"/>
      <c r="T52" s="1362"/>
      <c r="U52" s="184"/>
      <c r="V52" s="139"/>
      <c r="W52" s="140"/>
      <c r="Y52" s="192" t="s">
        <v>135</v>
      </c>
      <c r="Z52" s="141" t="s">
        <v>121</v>
      </c>
      <c r="AB52" s="101">
        <v>75.84</v>
      </c>
    </row>
    <row r="53" spans="1:93" ht="10.8" thickTop="1" x14ac:dyDescent="0.2">
      <c r="A53" s="118">
        <f t="shared" si="0"/>
        <v>38</v>
      </c>
      <c r="B53" s="143"/>
      <c r="C53" s="143"/>
      <c r="D53" s="143"/>
      <c r="E53" s="166"/>
      <c r="F53" s="166"/>
      <c r="G53" s="143"/>
      <c r="H53" s="143"/>
      <c r="I53" s="162"/>
      <c r="J53" s="143"/>
      <c r="K53" s="166"/>
      <c r="L53" s="166"/>
      <c r="M53" s="143"/>
      <c r="N53" s="174"/>
      <c r="S53" s="1068"/>
      <c r="T53" s="1362"/>
      <c r="U53" s="184"/>
      <c r="V53" s="139"/>
      <c r="W53" s="140"/>
      <c r="Y53" s="184"/>
      <c r="Z53" s="141"/>
      <c r="AB53" s="101">
        <v>43.440000000000005</v>
      </c>
      <c r="AC53" s="101">
        <f>AB53/AB52</f>
        <v>0.57278481012658233</v>
      </c>
    </row>
    <row r="54" spans="1:93" x14ac:dyDescent="0.2">
      <c r="A54" s="118">
        <f t="shared" si="0"/>
        <v>39</v>
      </c>
      <c r="B54" s="102"/>
      <c r="C54" s="1348"/>
      <c r="D54" s="1349"/>
      <c r="E54" s="1349"/>
      <c r="F54" s="1349"/>
      <c r="G54" s="143"/>
      <c r="H54" s="211"/>
      <c r="I54" s="162"/>
      <c r="J54" s="171" t="s">
        <v>573</v>
      </c>
      <c r="K54" s="166"/>
      <c r="L54" s="166"/>
      <c r="M54" s="143"/>
      <c r="N54" s="174">
        <f>N52-H52</f>
        <v>57598310.110000134</v>
      </c>
      <c r="Q54" s="1226"/>
      <c r="S54" s="1068"/>
      <c r="T54" s="1362"/>
      <c r="U54" s="184"/>
      <c r="V54" s="139"/>
      <c r="W54" s="140"/>
      <c r="Y54" s="184"/>
      <c r="Z54" s="141"/>
    </row>
    <row r="55" spans="1:93" x14ac:dyDescent="0.2">
      <c r="A55" s="118">
        <f t="shared" si="0"/>
        <v>40</v>
      </c>
      <c r="B55" s="143"/>
      <c r="C55" s="1348"/>
      <c r="D55" s="1145"/>
      <c r="E55" s="1145"/>
      <c r="F55" s="1282"/>
      <c r="G55" s="143"/>
      <c r="H55" s="211"/>
      <c r="I55" s="162"/>
      <c r="J55" s="171"/>
      <c r="K55" s="166"/>
      <c r="L55" s="166"/>
      <c r="M55" s="143"/>
      <c r="N55" s="212"/>
      <c r="S55" s="1068"/>
      <c r="T55" s="1362"/>
      <c r="U55" s="184"/>
      <c r="V55" s="139"/>
      <c r="W55" s="140"/>
      <c r="Y55" s="184"/>
      <c r="Z55" s="141"/>
    </row>
    <row r="56" spans="1:93" x14ac:dyDescent="0.2">
      <c r="A56" s="118">
        <f t="shared" si="0"/>
        <v>41</v>
      </c>
      <c r="B56" s="143"/>
      <c r="C56" s="1348"/>
      <c r="D56" s="1145"/>
      <c r="E56" s="1145"/>
      <c r="F56" s="1146"/>
      <c r="G56" s="143"/>
      <c r="H56" s="211"/>
      <c r="I56" s="162"/>
      <c r="J56" s="171" t="s">
        <v>574</v>
      </c>
      <c r="N56" s="211">
        <f>'Exhibit MJC-2 - Old E-8a'!U16*1000</f>
        <v>57598944.361976884</v>
      </c>
      <c r="P56" s="101" t="s">
        <v>672</v>
      </c>
      <c r="Q56" s="939">
        <f>N56/H52</f>
        <v>2.5690608805321997E-2</v>
      </c>
      <c r="S56" s="1068"/>
      <c r="T56" s="927"/>
      <c r="U56" s="184"/>
      <c r="V56" s="139"/>
      <c r="W56" s="140"/>
      <c r="Y56" s="184"/>
      <c r="Z56" s="141"/>
    </row>
    <row r="57" spans="1:93" x14ac:dyDescent="0.2">
      <c r="A57" s="118">
        <f t="shared" si="0"/>
        <v>42</v>
      </c>
      <c r="I57" s="162"/>
      <c r="U57" s="184"/>
      <c r="V57" s="139"/>
      <c r="W57" s="140"/>
      <c r="Y57" s="184"/>
      <c r="Z57" s="141"/>
    </row>
    <row r="58" spans="1:93" x14ac:dyDescent="0.2">
      <c r="A58" s="118">
        <f t="shared" si="0"/>
        <v>43</v>
      </c>
      <c r="I58" s="162"/>
      <c r="J58" s="171" t="s">
        <v>575</v>
      </c>
      <c r="N58" s="214">
        <f>N54-N56</f>
        <v>-634.25197675079107</v>
      </c>
      <c r="U58" s="184"/>
      <c r="V58" s="139"/>
      <c r="W58" s="140"/>
      <c r="Y58" s="184"/>
      <c r="Z58" s="141"/>
    </row>
    <row r="59" spans="1:93" x14ac:dyDescent="0.2">
      <c r="A59" s="118"/>
      <c r="I59" s="162"/>
      <c r="J59" s="171"/>
      <c r="N59" s="214"/>
      <c r="U59" s="855"/>
      <c r="V59" s="139"/>
      <c r="W59" s="139"/>
      <c r="Y59" s="855"/>
      <c r="Z59" s="856"/>
    </row>
    <row r="60" spans="1:93" x14ac:dyDescent="0.2">
      <c r="A60" s="215"/>
      <c r="B60" s="215" t="s">
        <v>98</v>
      </c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 t="s">
        <v>99</v>
      </c>
      <c r="O60" s="215"/>
      <c r="P60" s="215"/>
      <c r="Q60" s="215"/>
      <c r="Y60" s="101"/>
    </row>
    <row r="61" spans="1:93" x14ac:dyDescent="0.2">
      <c r="A61" s="216"/>
      <c r="B61" s="216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7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  <c r="CB61" s="216"/>
      <c r="CC61" s="216"/>
      <c r="CD61" s="216"/>
      <c r="CE61" s="216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</row>
    <row r="62" spans="1:93" ht="13.8" x14ac:dyDescent="0.3">
      <c r="A62" s="12" t="s">
        <v>667</v>
      </c>
      <c r="C62" s="102"/>
      <c r="D62" s="1280"/>
      <c r="F62" s="104"/>
      <c r="G62" s="104"/>
      <c r="H62" s="361" t="s">
        <v>668</v>
      </c>
      <c r="I62" s="104"/>
      <c r="J62" s="104"/>
      <c r="K62" s="104"/>
      <c r="L62" s="104"/>
      <c r="N62" s="105"/>
      <c r="Q62" s="106" t="str">
        <f>'MFR E-13c'!Q56</f>
        <v>Page 15 of 39</v>
      </c>
      <c r="R62" s="105"/>
      <c r="S62" s="105"/>
      <c r="T62" s="114"/>
      <c r="U62" s="114"/>
      <c r="V62" s="114"/>
      <c r="W62" s="114"/>
      <c r="X62" s="114"/>
      <c r="Y62" s="114"/>
      <c r="Z62" s="218"/>
      <c r="AA62" s="114"/>
      <c r="AE62" s="114"/>
    </row>
    <row r="63" spans="1:93" ht="10.8" thickBot="1" x14ac:dyDescent="0.25">
      <c r="A63" s="108"/>
      <c r="B63" s="109"/>
      <c r="C63" s="109"/>
      <c r="D63" s="109"/>
      <c r="E63" s="110" t="s">
        <v>416</v>
      </c>
      <c r="F63" s="109"/>
      <c r="G63" s="109" t="s">
        <v>416</v>
      </c>
      <c r="H63" s="109" t="s">
        <v>416</v>
      </c>
      <c r="I63" s="109" t="s">
        <v>416</v>
      </c>
      <c r="J63" s="109"/>
      <c r="K63" s="109"/>
      <c r="L63" s="109"/>
      <c r="M63" s="111"/>
      <c r="N63" s="111"/>
      <c r="O63" s="109"/>
      <c r="P63" s="112"/>
      <c r="Q63" s="109"/>
      <c r="T63" s="114"/>
      <c r="U63" s="114"/>
      <c r="V63" s="114"/>
      <c r="W63" s="114"/>
      <c r="X63" s="114"/>
      <c r="Y63" s="114"/>
      <c r="Z63" s="218"/>
      <c r="AA63" s="114"/>
      <c r="AE63" s="114"/>
    </row>
    <row r="64" spans="1:93" x14ac:dyDescent="0.2">
      <c r="A64" s="113"/>
      <c r="M64" s="105"/>
      <c r="N64" s="105"/>
      <c r="P64" s="114"/>
      <c r="T64" s="114"/>
      <c r="U64" s="114"/>
      <c r="V64" s="114"/>
      <c r="W64" s="114"/>
      <c r="X64" s="114"/>
      <c r="Y64" s="114"/>
      <c r="Z64" s="218"/>
      <c r="AA64" s="114"/>
      <c r="AE64" s="114"/>
    </row>
    <row r="65" spans="1:93" ht="13.8" x14ac:dyDescent="0.2">
      <c r="A65" s="100"/>
      <c r="C65" s="1278" t="s">
        <v>4</v>
      </c>
      <c r="D65" s="1386" t="s">
        <v>669</v>
      </c>
      <c r="E65" s="1386"/>
      <c r="F65" s="1386"/>
      <c r="G65" s="1386"/>
      <c r="H65" s="1386"/>
      <c r="I65" s="1386"/>
      <c r="J65" s="1386"/>
      <c r="K65" s="1386"/>
      <c r="L65" s="1386"/>
      <c r="M65" s="1386"/>
      <c r="N65" s="1386"/>
      <c r="O65" s="1279"/>
      <c r="P65" s="1279"/>
      <c r="T65" s="114"/>
      <c r="U65" s="114"/>
      <c r="V65" s="114"/>
      <c r="W65" s="114"/>
      <c r="X65" s="114"/>
      <c r="Y65" s="114"/>
      <c r="Z65" s="218"/>
      <c r="AA65" s="114"/>
      <c r="AE65" s="114"/>
    </row>
    <row r="66" spans="1:93" ht="13.8" x14ac:dyDescent="0.2">
      <c r="C66" s="1279"/>
      <c r="D66" s="1386" t="s">
        <v>670</v>
      </c>
      <c r="E66" s="1386"/>
      <c r="F66" s="1386"/>
      <c r="G66" s="1386"/>
      <c r="H66" s="1386"/>
      <c r="I66" s="1386"/>
      <c r="J66" s="1386"/>
      <c r="K66" s="1386"/>
      <c r="L66" s="1386"/>
      <c r="M66" s="1386"/>
      <c r="N66" s="1386"/>
      <c r="O66" s="1279"/>
      <c r="P66" s="1279"/>
      <c r="T66" s="114"/>
      <c r="U66" s="114"/>
      <c r="V66" s="114"/>
      <c r="W66" s="114"/>
      <c r="X66" s="114"/>
      <c r="Y66" s="114"/>
      <c r="Z66" s="218"/>
      <c r="AA66" s="114"/>
      <c r="AE66" s="114"/>
    </row>
    <row r="67" spans="1:93" ht="13.8" x14ac:dyDescent="0.3">
      <c r="A67" s="100"/>
      <c r="C67" s="21"/>
      <c r="D67" s="1386" t="s">
        <v>671</v>
      </c>
      <c r="E67" s="1386"/>
      <c r="F67" s="1386"/>
      <c r="G67" s="1386"/>
      <c r="H67" s="1386"/>
      <c r="I67" s="1386"/>
      <c r="J67" s="1386"/>
      <c r="K67" s="1386"/>
      <c r="L67" s="1386"/>
      <c r="M67" s="1386"/>
      <c r="N67" s="1386"/>
      <c r="O67" s="107"/>
      <c r="T67" s="114"/>
      <c r="U67" s="114"/>
      <c r="V67" s="114"/>
      <c r="W67" s="114"/>
      <c r="X67" s="114"/>
      <c r="Y67" s="114"/>
      <c r="Z67" s="218"/>
      <c r="AA67" s="114"/>
      <c r="AE67" s="114"/>
    </row>
    <row r="68" spans="1:93" x14ac:dyDescent="0.2">
      <c r="T68" s="114"/>
      <c r="U68" s="114"/>
      <c r="V68" s="114"/>
      <c r="W68" s="114"/>
      <c r="X68" s="114"/>
      <c r="Y68" s="114"/>
      <c r="Z68" s="218"/>
      <c r="AA68" s="114"/>
      <c r="AE68" s="114"/>
    </row>
    <row r="69" spans="1:93" x14ac:dyDescent="0.2">
      <c r="A69" s="100"/>
      <c r="C69" s="119"/>
      <c r="O69" s="100"/>
      <c r="T69" s="114"/>
      <c r="U69" s="114"/>
      <c r="V69" s="114"/>
      <c r="W69" s="114"/>
      <c r="X69" s="114"/>
      <c r="Y69" s="114"/>
      <c r="Z69" s="218"/>
      <c r="AA69" s="114"/>
      <c r="AE69" s="114"/>
    </row>
    <row r="70" spans="1:93" ht="10.8" thickBot="1" x14ac:dyDescent="0.25">
      <c r="A70" s="123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23"/>
      <c r="O70" s="109"/>
      <c r="P70" s="109"/>
      <c r="Q70" s="109"/>
      <c r="T70" s="114"/>
      <c r="U70" s="114"/>
      <c r="V70" s="114"/>
      <c r="W70" s="114"/>
      <c r="X70" s="114"/>
      <c r="Y70" s="114"/>
      <c r="Z70" s="218"/>
      <c r="AA70" s="114"/>
      <c r="AE70" s="114"/>
    </row>
    <row r="71" spans="1:93" ht="15.6" x14ac:dyDescent="0.2">
      <c r="B71" s="1369"/>
      <c r="C71" s="125"/>
      <c r="D71" s="125"/>
      <c r="E71" s="125"/>
      <c r="F71" s="125"/>
      <c r="G71" s="125"/>
      <c r="H71" s="125"/>
      <c r="I71" s="126" t="s">
        <v>577</v>
      </c>
      <c r="J71" s="125"/>
      <c r="K71" s="125"/>
      <c r="L71" s="125"/>
      <c r="M71" s="125"/>
      <c r="N71" s="125"/>
      <c r="U71" s="127" t="s">
        <v>530</v>
      </c>
      <c r="V71" s="128"/>
      <c r="W71" s="129"/>
      <c r="X71" s="114"/>
      <c r="Y71" s="130" t="s">
        <v>531</v>
      </c>
      <c r="Z71" s="131"/>
      <c r="AA71" s="114"/>
    </row>
    <row r="72" spans="1:93" x14ac:dyDescent="0.2">
      <c r="A72" s="101" t="s">
        <v>30</v>
      </c>
      <c r="B72" s="101" t="s">
        <v>532</v>
      </c>
      <c r="C72" s="132"/>
      <c r="D72" s="133" t="s">
        <v>533</v>
      </c>
      <c r="E72" s="134"/>
      <c r="F72" s="134"/>
      <c r="G72" s="133"/>
      <c r="H72" s="133"/>
      <c r="I72" s="135"/>
      <c r="J72" s="136" t="s">
        <v>534</v>
      </c>
      <c r="K72" s="133"/>
      <c r="L72" s="134"/>
      <c r="M72" s="134"/>
      <c r="N72" s="134"/>
      <c r="O72" s="137"/>
      <c r="Q72" s="118" t="s">
        <v>332</v>
      </c>
      <c r="U72" s="138"/>
      <c r="V72" s="139"/>
      <c r="W72" s="140"/>
      <c r="X72" s="114"/>
      <c r="Y72" s="138"/>
      <c r="Z72" s="141"/>
      <c r="AA72" s="114"/>
    </row>
    <row r="73" spans="1:93" x14ac:dyDescent="0.2">
      <c r="A73" s="101" t="s">
        <v>39</v>
      </c>
      <c r="B73" s="102" t="s">
        <v>535</v>
      </c>
      <c r="C73" s="104"/>
      <c r="D73" s="142" t="s">
        <v>536</v>
      </c>
      <c r="E73" s="143"/>
      <c r="F73" s="142" t="s">
        <v>537</v>
      </c>
      <c r="G73" s="142"/>
      <c r="H73" s="142" t="s">
        <v>538</v>
      </c>
      <c r="I73" s="144"/>
      <c r="J73" s="142" t="s">
        <v>536</v>
      </c>
      <c r="K73" s="143"/>
      <c r="L73" s="142" t="s">
        <v>537</v>
      </c>
      <c r="M73" s="142"/>
      <c r="N73" s="142" t="s">
        <v>538</v>
      </c>
      <c r="O73" s="132"/>
      <c r="Q73" s="145" t="s">
        <v>539</v>
      </c>
      <c r="R73" s="219"/>
      <c r="S73" s="132"/>
      <c r="U73" s="138" t="s">
        <v>128</v>
      </c>
      <c r="V73" s="146" t="s">
        <v>343</v>
      </c>
      <c r="W73" s="147" t="s">
        <v>344</v>
      </c>
      <c r="X73" s="118"/>
      <c r="Y73" s="148" t="s">
        <v>128</v>
      </c>
      <c r="Z73" s="149"/>
      <c r="AA73" s="118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</row>
    <row r="74" spans="1:93" ht="10.8" thickBot="1" x14ac:dyDescent="0.25">
      <c r="A74" s="109"/>
      <c r="B74" s="1370" t="s">
        <v>136</v>
      </c>
      <c r="C74" s="150"/>
      <c r="D74" s="220" t="str">
        <f>+$D$15</f>
        <v>Jan '26-Dec '26</v>
      </c>
      <c r="E74" s="221"/>
      <c r="F74" s="152">
        <f>+$L$15</f>
        <v>46023</v>
      </c>
      <c r="G74" s="153"/>
      <c r="H74" s="153"/>
      <c r="I74" s="153"/>
      <c r="J74" s="153"/>
      <c r="K74" s="151"/>
      <c r="L74" s="152">
        <f>+$L$15</f>
        <v>46023</v>
      </c>
      <c r="M74" s="154"/>
      <c r="N74" s="154"/>
      <c r="O74" s="155"/>
      <c r="P74" s="109"/>
      <c r="Q74" s="156"/>
      <c r="R74" s="132"/>
      <c r="S74" s="132"/>
      <c r="U74" s="157" t="s">
        <v>144</v>
      </c>
      <c r="V74" s="158" t="s">
        <v>540</v>
      </c>
      <c r="W74" s="159" t="s">
        <v>540</v>
      </c>
      <c r="X74" s="118"/>
      <c r="Y74" s="160" t="s">
        <v>144</v>
      </c>
      <c r="Z74" s="159" t="s">
        <v>541</v>
      </c>
      <c r="AA74" s="118"/>
      <c r="AB74" s="118"/>
    </row>
    <row r="75" spans="1:93" x14ac:dyDescent="0.2">
      <c r="A75" s="118">
        <v>1</v>
      </c>
      <c r="B75" s="102"/>
      <c r="C75" s="104"/>
      <c r="E75" s="143"/>
      <c r="F75" s="142"/>
      <c r="G75" s="142"/>
      <c r="H75" s="142"/>
      <c r="I75" s="162"/>
      <c r="J75" s="142"/>
      <c r="K75" s="143"/>
      <c r="L75" s="142"/>
      <c r="M75" s="142"/>
      <c r="N75" s="142"/>
      <c r="O75" s="132"/>
      <c r="Q75" s="145"/>
      <c r="R75" s="132"/>
      <c r="S75" s="132"/>
      <c r="T75" s="118"/>
      <c r="U75" s="163"/>
      <c r="V75" s="139"/>
      <c r="W75" s="140"/>
      <c r="X75" s="118"/>
      <c r="Y75" s="163"/>
      <c r="Z75" s="141"/>
      <c r="AA75" s="118"/>
      <c r="AB75" s="118"/>
      <c r="AC75" s="118"/>
      <c r="AD75" s="118"/>
      <c r="AE75" s="118"/>
      <c r="AF75" s="118"/>
      <c r="AH75" s="118"/>
      <c r="AI75" s="118"/>
      <c r="AJ75" s="118"/>
      <c r="AK75" s="118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118"/>
      <c r="BC75" s="118"/>
      <c r="BD75" s="118"/>
      <c r="BE75" s="118"/>
      <c r="BF75" s="118"/>
      <c r="BG75" s="118"/>
      <c r="BH75" s="118"/>
      <c r="BI75" s="118"/>
      <c r="BJ75" s="118"/>
      <c r="BK75" s="118"/>
      <c r="BL75" s="118"/>
      <c r="BM75" s="118"/>
      <c r="BN75" s="118"/>
      <c r="BO75" s="118"/>
      <c r="BP75" s="118"/>
      <c r="BQ75" s="118"/>
      <c r="BR75" s="118"/>
      <c r="BS75" s="118"/>
      <c r="BT75" s="118"/>
      <c r="BU75" s="118"/>
      <c r="BV75" s="118"/>
      <c r="BW75" s="118"/>
      <c r="BX75" s="118"/>
      <c r="BY75" s="118"/>
      <c r="BZ75" s="118"/>
      <c r="CA75" s="118"/>
      <c r="CB75" s="118"/>
      <c r="CC75" s="118"/>
      <c r="CD75" s="118"/>
      <c r="CE75" s="118"/>
      <c r="CF75" s="118"/>
      <c r="CG75" s="118"/>
      <c r="CH75" s="118"/>
      <c r="CI75" s="118"/>
      <c r="CJ75" s="118"/>
      <c r="CK75" s="118"/>
      <c r="CL75" s="118"/>
      <c r="CM75" s="118"/>
      <c r="CN75" s="118"/>
      <c r="CO75" s="118"/>
    </row>
    <row r="76" spans="1:93" x14ac:dyDescent="0.2">
      <c r="A76" s="118">
        <f t="shared" ref="A76:A122" si="9">+A75+1</f>
        <v>2</v>
      </c>
      <c r="B76" s="222" t="s">
        <v>542</v>
      </c>
      <c r="C76" s="223"/>
      <c r="D76" s="224"/>
      <c r="E76" s="225"/>
      <c r="F76" s="226"/>
      <c r="G76" s="227"/>
      <c r="H76" s="228"/>
      <c r="I76" s="229"/>
      <c r="J76" s="226"/>
      <c r="K76" s="225"/>
      <c r="L76" s="226"/>
      <c r="M76" s="227"/>
      <c r="N76" s="228"/>
      <c r="O76" s="227"/>
      <c r="P76" s="230"/>
      <c r="U76" s="163"/>
      <c r="V76" s="139"/>
      <c r="W76" s="140"/>
      <c r="Y76" s="163"/>
      <c r="Z76" s="141"/>
      <c r="AB76" s="118"/>
      <c r="AC76" s="118"/>
      <c r="AD76" s="118"/>
      <c r="AE76" s="118"/>
      <c r="AF76" s="118"/>
      <c r="AH76" s="118"/>
      <c r="AI76" s="118"/>
      <c r="AJ76" s="118"/>
      <c r="AK76" s="118"/>
      <c r="AL76" s="118"/>
      <c r="AM76" s="118"/>
      <c r="AN76" s="118"/>
      <c r="AO76" s="118"/>
      <c r="AP76" s="118"/>
      <c r="AQ76" s="118"/>
      <c r="AR76" s="118"/>
      <c r="AS76" s="118"/>
      <c r="AT76" s="118"/>
      <c r="AU76" s="118"/>
      <c r="AV76" s="118"/>
      <c r="AW76" s="118"/>
      <c r="AX76" s="118"/>
      <c r="AY76" s="118"/>
      <c r="AZ76" s="118"/>
      <c r="BA76" s="118"/>
      <c r="BB76" s="118"/>
      <c r="BC76" s="118"/>
      <c r="BD76" s="118"/>
      <c r="BE76" s="118"/>
      <c r="BF76" s="118"/>
      <c r="BG76" s="118"/>
      <c r="BH76" s="118"/>
      <c r="BI76" s="118"/>
      <c r="BJ76" s="118"/>
      <c r="BK76" s="118"/>
      <c r="BL76" s="118"/>
      <c r="BM76" s="118"/>
      <c r="BN76" s="118"/>
      <c r="BO76" s="118"/>
      <c r="BP76" s="118"/>
      <c r="BQ76" s="118"/>
      <c r="BR76" s="118"/>
      <c r="BS76" s="118"/>
      <c r="BT76" s="118"/>
      <c r="BU76" s="118"/>
      <c r="BV76" s="118"/>
      <c r="BW76" s="118"/>
      <c r="BX76" s="118"/>
      <c r="BY76" s="118"/>
      <c r="BZ76" s="118"/>
      <c r="CA76" s="118"/>
      <c r="CB76" s="118"/>
      <c r="CC76" s="118"/>
      <c r="CD76" s="118"/>
      <c r="CE76" s="118"/>
      <c r="CF76" s="118"/>
      <c r="CG76" s="118"/>
      <c r="CH76" s="118"/>
      <c r="CI76" s="118"/>
      <c r="CJ76" s="118"/>
      <c r="CK76" s="118"/>
      <c r="CL76" s="118"/>
      <c r="CM76" s="118"/>
      <c r="CN76" s="118"/>
      <c r="CO76" s="118"/>
    </row>
    <row r="77" spans="1:93" x14ac:dyDescent="0.2">
      <c r="A77" s="118">
        <f t="shared" si="9"/>
        <v>3</v>
      </c>
      <c r="B77" s="228" t="s">
        <v>543</v>
      </c>
      <c r="C77" s="223"/>
      <c r="D77" s="168"/>
      <c r="E77" s="225"/>
      <c r="F77" s="231"/>
      <c r="G77" s="223"/>
      <c r="H77" s="170"/>
      <c r="I77" s="229"/>
      <c r="J77" s="168"/>
      <c r="K77" s="225"/>
      <c r="L77" s="1368">
        <v>0</v>
      </c>
      <c r="M77" s="223"/>
      <c r="N77" s="170"/>
      <c r="O77" s="227"/>
      <c r="P77" s="230"/>
      <c r="U77" s="163"/>
      <c r="V77" s="139"/>
      <c r="W77" s="140"/>
      <c r="Y77" s="163"/>
      <c r="Z77" s="141"/>
    </row>
    <row r="78" spans="1:93" x14ac:dyDescent="0.2">
      <c r="A78" s="118">
        <f t="shared" si="9"/>
        <v>4</v>
      </c>
      <c r="B78" s="232" t="s">
        <v>578</v>
      </c>
      <c r="C78" s="223"/>
      <c r="D78" s="172">
        <f>SUMIF($AH$8:$CP$8,1,$AH78:$CP78)</f>
        <v>5595.4323882179406</v>
      </c>
      <c r="E78" s="225" t="s">
        <v>545</v>
      </c>
      <c r="F78" s="183">
        <v>10.56</v>
      </c>
      <c r="G78" s="233" t="s">
        <v>375</v>
      </c>
      <c r="H78" s="174">
        <f>ROUND(D78*F78,2)</f>
        <v>59087.77</v>
      </c>
      <c r="I78" s="229"/>
      <c r="J78" s="172">
        <f>SUMIF($AH$8:$CP$8,1,$AH78:$CP78)</f>
        <v>5595.4323882179406</v>
      </c>
      <c r="K78" s="225" t="s">
        <v>545</v>
      </c>
      <c r="L78" s="183">
        <f>ROUND('MFR E-14E'!I48,2)</f>
        <v>10.66</v>
      </c>
      <c r="M78" s="233" t="s">
        <v>375</v>
      </c>
      <c r="N78" s="174">
        <f>ROUND(J78*L78,2)</f>
        <v>59647.31</v>
      </c>
      <c r="O78" s="227"/>
      <c r="P78" s="230"/>
      <c r="Q78" s="939"/>
      <c r="U78" s="178" t="s">
        <v>136</v>
      </c>
      <c r="V78" s="179">
        <v>241</v>
      </c>
      <c r="W78" s="180">
        <v>215</v>
      </c>
      <c r="Y78" s="178"/>
      <c r="Z78" s="181"/>
      <c r="AB78" s="182">
        <f>SUM(AH78:AS78)</f>
        <v>5397.3021116906184</v>
      </c>
      <c r="AC78" s="182">
        <f>SUM(AT78:BE78)</f>
        <v>5463.0223497089937</v>
      </c>
      <c r="AD78" s="182">
        <f>SUM(BF78:BQ78)</f>
        <v>5528.9116649821972</v>
      </c>
      <c r="AE78" s="182">
        <f>SUM(BR78:CC78)</f>
        <v>5595.4323882179406</v>
      </c>
      <c r="AF78" s="182">
        <f>SUM(CD78:CO78)</f>
        <v>5661.7423939996061</v>
      </c>
      <c r="AH78" s="168">
        <v>456.46769874814436</v>
      </c>
      <c r="AI78" s="168">
        <v>453.32623994379315</v>
      </c>
      <c r="AJ78" s="168">
        <v>449.60858540108472</v>
      </c>
      <c r="AK78" s="168">
        <v>450.04886781314087</v>
      </c>
      <c r="AL78" s="168">
        <v>448.59992906431779</v>
      </c>
      <c r="AM78" s="168">
        <v>448.9358120139317</v>
      </c>
      <c r="AN78" s="168">
        <v>449.63767703532255</v>
      </c>
      <c r="AO78" s="168">
        <v>448.48355853048815</v>
      </c>
      <c r="AP78" s="168">
        <v>446.9535355554338</v>
      </c>
      <c r="AQ78" s="168">
        <v>447.99475790518852</v>
      </c>
      <c r="AR78" s="168">
        <v>450.13869784177467</v>
      </c>
      <c r="AS78" s="168">
        <v>447.10675183799759</v>
      </c>
      <c r="AT78" s="168">
        <v>461.90681289871469</v>
      </c>
      <c r="AU78" s="168">
        <v>458.80030862618599</v>
      </c>
      <c r="AV78" s="168">
        <v>455.05942409501154</v>
      </c>
      <c r="AW78" s="168">
        <v>455.52261290951429</v>
      </c>
      <c r="AX78" s="168">
        <v>454.07074179057645</v>
      </c>
      <c r="AY78" s="168">
        <v>454.43031569969065</v>
      </c>
      <c r="AZ78" s="168">
        <v>455.15839732217694</v>
      </c>
      <c r="BA78" s="168">
        <v>453.99312682995986</v>
      </c>
      <c r="BB78" s="168">
        <v>452.43081034955679</v>
      </c>
      <c r="BC78" s="168">
        <v>453.46987593721559</v>
      </c>
      <c r="BD78" s="168">
        <v>455.62719854543826</v>
      </c>
      <c r="BE78" s="168">
        <v>452.55272470495186</v>
      </c>
      <c r="BF78" s="168">
        <v>467.52108404210088</v>
      </c>
      <c r="BG78" s="168">
        <v>464.37094680153245</v>
      </c>
      <c r="BH78" s="168">
        <v>460.57734185707153</v>
      </c>
      <c r="BI78" s="168">
        <v>461.03582123663415</v>
      </c>
      <c r="BJ78" s="168">
        <v>459.55338145189091</v>
      </c>
      <c r="BK78" s="168">
        <v>459.90785202038228</v>
      </c>
      <c r="BL78" s="168">
        <v>460.63192896193317</v>
      </c>
      <c r="BM78" s="168">
        <v>459.44710233458602</v>
      </c>
      <c r="BN78" s="168">
        <v>457.86492186585394</v>
      </c>
      <c r="BO78" s="168">
        <v>458.91360836284667</v>
      </c>
      <c r="BP78" s="168">
        <v>461.09614934034568</v>
      </c>
      <c r="BQ78" s="168">
        <v>457.99152670702028</v>
      </c>
      <c r="BR78" s="168">
        <v>473.14050731939437</v>
      </c>
      <c r="BS78" s="168">
        <v>469.95973407073694</v>
      </c>
      <c r="BT78" s="168">
        <v>466.12627059299126</v>
      </c>
      <c r="BU78" s="168">
        <v>466.59323859100965</v>
      </c>
      <c r="BV78" s="168">
        <v>465.09255831631611</v>
      </c>
      <c r="BW78" s="168">
        <v>465.45383410412325</v>
      </c>
      <c r="BX78" s="168">
        <v>466.18585058565009</v>
      </c>
      <c r="BY78" s="168">
        <v>464.98286849524925</v>
      </c>
      <c r="BZ78" s="168">
        <v>463.37305165844799</v>
      </c>
      <c r="CA78" s="168">
        <v>464.4243294979446</v>
      </c>
      <c r="CB78" s="168">
        <v>466.62397980598706</v>
      </c>
      <c r="CC78" s="168">
        <v>463.47616518009124</v>
      </c>
      <c r="CD78" s="168">
        <v>478.79340447440302</v>
      </c>
      <c r="CE78" s="168">
        <v>475.56587639067084</v>
      </c>
      <c r="CF78" s="168">
        <v>471.67730812247362</v>
      </c>
      <c r="CG78" s="168">
        <v>472.13823207478873</v>
      </c>
      <c r="CH78" s="168">
        <v>470.60550029509182</v>
      </c>
      <c r="CI78" s="168">
        <v>470.96058391245191</v>
      </c>
      <c r="CJ78" s="168">
        <v>471.68759391636297</v>
      </c>
      <c r="CK78" s="168">
        <v>470.46618023211562</v>
      </c>
      <c r="CL78" s="168">
        <v>468.84131851114171</v>
      </c>
      <c r="CM78" s="168">
        <v>469.907201846801</v>
      </c>
      <c r="CN78" s="168">
        <v>472.13730037527932</v>
      </c>
      <c r="CO78" s="168">
        <v>468.96189384802489</v>
      </c>
    </row>
    <row r="79" spans="1:93" x14ac:dyDescent="0.2">
      <c r="A79" s="118">
        <f t="shared" si="9"/>
        <v>5</v>
      </c>
      <c r="B79" s="234" t="s">
        <v>149</v>
      </c>
      <c r="C79" s="223"/>
      <c r="D79" s="172">
        <f>SUMIF($AH$8:$CP$8,1,$AH79:$CP79)</f>
        <v>1563574.3129887516</v>
      </c>
      <c r="E79" s="225" t="s">
        <v>545</v>
      </c>
      <c r="F79" s="183">
        <v>16.16</v>
      </c>
      <c r="G79" s="233" t="s">
        <v>375</v>
      </c>
      <c r="H79" s="174">
        <f>ROUND(D79*F79,2)</f>
        <v>25267360.899999999</v>
      </c>
      <c r="I79" s="229"/>
      <c r="J79" s="172">
        <f>SUMIF($AH$8:$CP$8,1,$AH79:$CP79)</f>
        <v>1563574.3129887516</v>
      </c>
      <c r="K79" s="225" t="s">
        <v>545</v>
      </c>
      <c r="L79" s="183">
        <f>ROUND(F79*(1+'Exhibit MJC-2 - Old E-8a'!V18)+L77,2)</f>
        <v>16.64</v>
      </c>
      <c r="M79" s="233" t="s">
        <v>375</v>
      </c>
      <c r="N79" s="174">
        <f>ROUND(J79*L79,2)</f>
        <v>26017876.57</v>
      </c>
      <c r="O79" s="227"/>
      <c r="Q79" s="939"/>
      <c r="S79" s="263"/>
      <c r="T79" s="197"/>
      <c r="U79" s="178" t="s">
        <v>136</v>
      </c>
      <c r="V79" s="179">
        <v>241</v>
      </c>
      <c r="W79" s="180">
        <v>215</v>
      </c>
      <c r="Y79" s="178"/>
      <c r="Z79" s="181"/>
      <c r="AB79" s="182">
        <f>SUM(AH79:AS79)</f>
        <v>1508209.2599401623</v>
      </c>
      <c r="AC79" s="182">
        <f>SUM(AT79:BE79)</f>
        <v>1526573.966879596</v>
      </c>
      <c r="AD79" s="182">
        <f>SUM(BF79:BQ79)</f>
        <v>1544985.9203648227</v>
      </c>
      <c r="AE79" s="182">
        <f>SUM(BR79:CC79)</f>
        <v>1563574.3129887516</v>
      </c>
      <c r="AF79" s="182">
        <f>SUM(CD79:CO79)</f>
        <v>1582103.8232286857</v>
      </c>
      <c r="AH79" s="168">
        <v>127554.24763500634</v>
      </c>
      <c r="AI79" s="168">
        <v>126676.40586139495</v>
      </c>
      <c r="AJ79" s="168">
        <v>125637.55332163686</v>
      </c>
      <c r="AK79" s="168">
        <v>125760.58479126936</v>
      </c>
      <c r="AL79" s="168">
        <v>125355.69679485211</v>
      </c>
      <c r="AM79" s="168">
        <v>125449.55512710413</v>
      </c>
      <c r="AN79" s="168">
        <v>125645.68261868866</v>
      </c>
      <c r="AO79" s="168">
        <v>125323.17848976668</v>
      </c>
      <c r="AP79" s="168">
        <v>124895.63251010032</v>
      </c>
      <c r="AQ79" s="168">
        <v>125186.58920606796</v>
      </c>
      <c r="AR79" s="168">
        <v>125785.68668073237</v>
      </c>
      <c r="AS79" s="168">
        <v>124938.4469035425</v>
      </c>
      <c r="AT79" s="168">
        <v>129074.14075160497</v>
      </c>
      <c r="AU79" s="168">
        <v>128206.06658919646</v>
      </c>
      <c r="AV79" s="168">
        <v>127160.72271673405</v>
      </c>
      <c r="AW79" s="168">
        <v>127290.15509696354</v>
      </c>
      <c r="AX79" s="168">
        <v>126884.44768601858</v>
      </c>
      <c r="AY79" s="168">
        <v>126984.92616362394</v>
      </c>
      <c r="AZ79" s="168">
        <v>127188.37955983974</v>
      </c>
      <c r="BA79" s="168">
        <v>126862.75914609819</v>
      </c>
      <c r="BB79" s="168">
        <v>126426.18914613519</v>
      </c>
      <c r="BC79" s="168">
        <v>126716.54316163449</v>
      </c>
      <c r="BD79" s="168">
        <v>127319.38025821875</v>
      </c>
      <c r="BE79" s="168">
        <v>126460.25660352806</v>
      </c>
      <c r="BF79" s="168">
        <v>130642.97932151366</v>
      </c>
      <c r="BG79" s="168">
        <v>129762.71246633489</v>
      </c>
      <c r="BH79" s="168">
        <v>128702.63652702481</v>
      </c>
      <c r="BI79" s="168">
        <v>128830.75291396008</v>
      </c>
      <c r="BJ79" s="168">
        <v>128416.50346777646</v>
      </c>
      <c r="BK79" s="168">
        <v>128515.5558800209</v>
      </c>
      <c r="BL79" s="168">
        <v>128717.89021772469</v>
      </c>
      <c r="BM79" s="168">
        <v>128386.80508411357</v>
      </c>
      <c r="BN79" s="168">
        <v>127944.68433851561</v>
      </c>
      <c r="BO79" s="168">
        <v>128237.72679802752</v>
      </c>
      <c r="BP79" s="168">
        <v>128847.61085571865</v>
      </c>
      <c r="BQ79" s="168">
        <v>127980.06249409202</v>
      </c>
      <c r="BR79" s="168">
        <v>132213.25759146261</v>
      </c>
      <c r="BS79" s="168">
        <v>131324.42988307768</v>
      </c>
      <c r="BT79" s="168">
        <v>130253.21597006448</v>
      </c>
      <c r="BU79" s="168">
        <v>130383.70439634353</v>
      </c>
      <c r="BV79" s="168">
        <v>129964.357871049</v>
      </c>
      <c r="BW79" s="168">
        <v>130065.31191758692</v>
      </c>
      <c r="BX79" s="168">
        <v>130269.86486145054</v>
      </c>
      <c r="BY79" s="168">
        <v>129933.70640844217</v>
      </c>
      <c r="BZ79" s="168">
        <v>129483.86302190794</v>
      </c>
      <c r="CA79" s="168">
        <v>129777.62960000338</v>
      </c>
      <c r="CB79" s="168">
        <v>130392.29464831225</v>
      </c>
      <c r="CC79" s="168">
        <v>129512.67681905125</v>
      </c>
      <c r="CD79" s="168">
        <v>133792.88972215369</v>
      </c>
      <c r="CE79" s="168">
        <v>132890.9969539023</v>
      </c>
      <c r="CF79" s="168">
        <v>131804.38468935972</v>
      </c>
      <c r="CG79" s="168">
        <v>131933.18418188844</v>
      </c>
      <c r="CH79" s="168">
        <v>131504.88126029799</v>
      </c>
      <c r="CI79" s="168">
        <v>131604.10498145962</v>
      </c>
      <c r="CJ79" s="168">
        <v>131807.25892713052</v>
      </c>
      <c r="CK79" s="168">
        <v>131465.94999339315</v>
      </c>
      <c r="CL79" s="168">
        <v>131011.90250022299</v>
      </c>
      <c r="CM79" s="168">
        <v>131309.75040341433</v>
      </c>
      <c r="CN79" s="168">
        <v>131932.9238299944</v>
      </c>
      <c r="CO79" s="168">
        <v>131045.59578546893</v>
      </c>
    </row>
    <row r="80" spans="1:93" x14ac:dyDescent="0.2">
      <c r="A80" s="118">
        <f t="shared" si="9"/>
        <v>6</v>
      </c>
      <c r="B80" s="234" t="s">
        <v>148</v>
      </c>
      <c r="C80" s="223"/>
      <c r="D80" s="172">
        <f>SUMIF($AH$8:$CP$8,1,$AH80:$CP80)</f>
        <v>1608.2327165995773</v>
      </c>
      <c r="E80" s="225" t="s">
        <v>545</v>
      </c>
      <c r="F80" s="183">
        <v>204.3</v>
      </c>
      <c r="G80" s="233" t="s">
        <v>375</v>
      </c>
      <c r="H80" s="174">
        <f>ROUND(D80*F80,2)</f>
        <v>328561.94</v>
      </c>
      <c r="I80" s="229"/>
      <c r="J80" s="172">
        <f>SUMIF($AH$8:$CP$8,1,$AH80:$CP80)</f>
        <v>1608.2327165995773</v>
      </c>
      <c r="K80" s="225" t="s">
        <v>545</v>
      </c>
      <c r="L80" s="183">
        <f>ROUND(F80*(1+'Exhibit MJC-2 - Old E-8a'!V18)+(L77*(F80/F79)),2)</f>
        <v>210.34</v>
      </c>
      <c r="M80" s="233" t="s">
        <v>375</v>
      </c>
      <c r="N80" s="174">
        <f>ROUND(J80*L80,2)</f>
        <v>338275.67</v>
      </c>
      <c r="O80" s="227"/>
      <c r="S80" s="263"/>
      <c r="T80" s="197"/>
      <c r="U80" s="178" t="s">
        <v>136</v>
      </c>
      <c r="V80" s="179">
        <v>241</v>
      </c>
      <c r="W80" s="180">
        <v>215</v>
      </c>
      <c r="Y80" s="178"/>
      <c r="Z80" s="181"/>
      <c r="AB80" s="182">
        <f>SUM(AH80:AS80)</f>
        <v>1551.2863412790375</v>
      </c>
      <c r="AC80" s="182">
        <f>SUM(AT80:BE80)</f>
        <v>1570.175576210446</v>
      </c>
      <c r="AD80" s="182">
        <f>SUM(BF80:BQ80)</f>
        <v>1589.1134071312233</v>
      </c>
      <c r="AE80" s="182">
        <f>SUM(BR80:CC80)</f>
        <v>1608.2327165995773</v>
      </c>
      <c r="AF80" s="182">
        <f>SUM(CD80:CO80)</f>
        <v>1627.2914619005712</v>
      </c>
      <c r="AH80" s="168">
        <v>131.19741894182496</v>
      </c>
      <c r="AI80" s="168">
        <v>130.29450447937066</v>
      </c>
      <c r="AJ80" s="168">
        <v>129.22598050306667</v>
      </c>
      <c r="AK80" s="168">
        <v>129.35252596559482</v>
      </c>
      <c r="AL80" s="168">
        <v>128.93607366333615</v>
      </c>
      <c r="AM80" s="168">
        <v>129.03261275290757</v>
      </c>
      <c r="AN80" s="168">
        <v>129.23434198699042</v>
      </c>
      <c r="AO80" s="168">
        <v>128.90262657886291</v>
      </c>
      <c r="AP80" s="168">
        <v>128.46286914191975</v>
      </c>
      <c r="AQ80" s="168">
        <v>128.76213606750287</v>
      </c>
      <c r="AR80" s="168">
        <v>129.37834480870802</v>
      </c>
      <c r="AS80" s="168">
        <v>128.50690638895247</v>
      </c>
      <c r="AT80" s="168">
        <v>132.76072285104311</v>
      </c>
      <c r="AU80" s="168">
        <v>131.86785497976712</v>
      </c>
      <c r="AV80" s="168">
        <v>130.79265426699931</v>
      </c>
      <c r="AW80" s="168">
        <v>130.92578346127118</v>
      </c>
      <c r="AX80" s="168">
        <v>130.50848834057982</v>
      </c>
      <c r="AY80" s="168">
        <v>130.61183665837748</v>
      </c>
      <c r="AZ80" s="168">
        <v>130.82110103767783</v>
      </c>
      <c r="BA80" s="168">
        <v>130.48618033821273</v>
      </c>
      <c r="BB80" s="168">
        <v>130.03714113924795</v>
      </c>
      <c r="BC80" s="168">
        <v>130.33578817075966</v>
      </c>
      <c r="BD80" s="168">
        <v>130.9558433439951</v>
      </c>
      <c r="BE80" s="168">
        <v>130.07218162251471</v>
      </c>
      <c r="BF80" s="168">
        <v>134.37437018090216</v>
      </c>
      <c r="BG80" s="168">
        <v>133.46896137233028</v>
      </c>
      <c r="BH80" s="168">
        <v>132.37860781924607</v>
      </c>
      <c r="BI80" s="168">
        <v>132.51038343316492</v>
      </c>
      <c r="BJ80" s="168">
        <v>132.08430230184197</v>
      </c>
      <c r="BK80" s="168">
        <v>132.1861838233701</v>
      </c>
      <c r="BL80" s="168">
        <v>132.39429718189973</v>
      </c>
      <c r="BM80" s="168">
        <v>132.05375568065486</v>
      </c>
      <c r="BN80" s="168">
        <v>131.5990071970993</v>
      </c>
      <c r="BO80" s="168">
        <v>131.90041945926356</v>
      </c>
      <c r="BP80" s="168">
        <v>132.52772286707955</v>
      </c>
      <c r="BQ80" s="168">
        <v>131.63539581437081</v>
      </c>
      <c r="BR80" s="168">
        <v>135.98949833114023</v>
      </c>
      <c r="BS80" s="168">
        <v>135.0752841564954</v>
      </c>
      <c r="BT80" s="168">
        <v>133.97347450979467</v>
      </c>
      <c r="BU80" s="168">
        <v>134.10768991262921</v>
      </c>
      <c r="BV80" s="168">
        <v>133.67636612074503</v>
      </c>
      <c r="BW80" s="168">
        <v>133.78020359055168</v>
      </c>
      <c r="BX80" s="168">
        <v>133.99059892249429</v>
      </c>
      <c r="BY80" s="168">
        <v>133.64483919902059</v>
      </c>
      <c r="BZ80" s="168">
        <v>133.18214750246321</v>
      </c>
      <c r="CA80" s="168">
        <v>133.484304565298</v>
      </c>
      <c r="CB80" s="168">
        <v>134.11652551714457</v>
      </c>
      <c r="CC80" s="168">
        <v>133.21178427180024</v>
      </c>
      <c r="CD80" s="168">
        <v>137.61424750466261</v>
      </c>
      <c r="CE80" s="168">
        <v>136.6865951093032</v>
      </c>
      <c r="CF80" s="168">
        <v>135.56894730735425</v>
      </c>
      <c r="CG80" s="168">
        <v>135.70142553755116</v>
      </c>
      <c r="CH80" s="168">
        <v>135.26088953910519</v>
      </c>
      <c r="CI80" s="168">
        <v>135.36294726243136</v>
      </c>
      <c r="CJ80" s="168">
        <v>135.57190363835807</v>
      </c>
      <c r="CK80" s="168">
        <v>135.22084632746191</v>
      </c>
      <c r="CL80" s="168">
        <v>134.7538304476663</v>
      </c>
      <c r="CM80" s="168">
        <v>135.06018540534481</v>
      </c>
      <c r="CN80" s="168">
        <v>135.70115774955389</v>
      </c>
      <c r="CO80" s="168">
        <v>134.78848607177835</v>
      </c>
    </row>
    <row r="81" spans="1:93" x14ac:dyDescent="0.2">
      <c r="A81" s="118">
        <f t="shared" si="9"/>
        <v>7</v>
      </c>
      <c r="B81" s="234" t="s">
        <v>216</v>
      </c>
      <c r="C81" s="223"/>
      <c r="D81" s="172">
        <f>SUMIF($AH$8:$CP$8,1,$AH81:$CP81)</f>
        <v>0</v>
      </c>
      <c r="E81" s="225" t="s">
        <v>545</v>
      </c>
      <c r="F81" s="183">
        <v>1007.76</v>
      </c>
      <c r="G81" s="233" t="s">
        <v>375</v>
      </c>
      <c r="H81" s="174">
        <f>ROUND(D81*F81,2)</f>
        <v>0</v>
      </c>
      <c r="I81" s="229"/>
      <c r="J81" s="172">
        <f>SUMIF($AH$8:$CP$8,1,$AH81:$CP81)</f>
        <v>0</v>
      </c>
      <c r="K81" s="225" t="s">
        <v>545</v>
      </c>
      <c r="L81" s="183">
        <f>ROUND(F81*(1+'Exhibit MJC-2 - Old E-8a'!V18)+(L77*(F81/F79)),2)</f>
        <v>1037.56</v>
      </c>
      <c r="M81" s="233" t="s">
        <v>375</v>
      </c>
      <c r="N81" s="174">
        <f>ROUND(J81*L81,2)</f>
        <v>0</v>
      </c>
      <c r="O81" s="227"/>
      <c r="S81" s="263"/>
      <c r="T81" s="927"/>
      <c r="U81" s="178" t="s">
        <v>136</v>
      </c>
      <c r="V81" s="179">
        <v>241</v>
      </c>
      <c r="W81" s="180">
        <v>215</v>
      </c>
      <c r="Y81" s="178"/>
      <c r="Z81" s="181"/>
    </row>
    <row r="82" spans="1:93" x14ac:dyDescent="0.2">
      <c r="A82" s="118">
        <f t="shared" si="9"/>
        <v>8</v>
      </c>
      <c r="B82" s="226" t="s">
        <v>546</v>
      </c>
      <c r="C82" s="223"/>
      <c r="D82" s="168"/>
      <c r="E82" s="225"/>
      <c r="F82" s="183"/>
      <c r="G82" s="233"/>
      <c r="H82" s="174"/>
      <c r="I82" s="229"/>
      <c r="J82" s="168"/>
      <c r="K82" s="225"/>
      <c r="L82" s="183"/>
      <c r="M82" s="233"/>
      <c r="N82" s="174"/>
      <c r="O82" s="227"/>
      <c r="S82" s="230"/>
      <c r="U82" s="184"/>
      <c r="V82" s="179"/>
      <c r="W82" s="180"/>
      <c r="Y82" s="184"/>
      <c r="Z82" s="181"/>
    </row>
    <row r="83" spans="1:93" x14ac:dyDescent="0.2">
      <c r="A83" s="118">
        <f t="shared" si="9"/>
        <v>9</v>
      </c>
      <c r="B83" s="234" t="s">
        <v>149</v>
      </c>
      <c r="C83" s="223"/>
      <c r="D83" s="172">
        <f>SUMIF($AH$8:$CP$8,1,$AH83:$CP83)</f>
        <v>15566.867961957443</v>
      </c>
      <c r="E83" s="225" t="s">
        <v>545</v>
      </c>
      <c r="F83" s="183">
        <v>16.16</v>
      </c>
      <c r="G83" s="233" t="s">
        <v>375</v>
      </c>
      <c r="H83" s="174">
        <f>ROUND(D83*F83,2)</f>
        <v>251560.59</v>
      </c>
      <c r="I83" s="229"/>
      <c r="J83" s="172">
        <f>SUMIF($AH$8:$CP$8,1,$AH83:$CP83)</f>
        <v>15566.867961957443</v>
      </c>
      <c r="K83" s="225" t="s">
        <v>545</v>
      </c>
      <c r="L83" s="183">
        <f>L79</f>
        <v>16.64</v>
      </c>
      <c r="M83" s="233" t="s">
        <v>375</v>
      </c>
      <c r="N83" s="174">
        <f>ROUND(J83*L83,2)</f>
        <v>259032.68</v>
      </c>
      <c r="O83" s="227"/>
      <c r="S83" s="263"/>
      <c r="U83" s="178" t="s">
        <v>580</v>
      </c>
      <c r="V83" s="179">
        <v>242</v>
      </c>
      <c r="W83" s="180">
        <v>216</v>
      </c>
      <c r="Y83" s="178"/>
      <c r="Z83" s="181"/>
      <c r="AB83" s="182">
        <f>SUM(AH83:AS83)</f>
        <v>15015.656252124012</v>
      </c>
      <c r="AC83" s="182">
        <f>SUM(AT83:BE83)</f>
        <v>15198.494359472903</v>
      </c>
      <c r="AD83" s="182">
        <f>SUM(BF83:BQ83)</f>
        <v>15381.80285107786</v>
      </c>
      <c r="AE83" s="182">
        <f>SUM(BR83:CC83)</f>
        <v>15566.867961957443</v>
      </c>
      <c r="AF83" s="182">
        <f>SUM(CD83:CO83)</f>
        <v>15751.346842755527</v>
      </c>
      <c r="AH83" s="168">
        <v>1269.923734629203</v>
      </c>
      <c r="AI83" s="168">
        <v>1261.1839856657027</v>
      </c>
      <c r="AJ83" s="168">
        <v>1250.8412215360938</v>
      </c>
      <c r="AK83" s="168">
        <v>1252.0661167182573</v>
      </c>
      <c r="AL83" s="168">
        <v>1248.0350719976766</v>
      </c>
      <c r="AM83" s="168">
        <v>1248.9695208775024</v>
      </c>
      <c r="AN83" s="168">
        <v>1250.9221564125353</v>
      </c>
      <c r="AO83" s="168">
        <v>1247.7113213723264</v>
      </c>
      <c r="AP83" s="168">
        <v>1243.4546948993514</v>
      </c>
      <c r="AQ83" s="168">
        <v>1246.3514452687775</v>
      </c>
      <c r="AR83" s="168">
        <v>1252.3160298791606</v>
      </c>
      <c r="AS83" s="168">
        <v>1243.8809528674244</v>
      </c>
      <c r="AT83" s="168">
        <v>1285.0557147761222</v>
      </c>
      <c r="AU83" s="168">
        <v>1276.4132116631301</v>
      </c>
      <c r="AV83" s="168">
        <v>1266.0058201485185</v>
      </c>
      <c r="AW83" s="168">
        <v>1267.2944424776888</v>
      </c>
      <c r="AX83" s="168">
        <v>1263.2552397068941</v>
      </c>
      <c r="AY83" s="168">
        <v>1264.2555984240382</v>
      </c>
      <c r="AZ83" s="168">
        <v>1266.2811703005991</v>
      </c>
      <c r="BA83" s="168">
        <v>1263.0393096839821</v>
      </c>
      <c r="BB83" s="168">
        <v>1258.6928405145152</v>
      </c>
      <c r="BC83" s="168">
        <v>1261.5835906272246</v>
      </c>
      <c r="BD83" s="168">
        <v>1267.5854067271316</v>
      </c>
      <c r="BE83" s="168">
        <v>1259.0320144230586</v>
      </c>
      <c r="BF83" s="168">
        <v>1300.6749934177064</v>
      </c>
      <c r="BG83" s="168">
        <v>1291.9111004629403</v>
      </c>
      <c r="BH83" s="168">
        <v>1281.3570372247532</v>
      </c>
      <c r="BI83" s="168">
        <v>1282.6325575902499</v>
      </c>
      <c r="BJ83" s="168">
        <v>1278.5083107421881</v>
      </c>
      <c r="BK83" s="168">
        <v>1279.4944716236462</v>
      </c>
      <c r="BL83" s="168">
        <v>1281.5089022094141</v>
      </c>
      <c r="BM83" s="168">
        <v>1278.2126351140307</v>
      </c>
      <c r="BN83" s="168">
        <v>1273.8109029975633</v>
      </c>
      <c r="BO83" s="168">
        <v>1276.7284191249225</v>
      </c>
      <c r="BP83" s="168">
        <v>1282.8003944185261</v>
      </c>
      <c r="BQ83" s="168">
        <v>1274.1631261519224</v>
      </c>
      <c r="BR83" s="168">
        <v>1316.3086056411646</v>
      </c>
      <c r="BS83" s="168">
        <v>1307.4594812583846</v>
      </c>
      <c r="BT83" s="168">
        <v>1296.7945289089096</v>
      </c>
      <c r="BU83" s="168">
        <v>1298.0936651799364</v>
      </c>
      <c r="BV83" s="168">
        <v>1293.9186720661858</v>
      </c>
      <c r="BW83" s="168">
        <v>1294.9237655239294</v>
      </c>
      <c r="BX83" s="168">
        <v>1296.9602844420917</v>
      </c>
      <c r="BY83" s="168">
        <v>1293.6135076315454</v>
      </c>
      <c r="BZ83" s="168">
        <v>1289.1348892866631</v>
      </c>
      <c r="CA83" s="168">
        <v>1292.0596147025637</v>
      </c>
      <c r="CB83" s="168">
        <v>1298.1791893005659</v>
      </c>
      <c r="CC83" s="168">
        <v>1289.4217580155021</v>
      </c>
      <c r="CD83" s="168">
        <v>1332.0353444361572</v>
      </c>
      <c r="CE83" s="168">
        <v>1323.056144968255</v>
      </c>
      <c r="CF83" s="168">
        <v>1312.2378873981083</v>
      </c>
      <c r="CG83" s="168">
        <v>1313.5202087288603</v>
      </c>
      <c r="CH83" s="168">
        <v>1309.2560461798</v>
      </c>
      <c r="CI83" s="168">
        <v>1310.2439126043034</v>
      </c>
      <c r="CJ83" s="168">
        <v>1312.2665031661579</v>
      </c>
      <c r="CK83" s="168">
        <v>1308.8684484260734</v>
      </c>
      <c r="CL83" s="168">
        <v>1304.3479742049747</v>
      </c>
      <c r="CM83" s="168">
        <v>1307.3133330901965</v>
      </c>
      <c r="CN83" s="168">
        <v>1313.5176166783742</v>
      </c>
      <c r="CO83" s="168">
        <v>1304.6834228742648</v>
      </c>
    </row>
    <row r="84" spans="1:93" x14ac:dyDescent="0.2">
      <c r="A84" s="118">
        <f t="shared" si="9"/>
        <v>10</v>
      </c>
      <c r="B84" s="234" t="s">
        <v>148</v>
      </c>
      <c r="C84" s="223"/>
      <c r="D84" s="172">
        <f>SUMIF($AH$8:$CP$8,1,$AH84:$CP84)</f>
        <v>205.20185456001929</v>
      </c>
      <c r="E84" s="225" t="s">
        <v>545</v>
      </c>
      <c r="F84" s="183">
        <v>204.3</v>
      </c>
      <c r="G84" s="233" t="s">
        <v>375</v>
      </c>
      <c r="H84" s="174">
        <f>ROUND(D84*F84,2)</f>
        <v>41922.74</v>
      </c>
      <c r="I84" s="229"/>
      <c r="J84" s="172">
        <f>SUMIF($AH$8:$CP$8,1,$AH84:$CP84)</f>
        <v>205.20185456001929</v>
      </c>
      <c r="K84" s="225" t="s">
        <v>545</v>
      </c>
      <c r="L84" s="183">
        <f>L80</f>
        <v>210.34</v>
      </c>
      <c r="M84" s="233" t="s">
        <v>375</v>
      </c>
      <c r="N84" s="174">
        <f>ROUND(J84*L84,2)</f>
        <v>43162.16</v>
      </c>
      <c r="O84" s="227"/>
      <c r="S84" s="263"/>
      <c r="T84" s="197"/>
      <c r="U84" s="178" t="s">
        <v>580</v>
      </c>
      <c r="V84" s="179">
        <v>242</v>
      </c>
      <c r="W84" s="180">
        <v>216</v>
      </c>
      <c r="Y84" s="178"/>
      <c r="Z84" s="181"/>
      <c r="AB84" s="182">
        <f>SUM(AH84:AS84)</f>
        <v>197.9358030081311</v>
      </c>
      <c r="AC84" s="182">
        <f>SUM(AT84:BE84)</f>
        <v>200.34596790475169</v>
      </c>
      <c r="AD84" s="182">
        <f>SUM(BF84:BQ84)</f>
        <v>202.76233338853825</v>
      </c>
      <c r="AE84" s="182">
        <f>SUM(BR84:CC84)</f>
        <v>205.20185456001929</v>
      </c>
      <c r="AF84" s="182">
        <f>SUM(CD84:CO84)</f>
        <v>207.63364806912051</v>
      </c>
      <c r="AH84" s="168">
        <v>16.740085811258496</v>
      </c>
      <c r="AI84" s="168">
        <v>16.624878776671835</v>
      </c>
      <c r="AJ84" s="168">
        <v>16.488540857839396</v>
      </c>
      <c r="AK84" s="168">
        <v>16.504687379004466</v>
      </c>
      <c r="AL84" s="168">
        <v>16.451550302586845</v>
      </c>
      <c r="AM84" s="168">
        <v>16.463868171769036</v>
      </c>
      <c r="AN84" s="168">
        <v>16.489607738266784</v>
      </c>
      <c r="AO84" s="168">
        <v>16.447282634299356</v>
      </c>
      <c r="AP84" s="168">
        <v>16.391171947900627</v>
      </c>
      <c r="AQ84" s="168">
        <v>16.429356799821793</v>
      </c>
      <c r="AR84" s="168">
        <v>16.507981724676419</v>
      </c>
      <c r="AS84" s="168">
        <v>16.39679086403606</v>
      </c>
      <c r="AT84" s="168">
        <v>16.939554991372411</v>
      </c>
      <c r="AU84" s="168">
        <v>16.82562984784574</v>
      </c>
      <c r="AV84" s="168">
        <v>16.688440013310654</v>
      </c>
      <c r="AW84" s="168">
        <v>16.705426583275749</v>
      </c>
      <c r="AX84" s="168">
        <v>16.652181967754078</v>
      </c>
      <c r="AY84" s="168">
        <v>16.665368657876005</v>
      </c>
      <c r="AZ84" s="168">
        <v>16.692069668421652</v>
      </c>
      <c r="BA84" s="168">
        <v>16.649335586499671</v>
      </c>
      <c r="BB84" s="168">
        <v>16.592040597132371</v>
      </c>
      <c r="BC84" s="168">
        <v>16.630146353900344</v>
      </c>
      <c r="BD84" s="168">
        <v>16.709262062817444</v>
      </c>
      <c r="BE84" s="168">
        <v>16.596511574545524</v>
      </c>
      <c r="BF84" s="168">
        <v>17.14544772149484</v>
      </c>
      <c r="BG84" s="168">
        <v>17.029922421744217</v>
      </c>
      <c r="BH84" s="168">
        <v>16.890799166191957</v>
      </c>
      <c r="BI84" s="168">
        <v>16.907613026575987</v>
      </c>
      <c r="BJ84" s="168">
        <v>16.853247363299737</v>
      </c>
      <c r="BK84" s="168">
        <v>16.866246898097895</v>
      </c>
      <c r="BL84" s="168">
        <v>16.892801044576949</v>
      </c>
      <c r="BM84" s="168">
        <v>16.849349778545093</v>
      </c>
      <c r="BN84" s="168">
        <v>16.791326315136601</v>
      </c>
      <c r="BO84" s="168">
        <v>16.829784900479904</v>
      </c>
      <c r="BP84" s="168">
        <v>16.909825445189025</v>
      </c>
      <c r="BQ84" s="168">
        <v>16.795969307206043</v>
      </c>
      <c r="BR84" s="168">
        <v>17.351529396342066</v>
      </c>
      <c r="BS84" s="168">
        <v>17.23488057918653</v>
      </c>
      <c r="BT84" s="168">
        <v>17.094295587635582</v>
      </c>
      <c r="BU84" s="168">
        <v>17.111420751977718</v>
      </c>
      <c r="BV84" s="168">
        <v>17.056386153379556</v>
      </c>
      <c r="BW84" s="168">
        <v>17.069635256669901</v>
      </c>
      <c r="BX84" s="168">
        <v>17.096480570696766</v>
      </c>
      <c r="BY84" s="168">
        <v>17.05236348754292</v>
      </c>
      <c r="BZ84" s="168">
        <v>16.993326512829555</v>
      </c>
      <c r="CA84" s="168">
        <v>17.031880130737047</v>
      </c>
      <c r="CB84" s="168">
        <v>17.112548127645429</v>
      </c>
      <c r="CC84" s="168">
        <v>16.997108005376219</v>
      </c>
      <c r="CD84" s="168">
        <v>17.558838662072336</v>
      </c>
      <c r="CE84" s="168">
        <v>17.440475200149187</v>
      </c>
      <c r="CF84" s="168">
        <v>17.297869345077554</v>
      </c>
      <c r="CG84" s="168">
        <v>17.314772855523927</v>
      </c>
      <c r="CH84" s="168">
        <v>17.258562828860185</v>
      </c>
      <c r="CI84" s="168">
        <v>17.271584846061142</v>
      </c>
      <c r="CJ84" s="168">
        <v>17.298246557031035</v>
      </c>
      <c r="CK84" s="168">
        <v>17.253453530182867</v>
      </c>
      <c r="CL84" s="168">
        <v>17.193864812919568</v>
      </c>
      <c r="CM84" s="168">
        <v>17.232954059656329</v>
      </c>
      <c r="CN84" s="168">
        <v>17.314738687214142</v>
      </c>
      <c r="CO84" s="168">
        <v>17.198286684372206</v>
      </c>
    </row>
    <row r="85" spans="1:93" x14ac:dyDescent="0.2">
      <c r="A85" s="118">
        <f t="shared" si="9"/>
        <v>11</v>
      </c>
      <c r="B85" s="234" t="s">
        <v>216</v>
      </c>
      <c r="C85" s="223"/>
      <c r="D85" s="172">
        <f>SUMIF($AH$8:$CP$8,1,$AH85:$CP85)</f>
        <v>23.563849327466329</v>
      </c>
      <c r="E85" s="225" t="s">
        <v>545</v>
      </c>
      <c r="F85" s="183">
        <v>1007.76</v>
      </c>
      <c r="G85" s="233" t="s">
        <v>375</v>
      </c>
      <c r="H85" s="174">
        <f>ROUND(D85*F85,2)</f>
        <v>23746.7</v>
      </c>
      <c r="I85" s="229"/>
      <c r="J85" s="172">
        <f>SUMIF($AH$8:$CP$8,1,$AH85:$CP85)</f>
        <v>23.563849327466329</v>
      </c>
      <c r="K85" s="225" t="s">
        <v>545</v>
      </c>
      <c r="L85" s="183">
        <f>L81</f>
        <v>1037.56</v>
      </c>
      <c r="M85" s="233" t="s">
        <v>375</v>
      </c>
      <c r="N85" s="174">
        <f>ROUND(J85*L85,2)</f>
        <v>24448.91</v>
      </c>
      <c r="O85" s="227"/>
      <c r="S85" s="263"/>
      <c r="T85" s="197"/>
      <c r="U85" s="178" t="s">
        <v>580</v>
      </c>
      <c r="V85" s="179">
        <v>242</v>
      </c>
      <c r="W85" s="180">
        <v>216</v>
      </c>
      <c r="Y85" s="178"/>
      <c r="Z85" s="181"/>
      <c r="AB85" s="182">
        <f>SUM(AH85:AS85)</f>
        <v>22.729470201890656</v>
      </c>
      <c r="AC85" s="182">
        <f>SUM(AT85:BE85)</f>
        <v>23.006235548871004</v>
      </c>
      <c r="AD85" s="182">
        <f>SUM(BF85:BQ85)</f>
        <v>23.283712924999609</v>
      </c>
      <c r="AE85" s="182">
        <f>SUM(BR85:CC85)</f>
        <v>23.563849327466329</v>
      </c>
      <c r="AF85" s="182">
        <f>SUM(CD85:CO85)</f>
        <v>23.84309834286551</v>
      </c>
      <c r="AH85" s="168">
        <v>1.9223065046421242</v>
      </c>
      <c r="AI85" s="168">
        <v>1.9090769887087273</v>
      </c>
      <c r="AJ85" s="168">
        <v>1.8934209597518923</v>
      </c>
      <c r="AK85" s="168">
        <v>1.8952751057230008</v>
      </c>
      <c r="AL85" s="168">
        <v>1.8891732404884416</v>
      </c>
      <c r="AM85" s="168">
        <v>1.890587732643334</v>
      </c>
      <c r="AN85" s="168">
        <v>1.8935434723368558</v>
      </c>
      <c r="AO85" s="168">
        <v>1.8886831733166725</v>
      </c>
      <c r="AP85" s="168">
        <v>1.8822398409072492</v>
      </c>
      <c r="AQ85" s="168">
        <v>1.8866247042857562</v>
      </c>
      <c r="AR85" s="168">
        <v>1.8956534037905934</v>
      </c>
      <c r="AS85" s="168">
        <v>1.8828850752960067</v>
      </c>
      <c r="AT85" s="168">
        <v>1.9452120564255402</v>
      </c>
      <c r="AU85" s="168">
        <v>1.9321297432932909</v>
      </c>
      <c r="AV85" s="168">
        <v>1.9163758866959602</v>
      </c>
      <c r="AW85" s="168">
        <v>1.918326497601043</v>
      </c>
      <c r="AX85" s="168">
        <v>1.9122122833784585</v>
      </c>
      <c r="AY85" s="168">
        <v>1.9137265444450913</v>
      </c>
      <c r="AZ85" s="168">
        <v>1.9167926891967446</v>
      </c>
      <c r="BA85" s="168">
        <v>1.9118854262009191</v>
      </c>
      <c r="BB85" s="168">
        <v>1.9053060972783582</v>
      </c>
      <c r="BC85" s="168">
        <v>1.9096818779598481</v>
      </c>
      <c r="BD85" s="168">
        <v>1.9187669354431514</v>
      </c>
      <c r="BE85" s="168">
        <v>1.9058195109525962</v>
      </c>
      <c r="BF85" s="168">
        <v>1.9688552407458189</v>
      </c>
      <c r="BG85" s="168">
        <v>1.9555891776165608</v>
      </c>
      <c r="BH85" s="168">
        <v>1.9396133013808945</v>
      </c>
      <c r="BI85" s="168">
        <v>1.9415440796068117</v>
      </c>
      <c r="BJ85" s="168">
        <v>1.935301132627721</v>
      </c>
      <c r="BK85" s="168">
        <v>1.9367939021739209</v>
      </c>
      <c r="BL85" s="168">
        <v>1.9398431821523772</v>
      </c>
      <c r="BM85" s="168">
        <v>1.9348535630865178</v>
      </c>
      <c r="BN85" s="168">
        <v>1.9281905816424805</v>
      </c>
      <c r="BO85" s="168">
        <v>1.932606878524008</v>
      </c>
      <c r="BP85" s="168">
        <v>1.9417981372465865</v>
      </c>
      <c r="BQ85" s="168">
        <v>1.9287237481959094</v>
      </c>
      <c r="BR85" s="168">
        <v>1.9925201220679885</v>
      </c>
      <c r="BS85" s="168">
        <v>1.979125042586013</v>
      </c>
      <c r="BT85" s="168">
        <v>1.9629813114988228</v>
      </c>
      <c r="BU85" s="168">
        <v>1.9649478375476808</v>
      </c>
      <c r="BV85" s="168">
        <v>1.9586280750292311</v>
      </c>
      <c r="BW85" s="168">
        <v>1.9601495031582661</v>
      </c>
      <c r="BX85" s="168">
        <v>1.963232218644605</v>
      </c>
      <c r="BY85" s="168">
        <v>1.9581661421101917</v>
      </c>
      <c r="BZ85" s="168">
        <v>1.9513867765928674</v>
      </c>
      <c r="CA85" s="168">
        <v>1.9558139863047326</v>
      </c>
      <c r="CB85" s="168">
        <v>1.965077296954499</v>
      </c>
      <c r="CC85" s="168">
        <v>1.9518210149714321</v>
      </c>
      <c r="CD85" s="168">
        <v>2.0163259707642873</v>
      </c>
      <c r="CE85" s="168">
        <v>2.0027339942755047</v>
      </c>
      <c r="CF85" s="168">
        <v>1.9863582023055568</v>
      </c>
      <c r="CG85" s="168">
        <v>1.9882992752754749</v>
      </c>
      <c r="CH85" s="168">
        <v>1.9818445353715044</v>
      </c>
      <c r="CI85" s="168">
        <v>1.9833398866290308</v>
      </c>
      <c r="CJ85" s="168">
        <v>1.9864015185107406</v>
      </c>
      <c r="CK85" s="168">
        <v>1.9812578216477934</v>
      </c>
      <c r="CL85" s="168">
        <v>1.9744150981343045</v>
      </c>
      <c r="CM85" s="168">
        <v>1.9789038154629277</v>
      </c>
      <c r="CN85" s="168">
        <v>1.9882953516418151</v>
      </c>
      <c r="CO85" s="168">
        <v>1.9749228728465693</v>
      </c>
    </row>
    <row r="86" spans="1:93" x14ac:dyDescent="0.2">
      <c r="A86" s="118">
        <f t="shared" si="9"/>
        <v>12</v>
      </c>
      <c r="B86" s="226"/>
      <c r="C86" s="223" t="s">
        <v>374</v>
      </c>
      <c r="D86" s="204">
        <f>SUM(D78:D85)</f>
        <v>1586573.6117594137</v>
      </c>
      <c r="E86" s="235" t="s">
        <v>581</v>
      </c>
      <c r="F86" s="183"/>
      <c r="G86" s="233"/>
      <c r="H86" s="204">
        <f>SUM(H78:H85)</f>
        <v>25972240.639999997</v>
      </c>
      <c r="I86" s="229"/>
      <c r="J86" s="236">
        <f>SUM(J78:J85)</f>
        <v>1586573.6117594137</v>
      </c>
      <c r="K86" s="235" t="s">
        <v>581</v>
      </c>
      <c r="L86" s="183"/>
      <c r="M86" s="233"/>
      <c r="N86" s="204">
        <f>SUM(N78:N85)</f>
        <v>26742443.300000001</v>
      </c>
      <c r="O86" s="227"/>
      <c r="Q86" s="1022"/>
      <c r="S86" s="263"/>
      <c r="T86" s="935"/>
      <c r="U86" s="184"/>
      <c r="V86" s="179"/>
      <c r="W86" s="180"/>
      <c r="Y86" s="184" t="s">
        <v>136</v>
      </c>
      <c r="Z86" s="181" t="s">
        <v>451</v>
      </c>
      <c r="AB86" s="204">
        <f>SUM(AB78:AB85)</f>
        <v>1530394.1699184661</v>
      </c>
      <c r="AC86" s="204">
        <f>SUM(AC78:AC85)</f>
        <v>1549029.0113684419</v>
      </c>
      <c r="AD86" s="204">
        <f>SUM(AD78:AD85)</f>
        <v>1567711.7943343273</v>
      </c>
      <c r="AE86" s="204">
        <f>SUM(AE78:AE85)</f>
        <v>1586573.6117594137</v>
      </c>
      <c r="AF86" s="204">
        <f>SUM(AF78:AF85)</f>
        <v>1605375.6806737534</v>
      </c>
      <c r="AG86" s="114"/>
      <c r="AH86" s="204">
        <f t="shared" ref="AH86:CO86" si="10">SUM(AH78:AH85)</f>
        <v>129430.49887964141</v>
      </c>
      <c r="AI86" s="204">
        <f t="shared" si="10"/>
        <v>128539.7445472492</v>
      </c>
      <c r="AJ86" s="204">
        <f t="shared" si="10"/>
        <v>127485.61107089469</v>
      </c>
      <c r="AK86" s="204">
        <f t="shared" si="10"/>
        <v>127610.45226425107</v>
      </c>
      <c r="AL86" s="204">
        <f t="shared" si="10"/>
        <v>127199.60859312052</v>
      </c>
      <c r="AM86" s="204">
        <f t="shared" si="10"/>
        <v>127294.8475286529</v>
      </c>
      <c r="AN86" s="204">
        <f t="shared" si="10"/>
        <v>127493.85994533412</v>
      </c>
      <c r="AO86" s="204">
        <f t="shared" si="10"/>
        <v>127166.61196205595</v>
      </c>
      <c r="AP86" s="204">
        <f t="shared" si="10"/>
        <v>126732.77702148585</v>
      </c>
      <c r="AQ86" s="204">
        <f t="shared" si="10"/>
        <v>127028.01352681355</v>
      </c>
      <c r="AR86" s="204">
        <f t="shared" si="10"/>
        <v>127635.92338839047</v>
      </c>
      <c r="AS86" s="204">
        <f t="shared" si="10"/>
        <v>126776.22119057619</v>
      </c>
      <c r="AT86" s="204">
        <f t="shared" si="10"/>
        <v>130972.74876917865</v>
      </c>
      <c r="AU86" s="204">
        <f t="shared" si="10"/>
        <v>130091.90572405669</v>
      </c>
      <c r="AV86" s="204">
        <f t="shared" si="10"/>
        <v>129031.18543114459</v>
      </c>
      <c r="AW86" s="204">
        <f t="shared" si="10"/>
        <v>129162.52168889288</v>
      </c>
      <c r="AX86" s="204">
        <f t="shared" si="10"/>
        <v>128750.84655010777</v>
      </c>
      <c r="AY86" s="204">
        <f t="shared" si="10"/>
        <v>128852.80300960837</v>
      </c>
      <c r="AZ86" s="204">
        <f t="shared" si="10"/>
        <v>129059.24909085782</v>
      </c>
      <c r="BA86" s="204">
        <f t="shared" si="10"/>
        <v>128728.83898396304</v>
      </c>
      <c r="BB86" s="204">
        <f t="shared" si="10"/>
        <v>128285.84728483291</v>
      </c>
      <c r="BC86" s="204">
        <f t="shared" si="10"/>
        <v>128580.47224460155</v>
      </c>
      <c r="BD86" s="204">
        <f t="shared" si="10"/>
        <v>129192.17673583358</v>
      </c>
      <c r="BE86" s="204">
        <f t="shared" si="10"/>
        <v>128320.41585536409</v>
      </c>
      <c r="BF86" s="204">
        <f t="shared" si="10"/>
        <v>132564.66407211663</v>
      </c>
      <c r="BG86" s="204">
        <f t="shared" si="10"/>
        <v>131671.44898657105</v>
      </c>
      <c r="BH86" s="204">
        <f t="shared" si="10"/>
        <v>130595.77992639346</v>
      </c>
      <c r="BI86" s="204">
        <f t="shared" si="10"/>
        <v>130725.78083332631</v>
      </c>
      <c r="BJ86" s="204">
        <f t="shared" si="10"/>
        <v>130305.4380107683</v>
      </c>
      <c r="BK86" s="204">
        <f t="shared" si="10"/>
        <v>130405.94742828856</v>
      </c>
      <c r="BL86" s="204">
        <f t="shared" si="10"/>
        <v>130611.25799030467</v>
      </c>
      <c r="BM86" s="204">
        <f t="shared" si="10"/>
        <v>130275.30278058446</v>
      </c>
      <c r="BN86" s="204">
        <f t="shared" si="10"/>
        <v>129826.67868747292</v>
      </c>
      <c r="BO86" s="204">
        <f t="shared" si="10"/>
        <v>130124.03163675356</v>
      </c>
      <c r="BP86" s="204">
        <f t="shared" si="10"/>
        <v>130742.88674592704</v>
      </c>
      <c r="BQ86" s="204">
        <f t="shared" si="10"/>
        <v>129862.57723582073</v>
      </c>
      <c r="BR86" s="204">
        <f t="shared" si="10"/>
        <v>134158.04025227271</v>
      </c>
      <c r="BS86" s="204">
        <f t="shared" si="10"/>
        <v>133256.13838818506</v>
      </c>
      <c r="BT86" s="204">
        <f t="shared" si="10"/>
        <v>132169.16752097529</v>
      </c>
      <c r="BU86" s="204">
        <f t="shared" si="10"/>
        <v>132301.57535861665</v>
      </c>
      <c r="BV86" s="204">
        <f t="shared" si="10"/>
        <v>131876.06048178067</v>
      </c>
      <c r="BW86" s="204">
        <f t="shared" si="10"/>
        <v>131978.49950556536</v>
      </c>
      <c r="BX86" s="204">
        <f t="shared" si="10"/>
        <v>132186.06130819011</v>
      </c>
      <c r="BY86" s="204">
        <f t="shared" si="10"/>
        <v>131844.95815339766</v>
      </c>
      <c r="BZ86" s="204">
        <f t="shared" si="10"/>
        <v>131388.49782364495</v>
      </c>
      <c r="CA86" s="204">
        <f t="shared" si="10"/>
        <v>131686.5855428862</v>
      </c>
      <c r="CB86" s="204">
        <f t="shared" si="10"/>
        <v>132310.29196836054</v>
      </c>
      <c r="CC86" s="204">
        <f t="shared" si="10"/>
        <v>131417.73545553899</v>
      </c>
      <c r="CD86" s="204">
        <f t="shared" si="10"/>
        <v>135760.90788320173</v>
      </c>
      <c r="CE86" s="204">
        <f t="shared" si="10"/>
        <v>134845.74877956495</v>
      </c>
      <c r="CF86" s="204">
        <f t="shared" si="10"/>
        <v>133743.15305973505</v>
      </c>
      <c r="CG86" s="204">
        <f t="shared" si="10"/>
        <v>133873.84712036044</v>
      </c>
      <c r="CH86" s="204">
        <f t="shared" si="10"/>
        <v>133439.2441036762</v>
      </c>
      <c r="CI86" s="204">
        <f t="shared" si="10"/>
        <v>133539.92734997149</v>
      </c>
      <c r="CJ86" s="204">
        <f t="shared" si="10"/>
        <v>133746.06957592696</v>
      </c>
      <c r="CK86" s="204">
        <f t="shared" si="10"/>
        <v>133399.74017973064</v>
      </c>
      <c r="CL86" s="204">
        <f t="shared" si="10"/>
        <v>132939.01390329786</v>
      </c>
      <c r="CM86" s="204">
        <f t="shared" si="10"/>
        <v>133241.2429816318</v>
      </c>
      <c r="CN86" s="204">
        <f t="shared" si="10"/>
        <v>133873.58293883645</v>
      </c>
      <c r="CO86" s="204">
        <f t="shared" si="10"/>
        <v>132973.20279782021</v>
      </c>
    </row>
    <row r="87" spans="1:93" x14ac:dyDescent="0.2">
      <c r="A87" s="118">
        <f t="shared" si="9"/>
        <v>13</v>
      </c>
      <c r="B87" s="226"/>
      <c r="C87" s="223"/>
      <c r="D87" s="168"/>
      <c r="E87" s="237"/>
      <c r="F87" s="183"/>
      <c r="G87" s="233"/>
      <c r="H87" s="174"/>
      <c r="I87" s="229"/>
      <c r="J87" s="175"/>
      <c r="K87" s="237"/>
      <c r="L87" s="183"/>
      <c r="M87" s="233"/>
      <c r="N87" s="174"/>
      <c r="O87" s="227"/>
      <c r="S87" s="230"/>
      <c r="T87" s="227"/>
      <c r="U87" s="184"/>
      <c r="V87" s="179"/>
      <c r="W87" s="180"/>
      <c r="Y87" s="184"/>
      <c r="Z87" s="181"/>
      <c r="AB87" s="193">
        <f>SUM(AH87:AS87)</f>
        <v>0</v>
      </c>
      <c r="AC87" s="193">
        <f>SUM(AT87:BE87)</f>
        <v>0</v>
      </c>
      <c r="AD87" s="193">
        <f>SUM(BF87:BQ87)</f>
        <v>0</v>
      </c>
      <c r="AE87" s="193">
        <f>SUM(BR87:CC87)</f>
        <v>0</v>
      </c>
      <c r="AF87" s="193">
        <f>SUM(CD87:CO87)</f>
        <v>0</v>
      </c>
      <c r="AG87" s="238"/>
      <c r="AH87" s="193">
        <v>0</v>
      </c>
      <c r="AI87" s="193">
        <v>0</v>
      </c>
      <c r="AJ87" s="193">
        <v>0</v>
      </c>
      <c r="AK87" s="193">
        <v>0</v>
      </c>
      <c r="AL87" s="193">
        <v>0</v>
      </c>
      <c r="AM87" s="193">
        <v>0</v>
      </c>
      <c r="AN87" s="193">
        <v>0</v>
      </c>
      <c r="AO87" s="193">
        <v>0</v>
      </c>
      <c r="AP87" s="193">
        <v>0</v>
      </c>
      <c r="AQ87" s="193">
        <v>0</v>
      </c>
      <c r="AR87" s="193">
        <v>0</v>
      </c>
      <c r="AS87" s="193">
        <v>0</v>
      </c>
      <c r="AT87" s="193">
        <v>0</v>
      </c>
      <c r="AU87" s="193">
        <v>0</v>
      </c>
      <c r="AV87" s="193">
        <v>0</v>
      </c>
      <c r="AW87" s="193">
        <v>0</v>
      </c>
      <c r="AX87" s="193">
        <v>0</v>
      </c>
      <c r="AY87" s="193">
        <v>0</v>
      </c>
      <c r="AZ87" s="193">
        <v>0</v>
      </c>
      <c r="BA87" s="193">
        <v>0</v>
      </c>
      <c r="BB87" s="193">
        <v>0</v>
      </c>
      <c r="BC87" s="193">
        <v>0</v>
      </c>
      <c r="BD87" s="193">
        <v>0</v>
      </c>
      <c r="BE87" s="193">
        <v>0</v>
      </c>
      <c r="BF87" s="193">
        <v>0</v>
      </c>
      <c r="BG87" s="193">
        <v>0</v>
      </c>
      <c r="BH87" s="193">
        <v>0</v>
      </c>
      <c r="BI87" s="193">
        <v>0</v>
      </c>
      <c r="BJ87" s="193">
        <v>0</v>
      </c>
      <c r="BK87" s="193">
        <v>0</v>
      </c>
      <c r="BL87" s="193">
        <v>0</v>
      </c>
      <c r="BM87" s="193">
        <v>0</v>
      </c>
      <c r="BN87" s="193">
        <v>0</v>
      </c>
      <c r="BO87" s="193">
        <v>0</v>
      </c>
      <c r="BP87" s="193">
        <v>0</v>
      </c>
      <c r="BQ87" s="193">
        <v>0</v>
      </c>
      <c r="BR87" s="193">
        <v>0</v>
      </c>
      <c r="BS87" s="193">
        <v>0</v>
      </c>
      <c r="BT87" s="193">
        <v>0</v>
      </c>
      <c r="BU87" s="193">
        <v>0</v>
      </c>
      <c r="BV87" s="193">
        <v>0</v>
      </c>
      <c r="BW87" s="193">
        <v>0</v>
      </c>
      <c r="BX87" s="193">
        <v>0</v>
      </c>
      <c r="BY87" s="193">
        <v>0</v>
      </c>
      <c r="BZ87" s="193">
        <v>0</v>
      </c>
      <c r="CA87" s="193">
        <v>0</v>
      </c>
      <c r="CB87" s="193">
        <v>0</v>
      </c>
      <c r="CC87" s="193">
        <v>0</v>
      </c>
      <c r="CD87" s="193">
        <v>0</v>
      </c>
      <c r="CE87" s="193">
        <v>0</v>
      </c>
      <c r="CF87" s="193">
        <v>0</v>
      </c>
      <c r="CG87" s="193">
        <v>0</v>
      </c>
      <c r="CH87" s="193">
        <v>0</v>
      </c>
      <c r="CI87" s="193">
        <v>0</v>
      </c>
      <c r="CJ87" s="193">
        <v>0</v>
      </c>
      <c r="CK87" s="193">
        <v>0</v>
      </c>
      <c r="CL87" s="193">
        <v>0</v>
      </c>
      <c r="CM87" s="193">
        <v>0</v>
      </c>
      <c r="CN87" s="193">
        <v>0</v>
      </c>
      <c r="CO87" s="193">
        <v>0</v>
      </c>
    </row>
    <row r="88" spans="1:93" x14ac:dyDescent="0.2">
      <c r="A88" s="118">
        <f t="shared" si="9"/>
        <v>14</v>
      </c>
      <c r="B88" s="239" t="s">
        <v>551</v>
      </c>
      <c r="C88" s="223"/>
      <c r="D88" s="240"/>
      <c r="E88" s="225"/>
      <c r="F88" s="183"/>
      <c r="G88" s="233"/>
      <c r="H88" s="174"/>
      <c r="I88" s="229"/>
      <c r="J88" s="175"/>
      <c r="K88" s="225"/>
      <c r="L88" s="183"/>
      <c r="M88" s="233"/>
      <c r="N88" s="174"/>
      <c r="O88" s="227"/>
      <c r="S88" s="230"/>
      <c r="T88" s="227"/>
      <c r="U88" s="184"/>
      <c r="V88" s="179"/>
      <c r="W88" s="180"/>
      <c r="Y88" s="184"/>
      <c r="Z88" s="181"/>
      <c r="AF88" s="114"/>
      <c r="AG88" s="241"/>
    </row>
    <row r="89" spans="1:93" x14ac:dyDescent="0.2">
      <c r="A89" s="118">
        <f t="shared" si="9"/>
        <v>15</v>
      </c>
      <c r="B89" s="228" t="s">
        <v>543</v>
      </c>
      <c r="C89" s="223"/>
      <c r="D89" s="168"/>
      <c r="E89" s="225"/>
      <c r="F89" s="183"/>
      <c r="G89" s="233"/>
      <c r="H89" s="174"/>
      <c r="I89" s="229"/>
      <c r="J89" s="175"/>
      <c r="K89" s="225"/>
      <c r="L89" s="1368">
        <v>0.2</v>
      </c>
      <c r="M89" s="233"/>
      <c r="N89" s="174"/>
      <c r="O89" s="227"/>
      <c r="S89" s="230"/>
      <c r="T89" s="227"/>
      <c r="U89" s="178"/>
      <c r="V89" s="179"/>
      <c r="W89" s="180"/>
      <c r="Y89" s="178"/>
      <c r="Z89" s="181"/>
      <c r="AE89" s="242"/>
      <c r="AF89" s="114"/>
      <c r="AG89" s="241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</row>
    <row r="90" spans="1:93" x14ac:dyDescent="0.2">
      <c r="A90" s="118">
        <f t="shared" si="9"/>
        <v>16</v>
      </c>
      <c r="B90" s="234" t="s">
        <v>149</v>
      </c>
      <c r="C90" s="223"/>
      <c r="D90" s="172">
        <f>SUMIF($AH$8:$CP$8,1,$AH90:$CP90)+'Unbilled to E-13c'!P43</f>
        <v>2052924.5803230447</v>
      </c>
      <c r="E90" s="225" t="s">
        <v>555</v>
      </c>
      <c r="F90" s="183">
        <v>74</v>
      </c>
      <c r="G90" s="233" t="s">
        <v>375</v>
      </c>
      <c r="H90" s="174">
        <f>ROUND(D90*F90,2)</f>
        <v>151916418.94</v>
      </c>
      <c r="I90" s="229"/>
      <c r="J90" s="172">
        <f>D90</f>
        <v>2052924.5803230447</v>
      </c>
      <c r="K90" s="225" t="s">
        <v>555</v>
      </c>
      <c r="L90" s="173">
        <f>ROUND(F90*(1+'Exhibit MJC-2 - Old E-8a'!$V$18)+L89,2)</f>
        <v>76.39</v>
      </c>
      <c r="M90" s="233" t="s">
        <v>375</v>
      </c>
      <c r="N90" s="174">
        <f>ROUND(J90*L90,2)</f>
        <v>156822908.69</v>
      </c>
      <c r="O90" s="227"/>
      <c r="Q90" s="1022"/>
      <c r="R90" s="186"/>
      <c r="S90" s="230"/>
      <c r="T90" s="176"/>
      <c r="U90" s="178" t="s">
        <v>136</v>
      </c>
      <c r="V90" s="179">
        <v>241</v>
      </c>
      <c r="W90" s="180">
        <v>215</v>
      </c>
      <c r="Y90" s="178"/>
      <c r="Z90" s="181"/>
      <c r="AB90" s="182">
        <f>SUM(AH90:AS90)</f>
        <v>2022003.465775976</v>
      </c>
      <c r="AC90" s="182">
        <f>SUM(AT90:BE90)</f>
        <v>2034629.5388168318</v>
      </c>
      <c r="AD90" s="182">
        <f>SUM(BF90:BQ90)</f>
        <v>2042841.9304549096</v>
      </c>
      <c r="AE90" s="182">
        <f>SUM(BR90:CC90)</f>
        <v>2051871.7093230446</v>
      </c>
      <c r="AF90" s="182">
        <f>SUM(CD90:CO90)</f>
        <v>2064012.9449247932</v>
      </c>
      <c r="AG90" s="241"/>
      <c r="AH90" s="168">
        <v>168712.35234296418</v>
      </c>
      <c r="AI90" s="168">
        <v>139971.48640706346</v>
      </c>
      <c r="AJ90" s="168">
        <v>126533.00837395462</v>
      </c>
      <c r="AK90" s="168">
        <v>144462.9973109058</v>
      </c>
      <c r="AL90" s="168">
        <v>172878.46835371628</v>
      </c>
      <c r="AM90" s="168">
        <v>193524.60048065713</v>
      </c>
      <c r="AN90" s="168">
        <v>194824.70680809917</v>
      </c>
      <c r="AO90" s="168">
        <v>209332.33669090815</v>
      </c>
      <c r="AP90" s="168">
        <v>198620.02165022129</v>
      </c>
      <c r="AQ90" s="168">
        <v>178142.80806679567</v>
      </c>
      <c r="AR90" s="168">
        <v>158689.63741860984</v>
      </c>
      <c r="AS90" s="168">
        <v>136311.0418720803</v>
      </c>
      <c r="AT90" s="168">
        <v>165644.65294328204</v>
      </c>
      <c r="AU90" s="168">
        <v>138752.47414889364</v>
      </c>
      <c r="AV90" s="168">
        <v>123113.37054795095</v>
      </c>
      <c r="AW90" s="168">
        <v>145215.49169262772</v>
      </c>
      <c r="AX90" s="168">
        <v>172224.60310259034</v>
      </c>
      <c r="AY90" s="168">
        <v>189762.46873146587</v>
      </c>
      <c r="AZ90" s="168">
        <v>202638.34396484229</v>
      </c>
      <c r="BA90" s="168">
        <v>211609.89357379294</v>
      </c>
      <c r="BB90" s="168">
        <v>203000.58489726586</v>
      </c>
      <c r="BC90" s="168">
        <v>183782.15360472794</v>
      </c>
      <c r="BD90" s="168">
        <v>162227.33421929553</v>
      </c>
      <c r="BE90" s="168">
        <v>136658.16739009673</v>
      </c>
      <c r="BF90" s="168">
        <v>162733.28789023092</v>
      </c>
      <c r="BG90" s="168">
        <v>140193.62577819015</v>
      </c>
      <c r="BH90" s="168">
        <v>124834.91698474795</v>
      </c>
      <c r="BI90" s="168">
        <v>143473.34516156875</v>
      </c>
      <c r="BJ90" s="168">
        <v>173002.58243680396</v>
      </c>
      <c r="BK90" s="168">
        <v>193528.74893154154</v>
      </c>
      <c r="BL90" s="168">
        <v>204295.18110058337</v>
      </c>
      <c r="BM90" s="168">
        <v>214013.87536960369</v>
      </c>
      <c r="BN90" s="168">
        <v>203801.85514944754</v>
      </c>
      <c r="BO90" s="168">
        <v>181649.72095911068</v>
      </c>
      <c r="BP90" s="168">
        <v>161430.00047826811</v>
      </c>
      <c r="BQ90" s="168">
        <v>139884.79021481291</v>
      </c>
      <c r="BR90" s="168">
        <v>162177.21307265983</v>
      </c>
      <c r="BS90" s="168">
        <v>138222.06354150089</v>
      </c>
      <c r="BT90" s="168">
        <v>126447.65502297673</v>
      </c>
      <c r="BU90" s="168">
        <v>146077.44494470366</v>
      </c>
      <c r="BV90" s="168">
        <v>168849.57300902365</v>
      </c>
      <c r="BW90" s="168">
        <v>197366.28609468119</v>
      </c>
      <c r="BX90" s="168">
        <v>208258.14649936033</v>
      </c>
      <c r="BY90" s="168">
        <v>216108.04948808756</v>
      </c>
      <c r="BZ90" s="168">
        <v>204717.50141371958</v>
      </c>
      <c r="CA90" s="168">
        <v>183735.154255651</v>
      </c>
      <c r="CB90" s="168">
        <v>162172.59912674394</v>
      </c>
      <c r="CC90" s="168">
        <v>137740.02285393621</v>
      </c>
      <c r="CD90" s="168">
        <v>163259.85777228337</v>
      </c>
      <c r="CE90" s="168">
        <v>136649.58406935114</v>
      </c>
      <c r="CF90" s="168">
        <v>122986.24624077164</v>
      </c>
      <c r="CG90" s="168">
        <v>149235.85105832067</v>
      </c>
      <c r="CH90" s="168">
        <v>173600.16924055415</v>
      </c>
      <c r="CI90" s="168">
        <v>194769.96971492577</v>
      </c>
      <c r="CJ90" s="168">
        <v>208489.35386577531</v>
      </c>
      <c r="CK90" s="168">
        <v>217336.9743071259</v>
      </c>
      <c r="CL90" s="168">
        <v>210331.04979209986</v>
      </c>
      <c r="CM90" s="168">
        <v>184875.65681037304</v>
      </c>
      <c r="CN90" s="168">
        <v>164815.52652022085</v>
      </c>
      <c r="CO90" s="168">
        <v>137662.70553299144</v>
      </c>
    </row>
    <row r="91" spans="1:93" x14ac:dyDescent="0.2">
      <c r="A91" s="118">
        <f t="shared" si="9"/>
        <v>17</v>
      </c>
      <c r="B91" s="234" t="s">
        <v>148</v>
      </c>
      <c r="C91" s="223"/>
      <c r="D91" s="172">
        <f>SUMIF($AH$8:$CP$8,1,$AH91:$CP91)+'Unbilled to E-13c'!P44</f>
        <v>15601.068718822966</v>
      </c>
      <c r="E91" s="225" t="s">
        <v>555</v>
      </c>
      <c r="F91" s="183">
        <v>74</v>
      </c>
      <c r="G91" s="233" t="s">
        <v>375</v>
      </c>
      <c r="H91" s="174">
        <f>ROUND(D91*F91,2)</f>
        <v>1154479.0900000001</v>
      </c>
      <c r="I91" s="229"/>
      <c r="J91" s="172">
        <f>D91</f>
        <v>15601.068718822966</v>
      </c>
      <c r="K91" s="225" t="s">
        <v>555</v>
      </c>
      <c r="L91" s="183">
        <f>L90</f>
        <v>76.39</v>
      </c>
      <c r="M91" s="233" t="s">
        <v>375</v>
      </c>
      <c r="N91" s="174">
        <f>ROUND(J91*L91,2)</f>
        <v>1191765.6399999999</v>
      </c>
      <c r="O91" s="227"/>
      <c r="R91" s="186"/>
      <c r="S91" s="926"/>
      <c r="T91" s="176"/>
      <c r="U91" s="178" t="s">
        <v>136</v>
      </c>
      <c r="V91" s="179">
        <v>241</v>
      </c>
      <c r="W91" s="180">
        <v>215</v>
      </c>
      <c r="Y91" s="178"/>
      <c r="Z91" s="181"/>
      <c r="AB91" s="182">
        <f>SUM(AH91:AS91)</f>
        <v>15177.514568094466</v>
      </c>
      <c r="AC91" s="182">
        <f>SUM(AT91:BE91)</f>
        <v>15395.920511931707</v>
      </c>
      <c r="AD91" s="182">
        <f>SUM(BF91:BQ91)</f>
        <v>15466.990943451354</v>
      </c>
      <c r="AE91" s="182">
        <f>SUM(BR91:CC91)</f>
        <v>15593.067718822966</v>
      </c>
      <c r="AF91" s="182">
        <f>SUM(CD91:CO91)</f>
        <v>15696.689370231048</v>
      </c>
      <c r="AG91" s="241"/>
      <c r="AH91" s="168">
        <v>266.26242454759733</v>
      </c>
      <c r="AI91" s="168">
        <v>725.03306608544892</v>
      </c>
      <c r="AJ91" s="168">
        <v>697.05347619831173</v>
      </c>
      <c r="AK91" s="168">
        <v>393.88661619946259</v>
      </c>
      <c r="AL91" s="168">
        <v>853.01996773694816</v>
      </c>
      <c r="AM91" s="168">
        <v>1399.2541262015513</v>
      </c>
      <c r="AN91" s="168">
        <v>2519.8129042607602</v>
      </c>
      <c r="AO91" s="168">
        <v>2334.7745757694684</v>
      </c>
      <c r="AP91" s="168">
        <v>2553.7577998835991</v>
      </c>
      <c r="AQ91" s="168">
        <v>2466.1922499542443</v>
      </c>
      <c r="AR91" s="168">
        <v>681.33818569646758</v>
      </c>
      <c r="AS91" s="168">
        <v>287.12917556060603</v>
      </c>
      <c r="AT91" s="168">
        <v>261.42097062558616</v>
      </c>
      <c r="AU91" s="168">
        <v>718.71875009278835</v>
      </c>
      <c r="AV91" s="168">
        <v>678.21514725484428</v>
      </c>
      <c r="AW91" s="168">
        <v>395.93833512571246</v>
      </c>
      <c r="AX91" s="168">
        <v>849.79365435777959</v>
      </c>
      <c r="AY91" s="168">
        <v>1372.0525282636404</v>
      </c>
      <c r="AZ91" s="168">
        <v>2620.8724878184344</v>
      </c>
      <c r="BA91" s="168">
        <v>2360.1771580416939</v>
      </c>
      <c r="BB91" s="168">
        <v>2610.0809110537507</v>
      </c>
      <c r="BC91" s="168">
        <v>2544.2628182325202</v>
      </c>
      <c r="BD91" s="168">
        <v>696.52738115328896</v>
      </c>
      <c r="BE91" s="168">
        <v>287.86036991166696</v>
      </c>
      <c r="BF91" s="168">
        <v>256.82624411621526</v>
      </c>
      <c r="BG91" s="168">
        <v>726.18371750368078</v>
      </c>
      <c r="BH91" s="168">
        <v>687.69891709187891</v>
      </c>
      <c r="BI91" s="168">
        <v>391.18827306957485</v>
      </c>
      <c r="BJ91" s="168">
        <v>853.63237362045334</v>
      </c>
      <c r="BK91" s="168">
        <v>1399.2841210290974</v>
      </c>
      <c r="BL91" s="168">
        <v>2642.3015953648974</v>
      </c>
      <c r="BM91" s="168">
        <v>2386.9898123415373</v>
      </c>
      <c r="BN91" s="168">
        <v>2620.3832468370347</v>
      </c>
      <c r="BO91" s="168">
        <v>2514.7416216080751</v>
      </c>
      <c r="BP91" s="168">
        <v>693.10400749547944</v>
      </c>
      <c r="BQ91" s="168">
        <v>294.65701337342853</v>
      </c>
      <c r="BR91" s="168">
        <v>255.948644894225</v>
      </c>
      <c r="BS91" s="168">
        <v>715.97129603029566</v>
      </c>
      <c r="BT91" s="168">
        <v>696.5832759654329</v>
      </c>
      <c r="BU91" s="168">
        <v>398.28849991601953</v>
      </c>
      <c r="BV91" s="168">
        <v>833.14052173263963</v>
      </c>
      <c r="BW91" s="168">
        <v>1427.0309278776233</v>
      </c>
      <c r="BX91" s="168">
        <v>2693.5575757514775</v>
      </c>
      <c r="BY91" s="168">
        <v>2410.3470469014796</v>
      </c>
      <c r="BZ91" s="168">
        <v>2632.1561726976365</v>
      </c>
      <c r="CA91" s="168">
        <v>2543.6121636722587</v>
      </c>
      <c r="CB91" s="168">
        <v>696.29237457529382</v>
      </c>
      <c r="CC91" s="168">
        <v>290.13921880858521</v>
      </c>
      <c r="CD91" s="168">
        <v>257.65727854577511</v>
      </c>
      <c r="CE91" s="168">
        <v>707.82606843920234</v>
      </c>
      <c r="CF91" s="168">
        <v>677.51483639234755</v>
      </c>
      <c r="CG91" s="168">
        <v>406.90007464334502</v>
      </c>
      <c r="CH91" s="168">
        <v>856.58099689846631</v>
      </c>
      <c r="CI91" s="168">
        <v>1408.2586043679798</v>
      </c>
      <c r="CJ91" s="168">
        <v>2696.5479526651529</v>
      </c>
      <c r="CK91" s="168">
        <v>2424.0537797855609</v>
      </c>
      <c r="CL91" s="168">
        <v>2704.3323956040972</v>
      </c>
      <c r="CM91" s="168">
        <v>2559.4011735797139</v>
      </c>
      <c r="CN91" s="168">
        <v>707.63985374590197</v>
      </c>
      <c r="CO91" s="168">
        <v>289.97635556350593</v>
      </c>
    </row>
    <row r="92" spans="1:93" x14ac:dyDescent="0.2">
      <c r="A92" s="118">
        <f t="shared" si="9"/>
        <v>18</v>
      </c>
      <c r="B92" s="234" t="s">
        <v>216</v>
      </c>
      <c r="C92" s="223"/>
      <c r="D92" s="172">
        <f>SUMIF($AH$8:$CP$8,1,$AH92:$CP92)+'Unbilled to E-13c'!P45</f>
        <v>0</v>
      </c>
      <c r="E92" s="225" t="s">
        <v>555</v>
      </c>
      <c r="F92" s="183">
        <v>74</v>
      </c>
      <c r="G92" s="233" t="s">
        <v>375</v>
      </c>
      <c r="H92" s="174">
        <f>ROUND(D92*F92,2)</f>
        <v>0</v>
      </c>
      <c r="I92" s="229"/>
      <c r="J92" s="172">
        <f>D92</f>
        <v>0</v>
      </c>
      <c r="K92" s="225" t="s">
        <v>555</v>
      </c>
      <c r="L92" s="183">
        <f>L91</f>
        <v>76.39</v>
      </c>
      <c r="M92" s="233" t="s">
        <v>375</v>
      </c>
      <c r="N92" s="174">
        <f>ROUND(J92*L92,2)</f>
        <v>0</v>
      </c>
      <c r="O92" s="227"/>
      <c r="S92" s="230"/>
      <c r="T92" s="176"/>
      <c r="U92" s="178" t="s">
        <v>136</v>
      </c>
      <c r="V92" s="179">
        <v>241</v>
      </c>
      <c r="W92" s="180">
        <v>215</v>
      </c>
      <c r="Y92" s="178"/>
      <c r="Z92" s="181"/>
      <c r="AB92" s="182">
        <f>SUM(AH92:AS92)</f>
        <v>0</v>
      </c>
      <c r="AC92" s="182">
        <f>SUM(AT92:BE92)</f>
        <v>0</v>
      </c>
      <c r="AD92" s="182">
        <f>SUM(BF92:BQ92)</f>
        <v>0</v>
      </c>
      <c r="AE92" s="182">
        <f>SUM(BR92:CC92)</f>
        <v>0</v>
      </c>
      <c r="AF92" s="182">
        <f>SUM(CD92:CO92)</f>
        <v>0</v>
      </c>
      <c r="AG92" s="241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</row>
    <row r="93" spans="1:93" x14ac:dyDescent="0.2">
      <c r="A93" s="118">
        <f t="shared" si="9"/>
        <v>19</v>
      </c>
      <c r="B93" s="226" t="s">
        <v>546</v>
      </c>
      <c r="C93" s="223"/>
      <c r="D93" s="168"/>
      <c r="E93" s="225"/>
      <c r="F93" s="183"/>
      <c r="G93" s="233"/>
      <c r="H93" s="174"/>
      <c r="I93" s="229"/>
      <c r="J93" s="168"/>
      <c r="K93" s="225"/>
      <c r="L93" s="183"/>
      <c r="M93" s="233"/>
      <c r="N93" s="174"/>
      <c r="O93" s="227"/>
      <c r="S93" s="230"/>
      <c r="T93" s="227"/>
      <c r="U93" s="184"/>
      <c r="V93" s="179"/>
      <c r="W93" s="180"/>
      <c r="Y93" s="184"/>
      <c r="Z93" s="181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</row>
    <row r="94" spans="1:93" x14ac:dyDescent="0.2">
      <c r="A94" s="118">
        <f t="shared" si="9"/>
        <v>20</v>
      </c>
      <c r="B94" s="234" t="s">
        <v>149</v>
      </c>
      <c r="C94" s="223"/>
      <c r="D94" s="168"/>
      <c r="E94" s="225"/>
      <c r="F94" s="183"/>
      <c r="G94" s="233"/>
      <c r="H94" s="174"/>
      <c r="I94" s="229"/>
      <c r="J94" s="168"/>
      <c r="K94" s="225"/>
      <c r="L94" s="1368">
        <v>-6.69</v>
      </c>
      <c r="M94" s="233"/>
      <c r="N94" s="174"/>
      <c r="O94" s="227"/>
      <c r="T94" s="858" t="s">
        <v>558</v>
      </c>
      <c r="U94" s="184"/>
      <c r="V94" s="179"/>
      <c r="W94" s="180"/>
      <c r="Y94" s="184"/>
      <c r="Z94" s="181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</row>
    <row r="95" spans="1:93" x14ac:dyDescent="0.2">
      <c r="A95" s="118">
        <f t="shared" si="9"/>
        <v>21</v>
      </c>
      <c r="B95" s="243" t="s">
        <v>559</v>
      </c>
      <c r="C95" s="223"/>
      <c r="D95" s="172">
        <f>SUMIF($AH$8:$CP$8,1,$AH95:$CP95)+(SUM($AE$95:$AE$97)*'TOU Split'!D20)+'Unbilled to E-13c'!P46</f>
        <v>15154.721498393164</v>
      </c>
      <c r="E95" s="225" t="s">
        <v>555</v>
      </c>
      <c r="F95" s="183">
        <v>99.86</v>
      </c>
      <c r="G95" s="233" t="s">
        <v>375</v>
      </c>
      <c r="H95" s="174">
        <f>ROUND(D95*F95,2)</f>
        <v>1513350.49</v>
      </c>
      <c r="I95" s="229"/>
      <c r="J95" s="172">
        <f>D95</f>
        <v>15154.721498393164</v>
      </c>
      <c r="K95" s="225" t="s">
        <v>555</v>
      </c>
      <c r="L95" s="1101">
        <f>ROUND(('MFR E-14A'!I44*10)+(L94*T95),2)</f>
        <v>108.35</v>
      </c>
      <c r="M95" s="233" t="s">
        <v>375</v>
      </c>
      <c r="N95" s="174">
        <f>ROUND(J95*L95,2)</f>
        <v>1642014.07</v>
      </c>
      <c r="O95" s="227"/>
      <c r="Q95" s="1022"/>
      <c r="S95" s="230"/>
      <c r="T95" s="859">
        <f>'MFR E-14C'!Z96</f>
        <v>1.3999999999999997</v>
      </c>
      <c r="U95" s="178" t="s">
        <v>580</v>
      </c>
      <c r="V95" s="179">
        <v>242</v>
      </c>
      <c r="W95" s="180">
        <v>216</v>
      </c>
      <c r="Y95" s="178"/>
      <c r="Z95" s="181"/>
      <c r="AB95" s="182">
        <f>SUM(AH95:AS95)</f>
        <v>15026.487355436428</v>
      </c>
      <c r="AC95" s="182">
        <f>SUM(AT95:BE95)</f>
        <v>15038.945688180134</v>
      </c>
      <c r="AD95" s="182">
        <f>SUM(BF95:BQ95)</f>
        <v>15119.459251268765</v>
      </c>
      <c r="AE95" s="182">
        <f>SUM(BR95:CC95)</f>
        <v>15146.948498393165</v>
      </c>
      <c r="AF95" s="182">
        <f>SUM(CD95:CO95)</f>
        <v>15166.374954749992</v>
      </c>
      <c r="AG95" s="241"/>
      <c r="AH95" s="168">
        <v>1330.4540872618363</v>
      </c>
      <c r="AI95" s="168">
        <v>2707.2079356463687</v>
      </c>
      <c r="AJ95" s="168">
        <v>1738.6988296977377</v>
      </c>
      <c r="AK95" s="168">
        <v>1005.9694450236032</v>
      </c>
      <c r="AL95" s="168">
        <v>947.49744396279755</v>
      </c>
      <c r="AM95" s="168">
        <v>1100.1531966943967</v>
      </c>
      <c r="AN95" s="168">
        <v>967.77050802189785</v>
      </c>
      <c r="AO95" s="168">
        <v>1073.8540836832308</v>
      </c>
      <c r="AP95" s="168">
        <v>977.65346567082611</v>
      </c>
      <c r="AQ95" s="168">
        <v>1004.4477795287892</v>
      </c>
      <c r="AR95" s="168">
        <v>889.15708541341439</v>
      </c>
      <c r="AS95" s="168">
        <v>1283.6234948315278</v>
      </c>
      <c r="AT95" s="168">
        <v>1306.2624193245599</v>
      </c>
      <c r="AU95" s="168">
        <v>2683.6308504579602</v>
      </c>
      <c r="AV95" s="168">
        <v>1691.709349541771</v>
      </c>
      <c r="AW95" s="168">
        <v>1011.2094467517626</v>
      </c>
      <c r="AX95" s="168">
        <v>943.91379551867567</v>
      </c>
      <c r="AY95" s="168">
        <v>1078.7661417154518</v>
      </c>
      <c r="AZ95" s="168">
        <v>1006.583899426759</v>
      </c>
      <c r="BA95" s="168">
        <v>1085.5377241478088</v>
      </c>
      <c r="BB95" s="168">
        <v>999.21560630740998</v>
      </c>
      <c r="BC95" s="168">
        <v>1036.2448987335551</v>
      </c>
      <c r="BD95" s="168">
        <v>908.97922520491386</v>
      </c>
      <c r="BE95" s="168">
        <v>1286.8923310495038</v>
      </c>
      <c r="BF95" s="168">
        <v>1283.303593366938</v>
      </c>
      <c r="BG95" s="168">
        <v>2711.5043640388253</v>
      </c>
      <c r="BH95" s="168">
        <v>1715.3652383362823</v>
      </c>
      <c r="BI95" s="168">
        <v>999.07799294267829</v>
      </c>
      <c r="BJ95" s="168">
        <v>948.17767775712275</v>
      </c>
      <c r="BK95" s="168">
        <v>1100.1767799054742</v>
      </c>
      <c r="BL95" s="168">
        <v>1014.814057412548</v>
      </c>
      <c r="BM95" s="168">
        <v>1097.8699118515333</v>
      </c>
      <c r="BN95" s="168">
        <v>1003.159642928068</v>
      </c>
      <c r="BO95" s="168">
        <v>1024.2213022767071</v>
      </c>
      <c r="BP95" s="168">
        <v>904.51166855278325</v>
      </c>
      <c r="BQ95" s="168">
        <v>1317.2770218998025</v>
      </c>
      <c r="BR95" s="168">
        <v>1278.9184253363433</v>
      </c>
      <c r="BS95" s="168">
        <v>2673.3721053210493</v>
      </c>
      <c r="BT95" s="168">
        <v>1737.5259833917567</v>
      </c>
      <c r="BU95" s="168">
        <v>1017.2116663565586</v>
      </c>
      <c r="BV95" s="168">
        <v>925.41622079231331</v>
      </c>
      <c r="BW95" s="168">
        <v>1121.9925013536815</v>
      </c>
      <c r="BX95" s="168">
        <v>1034.4996563290413</v>
      </c>
      <c r="BY95" s="168">
        <v>1108.6128169593962</v>
      </c>
      <c r="BZ95" s="168">
        <v>1007.6666646077382</v>
      </c>
      <c r="CA95" s="168">
        <v>1035.9798956591569</v>
      </c>
      <c r="CB95" s="168">
        <v>908.67253791168741</v>
      </c>
      <c r="CC95" s="168">
        <v>1297.0800243744461</v>
      </c>
      <c r="CD95" s="168">
        <v>1287.4560874912654</v>
      </c>
      <c r="CE95" s="168">
        <v>2642.9585617135699</v>
      </c>
      <c r="CF95" s="168">
        <v>1689.9625256342447</v>
      </c>
      <c r="CG95" s="168">
        <v>1039.2052571335553</v>
      </c>
      <c r="CH95" s="168">
        <v>951.45288012611115</v>
      </c>
      <c r="CI95" s="168">
        <v>1107.2329009838904</v>
      </c>
      <c r="CJ95" s="168">
        <v>1035.6481537353491</v>
      </c>
      <c r="CK95" s="168">
        <v>1114.9170791499653</v>
      </c>
      <c r="CL95" s="168">
        <v>1035.2978418739408</v>
      </c>
      <c r="CM95" s="168">
        <v>1042.410552451139</v>
      </c>
      <c r="CN95" s="168">
        <v>923.48117731858292</v>
      </c>
      <c r="CO95" s="168">
        <v>1296.3519371383793</v>
      </c>
    </row>
    <row r="96" spans="1:93" x14ac:dyDescent="0.2">
      <c r="A96" s="118">
        <f t="shared" si="9"/>
        <v>22</v>
      </c>
      <c r="B96" s="243" t="s">
        <v>560</v>
      </c>
      <c r="C96" s="223"/>
      <c r="D96" s="172">
        <f>SUMIF($AH$8:$CP$8,1,$AH96:$CP96)+(SUM($AE$95:$AE$97)*'TOU Split'!D21)+'Unbilled to E-13c'!P47</f>
        <v>82577.632525311579</v>
      </c>
      <c r="E96" s="225" t="s">
        <v>555</v>
      </c>
      <c r="F96" s="183">
        <v>85.78</v>
      </c>
      <c r="G96" s="233" t="s">
        <v>375</v>
      </c>
      <c r="H96" s="174">
        <f>ROUND(D96*F96,2)</f>
        <v>7083509.3200000003</v>
      </c>
      <c r="I96" s="229"/>
      <c r="J96" s="172">
        <f>D96</f>
        <v>82577.632525311579</v>
      </c>
      <c r="K96" s="225" t="s">
        <v>555</v>
      </c>
      <c r="L96" s="1101">
        <f>ROUND(IF(('MFR E-14A'!I45*10)+(L94*T96)&lt;F96,F96,('MFR E-14A'!I45*10)+(L94*T96)),2)</f>
        <v>85.78</v>
      </c>
      <c r="M96" s="233" t="s">
        <v>375</v>
      </c>
      <c r="N96" s="174">
        <f>ROUND(J96*L96,2)</f>
        <v>7083509.3200000003</v>
      </c>
      <c r="O96" s="227"/>
      <c r="Q96" s="1022"/>
      <c r="S96" s="230"/>
      <c r="T96" s="859">
        <f>'MFR E-14C'!Z97</f>
        <v>1</v>
      </c>
      <c r="U96" s="178" t="s">
        <v>580</v>
      </c>
      <c r="V96" s="179">
        <v>242</v>
      </c>
      <c r="W96" s="180">
        <v>216</v>
      </c>
      <c r="Y96" s="178"/>
      <c r="Z96" s="181"/>
      <c r="AB96" s="182">
        <f>SUM(AH96:AS96)</f>
        <v>84158.984580079428</v>
      </c>
      <c r="AC96" s="182">
        <f>SUM(AT96:BE96)</f>
        <v>84634.762774536808</v>
      </c>
      <c r="AD96" s="182">
        <f>SUM(BF96:BQ96)</f>
        <v>85053.175769692505</v>
      </c>
      <c r="AE96" s="182">
        <f>SUM(BR96:CC96)</f>
        <v>85437.633011677681</v>
      </c>
      <c r="AF96" s="182">
        <f>SUM(CD96:CO96)</f>
        <v>85811.081940918491</v>
      </c>
      <c r="AG96" s="241"/>
      <c r="AH96" s="168">
        <v>4532.1447252804337</v>
      </c>
      <c r="AI96" s="168">
        <v>8633.483501129469</v>
      </c>
      <c r="AJ96" s="168">
        <v>6592.768600002034</v>
      </c>
      <c r="AK96" s="168">
        <v>6908.7382241381465</v>
      </c>
      <c r="AL96" s="168">
        <v>5686.462376869833</v>
      </c>
      <c r="AM96" s="168">
        <v>8159.3368223685793</v>
      </c>
      <c r="AN96" s="168">
        <v>7528.8112570635012</v>
      </c>
      <c r="AO96" s="168">
        <v>8175.0303018660297</v>
      </c>
      <c r="AP96" s="168">
        <v>7525.2343134371758</v>
      </c>
      <c r="AQ96" s="168">
        <v>7419.2430199355931</v>
      </c>
      <c r="AR96" s="168">
        <v>6626.8427515873318</v>
      </c>
      <c r="AS96" s="168">
        <v>6370.8886864013002</v>
      </c>
      <c r="AT96" s="168">
        <v>4449.7366652899454</v>
      </c>
      <c r="AU96" s="168">
        <v>8558.2944573553887</v>
      </c>
      <c r="AV96" s="168">
        <v>6414.5946897127342</v>
      </c>
      <c r="AW96" s="168">
        <v>6944.7252020856067</v>
      </c>
      <c r="AX96" s="168">
        <v>5664.9548971618169</v>
      </c>
      <c r="AY96" s="168">
        <v>8000.7187446898915</v>
      </c>
      <c r="AZ96" s="168">
        <v>7830.761663395906</v>
      </c>
      <c r="BA96" s="168">
        <v>8263.9754539917521</v>
      </c>
      <c r="BB96" s="168">
        <v>7691.2033058124453</v>
      </c>
      <c r="BC96" s="168">
        <v>7654.1089428058594</v>
      </c>
      <c r="BD96" s="168">
        <v>6774.5761561265008</v>
      </c>
      <c r="BE96" s="168">
        <v>6387.1125961089765</v>
      </c>
      <c r="BF96" s="168">
        <v>4371.5282378374695</v>
      </c>
      <c r="BG96" s="168">
        <v>8647.1851245443704</v>
      </c>
      <c r="BH96" s="168">
        <v>6504.2926858152023</v>
      </c>
      <c r="BI96" s="168">
        <v>6861.4095118727464</v>
      </c>
      <c r="BJ96" s="168">
        <v>5690.5448405255947</v>
      </c>
      <c r="BK96" s="168">
        <v>8159.51172833905</v>
      </c>
      <c r="BL96" s="168">
        <v>7894.7885226328863</v>
      </c>
      <c r="BM96" s="168">
        <v>8357.8578628758896</v>
      </c>
      <c r="BN96" s="168">
        <v>7721.5615060883119</v>
      </c>
      <c r="BO96" s="168">
        <v>7565.2979703441133</v>
      </c>
      <c r="BP96" s="168">
        <v>6741.2796825301475</v>
      </c>
      <c r="BQ96" s="168">
        <v>6537.9180962867204</v>
      </c>
      <c r="BR96" s="168">
        <v>4356.5903182582742</v>
      </c>
      <c r="BS96" s="168">
        <v>8525.5785711038716</v>
      </c>
      <c r="BT96" s="168">
        <v>6588.3214213609554</v>
      </c>
      <c r="BU96" s="168">
        <v>6985.9468954665172</v>
      </c>
      <c r="BV96" s="168">
        <v>5553.9406000626386</v>
      </c>
      <c r="BW96" s="168">
        <v>8321.3090306181621</v>
      </c>
      <c r="BX96" s="168">
        <v>8047.9334650505543</v>
      </c>
      <c r="BY96" s="168">
        <v>8439.641390192397</v>
      </c>
      <c r="BZ96" s="168">
        <v>7756.2531380276378</v>
      </c>
      <c r="CA96" s="168">
        <v>7652.1515267509276</v>
      </c>
      <c r="CB96" s="168">
        <v>6772.2904312535156</v>
      </c>
      <c r="CC96" s="168">
        <v>6437.6762235322376</v>
      </c>
      <c r="CD96" s="168">
        <v>4385.6735619959773</v>
      </c>
      <c r="CE96" s="168">
        <v>8428.5875629553393</v>
      </c>
      <c r="CF96" s="168">
        <v>6407.97111258105</v>
      </c>
      <c r="CG96" s="168">
        <v>7136.993194177433</v>
      </c>
      <c r="CH96" s="168">
        <v>5710.2011627315869</v>
      </c>
      <c r="CI96" s="168">
        <v>8211.8437751041765</v>
      </c>
      <c r="CJ96" s="168">
        <v>8056.8682487928227</v>
      </c>
      <c r="CK96" s="168">
        <v>8487.6344417828332</v>
      </c>
      <c r="CL96" s="168">
        <v>7968.936967815549</v>
      </c>
      <c r="CM96" s="168">
        <v>7699.6508656811175</v>
      </c>
      <c r="CN96" s="168">
        <v>6882.6584711919559</v>
      </c>
      <c r="CO96" s="168">
        <v>6434.0625761086339</v>
      </c>
    </row>
    <row r="97" spans="1:93" x14ac:dyDescent="0.2">
      <c r="A97" s="118">
        <f t="shared" si="9"/>
        <v>23</v>
      </c>
      <c r="B97" s="243" t="s">
        <v>561</v>
      </c>
      <c r="C97" s="223"/>
      <c r="D97" s="172">
        <f>SUMIF($AH$8:$CP$8,1,$AH97:$CP97)+(SUM($AE$95:$AE$97)*'TOU Split'!D22)+'Unbilled to E-13c'!P48</f>
        <v>27250.364125870929</v>
      </c>
      <c r="E97" s="225" t="s">
        <v>555</v>
      </c>
      <c r="F97" s="183">
        <v>48.8</v>
      </c>
      <c r="G97" s="233" t="s">
        <v>375</v>
      </c>
      <c r="H97" s="174">
        <f>ROUND(D97*F97,2)</f>
        <v>1329817.77</v>
      </c>
      <c r="I97" s="229"/>
      <c r="J97" s="172">
        <f>D97</f>
        <v>27250.364125870929</v>
      </c>
      <c r="K97" s="225" t="s">
        <v>555</v>
      </c>
      <c r="L97" s="1101">
        <f>ROUND(IF(('MFR E-14A'!I46*10)+(L94*T97)&lt;F97,F97,('MFR E-14A'!I46*10)+(L94*T97)),2)</f>
        <v>50.77</v>
      </c>
      <c r="M97" s="233" t="s">
        <v>375</v>
      </c>
      <c r="N97" s="174">
        <f>ROUND(J97*L97,2)</f>
        <v>1383500.99</v>
      </c>
      <c r="O97" s="227"/>
      <c r="Q97" s="1022"/>
      <c r="S97" s="230"/>
      <c r="T97" s="859">
        <f>'MFR E-14C'!Z98</f>
        <v>0.65603733982549717</v>
      </c>
      <c r="U97" s="178" t="s">
        <v>580</v>
      </c>
      <c r="V97" s="179">
        <v>242</v>
      </c>
      <c r="W97" s="180">
        <v>216</v>
      </c>
      <c r="Y97" s="178"/>
      <c r="Z97" s="181"/>
      <c r="AB97" s="182">
        <f>SUM(AH97:AS97)</f>
        <v>23803.942610591144</v>
      </c>
      <c r="AC97" s="182">
        <f>SUM(AT97:BE97)</f>
        <v>24067.327213958506</v>
      </c>
      <c r="AD97" s="182">
        <f>SUM(BF97:BQ97)</f>
        <v>24193.963702191333</v>
      </c>
      <c r="AE97" s="182">
        <f>SUM(BR97:CC97)</f>
        <v>24334.037639504833</v>
      </c>
      <c r="AF97" s="182">
        <f>SUM(CD97:CO97)</f>
        <v>24555.153982484931</v>
      </c>
      <c r="AG97" s="241"/>
      <c r="AH97" s="168">
        <v>0</v>
      </c>
      <c r="AI97" s="168">
        <v>0.14574760863414665</v>
      </c>
      <c r="AJ97" s="168">
        <v>560.27452825171918</v>
      </c>
      <c r="AK97" s="168">
        <v>1603.8401309152575</v>
      </c>
      <c r="AL97" s="168">
        <v>3398.7706232082965</v>
      </c>
      <c r="AM97" s="168">
        <v>3301.7856033738285</v>
      </c>
      <c r="AN97" s="168">
        <v>2892.7985426456507</v>
      </c>
      <c r="AO97" s="168">
        <v>2924.6602951358295</v>
      </c>
      <c r="AP97" s="168">
        <v>2664.7217237491227</v>
      </c>
      <c r="AQ97" s="168">
        <v>2620.2015974917472</v>
      </c>
      <c r="AR97" s="168">
        <v>2425.1873795346842</v>
      </c>
      <c r="AS97" s="168">
        <v>1411.5564386763729</v>
      </c>
      <c r="AT97" s="168">
        <v>0</v>
      </c>
      <c r="AU97" s="168">
        <v>0.14447829210344076</v>
      </c>
      <c r="AV97" s="168">
        <v>545.13274039432793</v>
      </c>
      <c r="AW97" s="168">
        <v>1612.1943857082451</v>
      </c>
      <c r="AX97" s="168">
        <v>3385.9157082600877</v>
      </c>
      <c r="AY97" s="168">
        <v>3237.5986606460128</v>
      </c>
      <c r="AZ97" s="168">
        <v>3008.8170833641661</v>
      </c>
      <c r="BA97" s="168">
        <v>2956.4808933796726</v>
      </c>
      <c r="BB97" s="168">
        <v>2723.4921435168394</v>
      </c>
      <c r="BC97" s="168">
        <v>2703.1475347858172</v>
      </c>
      <c r="BD97" s="168">
        <v>2479.2525206063146</v>
      </c>
      <c r="BE97" s="168">
        <v>1415.1510650049192</v>
      </c>
      <c r="BF97" s="168">
        <v>0</v>
      </c>
      <c r="BG97" s="168">
        <v>0.14597891490198933</v>
      </c>
      <c r="BH97" s="168">
        <v>552.75556253485013</v>
      </c>
      <c r="BI97" s="168">
        <v>1592.8529309934866</v>
      </c>
      <c r="BJ97" s="168">
        <v>3401.210691676868</v>
      </c>
      <c r="BK97" s="168">
        <v>3301.8563814318759</v>
      </c>
      <c r="BL97" s="168">
        <v>3033.4181523466236</v>
      </c>
      <c r="BM97" s="168">
        <v>2990.0678213220026</v>
      </c>
      <c r="BN97" s="168">
        <v>2734.2421284873512</v>
      </c>
      <c r="BO97" s="168">
        <v>2671.7827916046349</v>
      </c>
      <c r="BP97" s="168">
        <v>2467.0672024124374</v>
      </c>
      <c r="BQ97" s="168">
        <v>1448.5640604663024</v>
      </c>
      <c r="BR97" s="168">
        <v>0</v>
      </c>
      <c r="BS97" s="168">
        <v>0.14392599334884398</v>
      </c>
      <c r="BT97" s="168">
        <v>559.89659280966839</v>
      </c>
      <c r="BU97" s="168">
        <v>1621.763861922816</v>
      </c>
      <c r="BV97" s="168">
        <v>3319.5630083334063</v>
      </c>
      <c r="BW97" s="168">
        <v>3367.329840238644</v>
      </c>
      <c r="BX97" s="168">
        <v>3092.2611025964052</v>
      </c>
      <c r="BY97" s="168">
        <v>3019.3263104415041</v>
      </c>
      <c r="BZ97" s="168">
        <v>2746.526602486515</v>
      </c>
      <c r="CA97" s="168">
        <v>2702.4562479981614</v>
      </c>
      <c r="CB97" s="168">
        <v>2478.4160270719349</v>
      </c>
      <c r="CC97" s="168">
        <v>1426.3541196124308</v>
      </c>
      <c r="CD97" s="168">
        <v>0</v>
      </c>
      <c r="CE97" s="168">
        <v>0.14228862327744529</v>
      </c>
      <c r="CF97" s="168">
        <v>544.56984765867332</v>
      </c>
      <c r="CG97" s="168">
        <v>1656.8287475270176</v>
      </c>
      <c r="CH97" s="168">
        <v>3412.9591788814596</v>
      </c>
      <c r="CI97" s="168">
        <v>3323.0332494011545</v>
      </c>
      <c r="CJ97" s="168">
        <v>3095.6941185807332</v>
      </c>
      <c r="CK97" s="168">
        <v>3036.4960782889602</v>
      </c>
      <c r="CL97" s="168">
        <v>2821.8389712341591</v>
      </c>
      <c r="CM97" s="168">
        <v>2719.2312536706081</v>
      </c>
      <c r="CN97" s="168">
        <v>2518.8067814019018</v>
      </c>
      <c r="CO97" s="168">
        <v>1425.5534672169845</v>
      </c>
    </row>
    <row r="98" spans="1:93" x14ac:dyDescent="0.2">
      <c r="A98" s="118">
        <f t="shared" si="9"/>
        <v>24</v>
      </c>
      <c r="B98" s="234" t="s">
        <v>148</v>
      </c>
      <c r="C98" s="223"/>
      <c r="D98" s="168"/>
      <c r="E98" s="225"/>
      <c r="F98" s="183"/>
      <c r="G98" s="233"/>
      <c r="H98" s="1149"/>
      <c r="I98" s="229"/>
      <c r="J98" s="168"/>
      <c r="K98" s="225"/>
      <c r="L98" s="183"/>
      <c r="M98" s="233"/>
      <c r="N98" s="1149"/>
      <c r="O98" s="227"/>
      <c r="S98" s="230"/>
      <c r="T98" s="176"/>
      <c r="U98" s="178"/>
      <c r="V98" s="179"/>
      <c r="W98" s="180"/>
      <c r="Y98" s="178"/>
      <c r="Z98" s="181"/>
      <c r="AF98" s="245"/>
    </row>
    <row r="99" spans="1:93" x14ac:dyDescent="0.2">
      <c r="A99" s="118">
        <f t="shared" si="9"/>
        <v>25</v>
      </c>
      <c r="B99" s="243" t="s">
        <v>559</v>
      </c>
      <c r="C99" s="223"/>
      <c r="D99" s="172">
        <f>SUMIF($AH$8:$CP$8,1,$AH99:$CP99)+(SUM($AE$99:$AE$101)*'TOU Split'!D20)+'Unbilled to E-13c'!P49</f>
        <v>1244.2523765061483</v>
      </c>
      <c r="E99" s="225" t="s">
        <v>555</v>
      </c>
      <c r="F99" s="183">
        <v>99.86</v>
      </c>
      <c r="G99" s="233" t="s">
        <v>375</v>
      </c>
      <c r="H99" s="174">
        <f>ROUND(D99*F99,2)</f>
        <v>124251.04</v>
      </c>
      <c r="I99" s="229"/>
      <c r="J99" s="172">
        <f t="shared" ref="J99:J101" si="11">D99</f>
        <v>1244.2523765061483</v>
      </c>
      <c r="K99" s="225" t="s">
        <v>555</v>
      </c>
      <c r="L99" s="183">
        <f>L95</f>
        <v>108.35</v>
      </c>
      <c r="M99" s="233" t="s">
        <v>375</v>
      </c>
      <c r="N99" s="174">
        <f>ROUND(J99*L99,2)</f>
        <v>134814.74</v>
      </c>
      <c r="O99" s="227"/>
      <c r="S99" s="230"/>
      <c r="T99" s="176"/>
      <c r="U99" s="178" t="s">
        <v>580</v>
      </c>
      <c r="V99" s="179">
        <v>242</v>
      </c>
      <c r="W99" s="180">
        <v>216</v>
      </c>
      <c r="Y99" s="178"/>
      <c r="Z99" s="181"/>
      <c r="AB99" s="182">
        <f>SUM(AH99:AS99)</f>
        <v>1229.0048297923745</v>
      </c>
      <c r="AC99" s="182">
        <f>SUM(AT99:BE99)</f>
        <v>1228.3944231713842</v>
      </c>
      <c r="AD99" s="182">
        <f>SUM(BF99:BQ99)</f>
        <v>1237.6745690273738</v>
      </c>
      <c r="AE99" s="182">
        <f>SUM(BR99:CC99)</f>
        <v>1243.6143765061483</v>
      </c>
      <c r="AF99" s="182">
        <f>SUM(CD99:CO99)</f>
        <v>1245.2114808359802</v>
      </c>
      <c r="AG99" s="241"/>
      <c r="AH99" s="168">
        <v>17.2447258389955</v>
      </c>
      <c r="AI99" s="168">
        <v>13.874769714201909</v>
      </c>
      <c r="AJ99" s="168">
        <v>288.46715111385413</v>
      </c>
      <c r="AK99" s="168">
        <v>230.94849906251218</v>
      </c>
      <c r="AL99" s="168">
        <v>66.181377200650388</v>
      </c>
      <c r="AM99" s="168">
        <v>60.305583794956569</v>
      </c>
      <c r="AN99" s="168">
        <v>54.768004865767679</v>
      </c>
      <c r="AO99" s="168">
        <v>61.339451550935522</v>
      </c>
      <c r="AP99" s="168">
        <v>71.36408526206769</v>
      </c>
      <c r="AQ99" s="168">
        <v>49.833830085612824</v>
      </c>
      <c r="AR99" s="168">
        <v>51.802850756292443</v>
      </c>
      <c r="AS99" s="168">
        <v>262.87450054652783</v>
      </c>
      <c r="AT99" s="168">
        <v>16.931164713391436</v>
      </c>
      <c r="AU99" s="168">
        <v>13.753934286965627</v>
      </c>
      <c r="AV99" s="168">
        <v>280.6711365071904</v>
      </c>
      <c r="AW99" s="168">
        <v>232.1514884178946</v>
      </c>
      <c r="AX99" s="168">
        <v>65.931064346567098</v>
      </c>
      <c r="AY99" s="168">
        <v>59.133239034212849</v>
      </c>
      <c r="AZ99" s="168">
        <v>56.96452975642935</v>
      </c>
      <c r="BA99" s="168">
        <v>62.006830954808926</v>
      </c>
      <c r="BB99" s="168">
        <v>72.938019684492119</v>
      </c>
      <c r="BC99" s="168">
        <v>51.41138570170034</v>
      </c>
      <c r="BD99" s="168">
        <v>52.957701081544002</v>
      </c>
      <c r="BE99" s="168">
        <v>263.5439286861876</v>
      </c>
      <c r="BF99" s="168">
        <v>16.633583110978357</v>
      </c>
      <c r="BG99" s="168">
        <v>13.896789431916966</v>
      </c>
      <c r="BH99" s="168">
        <v>284.59587995962903</v>
      </c>
      <c r="BI99" s="168">
        <v>229.36637296283376</v>
      </c>
      <c r="BJ99" s="168">
        <v>66.228890584051797</v>
      </c>
      <c r="BK99" s="168">
        <v>60.306876523383892</v>
      </c>
      <c r="BL99" s="168">
        <v>57.430290315234814</v>
      </c>
      <c r="BM99" s="168">
        <v>62.711255924330935</v>
      </c>
      <c r="BN99" s="168">
        <v>73.225915729007468</v>
      </c>
      <c r="BO99" s="168">
        <v>50.814857066702885</v>
      </c>
      <c r="BP99" s="168">
        <v>52.697418422504057</v>
      </c>
      <c r="BQ99" s="168">
        <v>269.76643899679971</v>
      </c>
      <c r="BR99" s="168">
        <v>16.576744606613907</v>
      </c>
      <c r="BS99" s="168">
        <v>13.70135697125332</v>
      </c>
      <c r="BT99" s="168">
        <v>288.27256443397499</v>
      </c>
      <c r="BU99" s="168">
        <v>233.52946626367176</v>
      </c>
      <c r="BV99" s="168">
        <v>64.639034507264782</v>
      </c>
      <c r="BW99" s="168">
        <v>61.502718904058938</v>
      </c>
      <c r="BX99" s="168">
        <v>58.544336432891093</v>
      </c>
      <c r="BY99" s="168">
        <v>63.324899730684834</v>
      </c>
      <c r="BZ99" s="168">
        <v>73.554907023694156</v>
      </c>
      <c r="CA99" s="168">
        <v>51.398238061324335</v>
      </c>
      <c r="CB99" s="168">
        <v>52.939833287044586</v>
      </c>
      <c r="CC99" s="168">
        <v>265.63027628367149</v>
      </c>
      <c r="CD99" s="168">
        <v>16.687405804604296</v>
      </c>
      <c r="CE99" s="168">
        <v>13.545483863690988</v>
      </c>
      <c r="CF99" s="168">
        <v>280.38132132615112</v>
      </c>
      <c r="CG99" s="168">
        <v>238.57871184868384</v>
      </c>
      <c r="CH99" s="168">
        <v>66.457658909255855</v>
      </c>
      <c r="CI99" s="168">
        <v>60.693662202178764</v>
      </c>
      <c r="CJ99" s="168">
        <v>58.60933212248446</v>
      </c>
      <c r="CK99" s="168">
        <v>63.685004507561459</v>
      </c>
      <c r="CL99" s="168">
        <v>75.571852454316215</v>
      </c>
      <c r="CM99" s="168">
        <v>51.717283276458218</v>
      </c>
      <c r="CN99" s="168">
        <v>53.802593928200004</v>
      </c>
      <c r="CO99" s="168">
        <v>265.48117059239507</v>
      </c>
    </row>
    <row r="100" spans="1:93" x14ac:dyDescent="0.2">
      <c r="A100" s="118">
        <f t="shared" si="9"/>
        <v>26</v>
      </c>
      <c r="B100" s="243" t="s">
        <v>560</v>
      </c>
      <c r="C100" s="223"/>
      <c r="D100" s="172">
        <f>SUMIF($AH$8:$CP$8,1,$AH100:$CP100)+(SUM($AE$99:$AE$101)*'TOU Split'!D21)+'Unbilled to E-13c'!P50</f>
        <v>8763.5095029655658</v>
      </c>
      <c r="E100" s="225" t="s">
        <v>555</v>
      </c>
      <c r="F100" s="183">
        <v>85.78</v>
      </c>
      <c r="G100" s="233" t="s">
        <v>375</v>
      </c>
      <c r="H100" s="174">
        <f>ROUND(D100*F100,2)</f>
        <v>751733.85</v>
      </c>
      <c r="I100" s="229"/>
      <c r="J100" s="172">
        <f t="shared" si="11"/>
        <v>8763.5095029655658</v>
      </c>
      <c r="K100" s="225" t="s">
        <v>555</v>
      </c>
      <c r="L100" s="183">
        <f>L96</f>
        <v>85.78</v>
      </c>
      <c r="M100" s="233" t="s">
        <v>375</v>
      </c>
      <c r="N100" s="174">
        <f>ROUND(J100*L100,2)</f>
        <v>751733.85</v>
      </c>
      <c r="O100" s="227"/>
      <c r="S100" s="230"/>
      <c r="T100" s="176"/>
      <c r="U100" s="178" t="s">
        <v>580</v>
      </c>
      <c r="V100" s="179">
        <v>242</v>
      </c>
      <c r="W100" s="180">
        <v>216</v>
      </c>
      <c r="Y100" s="178"/>
      <c r="Z100" s="181"/>
      <c r="AB100" s="182">
        <f>SUM(AH100:AS100)</f>
        <v>8877.6475366965369</v>
      </c>
      <c r="AC100" s="182">
        <f>SUM(AT100:BE100)</f>
        <v>8938.6581742942217</v>
      </c>
      <c r="AD100" s="182">
        <f>SUM(BF100:BQ100)</f>
        <v>8983.7491452086888</v>
      </c>
      <c r="AE100" s="182">
        <f>SUM(BR100:CC100)</f>
        <v>9028.4164206917976</v>
      </c>
      <c r="AF100" s="182">
        <f>SUM(CD100:CO100)</f>
        <v>9098.5888932508915</v>
      </c>
      <c r="AG100" s="241"/>
      <c r="AH100" s="168">
        <v>39.735013630308146</v>
      </c>
      <c r="AI100" s="168">
        <v>34.908659231745439</v>
      </c>
      <c r="AJ100" s="168">
        <v>898.86628762882515</v>
      </c>
      <c r="AK100" s="168">
        <v>999.22364860858079</v>
      </c>
      <c r="AL100" s="168">
        <v>1307.7347715381848</v>
      </c>
      <c r="AM100" s="168">
        <v>888.65474736534429</v>
      </c>
      <c r="AN100" s="168">
        <v>789.43880872790203</v>
      </c>
      <c r="AO100" s="168">
        <v>768.85980285054598</v>
      </c>
      <c r="AP100" s="168">
        <v>868.07969977532264</v>
      </c>
      <c r="AQ100" s="168">
        <v>711.74172858612826</v>
      </c>
      <c r="AR100" s="168">
        <v>893.52814535655466</v>
      </c>
      <c r="AS100" s="168">
        <v>676.8762233970964</v>
      </c>
      <c r="AT100" s="168">
        <v>39.012511242265653</v>
      </c>
      <c r="AU100" s="168">
        <v>34.604639573084292</v>
      </c>
      <c r="AV100" s="168">
        <v>874.57383463813426</v>
      </c>
      <c r="AW100" s="168">
        <v>1004.4285121075945</v>
      </c>
      <c r="AX100" s="168">
        <v>1302.7886244966198</v>
      </c>
      <c r="AY100" s="168">
        <v>871.3792370125052</v>
      </c>
      <c r="AZ100" s="168">
        <v>821.10003132082068</v>
      </c>
      <c r="BA100" s="168">
        <v>777.22507485599488</v>
      </c>
      <c r="BB100" s="168">
        <v>887.22519173905789</v>
      </c>
      <c r="BC100" s="168">
        <v>734.27285170481935</v>
      </c>
      <c r="BD100" s="168">
        <v>913.44772997827738</v>
      </c>
      <c r="BE100" s="168">
        <v>678.59993562504803</v>
      </c>
      <c r="BF100" s="168">
        <v>38.326828608722479</v>
      </c>
      <c r="BG100" s="168">
        <v>34.964060426714994</v>
      </c>
      <c r="BH100" s="168">
        <v>886.80337121922196</v>
      </c>
      <c r="BI100" s="168">
        <v>992.3784089975984</v>
      </c>
      <c r="BJ100" s="168">
        <v>1308.6736293591557</v>
      </c>
      <c r="BK100" s="168">
        <v>888.67379683276874</v>
      </c>
      <c r="BL100" s="168">
        <v>827.81361275576637</v>
      </c>
      <c r="BM100" s="168">
        <v>786.05469477426175</v>
      </c>
      <c r="BN100" s="168">
        <v>890.72718732929968</v>
      </c>
      <c r="BO100" s="168">
        <v>725.75305057585115</v>
      </c>
      <c r="BP100" s="168">
        <v>908.95821099997704</v>
      </c>
      <c r="BQ100" s="168">
        <v>694.62229332935146</v>
      </c>
      <c r="BR100" s="168">
        <v>38.195862261867561</v>
      </c>
      <c r="BS100" s="168">
        <v>34.472356037189485</v>
      </c>
      <c r="BT100" s="168">
        <v>898.25995375028958</v>
      </c>
      <c r="BU100" s="168">
        <v>1010.3904822279831</v>
      </c>
      <c r="BV100" s="168">
        <v>1277.2582952984553</v>
      </c>
      <c r="BW100" s="168">
        <v>906.29556486507545</v>
      </c>
      <c r="BX100" s="168">
        <v>843.87173359011172</v>
      </c>
      <c r="BY100" s="168">
        <v>793.74641754067625</v>
      </c>
      <c r="BZ100" s="168">
        <v>894.72906955439294</v>
      </c>
      <c r="CA100" s="168">
        <v>734.08507315615145</v>
      </c>
      <c r="CB100" s="168">
        <v>913.13953502283437</v>
      </c>
      <c r="CC100" s="168">
        <v>683.97207738677253</v>
      </c>
      <c r="CD100" s="168">
        <v>38.450845974078923</v>
      </c>
      <c r="CE100" s="168">
        <v>34.080182234858405</v>
      </c>
      <c r="CF100" s="168">
        <v>873.67076787689837</v>
      </c>
      <c r="CG100" s="168">
        <v>1032.2365891161289</v>
      </c>
      <c r="CH100" s="168">
        <v>1313.1940595186684</v>
      </c>
      <c r="CI100" s="168">
        <v>894.3734171339778</v>
      </c>
      <c r="CJ100" s="168">
        <v>844.80859663434342</v>
      </c>
      <c r="CK100" s="168">
        <v>798.26015349289628</v>
      </c>
      <c r="CL100" s="168">
        <v>919.26339066910998</v>
      </c>
      <c r="CM100" s="168">
        <v>738.6417727420835</v>
      </c>
      <c r="CN100" s="168">
        <v>928.02097309667579</v>
      </c>
      <c r="CO100" s="168">
        <v>683.58814476117209</v>
      </c>
    </row>
    <row r="101" spans="1:93" x14ac:dyDescent="0.2">
      <c r="A101" s="118">
        <f t="shared" si="9"/>
        <v>27</v>
      </c>
      <c r="B101" s="243" t="s">
        <v>561</v>
      </c>
      <c r="C101" s="223"/>
      <c r="D101" s="172">
        <f>SUMIF($AH$8:$CP$8,1,$AH101:$CP101)+(SUM($AE$99:$AE$101)*'TOU Split'!D22)+'Unbilled to E-13c'!P51</f>
        <v>1593.3776476052954</v>
      </c>
      <c r="E101" s="225" t="s">
        <v>555</v>
      </c>
      <c r="F101" s="183">
        <v>48.8</v>
      </c>
      <c r="G101" s="233" t="s">
        <v>375</v>
      </c>
      <c r="H101" s="174">
        <f>ROUND(D101*F101,2)</f>
        <v>77756.83</v>
      </c>
      <c r="I101" s="229"/>
      <c r="J101" s="172">
        <f t="shared" si="11"/>
        <v>1593.3776476052954</v>
      </c>
      <c r="K101" s="225" t="s">
        <v>555</v>
      </c>
      <c r="L101" s="183">
        <f>L97</f>
        <v>50.77</v>
      </c>
      <c r="M101" s="233" t="s">
        <v>375</v>
      </c>
      <c r="N101" s="174">
        <f>ROUND(J101*L101,2)</f>
        <v>80895.78</v>
      </c>
      <c r="O101" s="227"/>
      <c r="S101" s="230"/>
      <c r="T101" s="176"/>
      <c r="U101" s="178" t="s">
        <v>580</v>
      </c>
      <c r="V101" s="179">
        <v>242</v>
      </c>
      <c r="W101" s="180">
        <v>216</v>
      </c>
      <c r="Y101" s="178"/>
      <c r="Z101" s="181"/>
      <c r="AB101" s="182">
        <f>SUM(AH101:AS101)</f>
        <v>1297.1768853765263</v>
      </c>
      <c r="AC101" s="182">
        <f>SUM(AT101:BE101)</f>
        <v>1311.4928465267176</v>
      </c>
      <c r="AD101" s="182">
        <f>SUM(BF101:BQ101)</f>
        <v>1318.1272697682559</v>
      </c>
      <c r="AE101" s="182">
        <f>SUM(BR101:CC101)</f>
        <v>1323.158729879063</v>
      </c>
      <c r="AF101" s="182">
        <f>SUM(CD101:CO101)</f>
        <v>1335.9327746302181</v>
      </c>
      <c r="AG101" s="241"/>
      <c r="AH101" s="168">
        <v>0</v>
      </c>
      <c r="AI101" s="168">
        <v>0</v>
      </c>
      <c r="AJ101" s="168">
        <v>63.948704851477871</v>
      </c>
      <c r="AK101" s="168">
        <v>15.420121063167464</v>
      </c>
      <c r="AL101" s="168">
        <v>247.44563146525201</v>
      </c>
      <c r="AM101" s="168">
        <v>139.13398766930177</v>
      </c>
      <c r="AN101" s="168">
        <v>137.58279618452295</v>
      </c>
      <c r="AO101" s="168">
        <v>169.64722707788098</v>
      </c>
      <c r="AP101" s="168">
        <v>157.94964782801728</v>
      </c>
      <c r="AQ101" s="168">
        <v>162.17956459433415</v>
      </c>
      <c r="AR101" s="168">
        <v>157.19852607075484</v>
      </c>
      <c r="AS101" s="168">
        <v>46.670678571816886</v>
      </c>
      <c r="AT101" s="168">
        <v>0</v>
      </c>
      <c r="AU101" s="168">
        <v>0</v>
      </c>
      <c r="AV101" s="168">
        <v>62.220449016543732</v>
      </c>
      <c r="AW101" s="168">
        <v>15.500443046523062</v>
      </c>
      <c r="AX101" s="168">
        <v>246.50973643159745</v>
      </c>
      <c r="AY101" s="168">
        <v>136.42921323182875</v>
      </c>
      <c r="AZ101" s="168">
        <v>143.10069001846514</v>
      </c>
      <c r="BA101" s="168">
        <v>171.49300597569191</v>
      </c>
      <c r="BB101" s="168">
        <v>161.43322625284256</v>
      </c>
      <c r="BC101" s="168">
        <v>167.3135726065797</v>
      </c>
      <c r="BD101" s="168">
        <v>160.70298125635722</v>
      </c>
      <c r="BE101" s="168">
        <v>46.789528690288009</v>
      </c>
      <c r="BF101" s="168">
        <v>0</v>
      </c>
      <c r="BG101" s="168">
        <v>0</v>
      </c>
      <c r="BH101" s="168">
        <v>63.090503924662919</v>
      </c>
      <c r="BI101" s="168">
        <v>15.31448462866682</v>
      </c>
      <c r="BJ101" s="168">
        <v>247.62327931206497</v>
      </c>
      <c r="BK101" s="168">
        <v>139.13697018683578</v>
      </c>
      <c r="BL101" s="168">
        <v>144.27072789349782</v>
      </c>
      <c r="BM101" s="168">
        <v>173.44124222075513</v>
      </c>
      <c r="BN101" s="168">
        <v>162.0704246233575</v>
      </c>
      <c r="BO101" s="168">
        <v>165.37222565159476</v>
      </c>
      <c r="BP101" s="168">
        <v>159.91313958228901</v>
      </c>
      <c r="BQ101" s="168">
        <v>47.894271744531068</v>
      </c>
      <c r="BR101" s="168">
        <v>0</v>
      </c>
      <c r="BS101" s="168">
        <v>0</v>
      </c>
      <c r="BT101" s="168">
        <v>63.905567994780078</v>
      </c>
      <c r="BU101" s="168">
        <v>15.592448776330791</v>
      </c>
      <c r="BV101" s="168">
        <v>241.67896449874971</v>
      </c>
      <c r="BW101" s="168">
        <v>141.89595714255427</v>
      </c>
      <c r="BX101" s="168">
        <v>147.06932499998959</v>
      </c>
      <c r="BY101" s="168">
        <v>175.13840395809163</v>
      </c>
      <c r="BZ101" s="168">
        <v>162.79857883346784</v>
      </c>
      <c r="CA101" s="168">
        <v>167.27078483393686</v>
      </c>
      <c r="CB101" s="168">
        <v>160.64876047664268</v>
      </c>
      <c r="CC101" s="168">
        <v>47.159938364519661</v>
      </c>
      <c r="CD101" s="168">
        <v>0</v>
      </c>
      <c r="CE101" s="168">
        <v>0</v>
      </c>
      <c r="CF101" s="168">
        <v>62.156201474311644</v>
      </c>
      <c r="CG101" s="168">
        <v>15.929580121693963</v>
      </c>
      <c r="CH101" s="168">
        <v>248.47862148056862</v>
      </c>
      <c r="CI101" s="168">
        <v>140.02934250922442</v>
      </c>
      <c r="CJ101" s="168">
        <v>147.23260078000226</v>
      </c>
      <c r="CK101" s="168">
        <v>176.13434988375568</v>
      </c>
      <c r="CL101" s="168">
        <v>167.26267053008516</v>
      </c>
      <c r="CM101" s="168">
        <v>168.30908780979539</v>
      </c>
      <c r="CN101" s="168">
        <v>163.26685386651303</v>
      </c>
      <c r="CO101" s="168">
        <v>47.133466174267959</v>
      </c>
    </row>
    <row r="102" spans="1:93" x14ac:dyDescent="0.2">
      <c r="A102" s="118">
        <f t="shared" si="9"/>
        <v>28</v>
      </c>
      <c r="B102" s="234" t="s">
        <v>216</v>
      </c>
      <c r="C102" s="223"/>
      <c r="D102" s="168"/>
      <c r="E102" s="225"/>
      <c r="F102" s="183"/>
      <c r="G102" s="233"/>
      <c r="H102" s="174"/>
      <c r="I102" s="229"/>
      <c r="J102" s="168"/>
      <c r="K102" s="225"/>
      <c r="L102" s="183"/>
      <c r="M102" s="233"/>
      <c r="N102" s="174"/>
      <c r="O102" s="227"/>
      <c r="S102" s="230"/>
      <c r="T102" s="227"/>
      <c r="U102" s="178"/>
      <c r="V102" s="179"/>
      <c r="W102" s="180"/>
      <c r="Y102" s="178"/>
      <c r="Z102" s="181"/>
      <c r="AE102" s="242"/>
    </row>
    <row r="103" spans="1:93" x14ac:dyDescent="0.2">
      <c r="A103" s="118">
        <f t="shared" si="9"/>
        <v>29</v>
      </c>
      <c r="B103" s="243" t="s">
        <v>559</v>
      </c>
      <c r="C103" s="223"/>
      <c r="D103" s="172">
        <f>SUMIF($AH$8:$CP$8,1,$AH103:$CP103)+(SUM($AE$103:$AE$105)*'TOU Split'!D20)+'Unbilled to E-13c'!P52</f>
        <v>225.97697976504591</v>
      </c>
      <c r="E103" s="225" t="s">
        <v>555</v>
      </c>
      <c r="F103" s="183">
        <v>99.86</v>
      </c>
      <c r="G103" s="233" t="s">
        <v>375</v>
      </c>
      <c r="H103" s="174">
        <f>ROUND(D103*F103,2)</f>
        <v>22566.06</v>
      </c>
      <c r="I103" s="229"/>
      <c r="J103" s="172">
        <f t="shared" ref="J103:J105" si="12">D103</f>
        <v>225.97697976504591</v>
      </c>
      <c r="K103" s="225" t="s">
        <v>555</v>
      </c>
      <c r="L103" s="310">
        <f>L95</f>
        <v>108.35</v>
      </c>
      <c r="M103" s="233" t="s">
        <v>375</v>
      </c>
      <c r="N103" s="174">
        <f>ROUND(J103*L103,2)</f>
        <v>24484.61</v>
      </c>
      <c r="O103" s="227"/>
      <c r="S103" s="230"/>
      <c r="T103" s="176"/>
      <c r="U103" s="178" t="s">
        <v>580</v>
      </c>
      <c r="V103" s="179">
        <v>242</v>
      </c>
      <c r="W103" s="180">
        <v>216</v>
      </c>
      <c r="Y103" s="178"/>
      <c r="Z103" s="181"/>
      <c r="AB103" s="182">
        <f>SUM(AH103:AS103)</f>
        <v>225.68981846495393</v>
      </c>
      <c r="AC103" s="182">
        <f>SUM(AT103:BE103)</f>
        <v>225.31889010055323</v>
      </c>
      <c r="AD103" s="182">
        <f>SUM(BF103:BQ103)</f>
        <v>225.65992810295302</v>
      </c>
      <c r="AE103" s="182">
        <f>SUM(BR103:CC103)</f>
        <v>225.8619797650459</v>
      </c>
      <c r="AF103" s="182">
        <f>SUM(CD103:CO103)</f>
        <v>225.90533069828987</v>
      </c>
      <c r="AH103" s="168">
        <v>52.420734634399444</v>
      </c>
      <c r="AI103" s="168">
        <v>38.564179598807428</v>
      </c>
      <c r="AJ103" s="168">
        <v>32.109999080636925</v>
      </c>
      <c r="AK103" s="168">
        <v>3.5238113006755318</v>
      </c>
      <c r="AL103" s="168">
        <v>3.7739396202633904</v>
      </c>
      <c r="AM103" s="168">
        <v>5.7853877919127239</v>
      </c>
      <c r="AN103" s="168">
        <v>10.0451293972245</v>
      </c>
      <c r="AO103" s="168">
        <v>10.443304460720217</v>
      </c>
      <c r="AP103" s="168">
        <v>13.228877043149943</v>
      </c>
      <c r="AQ103" s="168">
        <v>17.550188844464763</v>
      </c>
      <c r="AR103" s="168">
        <v>21.930461031238206</v>
      </c>
      <c r="AS103" s="168">
        <v>16.313805661460904</v>
      </c>
      <c r="AT103" s="168">
        <v>51.467567578546046</v>
      </c>
      <c r="AU103" s="168">
        <v>38.228323998042477</v>
      </c>
      <c r="AV103" s="168">
        <v>31.242205223048611</v>
      </c>
      <c r="AW103" s="168">
        <v>3.5421665075822526</v>
      </c>
      <c r="AX103" s="168">
        <v>3.7596657317853359</v>
      </c>
      <c r="AY103" s="168">
        <v>5.6729194491837909</v>
      </c>
      <c r="AZ103" s="168">
        <v>10.447999226151058</v>
      </c>
      <c r="BA103" s="168">
        <v>10.556928663891915</v>
      </c>
      <c r="BB103" s="168">
        <v>13.520639837723323</v>
      </c>
      <c r="BC103" s="168">
        <v>18.105763218889074</v>
      </c>
      <c r="BD103" s="168">
        <v>22.419360767161827</v>
      </c>
      <c r="BE103" s="168">
        <v>16.355349898547491</v>
      </c>
      <c r="BF103" s="168">
        <v>50.562975278394759</v>
      </c>
      <c r="BG103" s="168">
        <v>38.625382225313679</v>
      </c>
      <c r="BH103" s="168">
        <v>31.679078219377406</v>
      </c>
      <c r="BI103" s="168">
        <v>3.4996712267985788</v>
      </c>
      <c r="BJ103" s="168">
        <v>3.7766490326040816</v>
      </c>
      <c r="BK103" s="168">
        <v>5.7855118092058344</v>
      </c>
      <c r="BL103" s="168">
        <v>10.533425472602641</v>
      </c>
      <c r="BM103" s="168">
        <v>10.676860033352288</v>
      </c>
      <c r="BN103" s="168">
        <v>13.574007597712358</v>
      </c>
      <c r="BO103" s="168">
        <v>17.895681228856393</v>
      </c>
      <c r="BP103" s="168">
        <v>22.309171489393382</v>
      </c>
      <c r="BQ103" s="168">
        <v>16.741514489341622</v>
      </c>
      <c r="BR103" s="168">
        <v>50.390196877501459</v>
      </c>
      <c r="BS103" s="168">
        <v>38.082188163883217</v>
      </c>
      <c r="BT103" s="168">
        <v>32.088339151290043</v>
      </c>
      <c r="BU103" s="168">
        <v>3.5631916881949905</v>
      </c>
      <c r="BV103" s="168">
        <v>3.6859887729888725</v>
      </c>
      <c r="BW103" s="168">
        <v>5.9002343850411396</v>
      </c>
      <c r="BX103" s="168">
        <v>10.737755307763893</v>
      </c>
      <c r="BY103" s="168">
        <v>10.781335520793965</v>
      </c>
      <c r="BZ103" s="168">
        <v>13.634993251346037</v>
      </c>
      <c r="CA103" s="168">
        <v>18.101132959263001</v>
      </c>
      <c r="CB103" s="168">
        <v>22.411796531501768</v>
      </c>
      <c r="CC103" s="168">
        <v>16.484827155477483</v>
      </c>
      <c r="CD103" s="168">
        <v>50.726586179850436</v>
      </c>
      <c r="CE103" s="168">
        <v>37.64894720648519</v>
      </c>
      <c r="CF103" s="168">
        <v>31.209945171390064</v>
      </c>
      <c r="CG103" s="168">
        <v>3.6402330576976154</v>
      </c>
      <c r="CH103" s="168">
        <v>3.7896943617112608</v>
      </c>
      <c r="CI103" s="168">
        <v>5.8226179112177956</v>
      </c>
      <c r="CJ103" s="168">
        <v>10.749676321023868</v>
      </c>
      <c r="CK103" s="168">
        <v>10.842644902074614</v>
      </c>
      <c r="CL103" s="168">
        <v>14.008877720073679</v>
      </c>
      <c r="CM103" s="168">
        <v>18.213492450112962</v>
      </c>
      <c r="CN103" s="168">
        <v>22.777041654963369</v>
      </c>
      <c r="CO103" s="168">
        <v>16.475573761689031</v>
      </c>
    </row>
    <row r="104" spans="1:93" x14ac:dyDescent="0.2">
      <c r="A104" s="118">
        <f t="shared" si="9"/>
        <v>30</v>
      </c>
      <c r="B104" s="243" t="s">
        <v>560</v>
      </c>
      <c r="C104" s="223"/>
      <c r="D104" s="172">
        <f>SUMIF($AH$8:$CP$8,1,$AH104:$CP104)+(SUM($AE$103:$AE$105)*'TOU Split'!D21)+'Unbilled to E-13c'!P53</f>
        <v>1891.5766860441856</v>
      </c>
      <c r="E104" s="225" t="s">
        <v>555</v>
      </c>
      <c r="F104" s="183">
        <v>85.78</v>
      </c>
      <c r="G104" s="233" t="s">
        <v>375</v>
      </c>
      <c r="H104" s="174">
        <f>ROUND(D104*F104,2)</f>
        <v>162259.45000000001</v>
      </c>
      <c r="I104" s="229"/>
      <c r="J104" s="172">
        <f t="shared" si="12"/>
        <v>1891.5766860441856</v>
      </c>
      <c r="K104" s="225" t="s">
        <v>555</v>
      </c>
      <c r="L104" s="310">
        <f>L96</f>
        <v>85.78</v>
      </c>
      <c r="M104" s="233" t="s">
        <v>375</v>
      </c>
      <c r="N104" s="174">
        <f>ROUND(J104*L104,2)</f>
        <v>162259.45000000001</v>
      </c>
      <c r="O104" s="227"/>
      <c r="S104" s="230"/>
      <c r="T104" s="176"/>
      <c r="U104" s="178" t="s">
        <v>580</v>
      </c>
      <c r="V104" s="179">
        <v>242</v>
      </c>
      <c r="W104" s="180">
        <v>216</v>
      </c>
      <c r="Y104" s="178"/>
      <c r="Z104" s="181"/>
      <c r="AB104" s="182">
        <f>SUM(AH104:AS104)</f>
        <v>1938.4993531984273</v>
      </c>
      <c r="AC104" s="182">
        <f>SUM(AT104:BE104)</f>
        <v>1951.8305092636858</v>
      </c>
      <c r="AD104" s="182">
        <f>SUM(BF104:BQ104)</f>
        <v>1956.5720750454811</v>
      </c>
      <c r="AE104" s="182">
        <f>SUM(BR104:CC104)</f>
        <v>1965.1063044150073</v>
      </c>
      <c r="AF104" s="182">
        <f>SUM(CD104:CO104)</f>
        <v>1976.2528472005063</v>
      </c>
      <c r="AH104" s="168">
        <v>216.40919522043771</v>
      </c>
      <c r="AI104" s="168">
        <v>161.52752003645492</v>
      </c>
      <c r="AJ104" s="168">
        <v>131.2304220262132</v>
      </c>
      <c r="AK104" s="168">
        <v>146.4561237632004</v>
      </c>
      <c r="AL104" s="168">
        <v>87.357690631133039</v>
      </c>
      <c r="AM104" s="168">
        <v>114.59415324608604</v>
      </c>
      <c r="AN104" s="168">
        <v>164.48974409724707</v>
      </c>
      <c r="AO104" s="168">
        <v>177.01155594172587</v>
      </c>
      <c r="AP104" s="168">
        <v>187.760998353227</v>
      </c>
      <c r="AQ104" s="168">
        <v>206.59141027984779</v>
      </c>
      <c r="AR104" s="168">
        <v>199.12501956163243</v>
      </c>
      <c r="AS104" s="168">
        <v>145.94552004122187</v>
      </c>
      <c r="AT104" s="168">
        <v>212.47422336423435</v>
      </c>
      <c r="AU104" s="168">
        <v>160.12077619161519</v>
      </c>
      <c r="AV104" s="168">
        <v>127.68383350476589</v>
      </c>
      <c r="AW104" s="168">
        <v>147.21900015613164</v>
      </c>
      <c r="AX104" s="168">
        <v>87.027284196680824</v>
      </c>
      <c r="AY104" s="168">
        <v>112.36643490367366</v>
      </c>
      <c r="AZ104" s="168">
        <v>171.08676763414061</v>
      </c>
      <c r="BA104" s="168">
        <v>178.93745947845701</v>
      </c>
      <c r="BB104" s="168">
        <v>191.90206591419522</v>
      </c>
      <c r="BC104" s="168">
        <v>213.13133384106141</v>
      </c>
      <c r="BD104" s="168">
        <v>203.56414965291492</v>
      </c>
      <c r="BE104" s="168">
        <v>146.31718042581514</v>
      </c>
      <c r="BF104" s="168">
        <v>208.73978329879731</v>
      </c>
      <c r="BG104" s="168">
        <v>161.7838695447841</v>
      </c>
      <c r="BH104" s="168">
        <v>129.46929066208656</v>
      </c>
      <c r="BI104" s="168">
        <v>145.45281758539841</v>
      </c>
      <c r="BJ104" s="168">
        <v>87.420407057166813</v>
      </c>
      <c r="BK104" s="168">
        <v>114.59660972043194</v>
      </c>
      <c r="BL104" s="168">
        <v>172.48562879982072</v>
      </c>
      <c r="BM104" s="168">
        <v>180.9702680013007</v>
      </c>
      <c r="BN104" s="168">
        <v>192.65952883888124</v>
      </c>
      <c r="BO104" s="168">
        <v>210.65836132892008</v>
      </c>
      <c r="BP104" s="168">
        <v>202.5636489311166</v>
      </c>
      <c r="BQ104" s="168">
        <v>149.77186127677658</v>
      </c>
      <c r="BR104" s="168">
        <v>208.02649999688305</v>
      </c>
      <c r="BS104" s="168">
        <v>159.50868074123164</v>
      </c>
      <c r="BT104" s="168">
        <v>131.14190001591626</v>
      </c>
      <c r="BU104" s="168">
        <v>148.09284560108284</v>
      </c>
      <c r="BV104" s="168">
        <v>85.321838529604918</v>
      </c>
      <c r="BW104" s="168">
        <v>116.86897881804612</v>
      </c>
      <c r="BX104" s="168">
        <v>175.83154511090316</v>
      </c>
      <c r="BY104" s="168">
        <v>182.74110295678616</v>
      </c>
      <c r="BZ104" s="168">
        <v>193.52511457031818</v>
      </c>
      <c r="CA104" s="168">
        <v>213.07682890811793</v>
      </c>
      <c r="CB104" s="168">
        <v>203.4954676233109</v>
      </c>
      <c r="CC104" s="168">
        <v>147.47550154280628</v>
      </c>
      <c r="CD104" s="168">
        <v>209.41522029448711</v>
      </c>
      <c r="CE104" s="168">
        <v>157.69403465891523</v>
      </c>
      <c r="CF104" s="168">
        <v>127.55198983254694</v>
      </c>
      <c r="CG104" s="168">
        <v>151.29482759841616</v>
      </c>
      <c r="CH104" s="168">
        <v>87.722375275791038</v>
      </c>
      <c r="CI104" s="168">
        <v>115.33158937836733</v>
      </c>
      <c r="CJ104" s="168">
        <v>176.02675259335277</v>
      </c>
      <c r="CK104" s="168">
        <v>183.78028255890649</v>
      </c>
      <c r="CL104" s="168">
        <v>198.83175706824801</v>
      </c>
      <c r="CM104" s="168">
        <v>214.39946457196945</v>
      </c>
      <c r="CN104" s="168">
        <v>206.81183394367613</v>
      </c>
      <c r="CO104" s="168">
        <v>147.39271942582951</v>
      </c>
    </row>
    <row r="105" spans="1:93" x14ac:dyDescent="0.2">
      <c r="A105" s="118">
        <f t="shared" si="9"/>
        <v>31</v>
      </c>
      <c r="B105" s="243" t="s">
        <v>561</v>
      </c>
      <c r="C105" s="223"/>
      <c r="D105" s="172">
        <f>SUMIF($AH$8:$CP$8,1,$AH105:$CP105)+(SUM($AE$103:$AE$105)*'TOU Split'!D22)+'Unbilled to E-13c'!P54</f>
        <v>1090.5901319480422</v>
      </c>
      <c r="E105" s="225" t="s">
        <v>555</v>
      </c>
      <c r="F105" s="183">
        <v>48.8</v>
      </c>
      <c r="G105" s="233" t="s">
        <v>375</v>
      </c>
      <c r="H105" s="187">
        <f>ROUND(D105*F105,2)</f>
        <v>53220.800000000003</v>
      </c>
      <c r="I105" s="229"/>
      <c r="J105" s="172">
        <f t="shared" si="12"/>
        <v>1090.5901319480422</v>
      </c>
      <c r="K105" s="225" t="s">
        <v>555</v>
      </c>
      <c r="L105" s="310">
        <f>L97</f>
        <v>50.77</v>
      </c>
      <c r="M105" s="233" t="s">
        <v>375</v>
      </c>
      <c r="N105" s="187">
        <f>ROUND(J105*L105,2)</f>
        <v>55369.26</v>
      </c>
      <c r="O105" s="227"/>
      <c r="P105" s="1226"/>
      <c r="S105" s="230"/>
      <c r="T105" s="176"/>
      <c r="U105" s="178" t="s">
        <v>580</v>
      </c>
      <c r="V105" s="179">
        <v>242</v>
      </c>
      <c r="W105" s="180">
        <v>216</v>
      </c>
      <c r="Y105" s="178"/>
      <c r="Z105" s="181"/>
      <c r="AB105" s="182">
        <f>SUM(AH105:AS105)</f>
        <v>993.0083242146751</v>
      </c>
      <c r="AC105" s="182">
        <f>SUM(AT105:BE105)</f>
        <v>1005.9562847027319</v>
      </c>
      <c r="AD105" s="182">
        <f>SUM(BF105:BQ105)</f>
        <v>1010.7292727459635</v>
      </c>
      <c r="AE105" s="182">
        <f>SUM(BR105:CC105)</f>
        <v>1015.5315135772205</v>
      </c>
      <c r="AF105" s="182">
        <f>SUM(CD105:CO105)</f>
        <v>1025.9256612157001</v>
      </c>
      <c r="AH105" s="168">
        <v>0</v>
      </c>
      <c r="AI105" s="168">
        <v>0</v>
      </c>
      <c r="AJ105" s="168">
        <v>7.742264710318894</v>
      </c>
      <c r="AK105" s="168">
        <v>73.152843303317837</v>
      </c>
      <c r="AL105" s="168">
        <v>135.27916864715439</v>
      </c>
      <c r="AM105" s="168">
        <v>96.983228553629829</v>
      </c>
      <c r="AN105" s="168">
        <v>115.91340528700759</v>
      </c>
      <c r="AO105" s="168">
        <v>126.45515485132461</v>
      </c>
      <c r="AP105" s="168">
        <v>119.85010927467916</v>
      </c>
      <c r="AQ105" s="168">
        <v>133.82023870799225</v>
      </c>
      <c r="AR105" s="168">
        <v>91.198697798808837</v>
      </c>
      <c r="AS105" s="168">
        <v>92.613213080441611</v>
      </c>
      <c r="AT105" s="168">
        <v>0</v>
      </c>
      <c r="AU105" s="168">
        <v>0</v>
      </c>
      <c r="AV105" s="168">
        <v>7.5330249111346879</v>
      </c>
      <c r="AW105" s="168">
        <v>73.533889693171304</v>
      </c>
      <c r="AX105" s="168">
        <v>134.7675124043503</v>
      </c>
      <c r="AY105" s="168">
        <v>95.097867817193901</v>
      </c>
      <c r="AZ105" s="168">
        <v>120.56222681151425</v>
      </c>
      <c r="BA105" s="168">
        <v>127.83099965801183</v>
      </c>
      <c r="BB105" s="168">
        <v>122.49340263191934</v>
      </c>
      <c r="BC105" s="168">
        <v>138.05649485682301</v>
      </c>
      <c r="BD105" s="168">
        <v>93.23180687056545</v>
      </c>
      <c r="BE105" s="168">
        <v>92.849059048047678</v>
      </c>
      <c r="BF105" s="168">
        <v>0</v>
      </c>
      <c r="BG105" s="168">
        <v>0</v>
      </c>
      <c r="BH105" s="168">
        <v>7.6383623910229161</v>
      </c>
      <c r="BI105" s="168">
        <v>72.651705503653929</v>
      </c>
      <c r="BJ105" s="168">
        <v>135.37628918586222</v>
      </c>
      <c r="BK105" s="168">
        <v>96.985307514957057</v>
      </c>
      <c r="BL105" s="168">
        <v>121.54798286656577</v>
      </c>
      <c r="BM105" s="168">
        <v>129.28321623885421</v>
      </c>
      <c r="BN105" s="168">
        <v>122.97690035024927</v>
      </c>
      <c r="BO105" s="168">
        <v>136.45461909904213</v>
      </c>
      <c r="BP105" s="168">
        <v>92.773580359524075</v>
      </c>
      <c r="BQ105" s="168">
        <v>95.041309236231896</v>
      </c>
      <c r="BR105" s="168">
        <v>0</v>
      </c>
      <c r="BS105" s="168">
        <v>0</v>
      </c>
      <c r="BT105" s="168">
        <v>7.7370421344418521</v>
      </c>
      <c r="BU105" s="168">
        <v>73.970363616304695</v>
      </c>
      <c r="BV105" s="168">
        <v>132.12651685664179</v>
      </c>
      <c r="BW105" s="168">
        <v>98.908457041432982</v>
      </c>
      <c r="BX105" s="168">
        <v>123.90579888452744</v>
      </c>
      <c r="BY105" s="168">
        <v>130.54828171619388</v>
      </c>
      <c r="BZ105" s="168">
        <v>123.52941415987527</v>
      </c>
      <c r="CA105" s="168">
        <v>138.0211891143075</v>
      </c>
      <c r="CB105" s="168">
        <v>93.200350694561749</v>
      </c>
      <c r="CC105" s="168">
        <v>93.584099358933344</v>
      </c>
      <c r="CD105" s="168">
        <v>0</v>
      </c>
      <c r="CE105" s="168">
        <v>0</v>
      </c>
      <c r="CF105" s="168">
        <v>7.5252464662059984</v>
      </c>
      <c r="CG105" s="168">
        <v>75.569710105152751</v>
      </c>
      <c r="CH105" s="168">
        <v>135.84390696831753</v>
      </c>
      <c r="CI105" s="168">
        <v>97.607334888332218</v>
      </c>
      <c r="CJ105" s="168">
        <v>124.04335860992202</v>
      </c>
      <c r="CK105" s="168">
        <v>131.29066046545319</v>
      </c>
      <c r="CL105" s="168">
        <v>126.9167080539036</v>
      </c>
      <c r="CM105" s="168">
        <v>138.87793054426606</v>
      </c>
      <c r="CN105" s="168">
        <v>94.719237123333869</v>
      </c>
      <c r="CO105" s="168">
        <v>93.531567990812903</v>
      </c>
    </row>
    <row r="106" spans="1:93" x14ac:dyDescent="0.2">
      <c r="A106" s="118">
        <f t="shared" si="9"/>
        <v>32</v>
      </c>
      <c r="B106" s="243"/>
      <c r="C106" s="223" t="s">
        <v>374</v>
      </c>
      <c r="D106" s="204">
        <f>SUM(D90:D105)</f>
        <v>2208317.6505162781</v>
      </c>
      <c r="E106" s="233" t="s">
        <v>439</v>
      </c>
      <c r="F106" s="183"/>
      <c r="G106" s="233"/>
      <c r="H106" s="206">
        <f>SUM(H90:H105)-H98</f>
        <v>164189363.64000002</v>
      </c>
      <c r="I106" s="229"/>
      <c r="J106" s="204">
        <f>SUM(J90:J105)</f>
        <v>2208317.6505162781</v>
      </c>
      <c r="K106" s="233" t="s">
        <v>439</v>
      </c>
      <c r="L106" s="183"/>
      <c r="M106" s="233"/>
      <c r="N106" s="206">
        <f>SUM(N90:N105)-N98</f>
        <v>169333256.39999998</v>
      </c>
      <c r="O106" s="227"/>
      <c r="Q106" s="1022"/>
      <c r="S106" s="230"/>
      <c r="T106" s="176"/>
      <c r="U106" s="184"/>
      <c r="V106" s="179"/>
      <c r="W106" s="180"/>
      <c r="Y106" s="184" t="s">
        <v>136</v>
      </c>
      <c r="Z106" s="181" t="s">
        <v>141</v>
      </c>
      <c r="AB106" s="204">
        <f>SUM(AB90:AB104)</f>
        <v>2173738.4133137064</v>
      </c>
      <c r="AC106" s="204">
        <f>SUM(AC90:AC104)</f>
        <v>2187422.1898487946</v>
      </c>
      <c r="AD106" s="204">
        <f>SUM(AD90:AD104)</f>
        <v>2196397.3031086666</v>
      </c>
      <c r="AE106" s="204">
        <f>SUM(AE90:AE104)</f>
        <v>2206169.5540027004</v>
      </c>
      <c r="AF106" s="204">
        <f>SUM(AF90:AF104)</f>
        <v>2219124.1364997942</v>
      </c>
      <c r="AH106" s="204">
        <f t="shared" ref="AH106:CO106" si="13">SUM(AH90:AH105)</f>
        <v>175167.0232493782</v>
      </c>
      <c r="AI106" s="204">
        <f t="shared" si="13"/>
        <v>152286.23178611457</v>
      </c>
      <c r="AJ106" s="204">
        <f t="shared" si="13"/>
        <v>137544.16863751574</v>
      </c>
      <c r="AK106" s="204">
        <f t="shared" si="13"/>
        <v>155844.15677428368</v>
      </c>
      <c r="AL106" s="204">
        <f t="shared" si="13"/>
        <v>185611.99134459675</v>
      </c>
      <c r="AM106" s="204">
        <f t="shared" si="13"/>
        <v>208790.58731771674</v>
      </c>
      <c r="AN106" s="204">
        <f t="shared" si="13"/>
        <v>210006.13790865065</v>
      </c>
      <c r="AO106" s="204">
        <f t="shared" si="13"/>
        <v>225154.41244409585</v>
      </c>
      <c r="AP106" s="204">
        <f t="shared" si="13"/>
        <v>213759.62237049843</v>
      </c>
      <c r="AQ106" s="204">
        <f t="shared" si="13"/>
        <v>192934.60967480441</v>
      </c>
      <c r="AR106" s="204">
        <f t="shared" si="13"/>
        <v>170726.94652141698</v>
      </c>
      <c r="AS106" s="204">
        <f t="shared" si="13"/>
        <v>146905.53360884867</v>
      </c>
      <c r="AT106" s="204">
        <f t="shared" si="13"/>
        <v>171981.95846542058</v>
      </c>
      <c r="AU106" s="204">
        <f t="shared" si="13"/>
        <v>150959.97035914162</v>
      </c>
      <c r="AV106" s="204">
        <f t="shared" si="13"/>
        <v>133826.94695865543</v>
      </c>
      <c r="AW106" s="204">
        <f t="shared" si="13"/>
        <v>156655.93456222795</v>
      </c>
      <c r="AX106" s="204">
        <f t="shared" si="13"/>
        <v>184909.9650454963</v>
      </c>
      <c r="AY106" s="204">
        <f t="shared" si="13"/>
        <v>204731.68371822947</v>
      </c>
      <c r="AZ106" s="204">
        <f t="shared" si="13"/>
        <v>218428.64134361513</v>
      </c>
      <c r="BA106" s="204">
        <f t="shared" si="13"/>
        <v>227604.1151029407</v>
      </c>
      <c r="BB106" s="204">
        <f t="shared" si="13"/>
        <v>218474.08941001652</v>
      </c>
      <c r="BC106" s="204">
        <f t="shared" si="13"/>
        <v>199042.20920121559</v>
      </c>
      <c r="BD106" s="204">
        <f t="shared" si="13"/>
        <v>174532.99323199337</v>
      </c>
      <c r="BE106" s="204">
        <f t="shared" si="13"/>
        <v>147279.63873454573</v>
      </c>
      <c r="BF106" s="204">
        <f t="shared" si="13"/>
        <v>168959.20913584845</v>
      </c>
      <c r="BG106" s="204">
        <f t="shared" si="13"/>
        <v>152527.91506482064</v>
      </c>
      <c r="BH106" s="204">
        <f t="shared" si="13"/>
        <v>135698.3058749022</v>
      </c>
      <c r="BI106" s="204">
        <f t="shared" si="13"/>
        <v>154776.53733135221</v>
      </c>
      <c r="BJ106" s="204">
        <f t="shared" si="13"/>
        <v>185745.24716491494</v>
      </c>
      <c r="BK106" s="204">
        <f t="shared" si="13"/>
        <v>208795.06301483462</v>
      </c>
      <c r="BL106" s="204">
        <f t="shared" si="13"/>
        <v>220214.58509644383</v>
      </c>
      <c r="BM106" s="204">
        <f t="shared" si="13"/>
        <v>230189.79831518757</v>
      </c>
      <c r="BN106" s="204">
        <f t="shared" si="13"/>
        <v>219336.43563825681</v>
      </c>
      <c r="BO106" s="204">
        <f t="shared" si="13"/>
        <v>196732.71343989519</v>
      </c>
      <c r="BP106" s="204">
        <f t="shared" si="13"/>
        <v>173675.17820904378</v>
      </c>
      <c r="BQ106" s="204">
        <f t="shared" si="13"/>
        <v>150757.04409591216</v>
      </c>
      <c r="BR106" s="204">
        <f t="shared" si="13"/>
        <v>168381.85976489153</v>
      </c>
      <c r="BS106" s="204">
        <f t="shared" si="13"/>
        <v>150382.89402186303</v>
      </c>
      <c r="BT106" s="204">
        <f t="shared" si="13"/>
        <v>137451.38766398525</v>
      </c>
      <c r="BU106" s="204">
        <f t="shared" si="13"/>
        <v>157585.79466653912</v>
      </c>
      <c r="BV106" s="204">
        <f t="shared" si="13"/>
        <v>181286.34399840835</v>
      </c>
      <c r="BW106" s="204">
        <f t="shared" si="13"/>
        <v>212935.32030592547</v>
      </c>
      <c r="BX106" s="204">
        <f t="shared" si="13"/>
        <v>224486.35879341399</v>
      </c>
      <c r="BY106" s="204">
        <f t="shared" si="13"/>
        <v>232442.25749400555</v>
      </c>
      <c r="BZ106" s="204">
        <f t="shared" si="13"/>
        <v>220321.87606893224</v>
      </c>
      <c r="CA106" s="204">
        <f t="shared" si="13"/>
        <v>198991.30733676464</v>
      </c>
      <c r="CB106" s="204">
        <f t="shared" si="13"/>
        <v>174474.10624119229</v>
      </c>
      <c r="CC106" s="204">
        <f t="shared" si="13"/>
        <v>148445.57916035611</v>
      </c>
      <c r="CD106" s="204">
        <f t="shared" si="13"/>
        <v>169505.92475856942</v>
      </c>
      <c r="CE106" s="204">
        <f t="shared" si="13"/>
        <v>148672.06719904646</v>
      </c>
      <c r="CF106" s="204">
        <f t="shared" si="13"/>
        <v>133688.76003518549</v>
      </c>
      <c r="CG106" s="204">
        <f t="shared" si="13"/>
        <v>160993.02798364975</v>
      </c>
      <c r="CH106" s="204">
        <f t="shared" si="13"/>
        <v>186386.8497757061</v>
      </c>
      <c r="CI106" s="204">
        <f t="shared" si="13"/>
        <v>210134.1962088063</v>
      </c>
      <c r="CJ106" s="204">
        <f t="shared" si="13"/>
        <v>224735.5826566105</v>
      </c>
      <c r="CK106" s="204">
        <f t="shared" si="13"/>
        <v>233764.06878194388</v>
      </c>
      <c r="CL106" s="204">
        <f t="shared" si="13"/>
        <v>226363.31122512333</v>
      </c>
      <c r="CM106" s="204">
        <f t="shared" si="13"/>
        <v>200226.50968715028</v>
      </c>
      <c r="CN106" s="204">
        <f t="shared" si="13"/>
        <v>177317.51133749259</v>
      </c>
      <c r="CO106" s="204">
        <f t="shared" si="13"/>
        <v>148362.25251172512</v>
      </c>
    </row>
    <row r="107" spans="1:93" x14ac:dyDescent="0.2">
      <c r="A107" s="118">
        <f t="shared" si="9"/>
        <v>33</v>
      </c>
      <c r="B107" s="246" t="s">
        <v>563</v>
      </c>
      <c r="C107" s="223"/>
      <c r="D107" s="168"/>
      <c r="E107" s="225"/>
      <c r="F107" s="197"/>
      <c r="G107" s="233"/>
      <c r="H107" s="174"/>
      <c r="I107" s="229"/>
      <c r="J107" s="247"/>
      <c r="K107" s="227"/>
      <c r="L107" s="197"/>
      <c r="M107" s="227"/>
      <c r="N107" s="203"/>
      <c r="O107" s="227"/>
      <c r="S107" s="230"/>
      <c r="T107" s="227"/>
      <c r="U107" s="184"/>
      <c r="V107" s="179"/>
      <c r="W107" s="180"/>
      <c r="Y107" s="184"/>
      <c r="Z107" s="181"/>
      <c r="AB107" s="193">
        <f>SUM(AH107:AS107)</f>
        <v>0</v>
      </c>
      <c r="AC107" s="193">
        <f>SUM(AT107:BE107)</f>
        <v>0</v>
      </c>
      <c r="AD107" s="193">
        <f>SUM(BF107:BQ107)</f>
        <v>0</v>
      </c>
      <c r="AE107" s="193">
        <f>SUM(BR107:CC107)</f>
        <v>0</v>
      </c>
      <c r="AF107" s="193">
        <f>SUM(CD107:CO107)</f>
        <v>0</v>
      </c>
      <c r="AH107" s="193">
        <v>0</v>
      </c>
      <c r="AI107" s="193">
        <v>0</v>
      </c>
      <c r="AJ107" s="193">
        <v>0</v>
      </c>
      <c r="AK107" s="193">
        <v>0</v>
      </c>
      <c r="AL107" s="193">
        <v>0</v>
      </c>
      <c r="AM107" s="193">
        <v>0</v>
      </c>
      <c r="AN107" s="193">
        <v>0</v>
      </c>
      <c r="AO107" s="193">
        <v>0</v>
      </c>
      <c r="AP107" s="193">
        <v>0</v>
      </c>
      <c r="AQ107" s="193">
        <v>0</v>
      </c>
      <c r="AR107" s="193">
        <v>0</v>
      </c>
      <c r="AS107" s="193">
        <v>0</v>
      </c>
      <c r="AT107" s="193">
        <v>0</v>
      </c>
      <c r="AU107" s="193">
        <v>0</v>
      </c>
      <c r="AV107" s="193">
        <v>0</v>
      </c>
      <c r="AW107" s="193">
        <v>0</v>
      </c>
      <c r="AX107" s="193">
        <v>0</v>
      </c>
      <c r="AY107" s="193">
        <v>0</v>
      </c>
      <c r="AZ107" s="193">
        <v>0</v>
      </c>
      <c r="BA107" s="193">
        <v>0</v>
      </c>
      <c r="BB107" s="193">
        <v>0</v>
      </c>
      <c r="BC107" s="193">
        <v>0</v>
      </c>
      <c r="BD107" s="193">
        <v>0</v>
      </c>
      <c r="BE107" s="193">
        <v>0</v>
      </c>
      <c r="BF107" s="193">
        <v>0</v>
      </c>
      <c r="BG107" s="193">
        <v>0</v>
      </c>
      <c r="BH107" s="193">
        <v>0</v>
      </c>
      <c r="BI107" s="193">
        <v>0</v>
      </c>
      <c r="BJ107" s="193">
        <v>0</v>
      </c>
      <c r="BK107" s="193">
        <v>0</v>
      </c>
      <c r="BL107" s="193">
        <v>0</v>
      </c>
      <c r="BM107" s="193">
        <v>0</v>
      </c>
      <c r="BN107" s="193">
        <v>0</v>
      </c>
      <c r="BO107" s="193">
        <v>0</v>
      </c>
      <c r="BP107" s="193">
        <v>0</v>
      </c>
      <c r="BQ107" s="193">
        <v>0</v>
      </c>
      <c r="BR107" s="193">
        <v>0</v>
      </c>
      <c r="BS107" s="193">
        <v>0</v>
      </c>
      <c r="BT107" s="193">
        <v>0</v>
      </c>
      <c r="BU107" s="193">
        <v>0</v>
      </c>
      <c r="BV107" s="193">
        <v>0</v>
      </c>
      <c r="BW107" s="193">
        <v>0</v>
      </c>
      <c r="BX107" s="193">
        <v>0</v>
      </c>
      <c r="BY107" s="193">
        <v>0</v>
      </c>
      <c r="BZ107" s="193">
        <v>0</v>
      </c>
      <c r="CA107" s="193">
        <v>0</v>
      </c>
      <c r="CB107" s="193">
        <v>0</v>
      </c>
      <c r="CC107" s="193">
        <v>0</v>
      </c>
      <c r="CD107" s="193">
        <v>0</v>
      </c>
      <c r="CE107" s="193">
        <v>0</v>
      </c>
      <c r="CF107" s="193">
        <v>0</v>
      </c>
      <c r="CG107" s="193">
        <v>0</v>
      </c>
      <c r="CH107" s="193">
        <v>0</v>
      </c>
      <c r="CI107" s="193">
        <v>0</v>
      </c>
      <c r="CJ107" s="193">
        <v>0</v>
      </c>
      <c r="CK107" s="193">
        <v>0</v>
      </c>
      <c r="CL107" s="193">
        <v>0</v>
      </c>
      <c r="CM107" s="193">
        <v>0</v>
      </c>
      <c r="CN107" s="193">
        <v>0</v>
      </c>
      <c r="CO107" s="193">
        <v>0</v>
      </c>
    </row>
    <row r="108" spans="1:93" x14ac:dyDescent="0.2">
      <c r="A108" s="118">
        <f t="shared" si="9"/>
        <v>34</v>
      </c>
      <c r="B108" s="234" t="s">
        <v>582</v>
      </c>
      <c r="C108" s="227"/>
      <c r="D108" s="172">
        <f>SUM(H91,H99:H101)</f>
        <v>2108220.81</v>
      </c>
      <c r="E108" s="233" t="s">
        <v>10</v>
      </c>
      <c r="F108" s="248">
        <v>0.01</v>
      </c>
      <c r="G108" s="233" t="s">
        <v>375</v>
      </c>
      <c r="H108" s="174">
        <f>ROUND(D108*-F108,2)</f>
        <v>-21082.21</v>
      </c>
      <c r="I108" s="229"/>
      <c r="J108" s="172">
        <f>SUM(N91,N99:N101)</f>
        <v>2159210.0099999998</v>
      </c>
      <c r="K108" s="233" t="s">
        <v>10</v>
      </c>
      <c r="L108" s="248">
        <v>0.01</v>
      </c>
      <c r="M108" s="233" t="s">
        <v>375</v>
      </c>
      <c r="N108" s="174">
        <f>ROUND(J108*-L108,2)</f>
        <v>-21592.1</v>
      </c>
      <c r="O108" s="227"/>
      <c r="S108" s="230"/>
      <c r="T108" s="176"/>
      <c r="U108" s="178" t="s">
        <v>580</v>
      </c>
      <c r="V108" s="179">
        <v>242</v>
      </c>
      <c r="W108" s="180">
        <v>216</v>
      </c>
      <c r="Y108" s="184" t="s">
        <v>136</v>
      </c>
      <c r="Z108" s="181" t="s">
        <v>417</v>
      </c>
      <c r="AB108" s="182"/>
      <c r="AC108" s="182"/>
      <c r="AD108" s="182"/>
      <c r="AE108" s="182"/>
      <c r="AF108" s="182"/>
      <c r="AH108" s="174">
        <v>-238.03714698953019</v>
      </c>
      <c r="AI108" s="174">
        <v>-557.55728692625951</v>
      </c>
      <c r="AJ108" s="174">
        <v>-1532.524300904952</v>
      </c>
      <c r="AK108" s="174">
        <v>-1326.231124321776</v>
      </c>
      <c r="AL108" s="174">
        <v>-1870.8986499066682</v>
      </c>
      <c r="AM108" s="174">
        <v>-1854.9059323120696</v>
      </c>
      <c r="AN108" s="174">
        <v>-2564.2171478120736</v>
      </c>
      <c r="AO108" s="174">
        <v>-2436.2061205780278</v>
      </c>
      <c r="AP108" s="174">
        <v>-2678.214646647928</v>
      </c>
      <c r="AQ108" s="174">
        <v>-2468.4085507862296</v>
      </c>
      <c r="AR108" s="174">
        <v>-1348.7777014425751</v>
      </c>
      <c r="AS108" s="174">
        <v>-1024.9199830194564</v>
      </c>
      <c r="AT108" s="174">
        <v>-240.7062484102662</v>
      </c>
      <c r="AU108" s="174">
        <v>-569.24394899711035</v>
      </c>
      <c r="AV108" s="174">
        <v>-1535.8102243255914</v>
      </c>
      <c r="AW108" s="174">
        <v>-1373.1222049275941</v>
      </c>
      <c r="AX108" s="174">
        <v>-1919.7108996951029</v>
      </c>
      <c r="AY108" s="174">
        <v>-1873.3504110091287</v>
      </c>
      <c r="AZ108" s="174">
        <v>-2746.9397512152395</v>
      </c>
      <c r="BA108" s="174">
        <v>-2536.477373753135</v>
      </c>
      <c r="BB108" s="174">
        <v>-2819.2728100338022</v>
      </c>
      <c r="BC108" s="174">
        <v>-2622.8191134646427</v>
      </c>
      <c r="BD108" s="174">
        <v>-1420.1875813867498</v>
      </c>
      <c r="BE108" s="174">
        <v>-1058.3444677699406</v>
      </c>
      <c r="BF108" s="174">
        <v>-236.47560318737067</v>
      </c>
      <c r="BG108" s="174">
        <v>-575.15639740277993</v>
      </c>
      <c r="BH108" s="174">
        <v>-1557.2861095809164</v>
      </c>
      <c r="BI108" s="174">
        <v>-1356.6488930367525</v>
      </c>
      <c r="BJ108" s="174">
        <v>-1928.3826886307281</v>
      </c>
      <c r="BK108" s="174">
        <v>-1910.53143319941</v>
      </c>
      <c r="BL108" s="174">
        <v>-2769.3996257898493</v>
      </c>
      <c r="BM108" s="174">
        <v>-2565.2928763225464</v>
      </c>
      <c r="BN108" s="174">
        <v>-2830.4008540077057</v>
      </c>
      <c r="BO108" s="174">
        <v>-2592.3864245914351</v>
      </c>
      <c r="BP108" s="174">
        <v>-1413.2074785410905</v>
      </c>
      <c r="BQ108" s="174">
        <v>-1083.3329370384522</v>
      </c>
      <c r="BR108" s="174">
        <v>-235.66754400287778</v>
      </c>
      <c r="BS108" s="174">
        <v>-567.06789389903531</v>
      </c>
      <c r="BT108" s="174">
        <v>-1577.4046357592399</v>
      </c>
      <c r="BU108" s="174">
        <v>-1381.2726242543442</v>
      </c>
      <c r="BV108" s="174">
        <v>-1882.090943308503</v>
      </c>
      <c r="BW108" s="174">
        <v>-1948.4159098816972</v>
      </c>
      <c r="BX108" s="174">
        <v>-2823.1210833066939</v>
      </c>
      <c r="BY108" s="174">
        <v>-2590.394846644087</v>
      </c>
      <c r="BZ108" s="174">
        <v>-2843.1173524245824</v>
      </c>
      <c r="CA108" s="174">
        <v>-2622.1483693871492</v>
      </c>
      <c r="CB108" s="174">
        <v>-1419.7084136861777</v>
      </c>
      <c r="CC108" s="174">
        <v>-1066.7228601261968</v>
      </c>
      <c r="CD108" s="174">
        <v>-237.24078732451318</v>
      </c>
      <c r="CE108" s="174">
        <v>-560.61666173230014</v>
      </c>
      <c r="CF108" s="174">
        <v>-1534.2243786139729</v>
      </c>
      <c r="CG108" s="174">
        <v>-1411.1377406839756</v>
      </c>
      <c r="CH108" s="174">
        <v>-1935.0437224203649</v>
      </c>
      <c r="CI108" s="174">
        <v>-1922.7848649778323</v>
      </c>
      <c r="CJ108" s="174">
        <v>-2826.2553011114405</v>
      </c>
      <c r="CK108" s="174">
        <v>-2605.125443332598</v>
      </c>
      <c r="CL108" s="174">
        <v>-2921.0783313005109</v>
      </c>
      <c r="CM108" s="174">
        <v>-2638.4248785084537</v>
      </c>
      <c r="CN108" s="174">
        <v>-1442.8454064795676</v>
      </c>
      <c r="CO108" s="174">
        <v>-1066.1240787986887</v>
      </c>
    </row>
    <row r="109" spans="1:93" x14ac:dyDescent="0.2">
      <c r="A109" s="118">
        <f t="shared" si="9"/>
        <v>35</v>
      </c>
      <c r="B109" s="234" t="s">
        <v>583</v>
      </c>
      <c r="C109" s="227"/>
      <c r="D109" s="172">
        <f>SUM(H92,H103:H105)</f>
        <v>238046.31</v>
      </c>
      <c r="E109" s="233" t="s">
        <v>10</v>
      </c>
      <c r="F109" s="248">
        <v>0.02</v>
      </c>
      <c r="G109" s="233" t="s">
        <v>375</v>
      </c>
      <c r="H109" s="174">
        <f>ROUND(D109*-F109,2)</f>
        <v>-4760.93</v>
      </c>
      <c r="I109" s="229"/>
      <c r="J109" s="172">
        <f>SUM(N92,N103:N105)</f>
        <v>242113.32</v>
      </c>
      <c r="K109" s="233" t="s">
        <v>10</v>
      </c>
      <c r="L109" s="248">
        <v>0.02</v>
      </c>
      <c r="M109" s="233" t="s">
        <v>375</v>
      </c>
      <c r="N109" s="174">
        <f>ROUND(J109*-L109,2)</f>
        <v>-4842.2700000000004</v>
      </c>
      <c r="O109" s="227"/>
      <c r="T109" s="176"/>
      <c r="U109" s="178" t="s">
        <v>580</v>
      </c>
      <c r="V109" s="179">
        <v>242</v>
      </c>
      <c r="W109" s="180">
        <v>216</v>
      </c>
      <c r="X109" s="213"/>
      <c r="Y109" s="184" t="s">
        <v>136</v>
      </c>
      <c r="Z109" s="181" t="s">
        <v>417</v>
      </c>
      <c r="AA109" s="213"/>
      <c r="AB109" s="182"/>
      <c r="AC109" s="182"/>
      <c r="AD109" s="182"/>
      <c r="AE109" s="182"/>
      <c r="AF109" s="182"/>
      <c r="AH109" s="174">
        <v>0</v>
      </c>
      <c r="AI109" s="174">
        <v>0</v>
      </c>
      <c r="AJ109" s="174">
        <v>0</v>
      </c>
      <c r="AK109" s="174">
        <v>0</v>
      </c>
      <c r="AL109" s="174">
        <v>0</v>
      </c>
      <c r="AM109" s="174">
        <v>0</v>
      </c>
      <c r="AN109" s="174">
        <v>0</v>
      </c>
      <c r="AO109" s="174">
        <v>0</v>
      </c>
      <c r="AP109" s="174">
        <v>0</v>
      </c>
      <c r="AQ109" s="174">
        <v>0</v>
      </c>
      <c r="AR109" s="174">
        <v>0</v>
      </c>
      <c r="AS109" s="174">
        <v>0</v>
      </c>
      <c r="AT109" s="174">
        <v>0</v>
      </c>
      <c r="AU109" s="174">
        <v>0</v>
      </c>
      <c r="AV109" s="174">
        <v>0</v>
      </c>
      <c r="AW109" s="174">
        <v>0</v>
      </c>
      <c r="AX109" s="174">
        <v>0</v>
      </c>
      <c r="AY109" s="174">
        <v>0</v>
      </c>
      <c r="AZ109" s="174">
        <v>0</v>
      </c>
      <c r="BA109" s="174">
        <v>0</v>
      </c>
      <c r="BB109" s="174">
        <v>0</v>
      </c>
      <c r="BC109" s="174">
        <v>0</v>
      </c>
      <c r="BD109" s="174">
        <v>0</v>
      </c>
      <c r="BE109" s="174">
        <v>0</v>
      </c>
      <c r="BF109" s="174">
        <v>0</v>
      </c>
      <c r="BG109" s="174">
        <v>0</v>
      </c>
      <c r="BH109" s="174">
        <v>0</v>
      </c>
      <c r="BI109" s="174">
        <v>0</v>
      </c>
      <c r="BJ109" s="174">
        <v>0</v>
      </c>
      <c r="BK109" s="174">
        <v>0</v>
      </c>
      <c r="BL109" s="174">
        <v>0</v>
      </c>
      <c r="BM109" s="174">
        <v>0</v>
      </c>
      <c r="BN109" s="174">
        <v>0</v>
      </c>
      <c r="BO109" s="174">
        <v>0</v>
      </c>
      <c r="BP109" s="174">
        <v>0</v>
      </c>
      <c r="BQ109" s="174">
        <v>0</v>
      </c>
      <c r="BR109" s="174">
        <v>0</v>
      </c>
      <c r="BS109" s="174">
        <v>0</v>
      </c>
      <c r="BT109" s="174">
        <v>0</v>
      </c>
      <c r="BU109" s="174">
        <v>0</v>
      </c>
      <c r="BV109" s="174">
        <v>0</v>
      </c>
      <c r="BW109" s="174">
        <v>0</v>
      </c>
      <c r="BX109" s="174">
        <v>0</v>
      </c>
      <c r="BY109" s="174">
        <v>0</v>
      </c>
      <c r="BZ109" s="174">
        <v>0</v>
      </c>
      <c r="CA109" s="174">
        <v>0</v>
      </c>
      <c r="CB109" s="174">
        <v>0</v>
      </c>
      <c r="CC109" s="174">
        <v>0</v>
      </c>
      <c r="CD109" s="174">
        <v>0</v>
      </c>
      <c r="CE109" s="174">
        <v>0</v>
      </c>
      <c r="CF109" s="174">
        <v>0</v>
      </c>
      <c r="CG109" s="174">
        <v>0</v>
      </c>
      <c r="CH109" s="174">
        <v>0</v>
      </c>
      <c r="CI109" s="174">
        <v>0</v>
      </c>
      <c r="CJ109" s="174">
        <v>0</v>
      </c>
      <c r="CK109" s="174">
        <v>0</v>
      </c>
      <c r="CL109" s="174">
        <v>0</v>
      </c>
      <c r="CM109" s="174">
        <v>0</v>
      </c>
      <c r="CN109" s="174">
        <v>0</v>
      </c>
      <c r="CO109" s="174">
        <v>0</v>
      </c>
    </row>
    <row r="110" spans="1:93" x14ac:dyDescent="0.2">
      <c r="A110" s="118">
        <f t="shared" si="9"/>
        <v>36</v>
      </c>
      <c r="B110" s="171" t="s">
        <v>564</v>
      </c>
      <c r="C110" s="227"/>
      <c r="D110" s="174"/>
      <c r="E110" s="233"/>
      <c r="F110" s="166"/>
      <c r="G110" s="233"/>
      <c r="H110" s="174">
        <f>'MFR E-5 Yr4'!K22*1000</f>
        <v>4105974.5579999997</v>
      </c>
      <c r="I110" s="162"/>
      <c r="J110" s="208"/>
      <c r="K110" s="166"/>
      <c r="L110" s="166"/>
      <c r="M110" s="143"/>
      <c r="N110" s="174">
        <f>H110</f>
        <v>4105974.5579999997</v>
      </c>
      <c r="O110" s="227"/>
      <c r="Q110" s="176"/>
      <c r="T110" s="213"/>
      <c r="U110" s="178"/>
      <c r="V110" s="179"/>
      <c r="W110" s="180"/>
      <c r="X110" s="213"/>
      <c r="Y110" s="184" t="s">
        <v>136</v>
      </c>
      <c r="Z110" s="181" t="s">
        <v>565</v>
      </c>
      <c r="AA110" s="213"/>
      <c r="AB110" s="182"/>
      <c r="AC110" s="182"/>
      <c r="AD110" s="182"/>
      <c r="AE110" s="182"/>
      <c r="AF110" s="182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</row>
    <row r="111" spans="1:93" x14ac:dyDescent="0.2">
      <c r="A111" s="118">
        <f t="shared" si="9"/>
        <v>37</v>
      </c>
      <c r="B111" s="171" t="s">
        <v>566</v>
      </c>
      <c r="C111" s="227"/>
      <c r="D111" s="174"/>
      <c r="E111" s="233"/>
      <c r="F111" s="166"/>
      <c r="G111" s="233"/>
      <c r="H111" s="174">
        <f>'MFR E-5 Yr4'!K23*1000</f>
        <v>1745039.1871499945</v>
      </c>
      <c r="I111" s="162"/>
      <c r="J111" s="208"/>
      <c r="K111" s="166"/>
      <c r="L111" s="166"/>
      <c r="M111" s="143"/>
      <c r="N111" s="174">
        <f>H111</f>
        <v>1745039.1871499945</v>
      </c>
      <c r="O111" s="227"/>
      <c r="Q111" s="176"/>
      <c r="T111" s="213"/>
      <c r="U111" s="178"/>
      <c r="V111" s="179"/>
      <c r="W111" s="180"/>
      <c r="X111" s="213"/>
      <c r="Y111" s="184" t="s">
        <v>136</v>
      </c>
      <c r="Z111" s="181" t="s">
        <v>565</v>
      </c>
      <c r="AA111" s="213"/>
      <c r="AB111" s="182"/>
      <c r="AC111" s="182"/>
      <c r="AD111" s="182"/>
      <c r="AE111" s="182"/>
      <c r="AF111" s="182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</row>
    <row r="112" spans="1:93" x14ac:dyDescent="0.2">
      <c r="A112" s="118">
        <f t="shared" si="9"/>
        <v>38</v>
      </c>
      <c r="B112" s="171" t="s">
        <v>158</v>
      </c>
      <c r="C112" s="227"/>
      <c r="D112" s="174"/>
      <c r="E112" s="233"/>
      <c r="F112" s="166"/>
      <c r="G112" s="233"/>
      <c r="H112" s="174">
        <f>'MFR E-5 Yr4'!K19*1000</f>
        <v>4005505.7</v>
      </c>
      <c r="I112" s="162"/>
      <c r="J112" s="208"/>
      <c r="K112" s="166"/>
      <c r="L112" s="166"/>
      <c r="M112" s="143"/>
      <c r="N112" s="174">
        <f>H112</f>
        <v>4005505.7</v>
      </c>
      <c r="O112" s="227"/>
      <c r="Q112" s="176"/>
      <c r="T112" s="213"/>
      <c r="U112" s="178"/>
      <c r="V112" s="179"/>
      <c r="W112" s="180"/>
      <c r="X112" s="213"/>
      <c r="Y112" s="184" t="s">
        <v>136</v>
      </c>
      <c r="Z112" s="181" t="s">
        <v>569</v>
      </c>
      <c r="AA112" s="213"/>
      <c r="AB112" s="182">
        <v>92.100000000000009</v>
      </c>
      <c r="AC112" s="1142">
        <f>AB112/AB113</f>
        <v>1.0736768477500584</v>
      </c>
      <c r="AD112" s="182"/>
      <c r="AE112" s="182"/>
      <c r="AF112" s="182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</row>
    <row r="113" spans="1:93" x14ac:dyDescent="0.2">
      <c r="A113" s="118">
        <f t="shared" si="9"/>
        <v>39</v>
      </c>
      <c r="B113" s="234"/>
      <c r="C113" s="223" t="s">
        <v>374</v>
      </c>
      <c r="D113" s="304"/>
      <c r="E113" s="168"/>
      <c r="G113" s="223"/>
      <c r="H113" s="206">
        <f>H108+H109+H110+H111+H112</f>
        <v>9830676.3051499948</v>
      </c>
      <c r="I113" s="229"/>
      <c r="J113" s="1226"/>
      <c r="K113" s="168"/>
      <c r="M113" s="223"/>
      <c r="N113" s="206">
        <f>N108+N109+N110+N111+N112</f>
        <v>9830085.0751499943</v>
      </c>
      <c r="O113" s="227"/>
      <c r="Q113" s="176"/>
      <c r="T113" s="182"/>
      <c r="U113" s="184"/>
      <c r="V113" s="179"/>
      <c r="W113" s="180"/>
      <c r="X113" s="182"/>
      <c r="Y113" s="184"/>
      <c r="Z113" s="181"/>
      <c r="AA113" s="182"/>
      <c r="AB113" s="101">
        <v>85.78</v>
      </c>
      <c r="AC113" s="1142"/>
    </row>
    <row r="114" spans="1:93" x14ac:dyDescent="0.2">
      <c r="A114" s="118">
        <f t="shared" si="9"/>
        <v>40</v>
      </c>
      <c r="B114" s="234"/>
      <c r="C114" s="227"/>
      <c r="D114" s="304"/>
      <c r="E114" s="168"/>
      <c r="F114" s="197"/>
      <c r="G114" s="223"/>
      <c r="H114" s="174"/>
      <c r="I114" s="229"/>
      <c r="J114" s="1226"/>
      <c r="K114" s="227"/>
      <c r="L114" s="197"/>
      <c r="M114" s="227"/>
      <c r="N114" s="203"/>
      <c r="O114" s="227"/>
      <c r="Q114" s="227"/>
      <c r="T114" s="250"/>
      <c r="U114" s="184"/>
      <c r="V114" s="179"/>
      <c r="W114" s="180"/>
      <c r="X114" s="250"/>
      <c r="Y114" s="184"/>
      <c r="Z114" s="181"/>
      <c r="AA114" s="250"/>
      <c r="AB114" s="101">
        <v>48.06</v>
      </c>
      <c r="AC114" s="1142">
        <f>AB114/AB113</f>
        <v>0.56027045931452557</v>
      </c>
    </row>
    <row r="115" spans="1:93" ht="10.8" thickBot="1" x14ac:dyDescent="0.25">
      <c r="A115" s="118">
        <f t="shared" si="9"/>
        <v>41</v>
      </c>
      <c r="B115" s="246" t="s">
        <v>584</v>
      </c>
      <c r="C115" s="223"/>
      <c r="D115" s="304"/>
      <c r="E115" s="225"/>
      <c r="F115" s="183"/>
      <c r="G115" s="223"/>
      <c r="H115" s="210">
        <f>H86+H106+H113</f>
        <v>199992280.58515</v>
      </c>
      <c r="I115" s="229"/>
      <c r="J115" s="1226"/>
      <c r="K115" s="225"/>
      <c r="L115" s="183"/>
      <c r="M115" s="223"/>
      <c r="N115" s="210">
        <f>N86+N106+N113</f>
        <v>205905784.77514997</v>
      </c>
      <c r="O115" s="227"/>
      <c r="Q115" s="939">
        <f>(N115-H115)/H115</f>
        <v>2.956866221385078E-2</v>
      </c>
      <c r="T115" s="250"/>
      <c r="U115" s="184"/>
      <c r="V115" s="179"/>
      <c r="W115" s="180"/>
      <c r="X115" s="250"/>
      <c r="Y115" s="184" t="s">
        <v>136</v>
      </c>
      <c r="Z115" s="181" t="s">
        <v>121</v>
      </c>
      <c r="AA115" s="250"/>
    </row>
    <row r="116" spans="1:93" ht="10.8" thickTop="1" x14ac:dyDescent="0.2">
      <c r="A116" s="118">
        <f t="shared" si="9"/>
        <v>42</v>
      </c>
      <c r="B116" s="143"/>
      <c r="C116" s="143"/>
      <c r="D116" s="143"/>
      <c r="E116" s="166"/>
      <c r="F116" s="166"/>
      <c r="G116" s="143"/>
      <c r="H116" s="143"/>
      <c r="I116" s="162"/>
      <c r="J116" s="143"/>
      <c r="K116" s="166"/>
      <c r="L116" s="166"/>
      <c r="M116" s="143"/>
      <c r="N116" s="174"/>
      <c r="U116" s="184"/>
      <c r="V116" s="139"/>
      <c r="W116" s="140"/>
      <c r="Y116" s="184"/>
      <c r="Z116" s="141"/>
    </row>
    <row r="117" spans="1:93" x14ac:dyDescent="0.2">
      <c r="A117" s="118">
        <f t="shared" si="9"/>
        <v>43</v>
      </c>
      <c r="B117" s="102"/>
      <c r="C117" s="1348"/>
      <c r="D117" s="1349"/>
      <c r="E117" s="1349"/>
      <c r="F117" s="1349"/>
      <c r="G117" s="143"/>
      <c r="H117" s="1147"/>
      <c r="I117" s="162"/>
      <c r="J117" s="171" t="s">
        <v>573</v>
      </c>
      <c r="K117" s="166"/>
      <c r="L117" s="166"/>
      <c r="M117" s="143"/>
      <c r="N117" s="174">
        <f>N115-H115</f>
        <v>5913504.1899999678</v>
      </c>
      <c r="S117" s="1147"/>
      <c r="U117" s="184"/>
      <c r="V117" s="139"/>
      <c r="W117" s="140"/>
      <c r="Y117" s="184"/>
      <c r="Z117" s="141"/>
    </row>
    <row r="118" spans="1:93" x14ac:dyDescent="0.2">
      <c r="A118" s="118">
        <f t="shared" si="9"/>
        <v>44</v>
      </c>
      <c r="B118" s="143"/>
      <c r="C118" s="1351"/>
      <c r="D118" s="1352"/>
      <c r="E118" s="1352"/>
      <c r="F118" s="1353"/>
      <c r="G118" s="143"/>
      <c r="H118" s="1148"/>
      <c r="I118" s="162"/>
      <c r="J118" s="171"/>
      <c r="K118" s="166"/>
      <c r="L118" s="166"/>
      <c r="M118" s="143"/>
      <c r="N118" s="212"/>
      <c r="S118" s="1148"/>
      <c r="U118" s="184"/>
      <c r="V118" s="139"/>
      <c r="W118" s="140"/>
      <c r="Y118" s="184"/>
      <c r="Z118" s="141"/>
    </row>
    <row r="119" spans="1:93" x14ac:dyDescent="0.2">
      <c r="A119" s="118">
        <f t="shared" si="9"/>
        <v>45</v>
      </c>
      <c r="B119" s="143"/>
      <c r="C119" s="1354"/>
      <c r="D119" s="1352"/>
      <c r="E119" s="1352"/>
      <c r="F119" s="1353"/>
      <c r="G119" s="143"/>
      <c r="H119" s="1148"/>
      <c r="I119" s="162"/>
      <c r="J119" s="171" t="s">
        <v>585</v>
      </c>
      <c r="N119" s="211">
        <f>'Exhibit MJC-2 - Old E-8a'!U18*1000</f>
        <v>5913753.619808876</v>
      </c>
      <c r="P119" s="101" t="s">
        <v>672</v>
      </c>
      <c r="Q119" s="939">
        <f>N119/H115</f>
        <v>2.9569909411033483E-2</v>
      </c>
      <c r="S119" s="1148"/>
      <c r="U119" s="184"/>
      <c r="V119" s="139"/>
      <c r="W119" s="140"/>
      <c r="Y119" s="184"/>
      <c r="Z119" s="141"/>
    </row>
    <row r="120" spans="1:93" x14ac:dyDescent="0.2">
      <c r="A120" s="118">
        <f t="shared" si="9"/>
        <v>46</v>
      </c>
      <c r="I120" s="162"/>
      <c r="U120" s="184"/>
      <c r="V120" s="139"/>
      <c r="W120" s="140"/>
      <c r="Y120" s="184"/>
      <c r="Z120" s="141"/>
    </row>
    <row r="121" spans="1:93" x14ac:dyDescent="0.2">
      <c r="A121" s="118">
        <f t="shared" si="9"/>
        <v>47</v>
      </c>
      <c r="I121" s="162"/>
      <c r="J121" s="171" t="s">
        <v>575</v>
      </c>
      <c r="N121" s="214">
        <f>N117-N119</f>
        <v>-249.42980890814215</v>
      </c>
      <c r="U121" s="184"/>
      <c r="V121" s="139"/>
      <c r="W121" s="140"/>
      <c r="Y121" s="184"/>
      <c r="Z121" s="141"/>
    </row>
    <row r="122" spans="1:93" x14ac:dyDescent="0.2">
      <c r="A122" s="118">
        <f t="shared" si="9"/>
        <v>48</v>
      </c>
      <c r="B122" s="226"/>
      <c r="C122" s="223"/>
      <c r="D122" s="168"/>
      <c r="E122" s="225"/>
      <c r="F122" s="197"/>
      <c r="G122" s="223"/>
      <c r="H122" s="174"/>
      <c r="I122" s="229"/>
      <c r="J122" s="234"/>
      <c r="K122" s="223"/>
      <c r="L122" s="197"/>
      <c r="M122" s="227"/>
      <c r="N122" s="251"/>
      <c r="O122" s="227"/>
      <c r="R122" s="227"/>
      <c r="S122" s="227"/>
      <c r="T122" s="250"/>
      <c r="U122" s="252"/>
      <c r="V122" s="253"/>
      <c r="W122" s="254"/>
      <c r="X122" s="250"/>
      <c r="Y122" s="252"/>
      <c r="Z122" s="255"/>
      <c r="AA122" s="250"/>
    </row>
    <row r="123" spans="1:93" x14ac:dyDescent="0.2">
      <c r="A123" s="215"/>
      <c r="B123" s="215" t="s">
        <v>98</v>
      </c>
      <c r="C123" s="215"/>
      <c r="D123" s="215"/>
      <c r="E123" s="215"/>
      <c r="F123" s="215"/>
      <c r="G123" s="215"/>
      <c r="H123" s="215"/>
      <c r="I123" s="215"/>
      <c r="J123" s="215"/>
      <c r="K123" s="215"/>
      <c r="L123" s="215"/>
      <c r="M123" s="215"/>
      <c r="N123" s="215" t="s">
        <v>99</v>
      </c>
      <c r="O123" s="215"/>
      <c r="P123" s="215"/>
      <c r="Q123" s="215"/>
      <c r="T123" s="250"/>
      <c r="U123" s="250"/>
      <c r="V123" s="250"/>
      <c r="W123" s="250"/>
      <c r="X123" s="250"/>
      <c r="Y123" s="250"/>
      <c r="Z123" s="256"/>
      <c r="AA123" s="250"/>
    </row>
    <row r="124" spans="1:93" x14ac:dyDescent="0.2">
      <c r="A124" s="216"/>
      <c r="B124" s="216"/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7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</row>
    <row r="125" spans="1:93" ht="13.8" x14ac:dyDescent="0.3">
      <c r="A125" s="12" t="s">
        <v>667</v>
      </c>
      <c r="C125" s="102"/>
      <c r="D125" s="1280"/>
      <c r="F125" s="104"/>
      <c r="G125" s="104"/>
      <c r="H125" s="361" t="s">
        <v>668</v>
      </c>
      <c r="I125" s="104"/>
      <c r="J125" s="104"/>
      <c r="K125" s="104"/>
      <c r="L125" s="104"/>
      <c r="N125" s="105"/>
      <c r="Q125" s="106" t="str">
        <f>'MFR E-13c'!Q115</f>
        <v>Page 16 of 39</v>
      </c>
      <c r="R125" s="105"/>
      <c r="S125" s="105"/>
      <c r="T125" s="114"/>
      <c r="U125" s="114"/>
      <c r="V125" s="114"/>
      <c r="W125" s="114"/>
      <c r="X125" s="114"/>
      <c r="Y125" s="114"/>
      <c r="Z125" s="218"/>
      <c r="AA125" s="114"/>
      <c r="AE125" s="114"/>
    </row>
    <row r="126" spans="1:93" ht="10.8" thickBot="1" x14ac:dyDescent="0.25">
      <c r="A126" s="108"/>
      <c r="B126" s="109"/>
      <c r="C126" s="109"/>
      <c r="D126" s="109"/>
      <c r="E126" s="110" t="s">
        <v>416</v>
      </c>
      <c r="F126" s="109"/>
      <c r="G126" s="109" t="s">
        <v>416</v>
      </c>
      <c r="H126" s="109" t="s">
        <v>416</v>
      </c>
      <c r="I126" s="109" t="s">
        <v>416</v>
      </c>
      <c r="J126" s="109"/>
      <c r="K126" s="109"/>
      <c r="L126" s="109"/>
      <c r="M126" s="111"/>
      <c r="N126" s="111"/>
      <c r="O126" s="109"/>
      <c r="P126" s="112"/>
      <c r="Q126" s="109"/>
      <c r="T126" s="114"/>
      <c r="U126" s="114"/>
      <c r="V126" s="114"/>
      <c r="W126" s="114"/>
      <c r="X126" s="114"/>
      <c r="Y126" s="114"/>
      <c r="Z126" s="218"/>
      <c r="AA126" s="114"/>
      <c r="AE126" s="114"/>
    </row>
    <row r="127" spans="1:93" x14ac:dyDescent="0.2">
      <c r="A127" s="113"/>
      <c r="M127" s="105"/>
      <c r="N127" s="105"/>
      <c r="P127" s="114"/>
      <c r="T127" s="114"/>
      <c r="U127" s="114"/>
      <c r="V127" s="114"/>
      <c r="W127" s="114"/>
      <c r="X127" s="114"/>
      <c r="Y127" s="114"/>
      <c r="Z127" s="218"/>
      <c r="AA127" s="114"/>
      <c r="AE127" s="114"/>
    </row>
    <row r="128" spans="1:93" ht="13.8" x14ac:dyDescent="0.2">
      <c r="A128" s="100"/>
      <c r="C128" s="1278" t="s">
        <v>4</v>
      </c>
      <c r="D128" s="1386" t="s">
        <v>669</v>
      </c>
      <c r="E128" s="1386"/>
      <c r="F128" s="1386"/>
      <c r="G128" s="1386"/>
      <c r="H128" s="1386"/>
      <c r="I128" s="1386"/>
      <c r="J128" s="1386"/>
      <c r="K128" s="1386"/>
      <c r="L128" s="1386"/>
      <c r="M128" s="1386"/>
      <c r="N128" s="1386"/>
      <c r="O128" s="1279"/>
      <c r="P128" s="1279"/>
      <c r="T128" s="114"/>
      <c r="U128" s="114"/>
      <c r="V128" s="114"/>
      <c r="W128" s="114"/>
      <c r="X128" s="114"/>
      <c r="Y128" s="114"/>
      <c r="Z128" s="218"/>
      <c r="AA128" s="114"/>
      <c r="AE128" s="114"/>
    </row>
    <row r="129" spans="1:93" ht="13.8" x14ac:dyDescent="0.2">
      <c r="C129" s="1279"/>
      <c r="D129" s="1386" t="s">
        <v>670</v>
      </c>
      <c r="E129" s="1386"/>
      <c r="F129" s="1386"/>
      <c r="G129" s="1386"/>
      <c r="H129" s="1386"/>
      <c r="I129" s="1386"/>
      <c r="J129" s="1386"/>
      <c r="K129" s="1386"/>
      <c r="L129" s="1386"/>
      <c r="M129" s="1386"/>
      <c r="N129" s="1386"/>
      <c r="O129" s="1279"/>
      <c r="P129" s="1279"/>
      <c r="T129" s="114"/>
      <c r="U129" s="114"/>
      <c r="V129" s="114"/>
      <c r="W129" s="114"/>
      <c r="X129" s="114"/>
      <c r="Y129" s="114"/>
      <c r="Z129" s="218"/>
      <c r="AA129" s="114"/>
      <c r="AE129" s="114"/>
    </row>
    <row r="130" spans="1:93" ht="13.8" x14ac:dyDescent="0.3">
      <c r="A130" s="100"/>
      <c r="C130" s="21"/>
      <c r="D130" s="1386" t="s">
        <v>671</v>
      </c>
      <c r="E130" s="1386"/>
      <c r="F130" s="1386"/>
      <c r="G130" s="1386"/>
      <c r="H130" s="1386"/>
      <c r="I130" s="1386"/>
      <c r="J130" s="1386"/>
      <c r="K130" s="1386"/>
      <c r="L130" s="1386"/>
      <c r="M130" s="1386"/>
      <c r="N130" s="1386"/>
      <c r="O130" s="107"/>
      <c r="T130" s="114"/>
      <c r="U130" s="114"/>
      <c r="V130" s="114"/>
      <c r="W130" s="114"/>
      <c r="X130" s="114"/>
      <c r="Y130" s="114"/>
      <c r="Z130" s="218"/>
      <c r="AA130" s="114"/>
      <c r="AE130" s="114"/>
    </row>
    <row r="131" spans="1:93" x14ac:dyDescent="0.2">
      <c r="T131" s="114"/>
      <c r="U131" s="114"/>
      <c r="V131" s="114"/>
      <c r="W131" s="114"/>
      <c r="X131" s="114"/>
      <c r="Y131" s="114"/>
      <c r="Z131" s="218"/>
      <c r="AA131" s="114"/>
      <c r="AE131" s="114"/>
    </row>
    <row r="132" spans="1:93" x14ac:dyDescent="0.2">
      <c r="A132" s="100"/>
      <c r="C132" s="119"/>
      <c r="O132" s="100"/>
      <c r="T132" s="114"/>
      <c r="U132" s="114"/>
      <c r="V132" s="114"/>
      <c r="W132" s="114"/>
      <c r="X132" s="114"/>
      <c r="Y132" s="114"/>
      <c r="Z132" s="218"/>
      <c r="AA132" s="114"/>
      <c r="AE132" s="114"/>
    </row>
    <row r="133" spans="1:93" ht="10.8" thickBot="1" x14ac:dyDescent="0.25">
      <c r="A133" s="123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23"/>
      <c r="O133" s="109"/>
      <c r="P133" s="109"/>
      <c r="Q133" s="109"/>
      <c r="T133" s="114"/>
      <c r="U133" s="114"/>
      <c r="V133" s="114"/>
      <c r="W133" s="114"/>
      <c r="X133" s="114"/>
      <c r="Y133" s="114"/>
      <c r="Z133" s="218"/>
      <c r="AA133" s="114"/>
      <c r="AE133" s="114"/>
    </row>
    <row r="134" spans="1:93" ht="15.6" x14ac:dyDescent="0.2">
      <c r="B134" s="1369"/>
      <c r="C134" s="125"/>
      <c r="D134" s="125"/>
      <c r="E134" s="125"/>
      <c r="F134" s="125"/>
      <c r="G134" s="125"/>
      <c r="H134" s="125"/>
      <c r="I134" s="126" t="s">
        <v>587</v>
      </c>
      <c r="J134" s="125"/>
      <c r="K134" s="125"/>
      <c r="L134" s="125"/>
      <c r="M134" s="125"/>
      <c r="N134" s="125"/>
      <c r="U134" s="127" t="s">
        <v>530</v>
      </c>
      <c r="V134" s="128"/>
      <c r="W134" s="129"/>
      <c r="X134" s="114"/>
      <c r="Y134" s="130" t="s">
        <v>531</v>
      </c>
      <c r="Z134" s="131"/>
      <c r="AA134" s="114"/>
    </row>
    <row r="135" spans="1:93" x14ac:dyDescent="0.2">
      <c r="A135" s="101" t="s">
        <v>30</v>
      </c>
      <c r="B135" s="101" t="s">
        <v>532</v>
      </c>
      <c r="C135" s="132"/>
      <c r="D135" s="133" t="s">
        <v>533</v>
      </c>
      <c r="E135" s="134"/>
      <c r="F135" s="134"/>
      <c r="G135" s="133"/>
      <c r="H135" s="133"/>
      <c r="I135" s="135"/>
      <c r="J135" s="136" t="s">
        <v>534</v>
      </c>
      <c r="K135" s="133"/>
      <c r="L135" s="134"/>
      <c r="M135" s="134"/>
      <c r="N135" s="134"/>
      <c r="O135" s="137"/>
      <c r="Q135" s="118" t="s">
        <v>332</v>
      </c>
      <c r="U135" s="138"/>
      <c r="V135" s="139"/>
      <c r="W135" s="140"/>
      <c r="X135" s="114"/>
      <c r="Y135" s="138"/>
      <c r="Z135" s="141"/>
      <c r="AA135" s="114"/>
    </row>
    <row r="136" spans="1:93" x14ac:dyDescent="0.2">
      <c r="A136" s="101" t="s">
        <v>39</v>
      </c>
      <c r="B136" s="102" t="s">
        <v>535</v>
      </c>
      <c r="C136" s="104"/>
      <c r="D136" s="142" t="s">
        <v>536</v>
      </c>
      <c r="E136" s="143"/>
      <c r="F136" s="142" t="s">
        <v>537</v>
      </c>
      <c r="G136" s="142"/>
      <c r="H136" s="142" t="s">
        <v>538</v>
      </c>
      <c r="I136" s="144"/>
      <c r="J136" s="142" t="s">
        <v>536</v>
      </c>
      <c r="K136" s="143"/>
      <c r="L136" s="142" t="s">
        <v>537</v>
      </c>
      <c r="M136" s="142"/>
      <c r="N136" s="142" t="s">
        <v>538</v>
      </c>
      <c r="O136" s="132"/>
      <c r="Q136" s="145" t="s">
        <v>539</v>
      </c>
      <c r="R136" s="132"/>
      <c r="S136" s="132"/>
      <c r="U136" s="138" t="s">
        <v>128</v>
      </c>
      <c r="V136" s="146" t="s">
        <v>343</v>
      </c>
      <c r="W136" s="147" t="s">
        <v>344</v>
      </c>
      <c r="X136" s="118"/>
      <c r="Y136" s="148" t="s">
        <v>128</v>
      </c>
      <c r="Z136" s="149"/>
      <c r="AA136" s="118"/>
      <c r="AB136" s="118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/>
      <c r="BP136" s="116"/>
      <c r="BQ136" s="116"/>
      <c r="BR136" s="116"/>
      <c r="BS136" s="116"/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</row>
    <row r="137" spans="1:93" ht="10.8" thickBot="1" x14ac:dyDescent="0.25">
      <c r="A137" s="109"/>
      <c r="B137" s="1370" t="s">
        <v>137</v>
      </c>
      <c r="C137" s="150"/>
      <c r="D137" s="220" t="str">
        <f>+$D$15</f>
        <v>Jan '26-Dec '26</v>
      </c>
      <c r="E137" s="221"/>
      <c r="F137" s="152">
        <f>+$L$15</f>
        <v>46023</v>
      </c>
      <c r="G137" s="153"/>
      <c r="H137" s="153"/>
      <c r="I137" s="153"/>
      <c r="J137" s="153"/>
      <c r="K137" s="151"/>
      <c r="L137" s="152">
        <f>+$L$15</f>
        <v>46023</v>
      </c>
      <c r="M137" s="154"/>
      <c r="N137" s="154"/>
      <c r="O137" s="155"/>
      <c r="P137" s="109"/>
      <c r="Q137" s="156"/>
      <c r="R137" s="132"/>
      <c r="S137" s="132"/>
      <c r="U137" s="157" t="s">
        <v>144</v>
      </c>
      <c r="V137" s="158" t="s">
        <v>540</v>
      </c>
      <c r="W137" s="159" t="s">
        <v>540</v>
      </c>
      <c r="X137" s="118"/>
      <c r="Y137" s="160" t="s">
        <v>144</v>
      </c>
      <c r="Z137" s="159" t="s">
        <v>541</v>
      </c>
      <c r="AA137" s="118"/>
      <c r="AB137" s="118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</row>
    <row r="138" spans="1:93" x14ac:dyDescent="0.2">
      <c r="A138" s="118">
        <v>1</v>
      </c>
      <c r="B138" s="102"/>
      <c r="C138" s="104"/>
      <c r="E138" s="143"/>
      <c r="F138" s="142"/>
      <c r="G138" s="142"/>
      <c r="H138" s="142"/>
      <c r="I138" s="162"/>
      <c r="J138" s="142"/>
      <c r="K138" s="143"/>
      <c r="L138" s="142"/>
      <c r="M138" s="142"/>
      <c r="N138" s="142"/>
      <c r="O138" s="132"/>
      <c r="Q138" s="145"/>
      <c r="R138" s="132"/>
      <c r="S138" s="132"/>
      <c r="T138" s="118"/>
      <c r="U138" s="163"/>
      <c r="V138" s="139"/>
      <c r="W138" s="140"/>
      <c r="X138" s="118"/>
      <c r="Y138" s="163"/>
      <c r="Z138" s="141"/>
      <c r="AA138" s="118"/>
      <c r="AB138" s="118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16"/>
      <c r="BA138" s="116"/>
      <c r="BB138" s="116"/>
      <c r="BC138" s="116"/>
      <c r="BD138" s="116"/>
      <c r="BE138" s="116"/>
      <c r="BF138" s="116"/>
      <c r="BG138" s="116"/>
      <c r="BH138" s="116"/>
      <c r="BI138" s="116"/>
      <c r="BJ138" s="116"/>
      <c r="BK138" s="116"/>
      <c r="BL138" s="116"/>
      <c r="BM138" s="116"/>
      <c r="BN138" s="116"/>
      <c r="BO138" s="116"/>
      <c r="BP138" s="116"/>
      <c r="BQ138" s="116"/>
      <c r="BR138" s="116"/>
      <c r="BS138" s="116"/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</row>
    <row r="139" spans="1:93" x14ac:dyDescent="0.2">
      <c r="A139" s="118">
        <f t="shared" ref="A139:A162" si="14">+A138+1</f>
        <v>2</v>
      </c>
      <c r="B139" s="222" t="s">
        <v>542</v>
      </c>
      <c r="C139" s="223"/>
      <c r="D139" s="226"/>
      <c r="E139" s="225"/>
      <c r="F139" s="226"/>
      <c r="G139" s="227"/>
      <c r="H139" s="228"/>
      <c r="I139" s="229"/>
      <c r="J139" s="226"/>
      <c r="K139" s="225"/>
      <c r="L139" s="226"/>
      <c r="M139" s="227"/>
      <c r="N139" s="228"/>
      <c r="O139" s="227"/>
      <c r="P139" s="230"/>
      <c r="Q139" s="227"/>
      <c r="R139" s="227"/>
      <c r="S139" s="227"/>
      <c r="T139" s="227"/>
      <c r="U139" s="163"/>
      <c r="V139" s="139"/>
      <c r="W139" s="140"/>
      <c r="X139" s="227"/>
      <c r="Y139" s="163"/>
      <c r="Z139" s="141"/>
      <c r="AA139" s="227"/>
      <c r="AB139" s="118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AX139" s="116"/>
      <c r="AY139" s="116"/>
      <c r="AZ139" s="116"/>
      <c r="BA139" s="116"/>
      <c r="BB139" s="116"/>
      <c r="BC139" s="116"/>
      <c r="BD139" s="116"/>
      <c r="BE139" s="116"/>
      <c r="BF139" s="116"/>
      <c r="BG139" s="116"/>
      <c r="BH139" s="116"/>
      <c r="BI139" s="116"/>
      <c r="BJ139" s="116"/>
      <c r="BK139" s="116"/>
      <c r="BL139" s="116"/>
      <c r="BM139" s="116"/>
      <c r="BN139" s="116"/>
      <c r="BO139" s="116"/>
      <c r="BP139" s="116"/>
      <c r="BQ139" s="116"/>
      <c r="BR139" s="116"/>
      <c r="BS139" s="116"/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</row>
    <row r="140" spans="1:93" x14ac:dyDescent="0.2">
      <c r="A140" s="118">
        <f t="shared" si="14"/>
        <v>3</v>
      </c>
      <c r="B140" s="228" t="s">
        <v>543</v>
      </c>
      <c r="C140" s="223"/>
      <c r="D140" s="168"/>
      <c r="E140" s="225"/>
      <c r="F140" s="231"/>
      <c r="G140" s="223"/>
      <c r="H140" s="170"/>
      <c r="I140" s="229"/>
      <c r="J140" s="168"/>
      <c r="K140" s="225"/>
      <c r="L140" s="1368">
        <v>7.0000000000000007E-2</v>
      </c>
      <c r="M140" s="223"/>
      <c r="N140" s="174"/>
      <c r="O140" s="227"/>
      <c r="P140" s="230"/>
      <c r="Q140" s="227"/>
      <c r="R140" s="227"/>
      <c r="S140" s="227"/>
      <c r="T140" s="227"/>
      <c r="U140" s="163"/>
      <c r="V140" s="139"/>
      <c r="W140" s="140"/>
      <c r="X140" s="227"/>
      <c r="Y140" s="163"/>
      <c r="Z140" s="141"/>
      <c r="AA140" s="227"/>
      <c r="AB140" s="227"/>
      <c r="AC140" s="227"/>
    </row>
    <row r="141" spans="1:93" x14ac:dyDescent="0.2">
      <c r="A141" s="118">
        <f t="shared" si="14"/>
        <v>4</v>
      </c>
      <c r="B141" s="232" t="s">
        <v>578</v>
      </c>
      <c r="C141" s="223"/>
      <c r="D141" s="172">
        <f>SUMIF($AH$8:$CP$8,1,$AH141:$CP141)</f>
        <v>10224.542495481846</v>
      </c>
      <c r="E141" s="225" t="s">
        <v>545</v>
      </c>
      <c r="F141" s="183">
        <v>12.18</v>
      </c>
      <c r="G141" s="233" t="s">
        <v>375</v>
      </c>
      <c r="H141" s="174">
        <f>ROUND(D141*F141,2)</f>
        <v>124534.93</v>
      </c>
      <c r="I141" s="229"/>
      <c r="J141" s="168">
        <f>D141</f>
        <v>10224.542495481846</v>
      </c>
      <c r="K141" s="225" t="s">
        <v>545</v>
      </c>
      <c r="L141" s="310">
        <f>ROUND(F141*(1+'Exhibit MJC-2 - Old E-8a'!V21),2)</f>
        <v>12.67</v>
      </c>
      <c r="M141" s="233" t="s">
        <v>375</v>
      </c>
      <c r="N141" s="174">
        <f>ROUND(J141*L141,2)</f>
        <v>129544.95</v>
      </c>
      <c r="O141" s="227"/>
      <c r="P141" s="230"/>
      <c r="Q141" s="1022"/>
      <c r="R141" s="227"/>
      <c r="S141" s="227"/>
      <c r="T141" s="227"/>
      <c r="U141" s="178" t="s">
        <v>137</v>
      </c>
      <c r="V141" s="179">
        <v>243</v>
      </c>
      <c r="W141" s="180">
        <v>217</v>
      </c>
      <c r="X141" s="227"/>
      <c r="Y141" s="178"/>
      <c r="Z141" s="181"/>
      <c r="AA141" s="227"/>
      <c r="AB141" s="182">
        <f>SUM(AH141:AS141)</f>
        <v>9923.3030592698997</v>
      </c>
      <c r="AC141" s="182">
        <f>SUM(AT141:BE141)</f>
        <v>10024.019205489247</v>
      </c>
      <c r="AD141" s="182">
        <f>SUM(BF141:BQ141)</f>
        <v>10123.90239371451</v>
      </c>
      <c r="AE141" s="182">
        <f>SUM(BR141:CC141)</f>
        <v>10224.542495481846</v>
      </c>
      <c r="AF141" s="182">
        <f>SUM(CD141:CO141)</f>
        <v>10324.644696744759</v>
      </c>
      <c r="AH141" s="168">
        <v>826.36175612814429</v>
      </c>
      <c r="AI141" s="168">
        <v>821.33865784450791</v>
      </c>
      <c r="AJ141" s="168">
        <v>818.92745941844214</v>
      </c>
      <c r="AK141" s="168">
        <v>821.97301497768694</v>
      </c>
      <c r="AL141" s="168">
        <v>819.93777927459303</v>
      </c>
      <c r="AM141" s="168">
        <v>830.41318016090645</v>
      </c>
      <c r="AN141" s="168">
        <v>830.24910324207224</v>
      </c>
      <c r="AO141" s="168">
        <v>831.79939194163501</v>
      </c>
      <c r="AP141" s="168">
        <v>828.89578322778334</v>
      </c>
      <c r="AQ141" s="168">
        <v>832.07347832418293</v>
      </c>
      <c r="AR141" s="168">
        <v>833.81710649475428</v>
      </c>
      <c r="AS141" s="168">
        <v>827.5163482351918</v>
      </c>
      <c r="AT141" s="168">
        <v>835.645639074972</v>
      </c>
      <c r="AU141" s="168">
        <v>829.83893659152011</v>
      </c>
      <c r="AV141" s="168">
        <v>826.99480839316629</v>
      </c>
      <c r="AW141" s="168">
        <v>830.12530097165654</v>
      </c>
      <c r="AX141" s="168">
        <v>828.12006231741339</v>
      </c>
      <c r="AY141" s="168">
        <v>838.75484085115068</v>
      </c>
      <c r="AZ141" s="168">
        <v>838.62373039962688</v>
      </c>
      <c r="BA141" s="168">
        <v>840.2043336148771</v>
      </c>
      <c r="BB141" s="168">
        <v>837.25175601656815</v>
      </c>
      <c r="BC141" s="168">
        <v>840.44626731773246</v>
      </c>
      <c r="BD141" s="168">
        <v>842.20387654759986</v>
      </c>
      <c r="BE141" s="168">
        <v>835.80965339296461</v>
      </c>
      <c r="BF141" s="168">
        <v>844.01394177502777</v>
      </c>
      <c r="BG141" s="168">
        <v>838.12808491421367</v>
      </c>
      <c r="BH141" s="168">
        <v>835.23998572238577</v>
      </c>
      <c r="BI141" s="168">
        <v>838.40528297572644</v>
      </c>
      <c r="BJ141" s="168">
        <v>836.37901507975482</v>
      </c>
      <c r="BK141" s="168">
        <v>847.12282622809914</v>
      </c>
      <c r="BL141" s="168">
        <v>846.97268619246665</v>
      </c>
      <c r="BM141" s="168">
        <v>848.56469975239168</v>
      </c>
      <c r="BN141" s="168">
        <v>845.57670309958962</v>
      </c>
      <c r="BO141" s="168">
        <v>848.80134757352209</v>
      </c>
      <c r="BP141" s="168">
        <v>850.58595395195346</v>
      </c>
      <c r="BQ141" s="168">
        <v>844.11186644937868</v>
      </c>
      <c r="BR141" s="168">
        <v>852.40408623644555</v>
      </c>
      <c r="BS141" s="168">
        <v>846.45259941309826</v>
      </c>
      <c r="BT141" s="168">
        <v>843.5336446154588</v>
      </c>
      <c r="BU141" s="168">
        <v>846.74728178691419</v>
      </c>
      <c r="BV141" s="168">
        <v>844.71324362850248</v>
      </c>
      <c r="BW141" s="168">
        <v>855.58076742260096</v>
      </c>
      <c r="BX141" s="168">
        <v>855.42448918812784</v>
      </c>
      <c r="BY141" s="168">
        <v>857.0258639518438</v>
      </c>
      <c r="BZ141" s="168">
        <v>853.98383138385714</v>
      </c>
      <c r="CA141" s="168">
        <v>857.22073824485051</v>
      </c>
      <c r="CB141" s="168">
        <v>859.01403204162546</v>
      </c>
      <c r="CC141" s="168">
        <v>852.44191756852194</v>
      </c>
      <c r="CD141" s="168">
        <v>860.8037651198124</v>
      </c>
      <c r="CE141" s="168">
        <v>854.76901007989136</v>
      </c>
      <c r="CF141" s="168">
        <v>851.80145595178396</v>
      </c>
      <c r="CG141" s="168">
        <v>855.04537958728599</v>
      </c>
      <c r="CH141" s="168">
        <v>852.98584767594582</v>
      </c>
      <c r="CI141" s="168">
        <v>863.95823398621053</v>
      </c>
      <c r="CJ141" s="168">
        <v>863.77758220348994</v>
      </c>
      <c r="CK141" s="168">
        <v>865.39168465419414</v>
      </c>
      <c r="CL141" s="168">
        <v>862.32075656160794</v>
      </c>
      <c r="CM141" s="168">
        <v>865.59447120208108</v>
      </c>
      <c r="CN141" s="168">
        <v>867.42084070582791</v>
      </c>
      <c r="CO141" s="168">
        <v>860.77566901662601</v>
      </c>
    </row>
    <row r="142" spans="1:93" x14ac:dyDescent="0.2">
      <c r="A142" s="118">
        <f t="shared" si="14"/>
        <v>5</v>
      </c>
      <c r="B142" s="234" t="s">
        <v>149</v>
      </c>
      <c r="C142" s="223"/>
      <c r="D142" s="172">
        <f>SUMIF($AH$8:$CP$8,1,$AH142:$CP142)</f>
        <v>168887.72794582756</v>
      </c>
      <c r="E142" s="225" t="s">
        <v>545</v>
      </c>
      <c r="F142" s="183">
        <v>21.57</v>
      </c>
      <c r="G142" s="233" t="s">
        <v>375</v>
      </c>
      <c r="H142" s="187">
        <f>ROUND(D142*F142,2)</f>
        <v>3642908.29</v>
      </c>
      <c r="I142" s="229"/>
      <c r="J142" s="257">
        <f>D142</f>
        <v>168887.72794582756</v>
      </c>
      <c r="K142" s="225" t="s">
        <v>545</v>
      </c>
      <c r="L142" s="310">
        <f>ROUND(F142*(1+'Exhibit MJC-2 - Old E-8a'!V21)+L140,2)</f>
        <v>22.51</v>
      </c>
      <c r="M142" s="233"/>
      <c r="N142" s="187">
        <f>ROUND(J142*L142,2)</f>
        <v>3801662.76</v>
      </c>
      <c r="O142" s="227"/>
      <c r="P142" s="230"/>
      <c r="Q142" s="1022"/>
      <c r="R142" s="227"/>
      <c r="S142" s="227"/>
      <c r="T142" s="227"/>
      <c r="U142" s="178" t="s">
        <v>137</v>
      </c>
      <c r="V142" s="179">
        <v>243</v>
      </c>
      <c r="W142" s="180">
        <v>217</v>
      </c>
      <c r="X142" s="227"/>
      <c r="Y142" s="178"/>
      <c r="Z142" s="181"/>
      <c r="AA142" s="227"/>
      <c r="AB142" s="182">
        <f>SUM(AH142:AS142)</f>
        <v>163911.89220823839</v>
      </c>
      <c r="AC142" s="182">
        <f>SUM(AT142:BE142)</f>
        <v>165575.50905074866</v>
      </c>
      <c r="AD142" s="182">
        <f>SUM(BF142:BQ142)</f>
        <v>167225.3671961673</v>
      </c>
      <c r="AE142" s="182">
        <f>SUM(BR142:CC142)</f>
        <v>168887.72794582756</v>
      </c>
      <c r="AF142" s="182">
        <f>SUM(CD142:CO142)</f>
        <v>170541.20372150553</v>
      </c>
      <c r="AH142" s="168">
        <v>13649.741249105078</v>
      </c>
      <c r="AI142" s="168">
        <v>13566.770333120641</v>
      </c>
      <c r="AJ142" s="168">
        <v>13526.942455835691</v>
      </c>
      <c r="AK142" s="168">
        <v>13577.248565762951</v>
      </c>
      <c r="AL142" s="168">
        <v>13543.630794221421</v>
      </c>
      <c r="AM142" s="168">
        <v>13716.662170030457</v>
      </c>
      <c r="AN142" s="168">
        <v>13713.951967784978</v>
      </c>
      <c r="AO142" s="168">
        <v>13739.559444720493</v>
      </c>
      <c r="AP142" s="168">
        <v>13691.597995223579</v>
      </c>
      <c r="AQ142" s="168">
        <v>13744.086769677073</v>
      </c>
      <c r="AR142" s="168">
        <v>13772.887804074482</v>
      </c>
      <c r="AS142" s="168">
        <v>13668.812658681556</v>
      </c>
      <c r="AT142" s="168">
        <v>13803.091279005937</v>
      </c>
      <c r="AU142" s="168">
        <v>13707.176885797544</v>
      </c>
      <c r="AV142" s="168">
        <v>13660.19792809661</v>
      </c>
      <c r="AW142" s="168">
        <v>13711.907017199239</v>
      </c>
      <c r="AX142" s="168">
        <v>13678.784733199351</v>
      </c>
      <c r="AY142" s="168">
        <v>13854.448689270112</v>
      </c>
      <c r="AZ142" s="168">
        <v>13852.283023053009</v>
      </c>
      <c r="BA142" s="168">
        <v>13878.391231408095</v>
      </c>
      <c r="BB142" s="168">
        <v>13829.620919936213</v>
      </c>
      <c r="BC142" s="168">
        <v>13882.387462379487</v>
      </c>
      <c r="BD142" s="168">
        <v>13911.419434184592</v>
      </c>
      <c r="BE142" s="168">
        <v>13805.800447218462</v>
      </c>
      <c r="BF142" s="168">
        <v>13941.317867667472</v>
      </c>
      <c r="BG142" s="168">
        <v>13844.096012246899</v>
      </c>
      <c r="BH142" s="168">
        <v>13796.390747115911</v>
      </c>
      <c r="BI142" s="168">
        <v>13848.674735531638</v>
      </c>
      <c r="BJ142" s="168">
        <v>13815.205093118648</v>
      </c>
      <c r="BK142" s="168">
        <v>13992.67003642782</v>
      </c>
      <c r="BL142" s="168">
        <v>13990.190041894775</v>
      </c>
      <c r="BM142" s="168">
        <v>14016.486724911498</v>
      </c>
      <c r="BN142" s="168">
        <v>13967.131365879592</v>
      </c>
      <c r="BO142" s="168">
        <v>14020.395644342532</v>
      </c>
      <c r="BP142" s="168">
        <v>14049.873551707493</v>
      </c>
      <c r="BQ142" s="168">
        <v>13942.935375323024</v>
      </c>
      <c r="BR142" s="168">
        <v>14079.905235840892</v>
      </c>
      <c r="BS142" s="168">
        <v>13981.599312819024</v>
      </c>
      <c r="BT142" s="168">
        <v>13933.384378608742</v>
      </c>
      <c r="BU142" s="168">
        <v>13986.466839811204</v>
      </c>
      <c r="BV142" s="168">
        <v>13952.868849164575</v>
      </c>
      <c r="BW142" s="168">
        <v>14132.377262650416</v>
      </c>
      <c r="BX142" s="168">
        <v>14129.795878108349</v>
      </c>
      <c r="BY142" s="168">
        <v>14156.247188331108</v>
      </c>
      <c r="BZ142" s="168">
        <v>14105.999270737582</v>
      </c>
      <c r="CA142" s="168">
        <v>14159.466097792876</v>
      </c>
      <c r="CB142" s="168">
        <v>14189.087502859215</v>
      </c>
      <c r="CC142" s="168">
        <v>14080.530129103585</v>
      </c>
      <c r="CD142" s="168">
        <v>14218.650092416456</v>
      </c>
      <c r="CE142" s="168">
        <v>14118.96875529528</v>
      </c>
      <c r="CF142" s="168">
        <v>14069.951063357104</v>
      </c>
      <c r="CG142" s="168">
        <v>14123.533792625607</v>
      </c>
      <c r="CH142" s="168">
        <v>14089.514699322228</v>
      </c>
      <c r="CI142" s="168">
        <v>14270.755218876368</v>
      </c>
      <c r="CJ142" s="168">
        <v>14267.771235079877</v>
      </c>
      <c r="CK142" s="168">
        <v>14294.43277966162</v>
      </c>
      <c r="CL142" s="168">
        <v>14243.707569367753</v>
      </c>
      <c r="CM142" s="168">
        <v>14297.782382770585</v>
      </c>
      <c r="CN142" s="168">
        <v>14327.950128272514</v>
      </c>
      <c r="CO142" s="168">
        <v>14218.186004460111</v>
      </c>
    </row>
    <row r="143" spans="1:93" x14ac:dyDescent="0.2">
      <c r="A143" s="118">
        <f t="shared" si="14"/>
        <v>6</v>
      </c>
      <c r="B143" s="234"/>
      <c r="C143" s="223" t="s">
        <v>374</v>
      </c>
      <c r="D143" s="204">
        <f>D141+D142</f>
        <v>179112.2704413094</v>
      </c>
      <c r="E143" s="233" t="s">
        <v>581</v>
      </c>
      <c r="F143" s="183"/>
      <c r="G143" s="233"/>
      <c r="H143" s="206">
        <f>H141+H142</f>
        <v>3767443.22</v>
      </c>
      <c r="I143" s="229"/>
      <c r="J143" s="168">
        <f>J141+J142</f>
        <v>179112.2704413094</v>
      </c>
      <c r="K143" s="225"/>
      <c r="L143" s="183"/>
      <c r="M143" s="233"/>
      <c r="N143" s="206">
        <f>N141+N142</f>
        <v>3931207.71</v>
      </c>
      <c r="O143" s="227"/>
      <c r="P143" s="230"/>
      <c r="Q143" s="1022"/>
      <c r="R143" s="227"/>
      <c r="S143" s="227"/>
      <c r="T143" s="227"/>
      <c r="U143" s="178"/>
      <c r="V143" s="179"/>
      <c r="W143" s="180"/>
      <c r="X143" s="227"/>
      <c r="Y143" s="178" t="s">
        <v>137</v>
      </c>
      <c r="Z143" s="181" t="s">
        <v>451</v>
      </c>
      <c r="AA143" s="227"/>
      <c r="AB143" s="204">
        <f>AB141+AB142</f>
        <v>173835.1952675083</v>
      </c>
      <c r="AC143" s="204">
        <f>AC141+AC142</f>
        <v>175599.52825623791</v>
      </c>
      <c r="AD143" s="204">
        <f>AD141+AD142</f>
        <v>177349.26958988182</v>
      </c>
      <c r="AE143" s="204">
        <f>AE141+AE142</f>
        <v>179112.2704413094</v>
      </c>
      <c r="AF143" s="204">
        <f>AF141+AF142</f>
        <v>180865.8484182503</v>
      </c>
      <c r="AH143" s="204">
        <f t="shared" ref="AH143:CO143" si="15">AH141+AH142</f>
        <v>14476.103005233223</v>
      </c>
      <c r="AI143" s="204">
        <f t="shared" si="15"/>
        <v>14388.108990965149</v>
      </c>
      <c r="AJ143" s="204">
        <f t="shared" si="15"/>
        <v>14345.869915254134</v>
      </c>
      <c r="AK143" s="204">
        <f t="shared" si="15"/>
        <v>14399.221580740639</v>
      </c>
      <c r="AL143" s="204">
        <f t="shared" si="15"/>
        <v>14363.568573496013</v>
      </c>
      <c r="AM143" s="204">
        <f t="shared" si="15"/>
        <v>14547.075350191364</v>
      </c>
      <c r="AN143" s="204">
        <f t="shared" si="15"/>
        <v>14544.201071027052</v>
      </c>
      <c r="AO143" s="204">
        <f t="shared" si="15"/>
        <v>14571.358836662128</v>
      </c>
      <c r="AP143" s="204">
        <f t="shared" si="15"/>
        <v>14520.493778451362</v>
      </c>
      <c r="AQ143" s="204">
        <f t="shared" si="15"/>
        <v>14576.160248001255</v>
      </c>
      <c r="AR143" s="204">
        <f t="shared" si="15"/>
        <v>14606.704910569237</v>
      </c>
      <c r="AS143" s="204">
        <f t="shared" si="15"/>
        <v>14496.329006916749</v>
      </c>
      <c r="AT143" s="204">
        <f t="shared" si="15"/>
        <v>14638.736918080909</v>
      </c>
      <c r="AU143" s="204">
        <f t="shared" si="15"/>
        <v>14537.015822389065</v>
      </c>
      <c r="AV143" s="204">
        <f t="shared" si="15"/>
        <v>14487.192736489777</v>
      </c>
      <c r="AW143" s="204">
        <f t="shared" si="15"/>
        <v>14542.032318170895</v>
      </c>
      <c r="AX143" s="204">
        <f t="shared" si="15"/>
        <v>14506.904795516764</v>
      </c>
      <c r="AY143" s="204">
        <f t="shared" si="15"/>
        <v>14693.203530121262</v>
      </c>
      <c r="AZ143" s="204">
        <f t="shared" si="15"/>
        <v>14690.906753452637</v>
      </c>
      <c r="BA143" s="204">
        <f t="shared" si="15"/>
        <v>14718.595565022972</v>
      </c>
      <c r="BB143" s="204">
        <f t="shared" si="15"/>
        <v>14666.872675952782</v>
      </c>
      <c r="BC143" s="204">
        <f t="shared" si="15"/>
        <v>14722.83372969722</v>
      </c>
      <c r="BD143" s="204">
        <f t="shared" si="15"/>
        <v>14753.623310732191</v>
      </c>
      <c r="BE143" s="204">
        <f t="shared" si="15"/>
        <v>14641.610100611426</v>
      </c>
      <c r="BF143" s="204">
        <f t="shared" si="15"/>
        <v>14785.331809442499</v>
      </c>
      <c r="BG143" s="204">
        <f t="shared" si="15"/>
        <v>14682.224097161112</v>
      </c>
      <c r="BH143" s="204">
        <f t="shared" si="15"/>
        <v>14631.630732838297</v>
      </c>
      <c r="BI143" s="204">
        <f t="shared" si="15"/>
        <v>14687.080018507364</v>
      </c>
      <c r="BJ143" s="204">
        <f t="shared" si="15"/>
        <v>14651.584108198402</v>
      </c>
      <c r="BK143" s="204">
        <f t="shared" si="15"/>
        <v>14839.792862655919</v>
      </c>
      <c r="BL143" s="204">
        <f t="shared" si="15"/>
        <v>14837.162728087242</v>
      </c>
      <c r="BM143" s="204">
        <f t="shared" si="15"/>
        <v>14865.051424663889</v>
      </c>
      <c r="BN143" s="204">
        <f t="shared" si="15"/>
        <v>14812.708068979182</v>
      </c>
      <c r="BO143" s="204">
        <f t="shared" si="15"/>
        <v>14869.196991916055</v>
      </c>
      <c r="BP143" s="204">
        <f t="shared" si="15"/>
        <v>14900.459505659446</v>
      </c>
      <c r="BQ143" s="204">
        <f t="shared" si="15"/>
        <v>14787.047241772403</v>
      </c>
      <c r="BR143" s="204">
        <f t="shared" si="15"/>
        <v>14932.309322077337</v>
      </c>
      <c r="BS143" s="204">
        <f t="shared" si="15"/>
        <v>14828.051912232122</v>
      </c>
      <c r="BT143" s="204">
        <f t="shared" si="15"/>
        <v>14776.9180232242</v>
      </c>
      <c r="BU143" s="204">
        <f t="shared" si="15"/>
        <v>14833.214121598119</v>
      </c>
      <c r="BV143" s="204">
        <f t="shared" si="15"/>
        <v>14797.582092793078</v>
      </c>
      <c r="BW143" s="204">
        <f t="shared" si="15"/>
        <v>14987.958030073018</v>
      </c>
      <c r="BX143" s="204">
        <f t="shared" si="15"/>
        <v>14985.220367296477</v>
      </c>
      <c r="BY143" s="204">
        <f t="shared" si="15"/>
        <v>15013.273052282952</v>
      </c>
      <c r="BZ143" s="204">
        <f t="shared" si="15"/>
        <v>14959.98310212144</v>
      </c>
      <c r="CA143" s="204">
        <f t="shared" si="15"/>
        <v>15016.686836037727</v>
      </c>
      <c r="CB143" s="204">
        <f t="shared" si="15"/>
        <v>15048.101534900839</v>
      </c>
      <c r="CC143" s="204">
        <f t="shared" si="15"/>
        <v>14932.972046672106</v>
      </c>
      <c r="CD143" s="204">
        <f t="shared" si="15"/>
        <v>15079.453857536268</v>
      </c>
      <c r="CE143" s="204">
        <f t="shared" si="15"/>
        <v>14973.737765375172</v>
      </c>
      <c r="CF143" s="204">
        <f t="shared" si="15"/>
        <v>14921.752519308888</v>
      </c>
      <c r="CG143" s="204">
        <f t="shared" si="15"/>
        <v>14978.579172212892</v>
      </c>
      <c r="CH143" s="204">
        <f t="shared" si="15"/>
        <v>14942.500546998173</v>
      </c>
      <c r="CI143" s="204">
        <f t="shared" si="15"/>
        <v>15134.713452862577</v>
      </c>
      <c r="CJ143" s="204">
        <f t="shared" si="15"/>
        <v>15131.548817283367</v>
      </c>
      <c r="CK143" s="204">
        <f t="shared" si="15"/>
        <v>15159.824464315814</v>
      </c>
      <c r="CL143" s="204">
        <f t="shared" si="15"/>
        <v>15106.028325929361</v>
      </c>
      <c r="CM143" s="204">
        <f t="shared" si="15"/>
        <v>15163.376853972666</v>
      </c>
      <c r="CN143" s="204">
        <f t="shared" si="15"/>
        <v>15195.370968978343</v>
      </c>
      <c r="CO143" s="204">
        <f t="shared" si="15"/>
        <v>15078.961673476737</v>
      </c>
    </row>
    <row r="144" spans="1:93" x14ac:dyDescent="0.2">
      <c r="A144" s="118">
        <f t="shared" si="14"/>
        <v>7</v>
      </c>
      <c r="B144" s="243"/>
      <c r="C144" s="223"/>
      <c r="D144" s="168"/>
      <c r="E144" s="225"/>
      <c r="F144" s="183"/>
      <c r="G144" s="233"/>
      <c r="H144" s="174"/>
      <c r="I144" s="229"/>
      <c r="J144" s="168"/>
      <c r="K144" s="225"/>
      <c r="L144" s="183"/>
      <c r="M144" s="233"/>
      <c r="N144" s="174"/>
      <c r="O144" s="227"/>
      <c r="P144" s="230"/>
      <c r="Q144" s="941"/>
      <c r="R144" s="227"/>
      <c r="S144" s="227"/>
      <c r="T144" s="227"/>
      <c r="U144" s="178"/>
      <c r="V144" s="179"/>
      <c r="W144" s="180"/>
      <c r="X144" s="227"/>
      <c r="Y144" s="178"/>
      <c r="Z144" s="181"/>
      <c r="AA144" s="227"/>
      <c r="AB144" s="193">
        <f>SUM(AH144:AS144)</f>
        <v>0</v>
      </c>
      <c r="AC144" s="193">
        <f>SUM(AT144:BE144)</f>
        <v>0</v>
      </c>
      <c r="AD144" s="193">
        <f>SUM(BF144:BQ144)</f>
        <v>0</v>
      </c>
      <c r="AE144" s="193">
        <f>SUM(BR144:CC144)</f>
        <v>0</v>
      </c>
      <c r="AF144" s="193">
        <f>SUM(CD144:CO144)</f>
        <v>0</v>
      </c>
      <c r="AH144" s="258">
        <v>0</v>
      </c>
      <c r="AI144" s="258">
        <v>0</v>
      </c>
      <c r="AJ144" s="258">
        <v>0</v>
      </c>
      <c r="AK144" s="258">
        <v>0</v>
      </c>
      <c r="AL144" s="258">
        <v>0</v>
      </c>
      <c r="AM144" s="258">
        <v>0</v>
      </c>
      <c r="AN144" s="258">
        <v>0</v>
      </c>
      <c r="AO144" s="258">
        <v>0</v>
      </c>
      <c r="AP144" s="258">
        <v>0</v>
      </c>
      <c r="AQ144" s="258">
        <v>0</v>
      </c>
      <c r="AR144" s="258">
        <v>0</v>
      </c>
      <c r="AS144" s="258">
        <v>0</v>
      </c>
      <c r="AT144" s="258">
        <v>0</v>
      </c>
      <c r="AU144" s="258">
        <v>0</v>
      </c>
      <c r="AV144" s="258">
        <v>0</v>
      </c>
      <c r="AW144" s="258">
        <v>0</v>
      </c>
      <c r="AX144" s="258">
        <v>0</v>
      </c>
      <c r="AY144" s="258">
        <v>0</v>
      </c>
      <c r="AZ144" s="258">
        <v>0</v>
      </c>
      <c r="BA144" s="258">
        <v>0</v>
      </c>
      <c r="BB144" s="258">
        <v>0</v>
      </c>
      <c r="BC144" s="258">
        <v>0</v>
      </c>
      <c r="BD144" s="258">
        <v>0</v>
      </c>
      <c r="BE144" s="258">
        <v>0</v>
      </c>
      <c r="BF144" s="258">
        <v>0</v>
      </c>
      <c r="BG144" s="258">
        <v>0</v>
      </c>
      <c r="BH144" s="258">
        <v>0</v>
      </c>
      <c r="BI144" s="258">
        <v>0</v>
      </c>
      <c r="BJ144" s="258">
        <v>0</v>
      </c>
      <c r="BK144" s="258">
        <v>0</v>
      </c>
      <c r="BL144" s="258">
        <v>0</v>
      </c>
      <c r="BM144" s="258">
        <v>0</v>
      </c>
      <c r="BN144" s="258">
        <v>0</v>
      </c>
      <c r="BO144" s="258">
        <v>0</v>
      </c>
      <c r="BP144" s="258">
        <v>0</v>
      </c>
      <c r="BQ144" s="258">
        <v>0</v>
      </c>
      <c r="BR144" s="258">
        <v>0</v>
      </c>
      <c r="BS144" s="258">
        <v>0</v>
      </c>
      <c r="BT144" s="258">
        <v>0</v>
      </c>
      <c r="BU144" s="258">
        <v>0</v>
      </c>
      <c r="BV144" s="258">
        <v>0</v>
      </c>
      <c r="BW144" s="258">
        <v>0</v>
      </c>
      <c r="BX144" s="258">
        <v>0</v>
      </c>
      <c r="BY144" s="258">
        <v>0</v>
      </c>
      <c r="BZ144" s="258">
        <v>0</v>
      </c>
      <c r="CA144" s="258">
        <v>0</v>
      </c>
      <c r="CB144" s="258">
        <v>0</v>
      </c>
      <c r="CC144" s="258">
        <v>0</v>
      </c>
      <c r="CD144" s="258">
        <v>0</v>
      </c>
      <c r="CE144" s="258">
        <v>0</v>
      </c>
      <c r="CF144" s="258">
        <v>0</v>
      </c>
      <c r="CG144" s="258">
        <v>0</v>
      </c>
      <c r="CH144" s="258">
        <v>0</v>
      </c>
      <c r="CI144" s="258">
        <v>0</v>
      </c>
      <c r="CJ144" s="258">
        <v>0</v>
      </c>
      <c r="CK144" s="258">
        <v>0</v>
      </c>
      <c r="CL144" s="258">
        <v>0</v>
      </c>
      <c r="CM144" s="258">
        <v>0</v>
      </c>
      <c r="CN144" s="258">
        <v>0</v>
      </c>
      <c r="CO144" s="258">
        <v>0</v>
      </c>
    </row>
    <row r="145" spans="1:94" x14ac:dyDescent="0.2">
      <c r="A145" s="118">
        <f t="shared" si="14"/>
        <v>8</v>
      </c>
      <c r="B145" s="239" t="s">
        <v>551</v>
      </c>
      <c r="C145" s="223"/>
      <c r="D145" s="168"/>
      <c r="E145" s="225"/>
      <c r="F145" s="183"/>
      <c r="G145" s="233"/>
      <c r="H145" s="174"/>
      <c r="I145" s="229"/>
      <c r="J145" s="168"/>
      <c r="K145" s="225"/>
      <c r="L145" s="183"/>
      <c r="M145" s="233"/>
      <c r="N145" s="174"/>
      <c r="O145" s="227"/>
      <c r="P145" s="230"/>
      <c r="Q145" s="941"/>
      <c r="R145" s="230"/>
      <c r="S145" s="230"/>
      <c r="T145" s="227"/>
      <c r="U145" s="184"/>
      <c r="V145" s="179"/>
      <c r="W145" s="180"/>
      <c r="X145" s="227"/>
      <c r="Y145" s="184"/>
      <c r="Z145" s="181"/>
      <c r="AA145" s="227"/>
      <c r="AB145" s="227"/>
      <c r="AC145" s="227"/>
    </row>
    <row r="146" spans="1:94" x14ac:dyDescent="0.2">
      <c r="A146" s="118">
        <f t="shared" si="14"/>
        <v>9</v>
      </c>
      <c r="B146" s="228" t="s">
        <v>543</v>
      </c>
      <c r="C146" s="223"/>
      <c r="D146" s="168"/>
      <c r="E146" s="225"/>
      <c r="F146" s="183"/>
      <c r="G146" s="233"/>
      <c r="H146" s="174"/>
      <c r="I146" s="229"/>
      <c r="J146" s="168"/>
      <c r="K146" s="225"/>
      <c r="L146" s="1368">
        <v>0.03</v>
      </c>
      <c r="M146" s="233"/>
      <c r="N146" s="174"/>
      <c r="O146" s="227"/>
      <c r="P146" s="230"/>
      <c r="Q146" s="941"/>
      <c r="R146" s="259"/>
      <c r="S146" s="259"/>
      <c r="T146" s="227"/>
      <c r="U146" s="178"/>
      <c r="V146" s="179"/>
      <c r="W146" s="180"/>
      <c r="X146" s="227"/>
      <c r="Y146" s="178"/>
      <c r="Z146" s="181"/>
      <c r="AA146" s="227"/>
      <c r="AB146" s="227"/>
      <c r="AC146" s="227"/>
    </row>
    <row r="147" spans="1:94" x14ac:dyDescent="0.2">
      <c r="A147" s="118">
        <f t="shared" si="14"/>
        <v>10</v>
      </c>
      <c r="B147" s="234" t="s">
        <v>149</v>
      </c>
      <c r="C147" s="223"/>
      <c r="D147" s="172">
        <f>SUMIF($AH$8:$CP$8,1,$AH147:$CP147)+'Unbilled to E-13c'!P56</f>
        <v>209117.90715484309</v>
      </c>
      <c r="E147" s="225" t="s">
        <v>555</v>
      </c>
      <c r="F147" s="183">
        <v>37.369999999999997</v>
      </c>
      <c r="G147" s="233" t="s">
        <v>375</v>
      </c>
      <c r="H147" s="174">
        <f>ROUND(D147*F147,2)</f>
        <v>7814736.1900000004</v>
      </c>
      <c r="I147" s="229"/>
      <c r="J147" s="168">
        <f>D147</f>
        <v>209117.90715484309</v>
      </c>
      <c r="K147" s="225" t="s">
        <v>555</v>
      </c>
      <c r="L147" s="310">
        <f>ROUND(F147*(1+'Exhibit MJC-2 - Old E-8a'!V21)+L146,2)</f>
        <v>38.909999999999997</v>
      </c>
      <c r="M147" s="233" t="s">
        <v>375</v>
      </c>
      <c r="N147" s="174">
        <f>ROUND(J147*L147,2)</f>
        <v>8136777.7699999996</v>
      </c>
      <c r="O147" s="227"/>
      <c r="P147" s="230"/>
      <c r="Q147" s="1022"/>
      <c r="R147" s="227"/>
      <c r="S147" s="227"/>
      <c r="T147" s="227"/>
      <c r="U147" s="178" t="s">
        <v>137</v>
      </c>
      <c r="V147" s="179">
        <v>243</v>
      </c>
      <c r="W147" s="180">
        <v>217</v>
      </c>
      <c r="X147" s="227"/>
      <c r="Y147" s="178" t="s">
        <v>137</v>
      </c>
      <c r="Z147" s="181" t="s">
        <v>141</v>
      </c>
      <c r="AA147" s="227"/>
      <c r="AB147" s="182">
        <f>SUM(AH147:AS147)</f>
        <v>207091.11871676077</v>
      </c>
      <c r="AC147" s="182">
        <f>SUM(AT147:BE147)</f>
        <v>208021.93172298439</v>
      </c>
      <c r="AD147" s="182">
        <f>SUM(BF147:BQ147)</f>
        <v>208403.52389238146</v>
      </c>
      <c r="AE147" s="182">
        <f>SUM(BR147:CC147)</f>
        <v>208924.4911548431</v>
      </c>
      <c r="AF147" s="182">
        <f>SUM(CD147:CO147)</f>
        <v>209825.98007780476</v>
      </c>
      <c r="AH147" s="168">
        <v>20281.105336934685</v>
      </c>
      <c r="AI147" s="168">
        <v>16598.46037892883</v>
      </c>
      <c r="AJ147" s="168">
        <v>14203.829541062916</v>
      </c>
      <c r="AK147" s="168">
        <v>18225.808902171986</v>
      </c>
      <c r="AL147" s="168">
        <v>17301.212017398015</v>
      </c>
      <c r="AM147" s="168">
        <v>17809.625573317862</v>
      </c>
      <c r="AN147" s="168">
        <v>17030.474484203107</v>
      </c>
      <c r="AO147" s="168">
        <v>17472.48629911368</v>
      </c>
      <c r="AP147" s="168">
        <v>17128.74202919169</v>
      </c>
      <c r="AQ147" s="168">
        <v>17890.841976548883</v>
      </c>
      <c r="AR147" s="168">
        <v>16966.58908295607</v>
      </c>
      <c r="AS147" s="168">
        <v>16181.943094933027</v>
      </c>
      <c r="AT147" s="168">
        <v>19933.600488934568</v>
      </c>
      <c r="AU147" s="168">
        <v>16443.418339268999</v>
      </c>
      <c r="AV147" s="168">
        <v>13794.442217934526</v>
      </c>
      <c r="AW147" s="168">
        <v>18349.703595538842</v>
      </c>
      <c r="AX147" s="168">
        <v>17329.182431565721</v>
      </c>
      <c r="AY147" s="168">
        <v>17513.091819610883</v>
      </c>
      <c r="AZ147" s="168">
        <v>17730.872352424511</v>
      </c>
      <c r="BA147" s="168">
        <v>17613.004562141145</v>
      </c>
      <c r="BB147" s="168">
        <v>17502.252780583356</v>
      </c>
      <c r="BC147" s="168">
        <v>18468.096064581267</v>
      </c>
      <c r="BD147" s="168">
        <v>17169.091283228332</v>
      </c>
      <c r="BE147" s="168">
        <v>16175.175787172218</v>
      </c>
      <c r="BF147" s="168">
        <v>19495.224901935973</v>
      </c>
      <c r="BG147" s="168">
        <v>16580.116383911576</v>
      </c>
      <c r="BH147" s="168">
        <v>13961.327812883177</v>
      </c>
      <c r="BI147" s="168">
        <v>18065.730064148207</v>
      </c>
      <c r="BJ147" s="168">
        <v>17381.344127900018</v>
      </c>
      <c r="BK147" s="168">
        <v>17842.86604053609</v>
      </c>
      <c r="BL147" s="168">
        <v>17858.007269095076</v>
      </c>
      <c r="BM147" s="168">
        <v>17802.66782401111</v>
      </c>
      <c r="BN147" s="168">
        <v>17559.613525888777</v>
      </c>
      <c r="BO147" s="168">
        <v>18228.597613187871</v>
      </c>
      <c r="BP147" s="168">
        <v>17059.699248610341</v>
      </c>
      <c r="BQ147" s="168">
        <v>16568.329080273212</v>
      </c>
      <c r="BR147" s="168">
        <v>19395.012165316293</v>
      </c>
      <c r="BS147" s="168">
        <v>16299.352549359028</v>
      </c>
      <c r="BT147" s="168">
        <v>14131.01317016997</v>
      </c>
      <c r="BU147" s="168">
        <v>18395.584502268495</v>
      </c>
      <c r="BV147" s="168">
        <v>16923.404348854521</v>
      </c>
      <c r="BW147" s="168">
        <v>18189.73749181924</v>
      </c>
      <c r="BX147" s="168">
        <v>18193.177992706431</v>
      </c>
      <c r="BY147" s="168">
        <v>17967.429681887676</v>
      </c>
      <c r="BZ147" s="168">
        <v>17625.180518568581</v>
      </c>
      <c r="CA147" s="168">
        <v>18424.967030692645</v>
      </c>
      <c r="CB147" s="168">
        <v>17114.054590472177</v>
      </c>
      <c r="CC147" s="168">
        <v>16265.577112728053</v>
      </c>
      <c r="CD147" s="168">
        <v>19490.746253895231</v>
      </c>
      <c r="CE147" s="168">
        <v>16056.201592017729</v>
      </c>
      <c r="CF147" s="168">
        <v>13699.438530415162</v>
      </c>
      <c r="CG147" s="168">
        <v>18780.494681411197</v>
      </c>
      <c r="CH147" s="168">
        <v>17383.819734269684</v>
      </c>
      <c r="CI147" s="168">
        <v>17911.732712443601</v>
      </c>
      <c r="CJ147" s="168">
        <v>18191.110880364366</v>
      </c>
      <c r="CK147" s="168">
        <v>18047.663799022204</v>
      </c>
      <c r="CL147" s="168">
        <v>18100.194949675722</v>
      </c>
      <c r="CM147" s="168">
        <v>18524.561387008525</v>
      </c>
      <c r="CN147" s="168">
        <v>17400.380586589832</v>
      </c>
      <c r="CO147" s="168">
        <v>16239.634970691513</v>
      </c>
    </row>
    <row r="148" spans="1:94" x14ac:dyDescent="0.2">
      <c r="A148" s="118">
        <f t="shared" si="14"/>
        <v>11</v>
      </c>
      <c r="B148" s="223"/>
      <c r="C148" s="223"/>
      <c r="D148" s="168"/>
      <c r="E148" s="225"/>
      <c r="F148" s="183"/>
      <c r="G148" s="223"/>
      <c r="H148" s="174"/>
      <c r="I148" s="229"/>
      <c r="J148" s="223"/>
      <c r="K148" s="225"/>
      <c r="L148" s="183"/>
      <c r="M148" s="223"/>
      <c r="N148" s="174"/>
      <c r="O148" s="227"/>
      <c r="P148" s="230"/>
      <c r="Q148" s="227"/>
      <c r="R148" s="227"/>
      <c r="S148" s="227"/>
      <c r="T148" s="227"/>
      <c r="U148" s="178"/>
      <c r="V148" s="179"/>
      <c r="W148" s="180"/>
      <c r="X148" s="227"/>
      <c r="Y148" s="178"/>
      <c r="Z148" s="181"/>
      <c r="AA148" s="227"/>
      <c r="AB148" s="193">
        <f>SUM(AH148:AS148)</f>
        <v>0</v>
      </c>
      <c r="AC148" s="193">
        <f>SUM(AT148:BE148)</f>
        <v>0</v>
      </c>
      <c r="AD148" s="193">
        <f>SUM(BF148:BQ148)</f>
        <v>0</v>
      </c>
      <c r="AE148" s="193">
        <f>SUM(BR148:CC148)</f>
        <v>0</v>
      </c>
      <c r="AF148" s="193">
        <f>SUM(CD148:CO148)</f>
        <v>0</v>
      </c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  <c r="AW148" s="193"/>
      <c r="AX148" s="193"/>
      <c r="AY148" s="193"/>
      <c r="AZ148" s="193"/>
      <c r="BA148" s="193"/>
      <c r="BB148" s="193"/>
      <c r="BC148" s="193"/>
      <c r="BD148" s="193"/>
      <c r="BE148" s="193"/>
      <c r="BF148" s="193"/>
      <c r="BG148" s="193"/>
      <c r="BH148" s="193"/>
      <c r="BI148" s="193"/>
      <c r="BJ148" s="193"/>
      <c r="BK148" s="193"/>
      <c r="BL148" s="193"/>
      <c r="BM148" s="193"/>
      <c r="BN148" s="193"/>
      <c r="BO148" s="193"/>
      <c r="BP148" s="193"/>
      <c r="BQ148" s="193"/>
      <c r="BR148" s="193"/>
      <c r="BS148" s="193"/>
      <c r="BT148" s="193"/>
      <c r="BU148" s="193"/>
      <c r="BV148" s="193"/>
      <c r="BW148" s="193"/>
      <c r="BX148" s="193"/>
      <c r="BY148" s="193"/>
      <c r="BZ148" s="193"/>
      <c r="CA148" s="193"/>
      <c r="CB148" s="193"/>
      <c r="CC148" s="193"/>
      <c r="CD148" s="193"/>
      <c r="CE148" s="193"/>
      <c r="CF148" s="193"/>
      <c r="CG148" s="193"/>
      <c r="CH148" s="193"/>
      <c r="CI148" s="193"/>
      <c r="CJ148" s="193"/>
      <c r="CK148" s="193"/>
      <c r="CL148" s="193"/>
      <c r="CM148" s="193"/>
      <c r="CN148" s="193"/>
      <c r="CO148" s="193"/>
    </row>
    <row r="149" spans="1:94" x14ac:dyDescent="0.2">
      <c r="A149" s="118">
        <f t="shared" si="14"/>
        <v>12</v>
      </c>
      <c r="B149" s="246" t="s">
        <v>563</v>
      </c>
      <c r="C149" s="223"/>
      <c r="D149" s="168"/>
      <c r="E149" s="225"/>
      <c r="F149" s="183"/>
      <c r="G149" s="223"/>
      <c r="H149" s="174"/>
      <c r="I149" s="229"/>
      <c r="J149" s="223"/>
      <c r="K149" s="225"/>
      <c r="L149" s="183"/>
      <c r="M149" s="223"/>
      <c r="N149" s="174"/>
      <c r="O149" s="227"/>
      <c r="P149" s="230"/>
      <c r="Q149" s="227"/>
      <c r="R149" s="227"/>
      <c r="S149" s="227"/>
      <c r="T149" s="227"/>
      <c r="U149" s="178"/>
      <c r="V149" s="179"/>
      <c r="W149" s="180"/>
      <c r="X149" s="227"/>
      <c r="Y149" s="178"/>
      <c r="Z149" s="181"/>
      <c r="AA149" s="227"/>
      <c r="AB149" s="227"/>
      <c r="AC149" s="227"/>
      <c r="AE149" s="260"/>
      <c r="AF149" s="260"/>
      <c r="AG149" s="260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</row>
    <row r="150" spans="1:94" x14ac:dyDescent="0.2">
      <c r="A150" s="118">
        <f t="shared" si="14"/>
        <v>13</v>
      </c>
      <c r="B150" s="223"/>
      <c r="C150" s="223"/>
      <c r="D150" s="168"/>
      <c r="E150" s="225"/>
      <c r="F150" s="223"/>
      <c r="G150" s="223"/>
      <c r="H150" s="174"/>
      <c r="I150" s="229"/>
      <c r="J150" s="223"/>
      <c r="K150" s="225"/>
      <c r="L150" s="223"/>
      <c r="M150" s="223"/>
      <c r="N150" s="174"/>
      <c r="O150" s="227"/>
      <c r="P150" s="103"/>
      <c r="Q150" s="227"/>
      <c r="R150" s="227"/>
      <c r="S150" s="227"/>
      <c r="T150" s="227"/>
      <c r="U150" s="178"/>
      <c r="V150" s="179"/>
      <c r="W150" s="180"/>
      <c r="X150" s="227"/>
      <c r="Y150" s="178"/>
      <c r="Z150" s="181"/>
      <c r="AA150" s="227"/>
      <c r="AB150" s="227"/>
      <c r="AC150" s="227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</row>
    <row r="151" spans="1:94" x14ac:dyDescent="0.2">
      <c r="A151" s="118">
        <f t="shared" si="14"/>
        <v>14</v>
      </c>
      <c r="B151" s="171" t="s">
        <v>564</v>
      </c>
      <c r="C151" s="223"/>
      <c r="D151" s="168"/>
      <c r="E151" s="225"/>
      <c r="F151" s="166"/>
      <c r="G151" s="223"/>
      <c r="H151" s="174">
        <f>'MFR E-5 Yr4'!L22*1000</f>
        <v>287440.734</v>
      </c>
      <c r="I151" s="162"/>
      <c r="J151" s="208"/>
      <c r="K151" s="166"/>
      <c r="L151" s="166"/>
      <c r="M151" s="143"/>
      <c r="N151" s="174">
        <f>H151</f>
        <v>287440.734</v>
      </c>
      <c r="O151" s="227"/>
      <c r="P151" s="103"/>
      <c r="Q151" s="227"/>
      <c r="R151" s="227"/>
      <c r="S151" s="227"/>
      <c r="T151" s="227"/>
      <c r="U151" s="184"/>
      <c r="V151" s="179"/>
      <c r="W151" s="180"/>
      <c r="X151" s="227"/>
      <c r="Y151" s="184" t="s">
        <v>137</v>
      </c>
      <c r="Z151" s="181" t="s">
        <v>565</v>
      </c>
      <c r="AA151" s="227"/>
      <c r="AB151" s="227"/>
      <c r="AC151" s="227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</row>
    <row r="152" spans="1:94" x14ac:dyDescent="0.2">
      <c r="A152" s="118">
        <f t="shared" si="14"/>
        <v>15</v>
      </c>
      <c r="B152" s="171" t="s">
        <v>566</v>
      </c>
      <c r="C152" s="223"/>
      <c r="D152" s="168"/>
      <c r="E152" s="225"/>
      <c r="F152" s="166"/>
      <c r="G152" s="223"/>
      <c r="H152" s="174">
        <f>'MFR E-5 Yr4'!L23*1000</f>
        <v>122162.31194999962</v>
      </c>
      <c r="I152" s="162"/>
      <c r="J152" s="208"/>
      <c r="K152" s="166"/>
      <c r="L152" s="166"/>
      <c r="M152" s="143"/>
      <c r="N152" s="174">
        <f>H152</f>
        <v>122162.31194999962</v>
      </c>
      <c r="O152" s="227"/>
      <c r="P152" s="103"/>
      <c r="Q152" s="227"/>
      <c r="R152" s="227"/>
      <c r="S152" s="227"/>
      <c r="T152" s="227"/>
      <c r="U152" s="184"/>
      <c r="V152" s="179"/>
      <c r="W152" s="180"/>
      <c r="X152" s="227"/>
      <c r="Y152" s="184" t="s">
        <v>137</v>
      </c>
      <c r="Z152" s="181" t="s">
        <v>565</v>
      </c>
      <c r="AA152" s="227"/>
      <c r="AB152" s="227"/>
      <c r="AC152" s="227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</row>
    <row r="153" spans="1:94" x14ac:dyDescent="0.2">
      <c r="A153" s="118">
        <f>+A151+1</f>
        <v>15</v>
      </c>
      <c r="B153" s="223"/>
      <c r="C153" s="223"/>
      <c r="D153" s="168"/>
      <c r="E153" s="225"/>
      <c r="F153" s="223"/>
      <c r="G153" s="223"/>
      <c r="H153" s="174"/>
      <c r="I153" s="229"/>
      <c r="J153" s="223"/>
      <c r="K153" s="225"/>
      <c r="L153" s="223"/>
      <c r="M153" s="223"/>
      <c r="N153" s="174"/>
      <c r="O153" s="227"/>
      <c r="P153" s="103"/>
      <c r="Q153" s="227"/>
      <c r="R153" s="227"/>
      <c r="S153" s="227"/>
      <c r="T153" s="227"/>
      <c r="U153" s="184"/>
      <c r="V153" s="179"/>
      <c r="W153" s="180"/>
      <c r="X153" s="227"/>
      <c r="Y153" s="184"/>
      <c r="Z153" s="181"/>
      <c r="AA153" s="227"/>
      <c r="AB153" s="227"/>
      <c r="AC153" s="227"/>
      <c r="AE153" s="114"/>
      <c r="AF153" s="114"/>
      <c r="AG153" s="238"/>
      <c r="AH153" s="227"/>
      <c r="AI153" s="227"/>
      <c r="AJ153" s="227"/>
      <c r="AK153" s="227"/>
      <c r="AL153" s="227"/>
      <c r="AM153" s="227"/>
      <c r="AN153" s="227"/>
      <c r="AO153" s="227"/>
      <c r="AP153" s="227"/>
      <c r="AQ153" s="227"/>
      <c r="AR153" s="227"/>
      <c r="AS153" s="227"/>
      <c r="AT153" s="227"/>
      <c r="AU153" s="227"/>
      <c r="AV153" s="227"/>
      <c r="AW153" s="227"/>
      <c r="AX153" s="227"/>
      <c r="AY153" s="227"/>
      <c r="AZ153" s="227"/>
      <c r="BA153" s="227"/>
      <c r="BB153" s="227"/>
      <c r="BC153" s="227"/>
      <c r="BD153" s="227"/>
      <c r="BE153" s="227"/>
      <c r="BF153" s="227"/>
      <c r="BG153" s="227"/>
      <c r="BH153" s="2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  <c r="CL153" s="227"/>
      <c r="CM153" s="227"/>
      <c r="CN153" s="227"/>
      <c r="CO153" s="227"/>
      <c r="CP153" s="227"/>
    </row>
    <row r="154" spans="1:94" ht="10.8" thickBot="1" x14ac:dyDescent="0.25">
      <c r="A154" s="118">
        <f t="shared" si="14"/>
        <v>16</v>
      </c>
      <c r="B154" s="246" t="s">
        <v>588</v>
      </c>
      <c r="C154" s="223"/>
      <c r="D154" s="168"/>
      <c r="E154" s="225"/>
      <c r="F154" s="261"/>
      <c r="G154" s="223"/>
      <c r="H154" s="210">
        <f>H143+H147+H151+H152</f>
        <v>11991782.455949999</v>
      </c>
      <c r="I154" s="229"/>
      <c r="J154" s="223"/>
      <c r="K154" s="225"/>
      <c r="L154" s="261"/>
      <c r="M154" s="223"/>
      <c r="N154" s="210">
        <f>N143+N147+N151+N152</f>
        <v>12477588.52595</v>
      </c>
      <c r="O154" s="251"/>
      <c r="P154" s="103"/>
      <c r="Q154" s="939">
        <f>(N154-H154)/H154</f>
        <v>4.0511581308661615E-2</v>
      </c>
      <c r="R154" s="227"/>
      <c r="S154" s="227"/>
      <c r="T154" s="227"/>
      <c r="U154" s="184"/>
      <c r="V154" s="179"/>
      <c r="W154" s="180"/>
      <c r="X154" s="227"/>
      <c r="Y154" s="184" t="s">
        <v>137</v>
      </c>
      <c r="Z154" s="181" t="s">
        <v>121</v>
      </c>
      <c r="AA154" s="227"/>
      <c r="AB154" s="227"/>
      <c r="AC154" s="227"/>
      <c r="AE154" s="114"/>
      <c r="AF154" s="114"/>
      <c r="AG154" s="114"/>
      <c r="AH154" s="227"/>
      <c r="AI154" s="227"/>
      <c r="AJ154" s="227"/>
      <c r="AK154" s="227"/>
      <c r="AL154" s="227"/>
      <c r="AM154" s="227"/>
      <c r="AN154" s="227"/>
      <c r="AO154" s="227"/>
      <c r="AP154" s="227"/>
      <c r="AQ154" s="227"/>
      <c r="AR154" s="227"/>
      <c r="AS154" s="227"/>
      <c r="AT154" s="227"/>
      <c r="AU154" s="227"/>
      <c r="AV154" s="227"/>
      <c r="AW154" s="227"/>
      <c r="AX154" s="227"/>
      <c r="AY154" s="227"/>
      <c r="AZ154" s="227"/>
      <c r="BA154" s="227"/>
      <c r="BB154" s="227"/>
      <c r="BC154" s="227"/>
      <c r="BD154" s="227"/>
      <c r="BE154" s="227"/>
      <c r="BF154" s="227"/>
      <c r="BG154" s="227"/>
      <c r="BH154" s="2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  <c r="CL154" s="227"/>
      <c r="CM154" s="227"/>
      <c r="CN154" s="227"/>
      <c r="CO154" s="227"/>
      <c r="CP154" s="227"/>
    </row>
    <row r="155" spans="1:94" ht="10.8" thickTop="1" x14ac:dyDescent="0.2">
      <c r="A155" s="118">
        <f t="shared" si="14"/>
        <v>17</v>
      </c>
      <c r="B155" s="223"/>
      <c r="C155" s="223"/>
      <c r="D155" s="168"/>
      <c r="E155" s="225"/>
      <c r="F155" s="223"/>
      <c r="G155" s="223"/>
      <c r="H155" s="174"/>
      <c r="I155" s="229"/>
      <c r="J155" s="223"/>
      <c r="K155" s="225"/>
      <c r="L155" s="223"/>
      <c r="M155" s="223"/>
      <c r="N155" s="174"/>
      <c r="O155" s="227"/>
      <c r="P155" s="262"/>
      <c r="Q155" s="227"/>
      <c r="R155" s="227"/>
      <c r="S155" s="227"/>
      <c r="T155" s="227"/>
      <c r="U155" s="178"/>
      <c r="V155" s="179"/>
      <c r="W155" s="180"/>
      <c r="X155" s="227"/>
      <c r="Y155" s="178"/>
      <c r="Z155" s="181"/>
      <c r="AA155" s="227"/>
      <c r="AB155" s="227"/>
      <c r="AC155" s="227"/>
      <c r="AE155" s="114"/>
      <c r="AF155" s="114"/>
      <c r="AG155" s="238"/>
      <c r="AH155" s="227"/>
      <c r="AI155" s="227"/>
      <c r="AJ155" s="227"/>
      <c r="AK155" s="227"/>
      <c r="AL155" s="227"/>
      <c r="AM155" s="227"/>
      <c r="AN155" s="227"/>
      <c r="AO155" s="227"/>
      <c r="AP155" s="227"/>
      <c r="AQ155" s="227"/>
      <c r="AR155" s="227"/>
      <c r="AS155" s="227"/>
      <c r="AT155" s="227"/>
      <c r="AU155" s="227"/>
      <c r="AV155" s="227"/>
      <c r="AW155" s="227"/>
      <c r="AX155" s="227"/>
      <c r="AY155" s="227"/>
      <c r="AZ155" s="227"/>
      <c r="BA155" s="227"/>
      <c r="BB155" s="227"/>
      <c r="BC155" s="227"/>
      <c r="BD155" s="227"/>
      <c r="BE155" s="227"/>
      <c r="BF155" s="227"/>
      <c r="BG155" s="227"/>
      <c r="BH155" s="2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  <c r="CL155" s="227"/>
      <c r="CM155" s="227"/>
      <c r="CN155" s="227"/>
      <c r="CO155" s="227"/>
      <c r="CP155" s="227"/>
    </row>
    <row r="156" spans="1:94" x14ac:dyDescent="0.2">
      <c r="A156" s="118">
        <f t="shared" si="14"/>
        <v>18</v>
      </c>
      <c r="B156" s="102"/>
      <c r="C156" s="143"/>
      <c r="D156" s="143"/>
      <c r="E156" s="166"/>
      <c r="F156" s="166"/>
      <c r="G156" s="143"/>
      <c r="H156" s="211"/>
      <c r="I156" s="162"/>
      <c r="J156" s="171" t="s">
        <v>573</v>
      </c>
      <c r="K156" s="166"/>
      <c r="L156" s="166"/>
      <c r="M156" s="143"/>
      <c r="N156" s="174">
        <f>N154-H154</f>
        <v>485806.0700000003</v>
      </c>
      <c r="U156" s="184"/>
      <c r="V156" s="139"/>
      <c r="W156" s="140"/>
      <c r="Y156" s="184"/>
      <c r="Z156" s="141"/>
    </row>
    <row r="157" spans="1:94" x14ac:dyDescent="0.2">
      <c r="A157" s="118">
        <f t="shared" si="14"/>
        <v>19</v>
      </c>
      <c r="B157" s="143"/>
      <c r="C157" s="143"/>
      <c r="D157" s="143"/>
      <c r="E157" s="166"/>
      <c r="F157" s="166"/>
      <c r="G157" s="143"/>
      <c r="H157" s="211"/>
      <c r="I157" s="162"/>
      <c r="J157" s="171"/>
      <c r="K157" s="166"/>
      <c r="L157" s="166"/>
      <c r="M157" s="143"/>
      <c r="N157" s="212"/>
      <c r="U157" s="184"/>
      <c r="V157" s="139"/>
      <c r="W157" s="140"/>
      <c r="Y157" s="184"/>
      <c r="Z157" s="141"/>
    </row>
    <row r="158" spans="1:94" x14ac:dyDescent="0.2">
      <c r="A158" s="118">
        <f t="shared" si="14"/>
        <v>20</v>
      </c>
      <c r="B158" s="143"/>
      <c r="C158" s="143"/>
      <c r="D158" s="143"/>
      <c r="E158" s="166"/>
      <c r="G158" s="143"/>
      <c r="H158" s="211"/>
      <c r="I158" s="162"/>
      <c r="J158" s="171" t="s">
        <v>589</v>
      </c>
      <c r="N158" s="211">
        <f>'Exhibit MJC-2 - Old E-8a'!U21*1000</f>
        <v>485948.92709006782</v>
      </c>
      <c r="P158" s="101" t="s">
        <v>672</v>
      </c>
      <c r="Q158" s="939">
        <f>N158/H154</f>
        <v>4.0523494224076174E-2</v>
      </c>
      <c r="U158" s="184"/>
      <c r="V158" s="139"/>
      <c r="W158" s="140"/>
      <c r="Y158" s="184"/>
      <c r="Z158" s="141"/>
    </row>
    <row r="159" spans="1:94" x14ac:dyDescent="0.2">
      <c r="A159" s="118">
        <f t="shared" si="14"/>
        <v>21</v>
      </c>
      <c r="I159" s="162"/>
      <c r="U159" s="184"/>
      <c r="V159" s="139"/>
      <c r="W159" s="140"/>
      <c r="Y159" s="184"/>
      <c r="Z159" s="141"/>
    </row>
    <row r="160" spans="1:94" x14ac:dyDescent="0.2">
      <c r="A160" s="118">
        <f t="shared" si="14"/>
        <v>22</v>
      </c>
      <c r="I160" s="162"/>
      <c r="J160" s="171" t="s">
        <v>575</v>
      </c>
      <c r="N160" s="214">
        <f>N156-N158</f>
        <v>-142.85709006752586</v>
      </c>
      <c r="U160" s="184"/>
      <c r="V160" s="139"/>
      <c r="W160" s="140"/>
      <c r="Y160" s="184"/>
      <c r="Z160" s="141"/>
    </row>
    <row r="161" spans="1:93" x14ac:dyDescent="0.2">
      <c r="A161" s="118">
        <f t="shared" si="14"/>
        <v>23</v>
      </c>
      <c r="B161" s="243"/>
      <c r="C161" s="223"/>
      <c r="D161" s="168"/>
      <c r="E161" s="225"/>
      <c r="F161" s="197"/>
      <c r="G161" s="233"/>
      <c r="H161" s="174"/>
      <c r="I161" s="229"/>
      <c r="J161" s="168"/>
      <c r="K161" s="225"/>
      <c r="L161" s="197"/>
      <c r="M161" s="233"/>
      <c r="N161" s="174"/>
      <c r="O161" s="227"/>
      <c r="Q161" s="176"/>
      <c r="T161" s="265"/>
      <c r="U161" s="178"/>
      <c r="V161" s="179"/>
      <c r="W161" s="180"/>
      <c r="X161" s="265"/>
      <c r="Y161" s="178"/>
      <c r="Z161" s="181"/>
      <c r="AA161" s="265"/>
      <c r="AB161" s="264"/>
      <c r="AC161" s="264"/>
      <c r="AD161" s="264"/>
      <c r="AE161" s="242"/>
    </row>
    <row r="162" spans="1:93" x14ac:dyDescent="0.2">
      <c r="A162" s="118">
        <f t="shared" si="14"/>
        <v>24</v>
      </c>
      <c r="B162" s="234"/>
      <c r="C162" s="223"/>
      <c r="D162" s="168"/>
      <c r="E162" s="225"/>
      <c r="F162" s="183"/>
      <c r="G162" s="233"/>
      <c r="H162" s="174"/>
      <c r="I162" s="229"/>
      <c r="J162" s="168"/>
      <c r="K162" s="225"/>
      <c r="L162" s="183"/>
      <c r="M162" s="233"/>
      <c r="N162" s="174"/>
      <c r="O162" s="227"/>
      <c r="Q162" s="176"/>
      <c r="T162" s="265"/>
      <c r="U162" s="178"/>
      <c r="V162" s="179"/>
      <c r="W162" s="180"/>
      <c r="X162" s="265"/>
      <c r="Y162" s="178"/>
      <c r="Z162" s="181"/>
      <c r="AA162" s="265"/>
      <c r="AB162" s="227"/>
      <c r="AC162" s="264"/>
      <c r="AD162" s="264"/>
      <c r="AE162" s="242"/>
    </row>
    <row r="163" spans="1:93" x14ac:dyDescent="0.2">
      <c r="A163" s="215"/>
      <c r="B163" s="215" t="s">
        <v>98</v>
      </c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 t="s">
        <v>99</v>
      </c>
      <c r="O163" s="215"/>
      <c r="P163" s="215"/>
      <c r="Q163" s="215"/>
      <c r="Y163" s="101"/>
    </row>
    <row r="164" spans="1:93" x14ac:dyDescent="0.2">
      <c r="A164" s="216"/>
      <c r="B164" s="216"/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7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</row>
    <row r="165" spans="1:93" ht="13.8" x14ac:dyDescent="0.3">
      <c r="A165" s="12" t="s">
        <v>667</v>
      </c>
      <c r="C165" s="102"/>
      <c r="D165" s="1280"/>
      <c r="F165" s="104"/>
      <c r="G165" s="104"/>
      <c r="H165" s="361" t="s">
        <v>668</v>
      </c>
      <c r="I165" s="104"/>
      <c r="J165" s="104"/>
      <c r="K165" s="104"/>
      <c r="L165" s="104"/>
      <c r="N165" s="105"/>
      <c r="Q165" s="106" t="str">
        <f>'MFR E-13c'!Q150</f>
        <v>Page 17 of 39</v>
      </c>
      <c r="R165" s="105"/>
      <c r="S165" s="105"/>
      <c r="U165" s="114"/>
      <c r="V165" s="114"/>
      <c r="W165" s="114"/>
      <c r="Y165" s="114"/>
      <c r="Z165" s="218"/>
    </row>
    <row r="166" spans="1:93" ht="10.8" thickBot="1" x14ac:dyDescent="0.25">
      <c r="A166" s="108"/>
      <c r="B166" s="109"/>
      <c r="C166" s="109"/>
      <c r="D166" s="109"/>
      <c r="E166" s="110" t="s">
        <v>416</v>
      </c>
      <c r="F166" s="109"/>
      <c r="G166" s="109" t="s">
        <v>416</v>
      </c>
      <c r="H166" s="109" t="s">
        <v>416</v>
      </c>
      <c r="I166" s="109" t="s">
        <v>416</v>
      </c>
      <c r="J166" s="109"/>
      <c r="K166" s="109"/>
      <c r="L166" s="109"/>
      <c r="M166" s="111"/>
      <c r="N166" s="111"/>
      <c r="O166" s="109"/>
      <c r="P166" s="112"/>
      <c r="Q166" s="109"/>
      <c r="U166" s="114"/>
      <c r="V166" s="114"/>
      <c r="W166" s="114"/>
      <c r="Y166" s="114"/>
      <c r="Z166" s="218"/>
    </row>
    <row r="167" spans="1:93" x14ac:dyDescent="0.2">
      <c r="A167" s="113"/>
      <c r="M167" s="105"/>
      <c r="N167" s="105"/>
      <c r="P167" s="114"/>
      <c r="U167" s="114"/>
      <c r="V167" s="114"/>
      <c r="W167" s="114"/>
      <c r="Y167" s="114"/>
      <c r="Z167" s="218"/>
    </row>
    <row r="168" spans="1:93" ht="13.8" x14ac:dyDescent="0.2">
      <c r="A168" s="100"/>
      <c r="C168" s="1278" t="s">
        <v>4</v>
      </c>
      <c r="D168" s="1386" t="s">
        <v>669</v>
      </c>
      <c r="E168" s="1386"/>
      <c r="F168" s="1386"/>
      <c r="G168" s="1386"/>
      <c r="H168" s="1386"/>
      <c r="I168" s="1386"/>
      <c r="J168" s="1386"/>
      <c r="K168" s="1386"/>
      <c r="L168" s="1386"/>
      <c r="M168" s="1386"/>
      <c r="N168" s="1386"/>
      <c r="O168" s="1279"/>
      <c r="P168" s="1279"/>
      <c r="U168" s="114"/>
      <c r="V168" s="114"/>
      <c r="W168" s="114"/>
      <c r="Y168" s="114"/>
      <c r="Z168" s="218"/>
    </row>
    <row r="169" spans="1:93" ht="13.8" x14ac:dyDescent="0.2">
      <c r="C169" s="1279"/>
      <c r="D169" s="1386" t="s">
        <v>670</v>
      </c>
      <c r="E169" s="1386"/>
      <c r="F169" s="1386"/>
      <c r="G169" s="1386"/>
      <c r="H169" s="1386"/>
      <c r="I169" s="1386"/>
      <c r="J169" s="1386"/>
      <c r="K169" s="1386"/>
      <c r="L169" s="1386"/>
      <c r="M169" s="1386"/>
      <c r="N169" s="1386"/>
      <c r="O169" s="1279"/>
      <c r="P169" s="1279"/>
      <c r="U169" s="114"/>
      <c r="V169" s="114"/>
      <c r="W169" s="114"/>
      <c r="Y169" s="114"/>
      <c r="Z169" s="218"/>
    </row>
    <row r="170" spans="1:93" ht="13.8" x14ac:dyDescent="0.3">
      <c r="A170" s="100"/>
      <c r="C170" s="21"/>
      <c r="D170" s="1386" t="s">
        <v>671</v>
      </c>
      <c r="E170" s="1386"/>
      <c r="F170" s="1386"/>
      <c r="G170" s="1386"/>
      <c r="H170" s="1386"/>
      <c r="I170" s="1386"/>
      <c r="J170" s="1386"/>
      <c r="K170" s="1386"/>
      <c r="L170" s="1386"/>
      <c r="M170" s="1386"/>
      <c r="N170" s="1386"/>
      <c r="O170" s="107"/>
      <c r="U170" s="114"/>
      <c r="V170" s="114"/>
      <c r="W170" s="114"/>
      <c r="Y170" s="114"/>
      <c r="Z170" s="218"/>
    </row>
    <row r="171" spans="1:93" x14ac:dyDescent="0.2">
      <c r="U171" s="114"/>
      <c r="V171" s="114"/>
      <c r="W171" s="114"/>
      <c r="Y171" s="114"/>
      <c r="Z171" s="218"/>
    </row>
    <row r="172" spans="1:93" x14ac:dyDescent="0.2">
      <c r="A172" s="100"/>
      <c r="C172" s="119"/>
      <c r="O172" s="100"/>
      <c r="U172" s="114"/>
      <c r="V172" s="114"/>
      <c r="W172" s="114"/>
      <c r="Y172" s="114"/>
      <c r="Z172" s="218"/>
    </row>
    <row r="173" spans="1:93" ht="10.8" thickBot="1" x14ac:dyDescent="0.25">
      <c r="A173" s="123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23"/>
      <c r="O173" s="109"/>
      <c r="P173" s="109"/>
      <c r="Q173" s="109"/>
      <c r="U173" s="114"/>
      <c r="V173" s="114"/>
      <c r="W173" s="114"/>
      <c r="Y173" s="114"/>
      <c r="Z173" s="218"/>
    </row>
    <row r="174" spans="1:93" ht="15.6" x14ac:dyDescent="0.2">
      <c r="B174" s="1369"/>
      <c r="C174" s="125"/>
      <c r="D174" s="125"/>
      <c r="E174" s="125"/>
      <c r="F174" s="276"/>
      <c r="G174" s="125"/>
      <c r="H174" s="277"/>
      <c r="I174" s="126" t="s">
        <v>591</v>
      </c>
      <c r="J174" s="125"/>
      <c r="K174" s="125"/>
      <c r="L174" s="276"/>
      <c r="M174" s="125"/>
      <c r="N174" s="277"/>
      <c r="U174" s="127" t="s">
        <v>530</v>
      </c>
      <c r="V174" s="128"/>
      <c r="W174" s="129"/>
      <c r="Y174" s="130" t="s">
        <v>531</v>
      </c>
      <c r="Z174" s="131"/>
    </row>
    <row r="175" spans="1:93" x14ac:dyDescent="0.2">
      <c r="A175" s="101" t="s">
        <v>30</v>
      </c>
      <c r="B175" s="101" t="s">
        <v>532</v>
      </c>
      <c r="C175" s="132"/>
      <c r="D175" s="133" t="s">
        <v>533</v>
      </c>
      <c r="E175" s="134"/>
      <c r="F175" s="278"/>
      <c r="G175" s="133"/>
      <c r="H175" s="279"/>
      <c r="I175" s="135"/>
      <c r="J175" s="136" t="s">
        <v>534</v>
      </c>
      <c r="K175" s="133"/>
      <c r="L175" s="278"/>
      <c r="M175" s="134"/>
      <c r="N175" s="280"/>
      <c r="O175" s="137"/>
      <c r="Q175" s="118" t="s">
        <v>332</v>
      </c>
      <c r="U175" s="138"/>
      <c r="V175" s="139"/>
      <c r="W175" s="140"/>
      <c r="Y175" s="138"/>
      <c r="Z175" s="141"/>
    </row>
    <row r="176" spans="1:93" x14ac:dyDescent="0.2">
      <c r="A176" s="101" t="s">
        <v>39</v>
      </c>
      <c r="B176" s="102" t="s">
        <v>535</v>
      </c>
      <c r="C176" s="104"/>
      <c r="D176" s="142" t="s">
        <v>536</v>
      </c>
      <c r="E176" s="143"/>
      <c r="F176" s="281" t="s">
        <v>537</v>
      </c>
      <c r="G176" s="142"/>
      <c r="H176" s="282" t="s">
        <v>538</v>
      </c>
      <c r="I176" s="144"/>
      <c r="J176" s="142" t="s">
        <v>536</v>
      </c>
      <c r="K176" s="143"/>
      <c r="L176" s="281" t="s">
        <v>537</v>
      </c>
      <c r="M176" s="142"/>
      <c r="N176" s="282" t="s">
        <v>538</v>
      </c>
      <c r="O176" s="132"/>
      <c r="Q176" s="145" t="s">
        <v>539</v>
      </c>
      <c r="R176" s="132"/>
      <c r="S176" s="132"/>
      <c r="U176" s="138" t="s">
        <v>128</v>
      </c>
      <c r="V176" s="146" t="s">
        <v>343</v>
      </c>
      <c r="W176" s="147" t="s">
        <v>344</v>
      </c>
      <c r="Y176" s="148" t="s">
        <v>128</v>
      </c>
      <c r="Z176" s="149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116"/>
      <c r="AZ176" s="116"/>
      <c r="BA176" s="116"/>
      <c r="BB176" s="116"/>
      <c r="BC176" s="116"/>
      <c r="BD176" s="116"/>
      <c r="BE176" s="116"/>
      <c r="BF176" s="116"/>
      <c r="BG176" s="116"/>
      <c r="BH176" s="116"/>
      <c r="BI176" s="116"/>
      <c r="BJ176" s="116"/>
      <c r="BK176" s="116"/>
      <c r="BL176" s="116"/>
      <c r="BM176" s="116"/>
      <c r="BN176" s="116"/>
      <c r="BO176" s="116"/>
      <c r="BP176" s="116"/>
      <c r="BQ176" s="116"/>
      <c r="BR176" s="116"/>
      <c r="BS176" s="116"/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</row>
    <row r="177" spans="1:93" ht="10.8" thickBot="1" x14ac:dyDescent="0.25">
      <c r="A177" s="109"/>
      <c r="B177" s="1370" t="s">
        <v>272</v>
      </c>
      <c r="C177" s="150"/>
      <c r="D177" s="220" t="str">
        <f>+$D$15</f>
        <v>Jan '26-Dec '26</v>
      </c>
      <c r="E177" s="221"/>
      <c r="F177" s="152">
        <f>+$L$15</f>
        <v>46023</v>
      </c>
      <c r="G177" s="153"/>
      <c r="H177" s="153"/>
      <c r="I177" s="153"/>
      <c r="J177" s="153"/>
      <c r="K177" s="151"/>
      <c r="L177" s="152">
        <f>+$L$15</f>
        <v>46023</v>
      </c>
      <c r="M177" s="154"/>
      <c r="N177" s="283"/>
      <c r="O177" s="155"/>
      <c r="P177" s="109"/>
      <c r="Q177" s="156"/>
      <c r="R177" s="132"/>
      <c r="S177" s="132"/>
      <c r="U177" s="157" t="s">
        <v>144</v>
      </c>
      <c r="V177" s="158" t="s">
        <v>540</v>
      </c>
      <c r="W177" s="159" t="s">
        <v>540</v>
      </c>
      <c r="Y177" s="160" t="s">
        <v>144</v>
      </c>
      <c r="Z177" s="159" t="s">
        <v>541</v>
      </c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</row>
    <row r="178" spans="1:93" x14ac:dyDescent="0.2">
      <c r="A178" s="118">
        <v>1</v>
      </c>
      <c r="B178" s="222" t="s">
        <v>542</v>
      </c>
      <c r="C178" s="223"/>
      <c r="E178" s="225"/>
      <c r="F178" s="284"/>
      <c r="G178" s="227"/>
      <c r="H178" s="285"/>
      <c r="I178" s="229"/>
      <c r="J178" s="226"/>
      <c r="K178" s="225"/>
      <c r="L178" s="284"/>
      <c r="M178" s="227"/>
      <c r="N178" s="285"/>
      <c r="O178" s="228"/>
      <c r="P178" s="227"/>
      <c r="Q178" s="286"/>
      <c r="R178" s="227"/>
      <c r="S178" s="227"/>
      <c r="U178" s="163"/>
      <c r="V178" s="139"/>
      <c r="W178" s="140"/>
      <c r="Y178" s="163"/>
      <c r="Z178" s="141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/>
      <c r="BG178" s="116"/>
      <c r="BH178" s="116"/>
      <c r="BI178" s="116"/>
      <c r="BJ178" s="116"/>
      <c r="BK178" s="116"/>
      <c r="BL178" s="116"/>
      <c r="BM178" s="116"/>
      <c r="BN178" s="116"/>
      <c r="BO178" s="116"/>
      <c r="BP178" s="116"/>
      <c r="BQ178" s="116"/>
      <c r="BR178" s="116"/>
      <c r="BS178" s="116"/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</row>
    <row r="179" spans="1:93" x14ac:dyDescent="0.2">
      <c r="A179" s="118">
        <f t="shared" ref="A179:A219" si="16">+A178+1</f>
        <v>2</v>
      </c>
      <c r="B179" s="228" t="s">
        <v>543</v>
      </c>
      <c r="C179" s="223"/>
      <c r="D179" s="168"/>
      <c r="E179" s="225"/>
      <c r="F179" s="183"/>
      <c r="G179" s="223"/>
      <c r="H179" s="174"/>
      <c r="I179" s="229"/>
      <c r="J179" s="168"/>
      <c r="K179" s="225"/>
      <c r="L179" s="1368">
        <v>-0.09</v>
      </c>
      <c r="M179" s="223"/>
      <c r="N179" s="174"/>
      <c r="O179" s="227"/>
      <c r="P179" s="227"/>
      <c r="Q179" s="287"/>
      <c r="R179" s="227"/>
      <c r="S179" s="227"/>
      <c r="U179" s="163"/>
      <c r="V179" s="139"/>
      <c r="W179" s="140"/>
      <c r="Y179" s="163"/>
      <c r="Z179" s="141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116"/>
      <c r="AZ179" s="116"/>
      <c r="BA179" s="116"/>
      <c r="BB179" s="116"/>
      <c r="BC179" s="116"/>
      <c r="BD179" s="116"/>
      <c r="BE179" s="116"/>
      <c r="BF179" s="116"/>
      <c r="BG179" s="116"/>
      <c r="BH179" s="116"/>
      <c r="BI179" s="116"/>
      <c r="BJ179" s="116"/>
      <c r="BK179" s="116"/>
      <c r="BL179" s="116"/>
      <c r="BM179" s="116"/>
      <c r="BN179" s="116"/>
      <c r="BO179" s="116"/>
      <c r="BP179" s="116"/>
      <c r="BQ179" s="116"/>
      <c r="BR179" s="116"/>
      <c r="BS179" s="116"/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</row>
    <row r="180" spans="1:93" x14ac:dyDescent="0.2">
      <c r="A180" s="118">
        <f t="shared" si="16"/>
        <v>3</v>
      </c>
      <c r="B180" s="234" t="s">
        <v>149</v>
      </c>
      <c r="C180" s="223"/>
      <c r="D180" s="172">
        <f>SUMIF($AH$8:$CP$8,1,$AH180:$CP180)</f>
        <v>402564.554752575</v>
      </c>
      <c r="E180" s="225" t="s">
        <v>545</v>
      </c>
      <c r="F180" s="183">
        <v>21.56</v>
      </c>
      <c r="G180" s="233" t="s">
        <v>375</v>
      </c>
      <c r="H180" s="174">
        <f>ROUND(D180*F180,2)</f>
        <v>8679291.8000000007</v>
      </c>
      <c r="I180" s="229"/>
      <c r="J180" s="172">
        <f>SUMIF($AH$8:$CP$8,1,$AH180:$CP180)</f>
        <v>402564.554752575</v>
      </c>
      <c r="K180" s="225" t="s">
        <v>545</v>
      </c>
      <c r="L180" s="310">
        <f>ROUND(F180*(1+'Exhibit MJC-2 - Old E-8a'!V24)+L179,2)</f>
        <v>22.07</v>
      </c>
      <c r="M180" s="233" t="s">
        <v>375</v>
      </c>
      <c r="N180" s="174">
        <f>ROUND(J180*L180,2)</f>
        <v>8884599.7200000007</v>
      </c>
      <c r="O180" s="227"/>
      <c r="Q180" s="1022"/>
      <c r="R180" s="186"/>
      <c r="S180" s="263"/>
      <c r="T180" s="197"/>
      <c r="U180" s="184" t="s">
        <v>122</v>
      </c>
      <c r="V180" s="179">
        <v>244</v>
      </c>
      <c r="W180" s="180">
        <v>218</v>
      </c>
      <c r="Y180" s="184"/>
      <c r="Z180" s="181"/>
      <c r="AB180" s="182">
        <f>SUM(AH180:AS180)</f>
        <v>388603.90223949461</v>
      </c>
      <c r="AC180" s="182">
        <f>SUM(AT180:BE180)</f>
        <v>393258.94718897447</v>
      </c>
      <c r="AD180" s="182">
        <f>SUM(BF180:BQ180)</f>
        <v>397868.84237897175</v>
      </c>
      <c r="AE180" s="182">
        <f>SUM(BR180:CC180)</f>
        <v>402564.554752575</v>
      </c>
      <c r="AF180" s="182">
        <f>SUM(CD180:CO180)</f>
        <v>407288.27473931282</v>
      </c>
      <c r="AH180" s="168">
        <v>30810.599569688333</v>
      </c>
      <c r="AI180" s="168">
        <v>31461.353092178797</v>
      </c>
      <c r="AJ180" s="168">
        <v>32231.352444960619</v>
      </c>
      <c r="AK180" s="168">
        <v>32093.535226559863</v>
      </c>
      <c r="AL180" s="168">
        <v>32583.211447918027</v>
      </c>
      <c r="AM180" s="168">
        <v>32462.228360614481</v>
      </c>
      <c r="AN180" s="168">
        <v>32362.231937225508</v>
      </c>
      <c r="AO180" s="168">
        <v>32684.522455521677</v>
      </c>
      <c r="AP180" s="168">
        <v>33091.708554890531</v>
      </c>
      <c r="AQ180" s="168">
        <v>33012.879077396989</v>
      </c>
      <c r="AR180" s="168">
        <v>32563.48558603528</v>
      </c>
      <c r="AS180" s="168">
        <v>33246.794486504434</v>
      </c>
      <c r="AT180" s="168">
        <v>31170.199276335399</v>
      </c>
      <c r="AU180" s="168">
        <v>31840.46555611349</v>
      </c>
      <c r="AV180" s="168">
        <v>32619.739519376206</v>
      </c>
      <c r="AW180" s="168">
        <v>32480.348145576227</v>
      </c>
      <c r="AX180" s="168">
        <v>32975.319956706357</v>
      </c>
      <c r="AY180" s="168">
        <v>32853.175150695119</v>
      </c>
      <c r="AZ180" s="168">
        <v>32752.919890893711</v>
      </c>
      <c r="BA180" s="168">
        <v>33078.266389738426</v>
      </c>
      <c r="BB180" s="168">
        <v>33488.585824379727</v>
      </c>
      <c r="BC180" s="168">
        <v>33406.805216385845</v>
      </c>
      <c r="BD180" s="168">
        <v>32951.515694492518</v>
      </c>
      <c r="BE180" s="168">
        <v>33641.606568281401</v>
      </c>
      <c r="BF180" s="168">
        <v>31539.929098155586</v>
      </c>
      <c r="BG180" s="168">
        <v>32216.18012190278</v>
      </c>
      <c r="BH180" s="168">
        <v>33003.833948922693</v>
      </c>
      <c r="BI180" s="168">
        <v>32862.418085286772</v>
      </c>
      <c r="BJ180" s="168">
        <v>33361.973328631313</v>
      </c>
      <c r="BK180" s="168">
        <v>33237.722475995244</v>
      </c>
      <c r="BL180" s="168">
        <v>33135.96243601614</v>
      </c>
      <c r="BM180" s="168">
        <v>33464.339434669011</v>
      </c>
      <c r="BN180" s="168">
        <v>33879.27899574508</v>
      </c>
      <c r="BO180" s="168">
        <v>33796.04292705757</v>
      </c>
      <c r="BP180" s="168">
        <v>33336.431408607416</v>
      </c>
      <c r="BQ180" s="168">
        <v>34034.730117982137</v>
      </c>
      <c r="BR180" s="168">
        <v>31909.581265560708</v>
      </c>
      <c r="BS180" s="168">
        <v>32593.362285934814</v>
      </c>
      <c r="BT180" s="168">
        <v>33391.11626568417</v>
      </c>
      <c r="BU180" s="168">
        <v>33249.386465026539</v>
      </c>
      <c r="BV180" s="168">
        <v>33755.186289857076</v>
      </c>
      <c r="BW180" s="168">
        <v>33630.206762292641</v>
      </c>
      <c r="BX180" s="168">
        <v>33528.295244350855</v>
      </c>
      <c r="BY180" s="168">
        <v>33860.637574168024</v>
      </c>
      <c r="BZ180" s="168">
        <v>34280.621104672035</v>
      </c>
      <c r="CA180" s="168">
        <v>34196.229135039204</v>
      </c>
      <c r="CB180" s="168">
        <v>33732.018080827373</v>
      </c>
      <c r="CC180" s="168">
        <v>34437.91427916153</v>
      </c>
      <c r="CD180" s="168">
        <v>32287.483046219262</v>
      </c>
      <c r="CE180" s="168">
        <v>32977.435009121298</v>
      </c>
      <c r="CF180" s="168">
        <v>33783.700360408438</v>
      </c>
      <c r="CG180" s="168">
        <v>33640.045409274469</v>
      </c>
      <c r="CH180" s="168">
        <v>34150.7774966203</v>
      </c>
      <c r="CI180" s="168">
        <v>34023.908479004298</v>
      </c>
      <c r="CJ180" s="168">
        <v>33920.680469916813</v>
      </c>
      <c r="CK180" s="168">
        <v>34256.540359379913</v>
      </c>
      <c r="CL180" s="168">
        <v>34681.660679863009</v>
      </c>
      <c r="CM180" s="168">
        <v>34596.130809072201</v>
      </c>
      <c r="CN180" s="168">
        <v>34127.694824685706</v>
      </c>
      <c r="CO180" s="168">
        <v>34842.217795747107</v>
      </c>
    </row>
    <row r="181" spans="1:93" x14ac:dyDescent="0.2">
      <c r="A181" s="118">
        <f t="shared" si="16"/>
        <v>4</v>
      </c>
      <c r="B181" s="234" t="s">
        <v>148</v>
      </c>
      <c r="C181" s="223"/>
      <c r="D181" s="172">
        <f>SUMIF($AH$8:$CP$8,1,$AH181:$CP181)</f>
        <v>1588.4280385472864</v>
      </c>
      <c r="E181" s="225" t="s">
        <v>545</v>
      </c>
      <c r="F181" s="183">
        <v>272.61</v>
      </c>
      <c r="G181" s="233" t="s">
        <v>375</v>
      </c>
      <c r="H181" s="174">
        <f>ROUND(D181*F181,2)</f>
        <v>433021.37</v>
      </c>
      <c r="I181" s="229"/>
      <c r="J181" s="172">
        <f>SUMIF($AH$8:$CP$8,1,$AH181:$CP181)</f>
        <v>1588.4280385472864</v>
      </c>
      <c r="K181" s="225" t="s">
        <v>545</v>
      </c>
      <c r="L181" s="310">
        <f>ROUND(F181*(1+'Exhibit MJC-2 - Old E-8a'!V24)+(L179*(F181/F180)),2)</f>
        <v>279.02999999999997</v>
      </c>
      <c r="M181" s="233" t="s">
        <v>375</v>
      </c>
      <c r="N181" s="174">
        <f>ROUND(J181*L181,2)</f>
        <v>443219.08</v>
      </c>
      <c r="O181" s="227"/>
      <c r="R181" s="186"/>
      <c r="S181" s="263"/>
      <c r="T181" s="197"/>
      <c r="U181" s="184" t="s">
        <v>122</v>
      </c>
      <c r="V181" s="179">
        <v>244</v>
      </c>
      <c r="W181" s="180">
        <v>218</v>
      </c>
      <c r="Y181" s="184"/>
      <c r="Z181" s="181"/>
      <c r="AB181" s="182">
        <f>SUM(AH181:AS181)</f>
        <v>1533.3424836309525</v>
      </c>
      <c r="AC181" s="182">
        <f>SUM(AT181:BE181)</f>
        <v>1551.7102306945169</v>
      </c>
      <c r="AD181" s="182">
        <f>SUM(BF181:BQ181)</f>
        <v>1569.8998270911907</v>
      </c>
      <c r="AE181" s="182">
        <f>SUM(BR181:CC181)</f>
        <v>1588.4280385472864</v>
      </c>
      <c r="AF181" s="182">
        <f>SUM(CD181:CO181)</f>
        <v>1607.0667616653525</v>
      </c>
      <c r="AH181" s="168">
        <v>121.57160798974408</v>
      </c>
      <c r="AI181" s="168">
        <v>124.13933316351797</v>
      </c>
      <c r="AJ181" s="168">
        <v>127.17757522229449</v>
      </c>
      <c r="AK181" s="168">
        <v>126.63377986992695</v>
      </c>
      <c r="AL181" s="168">
        <v>128.56593070296108</v>
      </c>
      <c r="AM181" s="168">
        <v>128.08855899749364</v>
      </c>
      <c r="AN181" s="168">
        <v>127.69399588757673</v>
      </c>
      <c r="AO181" s="168">
        <v>128.96568086275846</v>
      </c>
      <c r="AP181" s="168">
        <v>130.57234446368506</v>
      </c>
      <c r="AQ181" s="168">
        <v>130.26130130095126</v>
      </c>
      <c r="AR181" s="168">
        <v>128.4880969450478</v>
      </c>
      <c r="AS181" s="168">
        <v>131.18427822499487</v>
      </c>
      <c r="AT181" s="168">
        <v>122.99050652402425</v>
      </c>
      <c r="AU181" s="168">
        <v>125.63522459351913</v>
      </c>
      <c r="AV181" s="168">
        <v>128.71006215272044</v>
      </c>
      <c r="AW181" s="168">
        <v>128.16005554170223</v>
      </c>
      <c r="AX181" s="168">
        <v>130.11310156576877</v>
      </c>
      <c r="AY181" s="168">
        <v>129.63114598289235</v>
      </c>
      <c r="AZ181" s="168">
        <v>129.23556156344867</v>
      </c>
      <c r="BA181" s="168">
        <v>130.51930474179622</v>
      </c>
      <c r="BB181" s="168">
        <v>132.13833177000964</v>
      </c>
      <c r="BC181" s="168">
        <v>131.81564411851789</v>
      </c>
      <c r="BD181" s="168">
        <v>130.0191753691104</v>
      </c>
      <c r="BE181" s="168">
        <v>132.74211677100698</v>
      </c>
      <c r="BF181" s="168">
        <v>124.4493761853814</v>
      </c>
      <c r="BG181" s="168">
        <v>127.11770869139788</v>
      </c>
      <c r="BH181" s="168">
        <v>130.22561128425403</v>
      </c>
      <c r="BI181" s="168">
        <v>129.6676164974732</v>
      </c>
      <c r="BJ181" s="168">
        <v>131.63874770106236</v>
      </c>
      <c r="BK181" s="168">
        <v>131.14848213791106</v>
      </c>
      <c r="BL181" s="168">
        <v>130.74696019863885</v>
      </c>
      <c r="BM181" s="168">
        <v>132.04266103895455</v>
      </c>
      <c r="BN181" s="168">
        <v>133.67991803372604</v>
      </c>
      <c r="BO181" s="168">
        <v>133.35148746585611</v>
      </c>
      <c r="BP181" s="168">
        <v>131.53796510248205</v>
      </c>
      <c r="BQ181" s="168">
        <v>134.2932927540532</v>
      </c>
      <c r="BR181" s="168">
        <v>125.90793944010449</v>
      </c>
      <c r="BS181" s="168">
        <v>128.60598359765896</v>
      </c>
      <c r="BT181" s="168">
        <v>131.75373909261404</v>
      </c>
      <c r="BU181" s="168">
        <v>131.19450558185284</v>
      </c>
      <c r="BV181" s="168">
        <v>133.19027648162054</v>
      </c>
      <c r="BW181" s="168">
        <v>132.69713573317648</v>
      </c>
      <c r="BX181" s="168">
        <v>132.29501609636657</v>
      </c>
      <c r="BY181" s="168">
        <v>133.60636323024968</v>
      </c>
      <c r="BZ181" s="168">
        <v>135.26352257948912</v>
      </c>
      <c r="CA181" s="168">
        <v>134.93053108977537</v>
      </c>
      <c r="CB181" s="168">
        <v>133.09886000594915</v>
      </c>
      <c r="CC181" s="168">
        <v>135.88416561842931</v>
      </c>
      <c r="CD181" s="168">
        <v>127.39905378966252</v>
      </c>
      <c r="CE181" s="168">
        <v>130.12144708084017</v>
      </c>
      <c r="CF181" s="168">
        <v>133.30278650919794</v>
      </c>
      <c r="CG181" s="168">
        <v>132.73595679316003</v>
      </c>
      <c r="CH181" s="168">
        <v>134.75118927736253</v>
      </c>
      <c r="CI181" s="168">
        <v>134.25059303155527</v>
      </c>
      <c r="CJ181" s="168">
        <v>133.84327882054941</v>
      </c>
      <c r="CK181" s="168">
        <v>135.16850544358005</v>
      </c>
      <c r="CL181" s="168">
        <v>136.84593339603992</v>
      </c>
      <c r="CM181" s="168">
        <v>136.5084520075433</v>
      </c>
      <c r="CN181" s="168">
        <v>134.66011031158516</v>
      </c>
      <c r="CO181" s="168">
        <v>137.47945520427601</v>
      </c>
    </row>
    <row r="182" spans="1:93" x14ac:dyDescent="0.2">
      <c r="A182" s="118">
        <f t="shared" si="16"/>
        <v>5</v>
      </c>
      <c r="B182" s="234" t="s">
        <v>216</v>
      </c>
      <c r="C182" s="223"/>
      <c r="D182" s="172">
        <f>SUMIF($AH$8:$CP$8,1,$AH182:$CP182)</f>
        <v>37.722617090019</v>
      </c>
      <c r="E182" s="225" t="s">
        <v>545</v>
      </c>
      <c r="F182" s="183">
        <v>1344.66</v>
      </c>
      <c r="G182" s="233" t="s">
        <v>375</v>
      </c>
      <c r="H182" s="174">
        <f>ROUND(D182*F182,2)</f>
        <v>50724.09</v>
      </c>
      <c r="I182" s="229"/>
      <c r="J182" s="172">
        <f>SUMIF($AH$8:$CP$8,1,$AH182:$CP182)</f>
        <v>37.722617090019</v>
      </c>
      <c r="K182" s="225" t="s">
        <v>545</v>
      </c>
      <c r="L182" s="310">
        <f>ROUND(F182*(1+'Exhibit MJC-2 - Old E-8a'!V24)+(L179*(F182/F180)),2)</f>
        <v>1376.31</v>
      </c>
      <c r="M182" s="233"/>
      <c r="N182" s="174">
        <f>ROUND(J182*L182,2)</f>
        <v>51918.02</v>
      </c>
      <c r="O182" s="227"/>
      <c r="R182" s="288"/>
      <c r="S182" s="263"/>
      <c r="T182" s="927"/>
      <c r="U182" s="184" t="s">
        <v>122</v>
      </c>
      <c r="V182" s="179">
        <v>244</v>
      </c>
      <c r="W182" s="180">
        <v>218</v>
      </c>
      <c r="Y182" s="184"/>
      <c r="Z182" s="181"/>
      <c r="AB182" s="182">
        <f>SUM(AH182:AS182)</f>
        <v>36.414423552211318</v>
      </c>
      <c r="AC182" s="182">
        <f>SUM(AT182:BE182)</f>
        <v>36.85062807169264</v>
      </c>
      <c r="AD182" s="182">
        <f>SUM(BF182:BQ182)</f>
        <v>37.282601798699652</v>
      </c>
      <c r="AE182" s="182">
        <f>SUM(BR182:CC182)</f>
        <v>37.722617090019</v>
      </c>
      <c r="AF182" s="182">
        <f>SUM(CD182:CO182)</f>
        <v>38.165256855980772</v>
      </c>
      <c r="AH182" s="168">
        <v>2.8871306133636274</v>
      </c>
      <c r="AI182" s="168">
        <v>2.9481099660142269</v>
      </c>
      <c r="AJ182" s="168">
        <v>3.0202633396822183</v>
      </c>
      <c r="AK182" s="168">
        <v>3.0073490726490997</v>
      </c>
      <c r="AL182" s="168">
        <v>3.0532345545632604</v>
      </c>
      <c r="AM182" s="168">
        <v>3.04189774255922</v>
      </c>
      <c r="AN182" s="168">
        <v>3.0325275018230675</v>
      </c>
      <c r="AO182" s="168">
        <v>3.0627279794108238</v>
      </c>
      <c r="AP182" s="168">
        <v>3.1008836618461793</v>
      </c>
      <c r="AQ182" s="168">
        <v>3.0934968858377383</v>
      </c>
      <c r="AR182" s="168">
        <v>3.0513861277065271</v>
      </c>
      <c r="AS182" s="168">
        <v>3.1154161067553341</v>
      </c>
      <c r="AT182" s="168">
        <v>2.9208271767579577</v>
      </c>
      <c r="AU182" s="168">
        <v>2.9836349871374894</v>
      </c>
      <c r="AV182" s="168">
        <v>3.0566574452186499</v>
      </c>
      <c r="AW182" s="168">
        <v>3.0435956707592959</v>
      </c>
      <c r="AX182" s="168">
        <v>3.0899773799316081</v>
      </c>
      <c r="AY182" s="168">
        <v>3.078531708194491</v>
      </c>
      <c r="AZ182" s="168">
        <v>3.0691372129958929</v>
      </c>
      <c r="BA182" s="168">
        <v>3.0996240535599875</v>
      </c>
      <c r="BB182" s="168">
        <v>3.1380733475547862</v>
      </c>
      <c r="BC182" s="168">
        <v>3.1304100336233391</v>
      </c>
      <c r="BD182" s="168">
        <v>3.0877467834769479</v>
      </c>
      <c r="BE182" s="168">
        <v>3.1524122724821941</v>
      </c>
      <c r="BF182" s="168">
        <v>2.9554729902818435</v>
      </c>
      <c r="BG182" s="168">
        <v>3.0188416056365348</v>
      </c>
      <c r="BH182" s="168">
        <v>3.0926493052101405</v>
      </c>
      <c r="BI182" s="168">
        <v>3.0793978243944218</v>
      </c>
      <c r="BJ182" s="168">
        <v>3.1262090275605314</v>
      </c>
      <c r="BK182" s="168">
        <v>3.1145660071262578</v>
      </c>
      <c r="BL182" s="168">
        <v>3.1050305053592027</v>
      </c>
      <c r="BM182" s="168">
        <v>3.1358013212075209</v>
      </c>
      <c r="BN182" s="168">
        <v>3.1746835476558815</v>
      </c>
      <c r="BO182" s="168">
        <v>3.1668838486756585</v>
      </c>
      <c r="BP182" s="168">
        <v>3.1238156025621544</v>
      </c>
      <c r="BQ182" s="168">
        <v>3.1892502130295046</v>
      </c>
      <c r="BR182" s="168">
        <v>2.9901115271398369</v>
      </c>
      <c r="BS182" s="168">
        <v>3.0541857465426077</v>
      </c>
      <c r="BT182" s="168">
        <v>3.1289398885922464</v>
      </c>
      <c r="BU182" s="168">
        <v>3.1156589900696758</v>
      </c>
      <c r="BV182" s="168">
        <v>3.1630553464826447</v>
      </c>
      <c r="BW182" s="168">
        <v>3.1513440450112515</v>
      </c>
      <c r="BX182" s="168">
        <v>3.1417943488867541</v>
      </c>
      <c r="BY182" s="168">
        <v>3.1729367391009236</v>
      </c>
      <c r="BZ182" s="168">
        <v>3.2122916145321554</v>
      </c>
      <c r="CA182" s="168">
        <v>3.2043836009766942</v>
      </c>
      <c r="CB182" s="168">
        <v>3.160884351874274</v>
      </c>
      <c r="CC182" s="168">
        <v>3.2270308908099388</v>
      </c>
      <c r="CD182" s="168">
        <v>3.0255231002679803</v>
      </c>
      <c r="CE182" s="168">
        <v>3.0901755725231621</v>
      </c>
      <c r="CF182" s="168">
        <v>3.16572727910162</v>
      </c>
      <c r="CG182" s="168">
        <v>3.1522659828927613</v>
      </c>
      <c r="CH182" s="168">
        <v>3.2001245207075826</v>
      </c>
      <c r="CI182" s="168">
        <v>3.1882361631370641</v>
      </c>
      <c r="CJ182" s="168">
        <v>3.178563104210737</v>
      </c>
      <c r="CK182" s="168">
        <v>3.2100351100208355</v>
      </c>
      <c r="CL182" s="168">
        <v>3.2498713322551209</v>
      </c>
      <c r="CM182" s="168">
        <v>3.2418566908081532</v>
      </c>
      <c r="CN182" s="168">
        <v>3.197961541417619</v>
      </c>
      <c r="CO182" s="168">
        <v>3.2649164586381332</v>
      </c>
    </row>
    <row r="183" spans="1:93" x14ac:dyDescent="0.2">
      <c r="A183" s="118">
        <f t="shared" si="16"/>
        <v>6</v>
      </c>
      <c r="B183" s="226" t="s">
        <v>546</v>
      </c>
      <c r="C183" s="223"/>
      <c r="D183" s="172"/>
      <c r="E183" s="225"/>
      <c r="F183" s="183"/>
      <c r="G183" s="233"/>
      <c r="H183" s="174"/>
      <c r="I183" s="229"/>
      <c r="J183" s="172"/>
      <c r="K183" s="225"/>
      <c r="L183" s="183"/>
      <c r="M183" s="233"/>
      <c r="N183" s="174"/>
      <c r="O183" s="227"/>
      <c r="R183" s="227"/>
      <c r="S183" s="263"/>
      <c r="T183" s="227"/>
      <c r="U183" s="178"/>
      <c r="V183" s="179"/>
      <c r="W183" s="180"/>
      <c r="Y183" s="178"/>
      <c r="Z183" s="181"/>
    </row>
    <row r="184" spans="1:93" x14ac:dyDescent="0.2">
      <c r="A184" s="118">
        <f t="shared" si="16"/>
        <v>7</v>
      </c>
      <c r="B184" s="234" t="s">
        <v>149</v>
      </c>
      <c r="C184" s="223"/>
      <c r="D184" s="172">
        <f>SUMIF($AH$8:$CP$8,1,$AH184:$CP184)</f>
        <v>182347.05289238534</v>
      </c>
      <c r="E184" s="225" t="s">
        <v>545</v>
      </c>
      <c r="F184" s="183">
        <v>21.56</v>
      </c>
      <c r="G184" s="233" t="s">
        <v>375</v>
      </c>
      <c r="H184" s="174">
        <f>ROUND(D184*F184,2)</f>
        <v>3931402.46</v>
      </c>
      <c r="I184" s="229"/>
      <c r="J184" s="172">
        <f>SUMIF($AH$8:$CP$8,1,$AH184:$CP184)</f>
        <v>182347.05289238534</v>
      </c>
      <c r="K184" s="225" t="s">
        <v>545</v>
      </c>
      <c r="L184" s="183">
        <f>L180</f>
        <v>22.07</v>
      </c>
      <c r="M184" s="233" t="s">
        <v>375</v>
      </c>
      <c r="N184" s="174">
        <f>ROUND(J184*L184,2)</f>
        <v>4024399.46</v>
      </c>
      <c r="O184" s="227"/>
      <c r="R184" s="289"/>
      <c r="S184" s="263"/>
      <c r="T184" s="197"/>
      <c r="U184" s="178" t="s">
        <v>592</v>
      </c>
      <c r="V184" s="179">
        <v>245</v>
      </c>
      <c r="W184" s="180">
        <v>219</v>
      </c>
      <c r="Y184" s="178"/>
      <c r="Z184" s="181"/>
      <c r="AB184" s="182">
        <f>SUM(AH184:AS184)</f>
        <v>176023.38675695148</v>
      </c>
      <c r="AC184" s="182">
        <f>SUM(AT184:BE184)</f>
        <v>178131.95224687879</v>
      </c>
      <c r="AD184" s="182">
        <f>SUM(BF184:BQ184)</f>
        <v>180220.06654336833</v>
      </c>
      <c r="AE184" s="182">
        <f>SUM(BR184:CC184)</f>
        <v>182347.05289238534</v>
      </c>
      <c r="AF184" s="182">
        <f>SUM(CD184:CO184)</f>
        <v>184486.72566809686</v>
      </c>
      <c r="AH184" s="168">
        <v>13956.077262771303</v>
      </c>
      <c r="AI184" s="168">
        <v>14250.844861121852</v>
      </c>
      <c r="AJ184" s="168">
        <v>14599.6264690682</v>
      </c>
      <c r="AK184" s="168">
        <v>14537.200298367083</v>
      </c>
      <c r="AL184" s="168">
        <v>14759.005757347495</v>
      </c>
      <c r="AM184" s="168">
        <v>14704.204833721264</v>
      </c>
      <c r="AN184" s="168">
        <v>14658.910103001699</v>
      </c>
      <c r="AO184" s="168">
        <v>14804.895946744418</v>
      </c>
      <c r="AP184" s="168">
        <v>14989.336390698287</v>
      </c>
      <c r="AQ184" s="168">
        <v>14953.629514043861</v>
      </c>
      <c r="AR184" s="168">
        <v>14750.070661751979</v>
      </c>
      <c r="AS184" s="168">
        <v>15059.584658314016</v>
      </c>
      <c r="AT184" s="168">
        <v>14118.962807347774</v>
      </c>
      <c r="AU184" s="168">
        <v>14422.568972688878</v>
      </c>
      <c r="AV184" s="168">
        <v>14775.551640733414</v>
      </c>
      <c r="AW184" s="168">
        <v>14712.412435080625</v>
      </c>
      <c r="AX184" s="168">
        <v>14936.61660298075</v>
      </c>
      <c r="AY184" s="168">
        <v>14881.289463173445</v>
      </c>
      <c r="AZ184" s="168">
        <v>14835.877489004522</v>
      </c>
      <c r="BA184" s="168">
        <v>14983.247580416701</v>
      </c>
      <c r="BB184" s="168">
        <v>15169.107310907128</v>
      </c>
      <c r="BC184" s="168">
        <v>15132.063679828883</v>
      </c>
      <c r="BD184" s="168">
        <v>14925.834140864486</v>
      </c>
      <c r="BE184" s="168">
        <v>15238.420123852171</v>
      </c>
      <c r="BF184" s="168">
        <v>14286.436924428886</v>
      </c>
      <c r="BG184" s="168">
        <v>14592.753960392345</v>
      </c>
      <c r="BH184" s="168">
        <v>14949.532400920392</v>
      </c>
      <c r="BI184" s="168">
        <v>14885.476175249727</v>
      </c>
      <c r="BJ184" s="168">
        <v>15111.756470684089</v>
      </c>
      <c r="BK184" s="168">
        <v>15055.475368609719</v>
      </c>
      <c r="BL184" s="168">
        <v>15009.381783932833</v>
      </c>
      <c r="BM184" s="168">
        <v>15158.124581168917</v>
      </c>
      <c r="BN184" s="168">
        <v>15346.077060336351</v>
      </c>
      <c r="BO184" s="168">
        <v>15308.374158676655</v>
      </c>
      <c r="BP184" s="168">
        <v>15100.186912990581</v>
      </c>
      <c r="BQ184" s="168">
        <v>15416.49074597781</v>
      </c>
      <c r="BR184" s="168">
        <v>14453.875866893741</v>
      </c>
      <c r="BS184" s="168">
        <v>14763.603716544092</v>
      </c>
      <c r="BT184" s="168">
        <v>15124.957157683179</v>
      </c>
      <c r="BU184" s="168">
        <v>15060.758729997888</v>
      </c>
      <c r="BV184" s="168">
        <v>15289.867592967754</v>
      </c>
      <c r="BW184" s="168">
        <v>15233.256427741686</v>
      </c>
      <c r="BX184" s="168">
        <v>15187.094229075448</v>
      </c>
      <c r="BY184" s="168">
        <v>15337.633176625854</v>
      </c>
      <c r="BZ184" s="168">
        <v>15527.870389879297</v>
      </c>
      <c r="CA184" s="168">
        <v>15489.643907272583</v>
      </c>
      <c r="CB184" s="168">
        <v>15279.37323973301</v>
      </c>
      <c r="CC184" s="168">
        <v>15599.118457970832</v>
      </c>
      <c r="CD184" s="168">
        <v>14625.051583117009</v>
      </c>
      <c r="CE184" s="168">
        <v>14937.574644542095</v>
      </c>
      <c r="CF184" s="168">
        <v>15302.783426390301</v>
      </c>
      <c r="CG184" s="168">
        <v>15237.712975791941</v>
      </c>
      <c r="CH184" s="168">
        <v>15469.05597369281</v>
      </c>
      <c r="CI184" s="168">
        <v>15411.588938424768</v>
      </c>
      <c r="CJ184" s="168">
        <v>15364.830417311003</v>
      </c>
      <c r="CK184" s="168">
        <v>15516.962691018012</v>
      </c>
      <c r="CL184" s="168">
        <v>15709.526682679927</v>
      </c>
      <c r="CM184" s="168">
        <v>15670.78477237301</v>
      </c>
      <c r="CN184" s="168">
        <v>15458.600365640725</v>
      </c>
      <c r="CO184" s="168">
        <v>15782.253197115262</v>
      </c>
    </row>
    <row r="185" spans="1:93" x14ac:dyDescent="0.2">
      <c r="A185" s="118">
        <f t="shared" si="16"/>
        <v>8</v>
      </c>
      <c r="B185" s="234" t="s">
        <v>148</v>
      </c>
      <c r="C185" s="223"/>
      <c r="D185" s="172">
        <f>SUMIF($AH$8:$CP$8,1,$AH185:$CP185)</f>
        <v>2959.6961462790582</v>
      </c>
      <c r="E185" s="225" t="s">
        <v>545</v>
      </c>
      <c r="F185" s="183">
        <v>272.61</v>
      </c>
      <c r="G185" s="233" t="s">
        <v>375</v>
      </c>
      <c r="H185" s="174">
        <f>ROUND(D185*F185,2)</f>
        <v>806842.77</v>
      </c>
      <c r="I185" s="229"/>
      <c r="J185" s="172">
        <f>SUMIF($AH$8:$CP$8,1,$AH185:$CP185)</f>
        <v>2959.6961462790582</v>
      </c>
      <c r="K185" s="225" t="s">
        <v>545</v>
      </c>
      <c r="L185" s="183">
        <f>L181</f>
        <v>279.02999999999997</v>
      </c>
      <c r="M185" s="233" t="s">
        <v>375</v>
      </c>
      <c r="N185" s="174">
        <f>ROUND(J185*L185,2)</f>
        <v>825844.02</v>
      </c>
      <c r="O185" s="227"/>
      <c r="R185" s="288"/>
      <c r="S185" s="263"/>
      <c r="T185" s="197"/>
      <c r="U185" s="178" t="s">
        <v>592</v>
      </c>
      <c r="V185" s="179">
        <v>245</v>
      </c>
      <c r="W185" s="180">
        <v>219</v>
      </c>
      <c r="Y185" s="178"/>
      <c r="Z185" s="181"/>
      <c r="AB185" s="182">
        <f>SUM(AH185:AS185)</f>
        <v>2857.0559884343106</v>
      </c>
      <c r="AC185" s="182">
        <f>SUM(AT185:BE185)</f>
        <v>2891.2803592465871</v>
      </c>
      <c r="AD185" s="182">
        <f>SUM(BF185:BQ185)</f>
        <v>2925.1727843682456</v>
      </c>
      <c r="AE185" s="182">
        <f>SUM(BR185:CC185)</f>
        <v>2959.6961462790582</v>
      </c>
      <c r="AF185" s="182">
        <f>SUM(CD185:CO185)</f>
        <v>2994.4254230516804</v>
      </c>
      <c r="AH185" s="168">
        <v>226.52270731336785</v>
      </c>
      <c r="AI185" s="168">
        <v>231.30711436052164</v>
      </c>
      <c r="AJ185" s="168">
        <v>236.96822905668864</v>
      </c>
      <c r="AK185" s="168">
        <v>235.95498264595503</v>
      </c>
      <c r="AL185" s="168">
        <v>239.55513275397689</v>
      </c>
      <c r="AM185" s="168">
        <v>238.66565261214637</v>
      </c>
      <c r="AN185" s="168">
        <v>237.93046858898282</v>
      </c>
      <c r="AO185" s="168">
        <v>240.29998173593572</v>
      </c>
      <c r="AP185" s="168">
        <v>243.2936559551205</v>
      </c>
      <c r="AQ185" s="168">
        <v>242.71409350235012</v>
      </c>
      <c r="AR185" s="168">
        <v>239.41010618194721</v>
      </c>
      <c r="AS185" s="168">
        <v>244.43386372731717</v>
      </c>
      <c r="AT185" s="168">
        <v>229.16652146292839</v>
      </c>
      <c r="AU185" s="168">
        <v>234.09438831513864</v>
      </c>
      <c r="AV185" s="168">
        <v>239.82369090458758</v>
      </c>
      <c r="AW185" s="168">
        <v>238.79887114092531</v>
      </c>
      <c r="AX185" s="168">
        <v>242.43795497139072</v>
      </c>
      <c r="AY185" s="168">
        <v>241.53993375374614</v>
      </c>
      <c r="AZ185" s="168">
        <v>240.80284673856963</v>
      </c>
      <c r="BA185" s="168">
        <v>243.19482776985521</v>
      </c>
      <c r="BB185" s="168">
        <v>246.21153859328498</v>
      </c>
      <c r="BC185" s="168">
        <v>245.61027912455549</v>
      </c>
      <c r="BD185" s="168">
        <v>242.26294357928592</v>
      </c>
      <c r="BE185" s="168">
        <v>247.33656289231914</v>
      </c>
      <c r="BF185" s="168">
        <v>231.8848132645457</v>
      </c>
      <c r="BG185" s="168">
        <v>236.85668057196921</v>
      </c>
      <c r="BH185" s="168">
        <v>242.6475927844605</v>
      </c>
      <c r="BI185" s="168">
        <v>241.60788876262177</v>
      </c>
      <c r="BJ185" s="168">
        <v>245.28067045968169</v>
      </c>
      <c r="BK185" s="168">
        <v>244.36716536993313</v>
      </c>
      <c r="BL185" s="168">
        <v>243.61901505561528</v>
      </c>
      <c r="BM185" s="168">
        <v>246.03327663420092</v>
      </c>
      <c r="BN185" s="168">
        <v>249.08395510391955</v>
      </c>
      <c r="BO185" s="168">
        <v>248.47199493798476</v>
      </c>
      <c r="BP185" s="168">
        <v>245.09288362805225</v>
      </c>
      <c r="BQ185" s="168">
        <v>250.22684779526088</v>
      </c>
      <c r="BR185" s="168">
        <v>234.60253414289045</v>
      </c>
      <c r="BS185" s="168">
        <v>239.62976276251862</v>
      </c>
      <c r="BT185" s="168">
        <v>245.49493234008892</v>
      </c>
      <c r="BU185" s="168">
        <v>244.45292022087216</v>
      </c>
      <c r="BV185" s="168">
        <v>248.17161272538155</v>
      </c>
      <c r="BW185" s="168">
        <v>247.25275034236924</v>
      </c>
      <c r="BX185" s="168">
        <v>246.50348634643913</v>
      </c>
      <c r="BY185" s="168">
        <v>248.9469014489184</v>
      </c>
      <c r="BZ185" s="168">
        <v>252.03466370234722</v>
      </c>
      <c r="CA185" s="168">
        <v>251.41420523338766</v>
      </c>
      <c r="CB185" s="168">
        <v>248.00127766191937</v>
      </c>
      <c r="CC185" s="168">
        <v>253.19109935192574</v>
      </c>
      <c r="CD185" s="168">
        <v>237.38090702913371</v>
      </c>
      <c r="CE185" s="168">
        <v>242.45350505499295</v>
      </c>
      <c r="CF185" s="168">
        <v>248.38125111437847</v>
      </c>
      <c r="CG185" s="168">
        <v>247.32508509020769</v>
      </c>
      <c r="CH185" s="168">
        <v>251.08004009767873</v>
      </c>
      <c r="CI185" s="168">
        <v>250.14728598883505</v>
      </c>
      <c r="CJ185" s="168">
        <v>249.38834301415594</v>
      </c>
      <c r="CK185" s="168">
        <v>251.85761957812119</v>
      </c>
      <c r="CL185" s="168">
        <v>254.98314804153011</v>
      </c>
      <c r="CM185" s="168">
        <v>254.35432360583968</v>
      </c>
      <c r="CN185" s="168">
        <v>250.91033391176617</v>
      </c>
      <c r="CO185" s="168">
        <v>256.16358052504057</v>
      </c>
    </row>
    <row r="186" spans="1:93" x14ac:dyDescent="0.2">
      <c r="A186" s="118">
        <f t="shared" si="16"/>
        <v>9</v>
      </c>
      <c r="B186" s="234" t="s">
        <v>216</v>
      </c>
      <c r="C186" s="223"/>
      <c r="D186" s="172">
        <f>SUMIF($AH$8:$CP$8,1,$AH186:$CP186)</f>
        <v>21.410134024064838</v>
      </c>
      <c r="E186" s="225" t="s">
        <v>545</v>
      </c>
      <c r="F186" s="183">
        <v>1344.66</v>
      </c>
      <c r="G186" s="233" t="s">
        <v>375</v>
      </c>
      <c r="H186" s="187">
        <f>ROUND(D186*F186,2)</f>
        <v>28789.35</v>
      </c>
      <c r="I186" s="229"/>
      <c r="J186" s="172">
        <f>SUMIF($AH$8:$CP$8,1,$AH186:$CP186)</f>
        <v>21.410134024064838</v>
      </c>
      <c r="K186" s="225" t="s">
        <v>545</v>
      </c>
      <c r="L186" s="183">
        <f>L182</f>
        <v>1376.31</v>
      </c>
      <c r="M186" s="233" t="s">
        <v>375</v>
      </c>
      <c r="N186" s="187">
        <f>ROUND(J186*L186,2)</f>
        <v>29466.98</v>
      </c>
      <c r="O186" s="227"/>
      <c r="P186" s="1226"/>
      <c r="R186" s="186"/>
      <c r="S186" s="227"/>
      <c r="T186" s="927"/>
      <c r="U186" s="178" t="s">
        <v>592</v>
      </c>
      <c r="V186" s="179">
        <v>245</v>
      </c>
      <c r="W186" s="180">
        <v>219</v>
      </c>
      <c r="X186" s="260"/>
      <c r="Y186" s="178"/>
      <c r="Z186" s="181"/>
      <c r="AA186" s="260"/>
      <c r="AB186" s="182">
        <f>SUM(AH186:AS186)</f>
        <v>20.667645799903724</v>
      </c>
      <c r="AC186" s="182">
        <f>SUM(AT186:BE186)</f>
        <v>20.915221337987717</v>
      </c>
      <c r="AD186" s="182">
        <f>SUM(BF186:BQ186)</f>
        <v>21.16039561547818</v>
      </c>
      <c r="AE186" s="182">
        <f>SUM(BR186:CC186)</f>
        <v>21.410134024064838</v>
      </c>
      <c r="AF186" s="182">
        <f>SUM(CD186:CO186)</f>
        <v>21.661361999340436</v>
      </c>
      <c r="AH186" s="168">
        <v>1.6386416994766533</v>
      </c>
      <c r="AI186" s="168">
        <v>1.6732516023323989</v>
      </c>
      <c r="AJ186" s="168">
        <v>1.7142035171169345</v>
      </c>
      <c r="AK186" s="168">
        <v>1.7068737979900295</v>
      </c>
      <c r="AL186" s="168">
        <v>1.7329169093467152</v>
      </c>
      <c r="AM186" s="168">
        <v>1.7264825025336112</v>
      </c>
      <c r="AN186" s="168">
        <v>1.7211642577914708</v>
      </c>
      <c r="AO186" s="168">
        <v>1.7383050693953321</v>
      </c>
      <c r="AP186" s="168">
        <v>1.7599609972640478</v>
      </c>
      <c r="AQ186" s="168">
        <v>1.7557685027727705</v>
      </c>
      <c r="AR186" s="168">
        <v>1.7318678022118126</v>
      </c>
      <c r="AS186" s="168">
        <v>1.7682091416719463</v>
      </c>
      <c r="AT186" s="168">
        <v>1.6577667759977595</v>
      </c>
      <c r="AU186" s="168">
        <v>1.6934144521591155</v>
      </c>
      <c r="AV186" s="168">
        <v>1.7348596310700442</v>
      </c>
      <c r="AW186" s="168">
        <v>1.7274461915120327</v>
      </c>
      <c r="AX186" s="168">
        <v>1.7537709453665882</v>
      </c>
      <c r="AY186" s="168">
        <v>1.7472747532995758</v>
      </c>
      <c r="AZ186" s="168">
        <v>1.7419427425111824</v>
      </c>
      <c r="BA186" s="168">
        <v>1.7592460844529658</v>
      </c>
      <c r="BB186" s="168">
        <v>1.781068656720284</v>
      </c>
      <c r="BC186" s="168">
        <v>1.7767192082727059</v>
      </c>
      <c r="BD186" s="168">
        <v>1.7525049311625918</v>
      </c>
      <c r="BE186" s="168">
        <v>1.7892069654628666</v>
      </c>
      <c r="BF186" s="168">
        <v>1.6774306161059109</v>
      </c>
      <c r="BG186" s="168">
        <v>1.7133965869828982</v>
      </c>
      <c r="BH186" s="168">
        <v>1.7552874434976473</v>
      </c>
      <c r="BI186" s="168">
        <v>1.7477663327644013</v>
      </c>
      <c r="BJ186" s="168">
        <v>1.7743348534803014</v>
      </c>
      <c r="BK186" s="168">
        <v>1.7677266526932811</v>
      </c>
      <c r="BL186" s="168">
        <v>1.7623146111498178</v>
      </c>
      <c r="BM186" s="168">
        <v>1.7797791282529172</v>
      </c>
      <c r="BN186" s="168">
        <v>1.8018474189398246</v>
      </c>
      <c r="BO186" s="168">
        <v>1.7974205627618602</v>
      </c>
      <c r="BP186" s="168">
        <v>1.7729764230758172</v>
      </c>
      <c r="BQ186" s="168">
        <v>1.8101149857735026</v>
      </c>
      <c r="BR186" s="168">
        <v>1.6970903262145018</v>
      </c>
      <c r="BS186" s="168">
        <v>1.733456775064723</v>
      </c>
      <c r="BT186" s="168">
        <v>1.775884801633437</v>
      </c>
      <c r="BU186" s="168">
        <v>1.7683469943638701</v>
      </c>
      <c r="BV186" s="168">
        <v>1.7952476290847441</v>
      </c>
      <c r="BW186" s="168">
        <v>1.7886006741955749</v>
      </c>
      <c r="BX186" s="168">
        <v>1.7831805763951849</v>
      </c>
      <c r="BY186" s="168">
        <v>1.8008559870572807</v>
      </c>
      <c r="BZ186" s="168">
        <v>1.8231925379777096</v>
      </c>
      <c r="CA186" s="168">
        <v>1.8187042059597451</v>
      </c>
      <c r="CB186" s="168">
        <v>1.7940154429556689</v>
      </c>
      <c r="CC186" s="168">
        <v>1.8315580731623975</v>
      </c>
      <c r="CD186" s="168">
        <v>1.7171887866385831</v>
      </c>
      <c r="CE186" s="168">
        <v>1.7538834330536865</v>
      </c>
      <c r="CF186" s="168">
        <v>1.7967641313820004</v>
      </c>
      <c r="CG186" s="168">
        <v>1.7891239362364317</v>
      </c>
      <c r="CH186" s="168">
        <v>1.8162868901313307</v>
      </c>
      <c r="CI186" s="168">
        <v>1.809539443942658</v>
      </c>
      <c r="CJ186" s="168">
        <v>1.8040493294169047</v>
      </c>
      <c r="CK186" s="168">
        <v>1.8219118192010144</v>
      </c>
      <c r="CL186" s="168">
        <v>1.844521566955609</v>
      </c>
      <c r="CM186" s="168">
        <v>1.8399727164046271</v>
      </c>
      <c r="CN186" s="168">
        <v>1.8150592532370269</v>
      </c>
      <c r="CO186" s="168">
        <v>1.853060692740562</v>
      </c>
    </row>
    <row r="187" spans="1:93" x14ac:dyDescent="0.2">
      <c r="A187" s="118">
        <f t="shared" si="16"/>
        <v>10</v>
      </c>
      <c r="B187" s="226"/>
      <c r="C187" s="223" t="s">
        <v>374</v>
      </c>
      <c r="D187" s="206">
        <f>SUM(D180:D186)</f>
        <v>589518.86458090087</v>
      </c>
      <c r="E187" s="235" t="s">
        <v>593</v>
      </c>
      <c r="F187" s="183"/>
      <c r="G187" s="233"/>
      <c r="H187" s="206">
        <f>SUM(H180:H186)</f>
        <v>13930071.839999998</v>
      </c>
      <c r="I187" s="229"/>
      <c r="J187" s="206">
        <f>SUM(J180:J186)</f>
        <v>589518.86458090087</v>
      </c>
      <c r="K187" s="235" t="s">
        <v>593</v>
      </c>
      <c r="L187" s="183"/>
      <c r="M187" s="233"/>
      <c r="N187" s="206">
        <f>SUM(N180:N186)</f>
        <v>14259447.280000001</v>
      </c>
      <c r="O187" s="227"/>
      <c r="Q187" s="1022"/>
      <c r="R187" s="227"/>
      <c r="S187" s="227"/>
      <c r="T187" s="176"/>
      <c r="U187" s="178"/>
      <c r="V187" s="179"/>
      <c r="W187" s="180"/>
      <c r="X187" s="114"/>
      <c r="Y187" s="178" t="s">
        <v>122</v>
      </c>
      <c r="Z187" s="181" t="s">
        <v>451</v>
      </c>
      <c r="AA187" s="114"/>
      <c r="AB187" s="206">
        <f>SUM(AB180:AB186)</f>
        <v>569074.76953786355</v>
      </c>
      <c r="AC187" s="206">
        <f>SUM(AC180:AC186)</f>
        <v>575891.65587520401</v>
      </c>
      <c r="AD187" s="206">
        <f>SUM(AD180:AD186)</f>
        <v>582642.42453121371</v>
      </c>
      <c r="AE187" s="206">
        <f>SUM(AE180:AE186)</f>
        <v>589518.86458090087</v>
      </c>
      <c r="AF187" s="206">
        <f>SUM(AF180:AF186)</f>
        <v>596436.31921098207</v>
      </c>
      <c r="AH187" s="206">
        <f t="shared" ref="AH187:CO187" si="17">SUM(AH180:AH186)</f>
        <v>45119.296920075583</v>
      </c>
      <c r="AI187" s="206">
        <f t="shared" si="17"/>
        <v>46072.265762393035</v>
      </c>
      <c r="AJ187" s="206">
        <f t="shared" si="17"/>
        <v>47199.859185164598</v>
      </c>
      <c r="AK187" s="206">
        <f t="shared" si="17"/>
        <v>46998.038510313469</v>
      </c>
      <c r="AL187" s="206">
        <f t="shared" si="17"/>
        <v>47715.124420186374</v>
      </c>
      <c r="AM187" s="206">
        <f t="shared" si="17"/>
        <v>47537.955786190476</v>
      </c>
      <c r="AN187" s="206">
        <f t="shared" si="17"/>
        <v>47391.520196463374</v>
      </c>
      <c r="AO187" s="206">
        <f t="shared" si="17"/>
        <v>47863.485097913603</v>
      </c>
      <c r="AP187" s="206">
        <f t="shared" si="17"/>
        <v>48459.771790666739</v>
      </c>
      <c r="AQ187" s="206">
        <f t="shared" si="17"/>
        <v>48344.333251632757</v>
      </c>
      <c r="AR187" s="206">
        <f t="shared" si="17"/>
        <v>47686.237704844178</v>
      </c>
      <c r="AS187" s="206">
        <f t="shared" si="17"/>
        <v>48686.880912019187</v>
      </c>
      <c r="AT187" s="206">
        <f t="shared" si="17"/>
        <v>45645.897705622883</v>
      </c>
      <c r="AU187" s="206">
        <f t="shared" si="17"/>
        <v>46627.441191150327</v>
      </c>
      <c r="AV187" s="206">
        <f t="shared" si="17"/>
        <v>47768.616430243215</v>
      </c>
      <c r="AW187" s="206">
        <f t="shared" si="17"/>
        <v>47564.490549201757</v>
      </c>
      <c r="AX187" s="206">
        <f t="shared" si="17"/>
        <v>48289.331364549565</v>
      </c>
      <c r="AY187" s="206">
        <f t="shared" si="17"/>
        <v>48110.461500066704</v>
      </c>
      <c r="AZ187" s="206">
        <f t="shared" si="17"/>
        <v>47963.64686815576</v>
      </c>
      <c r="BA187" s="206">
        <f t="shared" si="17"/>
        <v>48440.086972804791</v>
      </c>
      <c r="BB187" s="206">
        <f t="shared" si="17"/>
        <v>49040.96214765442</v>
      </c>
      <c r="BC187" s="206">
        <f t="shared" si="17"/>
        <v>48921.201948699701</v>
      </c>
      <c r="BD187" s="206">
        <f t="shared" si="17"/>
        <v>48254.472206020044</v>
      </c>
      <c r="BE187" s="206">
        <f t="shared" si="17"/>
        <v>49265.04699103484</v>
      </c>
      <c r="BF187" s="206">
        <f t="shared" si="17"/>
        <v>46187.33311564078</v>
      </c>
      <c r="BG187" s="206">
        <f t="shared" si="17"/>
        <v>47177.640709751111</v>
      </c>
      <c r="BH187" s="206">
        <f t="shared" si="17"/>
        <v>48331.087490660502</v>
      </c>
      <c r="BI187" s="206">
        <f t="shared" si="17"/>
        <v>48123.996929953755</v>
      </c>
      <c r="BJ187" s="206">
        <f t="shared" si="17"/>
        <v>48855.549761357193</v>
      </c>
      <c r="BK187" s="206">
        <f t="shared" si="17"/>
        <v>48673.595784772631</v>
      </c>
      <c r="BL187" s="206">
        <f t="shared" si="17"/>
        <v>48524.577540319733</v>
      </c>
      <c r="BM187" s="206">
        <f t="shared" si="17"/>
        <v>49005.455533960543</v>
      </c>
      <c r="BN187" s="206">
        <f t="shared" si="17"/>
        <v>49613.096460185669</v>
      </c>
      <c r="BO187" s="206">
        <f t="shared" si="17"/>
        <v>49491.204872549504</v>
      </c>
      <c r="BP187" s="206">
        <f t="shared" si="17"/>
        <v>48818.145962354174</v>
      </c>
      <c r="BQ187" s="206">
        <f t="shared" si="17"/>
        <v>49840.740369708066</v>
      </c>
      <c r="BR187" s="206">
        <f t="shared" si="17"/>
        <v>46728.654807890794</v>
      </c>
      <c r="BS187" s="206">
        <f t="shared" si="17"/>
        <v>47729.989391360694</v>
      </c>
      <c r="BT187" s="206">
        <f t="shared" si="17"/>
        <v>48898.226919490276</v>
      </c>
      <c r="BU187" s="206">
        <f t="shared" si="17"/>
        <v>48690.67662681159</v>
      </c>
      <c r="BV187" s="206">
        <f t="shared" si="17"/>
        <v>49431.374075007399</v>
      </c>
      <c r="BW187" s="206">
        <f t="shared" si="17"/>
        <v>49248.35302082909</v>
      </c>
      <c r="BX187" s="206">
        <f t="shared" si="17"/>
        <v>49099.112950794384</v>
      </c>
      <c r="BY187" s="206">
        <f t="shared" si="17"/>
        <v>49585.797808199197</v>
      </c>
      <c r="BZ187" s="206">
        <f t="shared" si="17"/>
        <v>50200.825164985676</v>
      </c>
      <c r="CA187" s="206">
        <f t="shared" si="17"/>
        <v>50077.240866441884</v>
      </c>
      <c r="CB187" s="206">
        <f t="shared" si="17"/>
        <v>49397.44635802308</v>
      </c>
      <c r="CC187" s="206">
        <f t="shared" si="17"/>
        <v>50431.1665910667</v>
      </c>
      <c r="CD187" s="206">
        <f t="shared" si="17"/>
        <v>47282.057302041969</v>
      </c>
      <c r="CE187" s="206">
        <f t="shared" si="17"/>
        <v>48292.4286648048</v>
      </c>
      <c r="CF187" s="206">
        <f t="shared" si="17"/>
        <v>49473.130315832794</v>
      </c>
      <c r="CG187" s="206">
        <f t="shared" si="17"/>
        <v>49262.760816868904</v>
      </c>
      <c r="CH187" s="206">
        <f t="shared" si="17"/>
        <v>50010.681111098995</v>
      </c>
      <c r="CI187" s="206">
        <f t="shared" si="17"/>
        <v>49824.893072056533</v>
      </c>
      <c r="CJ187" s="206">
        <f t="shared" si="17"/>
        <v>49673.725121496143</v>
      </c>
      <c r="CK187" s="206">
        <f t="shared" si="17"/>
        <v>50165.561122348845</v>
      </c>
      <c r="CL187" s="206">
        <f t="shared" si="17"/>
        <v>50788.110836879721</v>
      </c>
      <c r="CM187" s="206">
        <f t="shared" si="17"/>
        <v>50662.860186465805</v>
      </c>
      <c r="CN187" s="206">
        <f t="shared" si="17"/>
        <v>49976.878655344437</v>
      </c>
      <c r="CO187" s="206">
        <f t="shared" si="17"/>
        <v>51023.232005743062</v>
      </c>
    </row>
    <row r="188" spans="1:93" x14ac:dyDescent="0.2">
      <c r="A188" s="118">
        <f t="shared" si="16"/>
        <v>11</v>
      </c>
      <c r="B188" s="226"/>
      <c r="C188" s="223"/>
      <c r="D188" s="168"/>
      <c r="E188" s="237"/>
      <c r="F188" s="183"/>
      <c r="G188" s="233"/>
      <c r="H188" s="203"/>
      <c r="I188" s="229"/>
      <c r="J188" s="168"/>
      <c r="K188" s="237"/>
      <c r="L188" s="183"/>
      <c r="M188" s="233"/>
      <c r="N188" s="203"/>
      <c r="O188" s="227"/>
      <c r="R188" s="227"/>
      <c r="S188" s="227"/>
      <c r="T188" s="227"/>
      <c r="U188" s="178"/>
      <c r="V188" s="179"/>
      <c r="W188" s="180"/>
      <c r="X188" s="114"/>
      <c r="Y188" s="178"/>
      <c r="Z188" s="181"/>
      <c r="AA188" s="114"/>
      <c r="AB188" s="193">
        <f>SUM(AH188:AS188)</f>
        <v>0</v>
      </c>
      <c r="AC188" s="193">
        <f>SUM(AT188:BE188)</f>
        <v>0</v>
      </c>
      <c r="AD188" s="193">
        <f>SUM(BF188:BQ188)</f>
        <v>0</v>
      </c>
      <c r="AE188" s="193">
        <f>SUM(BR188:CC188)</f>
        <v>0</v>
      </c>
      <c r="AF188" s="193">
        <f>SUM(CD188:CO188)</f>
        <v>0</v>
      </c>
      <c r="AH188" s="193">
        <v>0</v>
      </c>
      <c r="AI188" s="193">
        <v>0</v>
      </c>
      <c r="AJ188" s="193">
        <v>0</v>
      </c>
      <c r="AK188" s="193">
        <v>0</v>
      </c>
      <c r="AL188" s="193">
        <v>0</v>
      </c>
      <c r="AM188" s="193">
        <v>0</v>
      </c>
      <c r="AN188" s="193">
        <v>0</v>
      </c>
      <c r="AO188" s="193">
        <v>0</v>
      </c>
      <c r="AP188" s="193">
        <v>0</v>
      </c>
      <c r="AQ188" s="193">
        <v>0</v>
      </c>
      <c r="AR188" s="193">
        <v>0</v>
      </c>
      <c r="AS188" s="193">
        <v>0</v>
      </c>
      <c r="AT188" s="193">
        <v>0</v>
      </c>
      <c r="AU188" s="193">
        <v>0</v>
      </c>
      <c r="AV188" s="193">
        <v>0</v>
      </c>
      <c r="AW188" s="193">
        <v>0</v>
      </c>
      <c r="AX188" s="193">
        <v>0</v>
      </c>
      <c r="AY188" s="193">
        <v>0</v>
      </c>
      <c r="AZ188" s="193">
        <v>0</v>
      </c>
      <c r="BA188" s="193">
        <v>0</v>
      </c>
      <c r="BB188" s="193">
        <v>0</v>
      </c>
      <c r="BC188" s="193">
        <v>0</v>
      </c>
      <c r="BD188" s="193">
        <v>0</v>
      </c>
      <c r="BE188" s="193">
        <v>0</v>
      </c>
      <c r="BF188" s="193">
        <v>0</v>
      </c>
      <c r="BG188" s="193">
        <v>0</v>
      </c>
      <c r="BH188" s="193">
        <v>0</v>
      </c>
      <c r="BI188" s="193">
        <v>0</v>
      </c>
      <c r="BJ188" s="193">
        <v>0</v>
      </c>
      <c r="BK188" s="193">
        <v>0</v>
      </c>
      <c r="BL188" s="193">
        <v>0</v>
      </c>
      <c r="BM188" s="193">
        <v>0</v>
      </c>
      <c r="BN188" s="193">
        <v>0</v>
      </c>
      <c r="BO188" s="193">
        <v>0</v>
      </c>
      <c r="BP188" s="193">
        <v>0</v>
      </c>
      <c r="BQ188" s="193">
        <v>0</v>
      </c>
      <c r="BR188" s="193">
        <v>0</v>
      </c>
      <c r="BS188" s="193">
        <v>0</v>
      </c>
      <c r="BT188" s="193">
        <v>0</v>
      </c>
      <c r="BU188" s="193">
        <v>0</v>
      </c>
      <c r="BV188" s="193">
        <v>0</v>
      </c>
      <c r="BW188" s="193">
        <v>0</v>
      </c>
      <c r="BX188" s="193">
        <v>0</v>
      </c>
      <c r="BY188" s="193">
        <v>0</v>
      </c>
      <c r="BZ188" s="193">
        <v>0</v>
      </c>
      <c r="CA188" s="193">
        <v>0</v>
      </c>
      <c r="CB188" s="193">
        <v>0</v>
      </c>
      <c r="CC188" s="193">
        <v>0</v>
      </c>
      <c r="CD188" s="193">
        <v>0</v>
      </c>
      <c r="CE188" s="193">
        <v>0</v>
      </c>
      <c r="CF188" s="193">
        <v>0</v>
      </c>
      <c r="CG188" s="193">
        <v>0</v>
      </c>
      <c r="CH188" s="193">
        <v>0</v>
      </c>
      <c r="CI188" s="193">
        <v>0</v>
      </c>
      <c r="CJ188" s="193">
        <v>0</v>
      </c>
      <c r="CK188" s="193">
        <v>0</v>
      </c>
      <c r="CL188" s="193">
        <v>0</v>
      </c>
      <c r="CM188" s="193">
        <v>0</v>
      </c>
      <c r="CN188" s="193">
        <v>0</v>
      </c>
      <c r="CO188" s="193">
        <v>0</v>
      </c>
    </row>
    <row r="189" spans="1:93" x14ac:dyDescent="0.2">
      <c r="A189" s="118">
        <f t="shared" si="16"/>
        <v>12</v>
      </c>
      <c r="B189" s="239" t="s">
        <v>594</v>
      </c>
      <c r="C189" s="223"/>
      <c r="D189" s="168"/>
      <c r="E189" s="225"/>
      <c r="F189" s="183"/>
      <c r="G189" s="233"/>
      <c r="H189" s="174"/>
      <c r="I189" s="229"/>
      <c r="J189" s="168"/>
      <c r="K189" s="225"/>
      <c r="L189" s="183"/>
      <c r="M189" s="233"/>
      <c r="N189" s="174"/>
      <c r="O189" s="227"/>
      <c r="R189" s="227"/>
      <c r="S189" s="227"/>
      <c r="T189" s="227"/>
      <c r="U189" s="184"/>
      <c r="V189" s="179"/>
      <c r="W189" s="180"/>
      <c r="X189" s="114"/>
      <c r="Y189" s="184"/>
      <c r="Z189" s="181"/>
      <c r="AA189" s="114"/>
      <c r="AB189" s="238"/>
      <c r="AC189" s="114"/>
    </row>
    <row r="190" spans="1:93" x14ac:dyDescent="0.2">
      <c r="A190" s="118">
        <f t="shared" si="16"/>
        <v>13</v>
      </c>
      <c r="B190" s="228" t="s">
        <v>595</v>
      </c>
      <c r="C190" s="223"/>
      <c r="D190" s="168"/>
      <c r="E190" s="225"/>
      <c r="F190" s="183"/>
      <c r="G190" s="233"/>
      <c r="H190" s="174"/>
      <c r="I190" s="229"/>
      <c r="J190" s="168"/>
      <c r="K190" s="225"/>
      <c r="L190" s="1368">
        <v>0.04</v>
      </c>
      <c r="M190" s="233"/>
      <c r="N190" s="174"/>
      <c r="O190" s="227"/>
      <c r="R190" s="227"/>
      <c r="S190" s="227"/>
      <c r="T190" s="227"/>
      <c r="U190" s="184"/>
      <c r="V190" s="179"/>
      <c r="W190" s="180"/>
      <c r="X190" s="245"/>
      <c r="Y190" s="184"/>
      <c r="Z190" s="181"/>
      <c r="AA190" s="245"/>
      <c r="AB190" s="241"/>
      <c r="AC190" s="114"/>
    </row>
    <row r="191" spans="1:93" x14ac:dyDescent="0.2">
      <c r="A191" s="118">
        <f t="shared" si="16"/>
        <v>14</v>
      </c>
      <c r="B191" s="234" t="s">
        <v>149</v>
      </c>
      <c r="C191" s="223"/>
      <c r="D191" s="172">
        <f>SUMIF($AH$8:$CP$8,1,$AH191:$CP191)</f>
        <v>10725376.603371939</v>
      </c>
      <c r="E191" s="225" t="s">
        <v>596</v>
      </c>
      <c r="F191" s="183">
        <v>9.3800000000000008</v>
      </c>
      <c r="G191" s="233" t="s">
        <v>375</v>
      </c>
      <c r="H191" s="174">
        <f>ROUND(D191*F191,2)</f>
        <v>100604032.54000001</v>
      </c>
      <c r="I191" s="229"/>
      <c r="J191" s="172">
        <f>SUMIF($AH$8:$CP$8,1,$AH191:$CP191)</f>
        <v>10725376.603371939</v>
      </c>
      <c r="K191" s="225" t="s">
        <v>596</v>
      </c>
      <c r="L191" s="310">
        <f>ROUND(F191*(1+'Exhibit MJC-2 - Old E-8a'!V24)+L190,2)</f>
        <v>9.68</v>
      </c>
      <c r="M191" s="233" t="s">
        <v>375</v>
      </c>
      <c r="N191" s="174">
        <f>ROUND(J191*L191,2)</f>
        <v>103821645.52</v>
      </c>
      <c r="O191" s="227"/>
      <c r="Q191" s="1022"/>
      <c r="R191" s="227"/>
      <c r="S191" s="262"/>
      <c r="T191" s="247"/>
      <c r="U191" s="184" t="s">
        <v>122</v>
      </c>
      <c r="V191" s="179">
        <v>244</v>
      </c>
      <c r="W191" s="180">
        <v>218</v>
      </c>
      <c r="X191" s="245"/>
      <c r="Y191" s="184"/>
      <c r="Z191" s="181"/>
      <c r="AA191" s="245"/>
      <c r="AB191" s="182">
        <f>SUM(AH191:AS191)</f>
        <v>10569565.465304464</v>
      </c>
      <c r="AC191" s="182">
        <f>SUM(AT191:BE191)</f>
        <v>10624955.856831726</v>
      </c>
      <c r="AD191" s="182">
        <f>SUM(BF191:BQ191)</f>
        <v>10672219.183253082</v>
      </c>
      <c r="AE191" s="182">
        <f>SUM(BR191:CC191)</f>
        <v>10725376.603371939</v>
      </c>
      <c r="AF191" s="182">
        <f>SUM(CD191:CO191)</f>
        <v>10789885.821678326</v>
      </c>
      <c r="AH191" s="175">
        <v>886486.95234748791</v>
      </c>
      <c r="AI191" s="175">
        <v>732295.96487570426</v>
      </c>
      <c r="AJ191" s="175">
        <v>672912.35025174508</v>
      </c>
      <c r="AK191" s="175">
        <v>781416.57583195565</v>
      </c>
      <c r="AL191" s="175">
        <v>909585.30621138331</v>
      </c>
      <c r="AM191" s="175">
        <v>1003129.3177020162</v>
      </c>
      <c r="AN191" s="175">
        <v>966724.24312810635</v>
      </c>
      <c r="AO191" s="175">
        <v>1065931.9696008386</v>
      </c>
      <c r="AP191" s="175">
        <v>1021750.3762418146</v>
      </c>
      <c r="AQ191" s="175">
        <v>935981.17816602823</v>
      </c>
      <c r="AR191" s="175">
        <v>852743.68894200458</v>
      </c>
      <c r="AS191" s="175">
        <v>740607.54200538131</v>
      </c>
      <c r="AT191" s="175">
        <v>872819.34681715234</v>
      </c>
      <c r="AU191" s="175">
        <v>726715.13998778816</v>
      </c>
      <c r="AV191" s="175">
        <v>656685.07943511708</v>
      </c>
      <c r="AW191" s="175">
        <v>784319.32571831264</v>
      </c>
      <c r="AX191" s="175">
        <v>903362.92385796958</v>
      </c>
      <c r="AY191" s="175">
        <v>981147.18579723989</v>
      </c>
      <c r="AZ191" s="175">
        <v>999900.03479244129</v>
      </c>
      <c r="BA191" s="175">
        <v>1077587.8358458332</v>
      </c>
      <c r="BB191" s="175">
        <v>1041653.4420400891</v>
      </c>
      <c r="BC191" s="175">
        <v>962540.53229694802</v>
      </c>
      <c r="BD191" s="175">
        <v>875122.77483851975</v>
      </c>
      <c r="BE191" s="175">
        <v>743102.23540431459</v>
      </c>
      <c r="BF191" s="175">
        <v>859352.80312262196</v>
      </c>
      <c r="BG191" s="175">
        <v>734783.77511191252</v>
      </c>
      <c r="BH191" s="175">
        <v>666142.20437387761</v>
      </c>
      <c r="BI191" s="175">
        <v>776788.28329428285</v>
      </c>
      <c r="BJ191" s="175">
        <v>907974.3165809632</v>
      </c>
      <c r="BK191" s="175">
        <v>1000025.8340771872</v>
      </c>
      <c r="BL191" s="175">
        <v>1008092.5536922147</v>
      </c>
      <c r="BM191" s="175">
        <v>1089439.9717561859</v>
      </c>
      <c r="BN191" s="175">
        <v>1045859.7735670512</v>
      </c>
      <c r="BO191" s="175">
        <v>952658.25900793239</v>
      </c>
      <c r="BP191" s="175">
        <v>871847.12019228644</v>
      </c>
      <c r="BQ191" s="175">
        <v>759254.28847656562</v>
      </c>
      <c r="BR191" s="175">
        <v>857661.79949135787</v>
      </c>
      <c r="BS191" s="175">
        <v>726257.93356297549</v>
      </c>
      <c r="BT191" s="175">
        <v>674605.35598806513</v>
      </c>
      <c r="BU191" s="175">
        <v>790638.82398596162</v>
      </c>
      <c r="BV191" s="175">
        <v>888466.99832873011</v>
      </c>
      <c r="BW191" s="175">
        <v>1019182.2019078535</v>
      </c>
      <c r="BX191" s="175">
        <v>1026874.1000884171</v>
      </c>
      <c r="BY191" s="175">
        <v>1100153.7995565927</v>
      </c>
      <c r="BZ191" s="175">
        <v>1051037.1986901013</v>
      </c>
      <c r="CA191" s="175">
        <v>963741.80911492952</v>
      </c>
      <c r="CB191" s="175">
        <v>876728.00342086621</v>
      </c>
      <c r="CC191" s="175">
        <v>750028.57923608879</v>
      </c>
      <c r="CD191" s="175">
        <v>863239.34257729631</v>
      </c>
      <c r="CE191" s="175">
        <v>718983.37377175898</v>
      </c>
      <c r="CF191" s="175">
        <v>659453.93073652021</v>
      </c>
      <c r="CG191" s="175">
        <v>806752.95137692511</v>
      </c>
      <c r="CH191" s="175">
        <v>912187.06310658308</v>
      </c>
      <c r="CI191" s="175">
        <v>1007457.488517588</v>
      </c>
      <c r="CJ191" s="175">
        <v>1028594.0314669365</v>
      </c>
      <c r="CK191" s="175">
        <v>1106367.7868163963</v>
      </c>
      <c r="CL191" s="175">
        <v>1078048.9759564649</v>
      </c>
      <c r="CM191" s="175">
        <v>969380.36313716893</v>
      </c>
      <c r="CN191" s="175">
        <v>889617.478684325</v>
      </c>
      <c r="CO191" s="175">
        <v>749803.03553036321</v>
      </c>
    </row>
    <row r="192" spans="1:93" x14ac:dyDescent="0.2">
      <c r="A192" s="118">
        <f t="shared" si="16"/>
        <v>15</v>
      </c>
      <c r="B192" s="234" t="s">
        <v>148</v>
      </c>
      <c r="C192" s="223"/>
      <c r="D192" s="172">
        <f>SUMIF($AH$8:$CP$8,1,$AH192:$CP192)</f>
        <v>271955.06287337415</v>
      </c>
      <c r="E192" s="225" t="s">
        <v>596</v>
      </c>
      <c r="F192" s="183">
        <v>8.08</v>
      </c>
      <c r="G192" s="233" t="s">
        <v>375</v>
      </c>
      <c r="H192" s="174">
        <f>ROUND(D192*F192,2)</f>
        <v>2197396.91</v>
      </c>
      <c r="I192" s="229"/>
      <c r="J192" s="172">
        <f>SUMIF($AH$8:$CP$8,1,$AH192:$CP192)</f>
        <v>271955.06287337415</v>
      </c>
      <c r="K192" s="225" t="s">
        <v>596</v>
      </c>
      <c r="L192" s="310">
        <f>ROUND(L191-DVC!G29,2)</f>
        <v>8.34</v>
      </c>
      <c r="M192" s="233" t="s">
        <v>375</v>
      </c>
      <c r="N192" s="174">
        <f>ROUND(J192*L192,2)</f>
        <v>2268105.2200000002</v>
      </c>
      <c r="O192" s="227"/>
      <c r="R192" s="227"/>
      <c r="S192" s="262"/>
      <c r="T192" s="247"/>
      <c r="U192" s="184" t="s">
        <v>122</v>
      </c>
      <c r="V192" s="179">
        <v>244</v>
      </c>
      <c r="W192" s="180">
        <v>218</v>
      </c>
      <c r="X192" s="245"/>
      <c r="Y192" s="184"/>
      <c r="Z192" s="181"/>
      <c r="AA192" s="245"/>
      <c r="AB192" s="182">
        <f>SUM(AH192:AS192)</f>
        <v>268004.28059164144</v>
      </c>
      <c r="AC192" s="182">
        <f>SUM(AT192:BE192)</f>
        <v>269408.77182467101</v>
      </c>
      <c r="AD192" s="182">
        <f>SUM(BF192:BQ192)</f>
        <v>270607.19136590033</v>
      </c>
      <c r="AE192" s="182">
        <f>SUM(BR192:CC192)</f>
        <v>271955.06287337415</v>
      </c>
      <c r="AF192" s="182">
        <f>SUM(CD192:CO192)</f>
        <v>273590.77313038352</v>
      </c>
      <c r="AH192" s="175">
        <v>15003.608016747909</v>
      </c>
      <c r="AI192" s="175">
        <v>22995.43964124348</v>
      </c>
      <c r="AJ192" s="175">
        <v>21269.902815692578</v>
      </c>
      <c r="AK192" s="175">
        <v>18019.71032236372</v>
      </c>
      <c r="AL192" s="175">
        <v>28954.339184735003</v>
      </c>
      <c r="AM192" s="175">
        <v>23113.793272261093</v>
      </c>
      <c r="AN192" s="175">
        <v>21372.597279986196</v>
      </c>
      <c r="AO192" s="175">
        <v>26961.233222185449</v>
      </c>
      <c r="AP192" s="175">
        <v>25843.321190588598</v>
      </c>
      <c r="AQ192" s="175">
        <v>26366.373847046812</v>
      </c>
      <c r="AR192" s="175">
        <v>20871.726453338357</v>
      </c>
      <c r="AS192" s="175">
        <v>17232.235345452242</v>
      </c>
      <c r="AT192" s="175">
        <v>14794.653400287145</v>
      </c>
      <c r="AU192" s="175">
        <v>22851.175065267009</v>
      </c>
      <c r="AV192" s="175">
        <v>20754.512877910347</v>
      </c>
      <c r="AW192" s="175">
        <v>18101.347220874479</v>
      </c>
      <c r="AX192" s="175">
        <v>28768.313792430497</v>
      </c>
      <c r="AY192" s="175">
        <v>22592.134241625754</v>
      </c>
      <c r="AZ192" s="175">
        <v>22107.981940556485</v>
      </c>
      <c r="BA192" s="175">
        <v>27258.067010073144</v>
      </c>
      <c r="BB192" s="175">
        <v>26349.160866621667</v>
      </c>
      <c r="BC192" s="175">
        <v>27117.193847550498</v>
      </c>
      <c r="BD192" s="175">
        <v>21422.157458769674</v>
      </c>
      <c r="BE192" s="175">
        <v>17292.0741027043</v>
      </c>
      <c r="BF192" s="175">
        <v>14598.108674898725</v>
      </c>
      <c r="BG192" s="175">
        <v>23144.627919290782</v>
      </c>
      <c r="BH192" s="175">
        <v>21025.558408862395</v>
      </c>
      <c r="BI192" s="175">
        <v>17936.705753871389</v>
      </c>
      <c r="BJ192" s="175">
        <v>28907.056182257973</v>
      </c>
      <c r="BK192" s="175">
        <v>22971.196762390653</v>
      </c>
      <c r="BL192" s="175">
        <v>22268.842751741464</v>
      </c>
      <c r="BM192" s="175">
        <v>27532.05300133552</v>
      </c>
      <c r="BN192" s="175">
        <v>26431.635145612308</v>
      </c>
      <c r="BO192" s="175">
        <v>26814.882245073833</v>
      </c>
      <c r="BP192" s="175">
        <v>21324.080597077958</v>
      </c>
      <c r="BQ192" s="175">
        <v>17652.443923487328</v>
      </c>
      <c r="BR192" s="175">
        <v>14633.017854799622</v>
      </c>
      <c r="BS192" s="175">
        <v>22961.053392532143</v>
      </c>
      <c r="BT192" s="175">
        <v>21286.205436328521</v>
      </c>
      <c r="BU192" s="175">
        <v>18294.6625468083</v>
      </c>
      <c r="BV192" s="175">
        <v>28315.703087071408</v>
      </c>
      <c r="BW192" s="175">
        <v>23370.542125750726</v>
      </c>
      <c r="BX192" s="175">
        <v>22689.131733827333</v>
      </c>
      <c r="BY192" s="175">
        <v>27808.432772096232</v>
      </c>
      <c r="BZ192" s="175">
        <v>26568.94551792906</v>
      </c>
      <c r="CA192" s="175">
        <v>27133.976059877921</v>
      </c>
      <c r="CB192" s="175">
        <v>21450.536350709823</v>
      </c>
      <c r="CC192" s="175">
        <v>17442.855995643018</v>
      </c>
      <c r="CD192" s="175">
        <v>14711.496406484108</v>
      </c>
      <c r="CE192" s="175">
        <v>22711.509149418955</v>
      </c>
      <c r="CF192" s="175">
        <v>20818.841691592213</v>
      </c>
      <c r="CG192" s="175">
        <v>18662.425752250318</v>
      </c>
      <c r="CH192" s="175">
        <v>29073.853513528196</v>
      </c>
      <c r="CI192" s="175">
        <v>23124.597117082838</v>
      </c>
      <c r="CJ192" s="175">
        <v>22734.708192978953</v>
      </c>
      <c r="CK192" s="175">
        <v>27975.167808714439</v>
      </c>
      <c r="CL192" s="175">
        <v>27260.855337574929</v>
      </c>
      <c r="CM192" s="175">
        <v>27301.624045430344</v>
      </c>
      <c r="CN192" s="175">
        <v>21772.52278427246</v>
      </c>
      <c r="CO192" s="175">
        <v>17443.171331055779</v>
      </c>
    </row>
    <row r="193" spans="1:93" x14ac:dyDescent="0.2">
      <c r="A193" s="118">
        <f t="shared" si="16"/>
        <v>16</v>
      </c>
      <c r="B193" s="234" t="s">
        <v>597</v>
      </c>
      <c r="C193" s="223"/>
      <c r="D193" s="172">
        <f>SUMIF($AH$8:$CP$8,1,$AH193:$CP193)</f>
        <v>388.67626969648086</v>
      </c>
      <c r="E193" s="225" t="s">
        <v>596</v>
      </c>
      <c r="F193" s="183">
        <v>3.2</v>
      </c>
      <c r="G193" s="233" t="s">
        <v>375</v>
      </c>
      <c r="H193" s="174">
        <f>ROUND(D193*F193,2)</f>
        <v>1243.76</v>
      </c>
      <c r="I193" s="229"/>
      <c r="J193" s="172">
        <f>SUMIF($AH$8:$CP$8,1,$AH193:$CP193)</f>
        <v>388.67626969648086</v>
      </c>
      <c r="K193" s="225" t="s">
        <v>596</v>
      </c>
      <c r="L193" s="310">
        <f>ROUND(L191-DVC!G30,2)</f>
        <v>3.21</v>
      </c>
      <c r="M193" s="233" t="s">
        <v>375</v>
      </c>
      <c r="N193" s="174">
        <f>ROUND(J193*L193,2)</f>
        <v>1247.6500000000001</v>
      </c>
      <c r="O193" s="227"/>
      <c r="P193" s="182"/>
      <c r="S193" s="262"/>
      <c r="T193" s="247"/>
      <c r="U193" s="184" t="s">
        <v>122</v>
      </c>
      <c r="V193" s="179">
        <v>244</v>
      </c>
      <c r="W193" s="180">
        <v>218</v>
      </c>
      <c r="Y193" s="184"/>
      <c r="Z193" s="181"/>
      <c r="AB193" s="182"/>
      <c r="AC193" s="114"/>
      <c r="AH193" s="175">
        <v>2.427901766741468</v>
      </c>
      <c r="AI193" s="175">
        <v>1.6817819949236843</v>
      </c>
      <c r="AJ193" s="175">
        <v>0</v>
      </c>
      <c r="AK193" s="175">
        <v>0.39458153506233701</v>
      </c>
      <c r="AL193" s="175">
        <v>6.4134206154617068</v>
      </c>
      <c r="AM193" s="175">
        <v>279.97128128175484</v>
      </c>
      <c r="AN193" s="175">
        <v>-270.11997191299622</v>
      </c>
      <c r="AO193" s="175">
        <v>64.719987376083722</v>
      </c>
      <c r="AP193" s="175">
        <v>69.138008691938794</v>
      </c>
      <c r="AQ193" s="175">
        <v>71.643726839552016</v>
      </c>
      <c r="AR193" s="175">
        <v>72.74214679376918</v>
      </c>
      <c r="AS193" s="175">
        <v>84.016974368592997</v>
      </c>
      <c r="AT193" s="175">
        <v>2.36190462628785</v>
      </c>
      <c r="AU193" s="175">
        <v>1.649230409521762</v>
      </c>
      <c r="AV193" s="175">
        <v>0</v>
      </c>
      <c r="AW193" s="175">
        <v>0.52983079476337747</v>
      </c>
      <c r="AX193" s="175">
        <v>9.7754887364760989</v>
      </c>
      <c r="AY193" s="175">
        <v>366.33947688243893</v>
      </c>
      <c r="AZ193" s="175">
        <v>-373.76487827903895</v>
      </c>
      <c r="BA193" s="175">
        <v>67.474811966951549</v>
      </c>
      <c r="BB193" s="175">
        <v>72.670066730043459</v>
      </c>
      <c r="BC193" s="175">
        <v>75.330422389021479</v>
      </c>
      <c r="BD193" s="175">
        <v>76.878177046139029</v>
      </c>
      <c r="BE193" s="175">
        <v>85.792597074296381</v>
      </c>
      <c r="BF193" s="175">
        <v>2.3241317242206128</v>
      </c>
      <c r="BG193" s="175">
        <v>1.6667490947281016</v>
      </c>
      <c r="BH193" s="175">
        <v>0</v>
      </c>
      <c r="BI193" s="175">
        <v>0.49182176703550073</v>
      </c>
      <c r="BJ193" s="175">
        <v>8.9868034345466938</v>
      </c>
      <c r="BK193" s="175">
        <v>349.96432868005735</v>
      </c>
      <c r="BL193" s="175">
        <v>-353.18424350450971</v>
      </c>
      <c r="BM193" s="175">
        <v>67.511481530410009</v>
      </c>
      <c r="BN193" s="175">
        <v>72.213769302981888</v>
      </c>
      <c r="BO193" s="175">
        <v>73.933479466997127</v>
      </c>
      <c r="BP193" s="175">
        <v>75.823264460992391</v>
      </c>
      <c r="BQ193" s="175">
        <v>87.018315227915082</v>
      </c>
      <c r="BR193" s="175">
        <v>2.3230573679277242</v>
      </c>
      <c r="BS193" s="175">
        <v>1.6500057692224561</v>
      </c>
      <c r="BT193" s="175">
        <v>0</v>
      </c>
      <c r="BU193" s="175">
        <v>0.50245807096222961</v>
      </c>
      <c r="BV193" s="175">
        <v>8.8338840074959197</v>
      </c>
      <c r="BW193" s="175">
        <v>357.99958802652071</v>
      </c>
      <c r="BX193" s="175">
        <v>-361.10498517042856</v>
      </c>
      <c r="BY193" s="175">
        <v>68.308450605536876</v>
      </c>
      <c r="BZ193" s="175">
        <v>72.712839837107396</v>
      </c>
      <c r="CA193" s="175">
        <v>74.934884945608559</v>
      </c>
      <c r="CB193" s="175">
        <v>76.395832231893053</v>
      </c>
      <c r="CC193" s="175">
        <v>86.120254004634518</v>
      </c>
      <c r="CD193" s="175">
        <v>2.3297822156195651</v>
      </c>
      <c r="CE193" s="175">
        <v>1.6276820548464581</v>
      </c>
      <c r="CF193" s="175">
        <v>0</v>
      </c>
      <c r="CG193" s="175">
        <v>0.55075822308925215</v>
      </c>
      <c r="CH193" s="175">
        <v>10.021830712959494</v>
      </c>
      <c r="CI193" s="175">
        <v>380.1517479895698</v>
      </c>
      <c r="CJ193" s="175">
        <v>-388.56022868909923</v>
      </c>
      <c r="CK193" s="175">
        <v>69.261461822790935</v>
      </c>
      <c r="CL193" s="175">
        <v>75.191744957373999</v>
      </c>
      <c r="CM193" s="175">
        <v>75.817897300860622</v>
      </c>
      <c r="CN193" s="175">
        <v>78.12910652515032</v>
      </c>
      <c r="CO193" s="175">
        <v>86.492232217769384</v>
      </c>
    </row>
    <row r="194" spans="1:93" x14ac:dyDescent="0.2">
      <c r="A194" s="118">
        <f t="shared" si="16"/>
        <v>17</v>
      </c>
      <c r="B194" s="234" t="s">
        <v>598</v>
      </c>
      <c r="C194" s="223"/>
      <c r="D194" s="172">
        <f>SUMIF($AH$8:$CP$8,1,$AH194:$CP194)</f>
        <v>0</v>
      </c>
      <c r="E194" s="225" t="s">
        <v>596</v>
      </c>
      <c r="F194" s="183">
        <v>0.77</v>
      </c>
      <c r="G194" s="233" t="s">
        <v>375</v>
      </c>
      <c r="H194" s="174">
        <f>ROUND(D194*F194,2)</f>
        <v>0</v>
      </c>
      <c r="I194" s="229"/>
      <c r="J194" s="172">
        <f>SUMIF($AH$8:$CP$8,1,$AH194:$CP194)</f>
        <v>0</v>
      </c>
      <c r="K194" s="225" t="s">
        <v>596</v>
      </c>
      <c r="L194" s="310">
        <f>ROUND(L191-DVC!G31,2)</f>
        <v>0.64</v>
      </c>
      <c r="M194" s="233" t="s">
        <v>375</v>
      </c>
      <c r="N194" s="174">
        <f>ROUND(J194*L194,2)</f>
        <v>0</v>
      </c>
      <c r="O194" s="227"/>
      <c r="S194" s="262"/>
      <c r="T194" s="247"/>
      <c r="U194" s="184" t="s">
        <v>122</v>
      </c>
      <c r="V194" s="179">
        <v>244</v>
      </c>
      <c r="W194" s="180">
        <v>218</v>
      </c>
      <c r="Y194" s="184"/>
      <c r="Z194" s="181"/>
      <c r="AB194" s="114"/>
      <c r="AC194" s="114"/>
    </row>
    <row r="195" spans="1:93" x14ac:dyDescent="0.2">
      <c r="A195" s="118">
        <f t="shared" si="16"/>
        <v>18</v>
      </c>
      <c r="B195" s="226" t="s">
        <v>546</v>
      </c>
      <c r="C195" s="223"/>
      <c r="D195" s="168"/>
      <c r="E195" s="225"/>
      <c r="F195" s="183"/>
      <c r="G195" s="233"/>
      <c r="H195" s="174"/>
      <c r="I195" s="229"/>
      <c r="J195" s="168"/>
      <c r="K195" s="225"/>
      <c r="L195" s="183"/>
      <c r="M195" s="233"/>
      <c r="N195" s="174"/>
      <c r="O195" s="227"/>
      <c r="S195" s="262"/>
      <c r="T195" s="247"/>
      <c r="U195" s="178"/>
      <c r="V195" s="179"/>
      <c r="W195" s="180"/>
      <c r="Y195" s="178"/>
      <c r="Z195" s="181"/>
    </row>
    <row r="196" spans="1:93" x14ac:dyDescent="0.2">
      <c r="A196" s="118">
        <f t="shared" si="16"/>
        <v>19</v>
      </c>
      <c r="B196" s="234" t="s">
        <v>149</v>
      </c>
      <c r="C196" s="223"/>
      <c r="D196" s="168"/>
      <c r="E196" s="225"/>
      <c r="F196" s="183"/>
      <c r="G196" s="233"/>
      <c r="H196" s="174"/>
      <c r="I196" s="229"/>
      <c r="J196" s="168"/>
      <c r="K196" s="225"/>
      <c r="L196" s="1368">
        <v>0.05</v>
      </c>
      <c r="M196" s="233"/>
      <c r="N196" s="174"/>
      <c r="O196" s="227"/>
      <c r="R196" s="290"/>
      <c r="S196" s="1287"/>
      <c r="T196" s="858" t="s">
        <v>558</v>
      </c>
      <c r="U196" s="178"/>
      <c r="V196" s="179"/>
      <c r="W196" s="180"/>
      <c r="Y196" s="178"/>
      <c r="Z196" s="181"/>
    </row>
    <row r="197" spans="1:93" x14ac:dyDescent="0.2">
      <c r="A197" s="118">
        <f t="shared" si="16"/>
        <v>20</v>
      </c>
      <c r="B197" s="243" t="s">
        <v>559</v>
      </c>
      <c r="C197" s="223"/>
      <c r="D197" s="172">
        <f>SUMIF($AH$8:$CP$8,1,$AH197:$CP197)</f>
        <v>15546306.845036916</v>
      </c>
      <c r="E197" s="225" t="s">
        <v>596</v>
      </c>
      <c r="F197" s="183">
        <v>2.64</v>
      </c>
      <c r="G197" s="233" t="s">
        <v>375</v>
      </c>
      <c r="H197" s="174">
        <f>ROUND(D197*F197,2)</f>
        <v>41042250.07</v>
      </c>
      <c r="I197" s="229"/>
      <c r="J197" s="172">
        <f>SUMIF($AH$8:$CP$8,1,$AH197:$CP197)</f>
        <v>15546306.845036916</v>
      </c>
      <c r="K197" s="225" t="s">
        <v>596</v>
      </c>
      <c r="L197" s="310">
        <f>ROUND('MFR E-14A'!I83+($L$196*T197),2)</f>
        <v>2.72</v>
      </c>
      <c r="M197" s="233" t="s">
        <v>375</v>
      </c>
      <c r="N197" s="174">
        <f>ROUND(J197*L197,2)</f>
        <v>42285954.619999997</v>
      </c>
      <c r="O197" s="227"/>
      <c r="Q197" s="1022"/>
      <c r="R197" s="291"/>
      <c r="S197" s="731"/>
      <c r="T197" s="859">
        <f>'MFR E-14C'!X161</f>
        <v>0.24980322606010869</v>
      </c>
      <c r="U197" s="184" t="s">
        <v>592</v>
      </c>
      <c r="V197" s="179">
        <v>245</v>
      </c>
      <c r="W197" s="180">
        <v>219</v>
      </c>
      <c r="Y197" s="184"/>
      <c r="Z197" s="181"/>
      <c r="AB197" s="182">
        <f>SUM(AH197:AS197)</f>
        <v>15320460.438719606</v>
      </c>
      <c r="AC197" s="182">
        <f>SUM(AT197:BE197)</f>
        <v>15400748.157724153</v>
      </c>
      <c r="AD197" s="182">
        <f>SUM(BF197:BQ197)</f>
        <v>15469255.791743504</v>
      </c>
      <c r="AE197" s="182">
        <f>SUM(BR197:CC197)</f>
        <v>15546306.845036916</v>
      </c>
      <c r="AF197" s="182">
        <f>SUM(CD197:CO197)</f>
        <v>15639812.195870869</v>
      </c>
      <c r="AH197" s="168">
        <v>2195687.0426314976</v>
      </c>
      <c r="AI197" s="168">
        <v>2294406.1410180298</v>
      </c>
      <c r="AJ197" s="168">
        <v>1461948.4369961491</v>
      </c>
      <c r="AK197" s="168">
        <v>941943.85344179778</v>
      </c>
      <c r="AL197" s="168">
        <v>973512.04146702378</v>
      </c>
      <c r="AM197" s="168">
        <v>1031260.025583101</v>
      </c>
      <c r="AN197" s="168">
        <v>1006575.1357610868</v>
      </c>
      <c r="AO197" s="168">
        <v>1082942.7477716033</v>
      </c>
      <c r="AP197" s="168">
        <v>1018008.3757316867</v>
      </c>
      <c r="AQ197" s="168">
        <v>997660.88614425191</v>
      </c>
      <c r="AR197" s="168">
        <v>923152.29170783341</v>
      </c>
      <c r="AS197" s="168">
        <v>1393363.4604655448</v>
      </c>
      <c r="AT197" s="168">
        <v>2171545.2954058405</v>
      </c>
      <c r="AU197" s="168">
        <v>2286986.0851193885</v>
      </c>
      <c r="AV197" s="168">
        <v>1433180.5815405042</v>
      </c>
      <c r="AW197" s="168">
        <v>949731.08452958474</v>
      </c>
      <c r="AX197" s="168">
        <v>971253.32125922432</v>
      </c>
      <c r="AY197" s="168">
        <v>1013237.0383380963</v>
      </c>
      <c r="AZ197" s="168">
        <v>1045833.8898911714</v>
      </c>
      <c r="BA197" s="168">
        <v>1099741.1598436148</v>
      </c>
      <c r="BB197" s="168">
        <v>1042546.3199251777</v>
      </c>
      <c r="BC197" s="168">
        <v>1030630.2047226416</v>
      </c>
      <c r="BD197" s="168">
        <v>951678.830970207</v>
      </c>
      <c r="BE197" s="168">
        <v>1404384.3461787011</v>
      </c>
      <c r="BF197" s="168">
        <v>2138108.1697965874</v>
      </c>
      <c r="BG197" s="168">
        <v>2312085.1828524256</v>
      </c>
      <c r="BH197" s="168">
        <v>1453788.1935990204</v>
      </c>
      <c r="BI197" s="168">
        <v>940577.26116829982</v>
      </c>
      <c r="BJ197" s="168">
        <v>976188.27617859724</v>
      </c>
      <c r="BK197" s="168">
        <v>1032692.4385231313</v>
      </c>
      <c r="BL197" s="168">
        <v>1054358.2877311104</v>
      </c>
      <c r="BM197" s="168">
        <v>1111786.744021843</v>
      </c>
      <c r="BN197" s="168">
        <v>1046719.3880260483</v>
      </c>
      <c r="BO197" s="168">
        <v>1020021.6926658623</v>
      </c>
      <c r="BP197" s="168">
        <v>948086.74379958189</v>
      </c>
      <c r="BQ197" s="168">
        <v>1434843.4133809973</v>
      </c>
      <c r="BR197" s="168">
        <v>2139077.6029281914</v>
      </c>
      <c r="BS197" s="168">
        <v>2290844.8944766037</v>
      </c>
      <c r="BT197" s="168">
        <v>1475949.1904682887</v>
      </c>
      <c r="BU197" s="168">
        <v>959745.904730913</v>
      </c>
      <c r="BV197" s="168">
        <v>957615.71611408517</v>
      </c>
      <c r="BW197" s="168">
        <v>1055112.7907521748</v>
      </c>
      <c r="BX197" s="168">
        <v>1076688.2055675127</v>
      </c>
      <c r="BY197" s="168">
        <v>1125528.6529100367</v>
      </c>
      <c r="BZ197" s="168">
        <v>1054535.2088169088</v>
      </c>
      <c r="CA197" s="168">
        <v>1034473.7015005419</v>
      </c>
      <c r="CB197" s="168">
        <v>955782.05537118181</v>
      </c>
      <c r="CC197" s="168">
        <v>1420952.9214004765</v>
      </c>
      <c r="CD197" s="168">
        <v>2159390.8409182616</v>
      </c>
      <c r="CE197" s="168">
        <v>2274818.1786718997</v>
      </c>
      <c r="CF197" s="168">
        <v>1447245.3389015025</v>
      </c>
      <c r="CG197" s="168">
        <v>982326.21203358273</v>
      </c>
      <c r="CH197" s="168">
        <v>986217.42450157087</v>
      </c>
      <c r="CI197" s="168">
        <v>1046194.0019256478</v>
      </c>
      <c r="CJ197" s="168">
        <v>1081815.5114497291</v>
      </c>
      <c r="CK197" s="168">
        <v>1135375.5991267669</v>
      </c>
      <c r="CL197" s="168">
        <v>1084971.0727731907</v>
      </c>
      <c r="CM197" s="168">
        <v>1043731.0874439765</v>
      </c>
      <c r="CN197" s="168">
        <v>972822.30406569433</v>
      </c>
      <c r="CO197" s="168">
        <v>1424904.6240590459</v>
      </c>
    </row>
    <row r="198" spans="1:93" x14ac:dyDescent="0.2">
      <c r="A198" s="118">
        <f t="shared" si="16"/>
        <v>21</v>
      </c>
      <c r="B198" s="243" t="s">
        <v>599</v>
      </c>
      <c r="C198" s="223"/>
      <c r="D198" s="172">
        <f>SUMIF($AH$8:$CP$8,1,$AH198:$CP198)</f>
        <v>17486022.908084743</v>
      </c>
      <c r="E198" s="225" t="s">
        <v>596</v>
      </c>
      <c r="F198" s="183">
        <v>4.72</v>
      </c>
      <c r="G198" s="233"/>
      <c r="H198" s="174">
        <f>ROUND(D198*F198,2)</f>
        <v>82534028.129999995</v>
      </c>
      <c r="I198" s="229"/>
      <c r="J198" s="172">
        <f>SUMIF($AH$8:$CP$8,1,$AH198:$CP198)</f>
        <v>17486022.908084743</v>
      </c>
      <c r="K198" s="225" t="s">
        <v>596</v>
      </c>
      <c r="L198" s="310">
        <f>ROUND('MFR E-14A'!I84+($L$196*T198),2)</f>
        <v>4.8600000000000003</v>
      </c>
      <c r="M198" s="233" t="s">
        <v>375</v>
      </c>
      <c r="N198" s="174">
        <f>ROUND(J198*L198,2)</f>
        <v>84982071.329999998</v>
      </c>
      <c r="O198" s="227"/>
      <c r="Q198" s="1022"/>
      <c r="R198" s="291"/>
      <c r="S198" s="732"/>
      <c r="T198" s="859">
        <f>'MFR E-14C'!X162</f>
        <v>0.44614303104462216</v>
      </c>
      <c r="U198" s="184" t="s">
        <v>592</v>
      </c>
      <c r="V198" s="179">
        <v>245</v>
      </c>
      <c r="W198" s="180">
        <v>219</v>
      </c>
      <c r="Y198" s="184"/>
      <c r="Z198" s="181"/>
      <c r="AB198" s="182"/>
      <c r="AC198" s="182"/>
      <c r="AD198" s="182"/>
      <c r="AE198" s="182"/>
      <c r="AF198" s="182"/>
      <c r="AH198" s="168">
        <v>1450160.3105787768</v>
      </c>
      <c r="AI198" s="168">
        <v>1381252.0840970599</v>
      </c>
      <c r="AJ198" s="168">
        <v>1242207.9150687174</v>
      </c>
      <c r="AK198" s="168">
        <v>1408356.7450202969</v>
      </c>
      <c r="AL198" s="168">
        <v>1268154.2494031708</v>
      </c>
      <c r="AM198" s="168">
        <v>1575121.7099936542</v>
      </c>
      <c r="AN198" s="168">
        <v>1526445.1311738421</v>
      </c>
      <c r="AO198" s="168">
        <v>1615528.7798174601</v>
      </c>
      <c r="AP198" s="168">
        <v>1581081.6798441501</v>
      </c>
      <c r="AQ198" s="168">
        <v>1507093.7248740769</v>
      </c>
      <c r="AR198" s="168">
        <v>1363784.0887693237</v>
      </c>
      <c r="AS198" s="168">
        <v>1312811.1782280074</v>
      </c>
      <c r="AT198" s="168">
        <v>1428102.2283267402</v>
      </c>
      <c r="AU198" s="168">
        <v>1371186.7818885739</v>
      </c>
      <c r="AV198" s="168">
        <v>1212798.0327848531</v>
      </c>
      <c r="AW198" s="168">
        <v>1414223.4727843127</v>
      </c>
      <c r="AX198" s="168">
        <v>1260063.3289102314</v>
      </c>
      <c r="AY198" s="168">
        <v>1541307.9201277993</v>
      </c>
      <c r="AZ198" s="168">
        <v>1579530.0475066318</v>
      </c>
      <c r="BA198" s="168">
        <v>1633921.7120476214</v>
      </c>
      <c r="BB198" s="168">
        <v>1612602.2316359067</v>
      </c>
      <c r="BC198" s="168">
        <v>1550549.1582415383</v>
      </c>
      <c r="BD198" s="168">
        <v>1400200.0218099093</v>
      </c>
      <c r="BE198" s="168">
        <v>1317817.8958512607</v>
      </c>
      <c r="BF198" s="168">
        <v>1405756.1405441232</v>
      </c>
      <c r="BG198" s="168">
        <v>1386238.0725313209</v>
      </c>
      <c r="BH198" s="168">
        <v>1230220.0904758603</v>
      </c>
      <c r="BI198" s="168">
        <v>1400593.2235418309</v>
      </c>
      <c r="BJ198" s="168">
        <v>1266463.9435754486</v>
      </c>
      <c r="BK198" s="168">
        <v>1570915.8716198951</v>
      </c>
      <c r="BL198" s="168">
        <v>1592407.2568381256</v>
      </c>
      <c r="BM198" s="168">
        <v>1651827.4899467949</v>
      </c>
      <c r="BN198" s="168">
        <v>1619053.5387351532</v>
      </c>
      <c r="BO198" s="168">
        <v>1534569.5422674909</v>
      </c>
      <c r="BP198" s="168">
        <v>1394905.727730914</v>
      </c>
      <c r="BQ198" s="168">
        <v>1346407.2804219751</v>
      </c>
      <c r="BR198" s="168">
        <v>1402735.8024536774</v>
      </c>
      <c r="BS198" s="168">
        <v>1369997.4339548051</v>
      </c>
      <c r="BT198" s="168">
        <v>1245783.6946914215</v>
      </c>
      <c r="BU198" s="168">
        <v>1425490.1732290601</v>
      </c>
      <c r="BV198" s="168">
        <v>1239198.0510819901</v>
      </c>
      <c r="BW198" s="168">
        <v>1600928.2669390698</v>
      </c>
      <c r="BX198" s="168">
        <v>1621983.4736291249</v>
      </c>
      <c r="BY198" s="168">
        <v>1667979.1197231889</v>
      </c>
      <c r="BZ198" s="168">
        <v>1626980.226523906</v>
      </c>
      <c r="CA198" s="168">
        <v>1552336.8472277285</v>
      </c>
      <c r="CB198" s="168">
        <v>1402637.8666227439</v>
      </c>
      <c r="CC198" s="168">
        <v>1329971.9520080276</v>
      </c>
      <c r="CD198" s="168">
        <v>1412637.4472418199</v>
      </c>
      <c r="CE198" s="168">
        <v>1357073.3076016344</v>
      </c>
      <c r="CF198" s="168">
        <v>1218560.6295501764</v>
      </c>
      <c r="CG198" s="168">
        <v>1455446.7589768008</v>
      </c>
      <c r="CH198" s="168">
        <v>1273077.5526848848</v>
      </c>
      <c r="CI198" s="168">
        <v>1583497.2974234258</v>
      </c>
      <c r="CJ198" s="168">
        <v>1625706.7490524261</v>
      </c>
      <c r="CK198" s="168">
        <v>1678440.388796045</v>
      </c>
      <c r="CL198" s="168">
        <v>1669829.7573863955</v>
      </c>
      <c r="CM198" s="168">
        <v>1562387.1485556331</v>
      </c>
      <c r="CN198" s="168">
        <v>1424142.1374578765</v>
      </c>
      <c r="CO198" s="168">
        <v>1330395.7670122234</v>
      </c>
    </row>
    <row r="199" spans="1:93" x14ac:dyDescent="0.2">
      <c r="A199" s="118">
        <f t="shared" si="16"/>
        <v>22</v>
      </c>
      <c r="B199" s="243" t="s">
        <v>145</v>
      </c>
      <c r="C199" s="223"/>
      <c r="D199" s="172">
        <f>SUMIF($AH$8:$CP$8,1,$AH199:$CP199)</f>
        <v>20917952.449712753</v>
      </c>
      <c r="E199" s="225" t="s">
        <v>596</v>
      </c>
      <c r="F199" s="183">
        <v>3.2</v>
      </c>
      <c r="G199" s="233" t="s">
        <v>375</v>
      </c>
      <c r="H199" s="174">
        <f>ROUND(D199*F199,2)</f>
        <v>66937447.840000004</v>
      </c>
      <c r="I199" s="229"/>
      <c r="J199" s="172">
        <f>SUMIF($AH$8:$CP$8,1,$AH199:$CP199)</f>
        <v>20917952.449712753</v>
      </c>
      <c r="K199" s="225" t="s">
        <v>596</v>
      </c>
      <c r="L199" s="310">
        <f>ROUND('MFR E-14A'!I82+($L$196*T199),2)</f>
        <v>3.32</v>
      </c>
      <c r="M199" s="233" t="s">
        <v>375</v>
      </c>
      <c r="N199" s="174">
        <f>ROUND(J199*L199,2)</f>
        <v>69447602.129999995</v>
      </c>
      <c r="O199" s="227"/>
      <c r="Q199" s="1022"/>
      <c r="R199" s="291"/>
      <c r="S199" s="731"/>
      <c r="T199" s="859">
        <f>'MFR E-14C'!X163</f>
        <v>0.30405374289526921</v>
      </c>
      <c r="U199" s="184" t="s">
        <v>592</v>
      </c>
      <c r="V199" s="179">
        <v>245</v>
      </c>
      <c r="W199" s="180">
        <v>219</v>
      </c>
      <c r="X199" s="244"/>
      <c r="Y199" s="184"/>
      <c r="Z199" s="181"/>
      <c r="AA199" s="244"/>
      <c r="AB199" s="182">
        <f>SUM(AH199:AS199)</f>
        <v>20614070.348621182</v>
      </c>
      <c r="AC199" s="182">
        <f>SUM(AT199:BE199)</f>
        <v>20722099.522699218</v>
      </c>
      <c r="AD199" s="182">
        <f>SUM(BF199:BQ199)</f>
        <v>20814278.291917108</v>
      </c>
      <c r="AE199" s="182">
        <f>SUM(BR199:CC199)</f>
        <v>20917952.449712753</v>
      </c>
      <c r="AF199" s="182">
        <f>SUM(CD199:CO199)</f>
        <v>21043766.284601945</v>
      </c>
      <c r="AH199" s="168">
        <v>1774946.7777502278</v>
      </c>
      <c r="AI199" s="168">
        <v>1650096.1031833312</v>
      </c>
      <c r="AJ199" s="168">
        <v>1485865.9092469413</v>
      </c>
      <c r="AK199" s="168">
        <v>1680665.1796535579</v>
      </c>
      <c r="AL199" s="168">
        <v>1513807.4031939798</v>
      </c>
      <c r="AM199" s="168">
        <v>1879186.4897823103</v>
      </c>
      <c r="AN199" s="168">
        <v>1821168.0777270086</v>
      </c>
      <c r="AO199" s="168">
        <v>1927804.5243964577</v>
      </c>
      <c r="AP199" s="168">
        <v>1886424.2147282162</v>
      </c>
      <c r="AQ199" s="168">
        <v>1799097.2579338874</v>
      </c>
      <c r="AR199" s="168">
        <v>1627415.5393927421</v>
      </c>
      <c r="AS199" s="168">
        <v>1567592.8716325192</v>
      </c>
      <c r="AT199" s="168">
        <v>1748577.979400527</v>
      </c>
      <c r="AU199" s="168">
        <v>1638122.4599766391</v>
      </c>
      <c r="AV199" s="168">
        <v>1450758.5245136076</v>
      </c>
      <c r="AW199" s="168">
        <v>1687694.9782199182</v>
      </c>
      <c r="AX199" s="168">
        <v>1504180.9705549872</v>
      </c>
      <c r="AY199" s="168">
        <v>1838869.7596880235</v>
      </c>
      <c r="AZ199" s="168">
        <v>1884528.6857959847</v>
      </c>
      <c r="BA199" s="168">
        <v>1949784.4457865441</v>
      </c>
      <c r="BB199" s="168">
        <v>1924059.6339981719</v>
      </c>
      <c r="BC199" s="168">
        <v>1851012.372578955</v>
      </c>
      <c r="BD199" s="168">
        <v>1670898.6716128846</v>
      </c>
      <c r="BE199" s="168">
        <v>1573611.0405729748</v>
      </c>
      <c r="BF199" s="168">
        <v>1721731.1450088657</v>
      </c>
      <c r="BG199" s="168">
        <v>1656146.4033674006</v>
      </c>
      <c r="BH199" s="168">
        <v>1471658.6722147616</v>
      </c>
      <c r="BI199" s="168">
        <v>1671452.4106562042</v>
      </c>
      <c r="BJ199" s="168">
        <v>1511847.9083300736</v>
      </c>
      <c r="BK199" s="168">
        <v>1874214.3113415069</v>
      </c>
      <c r="BL199" s="168">
        <v>1899914.055047703</v>
      </c>
      <c r="BM199" s="168">
        <v>1971178.0678758544</v>
      </c>
      <c r="BN199" s="168">
        <v>1931779.6587218256</v>
      </c>
      <c r="BO199" s="168">
        <v>1831968.9142044606</v>
      </c>
      <c r="BP199" s="168">
        <v>1664603.4969676416</v>
      </c>
      <c r="BQ199" s="168">
        <v>1607783.2481808069</v>
      </c>
      <c r="BR199" s="168">
        <v>1718247.2096561305</v>
      </c>
      <c r="BS199" s="168">
        <v>1636761.2747926011</v>
      </c>
      <c r="BT199" s="168">
        <v>1490302.2564421161</v>
      </c>
      <c r="BU199" s="168">
        <v>1701174.3007332047</v>
      </c>
      <c r="BV199" s="168">
        <v>1479310.0424702419</v>
      </c>
      <c r="BW199" s="168">
        <v>1910030.1723026901</v>
      </c>
      <c r="BX199" s="168">
        <v>1935211.1090871023</v>
      </c>
      <c r="BY199" s="168">
        <v>1990463.652334658</v>
      </c>
      <c r="BZ199" s="168">
        <v>1941247.1566042532</v>
      </c>
      <c r="CA199" s="168">
        <v>1853193.5599602784</v>
      </c>
      <c r="CB199" s="168">
        <v>1673840.325263805</v>
      </c>
      <c r="CC199" s="168">
        <v>1588171.3900656688</v>
      </c>
      <c r="CD199" s="168">
        <v>1730421.0131358486</v>
      </c>
      <c r="CE199" s="168">
        <v>1621324.2133886432</v>
      </c>
      <c r="CF199" s="168">
        <v>1457741.1987581537</v>
      </c>
      <c r="CG199" s="168">
        <v>1736926.6289313259</v>
      </c>
      <c r="CH199" s="168">
        <v>1519756.5971419255</v>
      </c>
      <c r="CI199" s="168">
        <v>1889235.6269316631</v>
      </c>
      <c r="CJ199" s="168">
        <v>1939655.4848613099</v>
      </c>
      <c r="CK199" s="168">
        <v>2002949.9606218901</v>
      </c>
      <c r="CL199" s="168">
        <v>1992375.6765108204</v>
      </c>
      <c r="CM199" s="168">
        <v>1865194.7496874225</v>
      </c>
      <c r="CN199" s="168">
        <v>1699504.6428491478</v>
      </c>
      <c r="CO199" s="168">
        <v>1588680.4917837947</v>
      </c>
    </row>
    <row r="200" spans="1:93" x14ac:dyDescent="0.2">
      <c r="A200" s="118">
        <f t="shared" si="16"/>
        <v>23</v>
      </c>
      <c r="B200" s="847" t="s">
        <v>600</v>
      </c>
      <c r="C200" s="848"/>
      <c r="D200" s="185">
        <f>'MFR E-13c'!D185</f>
        <v>8617.9500763369797</v>
      </c>
      <c r="E200" s="849" t="s">
        <v>596</v>
      </c>
      <c r="F200" s="183">
        <v>-1.3</v>
      </c>
      <c r="G200" s="850" t="s">
        <v>375</v>
      </c>
      <c r="H200" s="174">
        <f>ROUND(D200*F200,0)</f>
        <v>-11203</v>
      </c>
      <c r="I200" s="1154"/>
      <c r="J200" s="185">
        <f>+D200</f>
        <v>8617.9500763369797</v>
      </c>
      <c r="K200" s="849" t="s">
        <v>596</v>
      </c>
      <c r="L200" s="310">
        <f>ROUND(-DVC!G29,2)</f>
        <v>-1.34</v>
      </c>
      <c r="M200" s="850" t="s">
        <v>375</v>
      </c>
      <c r="N200" s="174">
        <f>ROUND(J200*L200,0)</f>
        <v>-11548</v>
      </c>
      <c r="O200" s="852"/>
      <c r="P200" s="1155"/>
      <c r="Q200" s="854"/>
      <c r="R200" s="288"/>
      <c r="T200" s="245"/>
      <c r="U200" s="184" t="s">
        <v>592</v>
      </c>
      <c r="V200" s="179">
        <v>219</v>
      </c>
      <c r="W200" s="180">
        <v>219</v>
      </c>
      <c r="X200" s="245"/>
      <c r="Y200" s="184"/>
      <c r="Z200" s="181"/>
      <c r="AA200" s="245"/>
      <c r="AB200" s="182"/>
      <c r="AC200" s="182"/>
      <c r="AD200" s="182"/>
      <c r="AE200" s="182"/>
      <c r="AF200" s="182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  <c r="AU200" s="168"/>
      <c r="AV200" s="168"/>
      <c r="AW200" s="168"/>
      <c r="AX200" s="168"/>
      <c r="AY200" s="168"/>
      <c r="AZ200" s="168"/>
      <c r="BA200" s="168"/>
      <c r="BB200" s="168"/>
      <c r="BC200" s="168"/>
      <c r="BD200" s="168"/>
      <c r="BE200" s="168"/>
      <c r="BF200" s="168"/>
      <c r="BG200" s="168"/>
      <c r="BH200" s="168"/>
      <c r="BI200" s="168"/>
      <c r="BJ200" s="168"/>
      <c r="BK200" s="168"/>
      <c r="BL200" s="168"/>
      <c r="BM200" s="168"/>
      <c r="BN200" s="168"/>
      <c r="BO200" s="168"/>
      <c r="BP200" s="168"/>
      <c r="BQ200" s="168"/>
      <c r="BR200" s="168"/>
      <c r="BS200" s="168"/>
      <c r="BT200" s="168"/>
      <c r="BU200" s="168"/>
      <c r="BV200" s="168"/>
      <c r="BW200" s="168"/>
      <c r="BX200" s="168"/>
      <c r="BY200" s="168"/>
      <c r="BZ200" s="168"/>
      <c r="CA200" s="168"/>
      <c r="CB200" s="168"/>
      <c r="CC200" s="168"/>
      <c r="CD200" s="168"/>
      <c r="CE200" s="168"/>
      <c r="CF200" s="168"/>
      <c r="CG200" s="168"/>
      <c r="CH200" s="168"/>
      <c r="CI200" s="168"/>
      <c r="CJ200" s="168"/>
      <c r="CK200" s="168"/>
      <c r="CL200" s="168"/>
      <c r="CM200" s="168"/>
      <c r="CN200" s="168"/>
      <c r="CO200" s="168"/>
    </row>
    <row r="201" spans="1:93" x14ac:dyDescent="0.2">
      <c r="A201" s="118">
        <f>+A199+1</f>
        <v>23</v>
      </c>
      <c r="B201" s="234" t="s">
        <v>148</v>
      </c>
      <c r="C201" s="223"/>
      <c r="D201" s="168"/>
      <c r="E201" s="225"/>
      <c r="F201" s="183"/>
      <c r="G201" s="233"/>
      <c r="H201" s="174"/>
      <c r="I201" s="229"/>
      <c r="J201" s="168"/>
      <c r="K201" s="225"/>
      <c r="L201" s="183"/>
      <c r="M201" s="233"/>
      <c r="N201" s="174"/>
      <c r="O201" s="227"/>
      <c r="S201" s="262"/>
      <c r="T201" s="247"/>
      <c r="U201" s="184"/>
      <c r="V201" s="179"/>
      <c r="W201" s="180"/>
      <c r="X201" s="245"/>
      <c r="Y201" s="184"/>
      <c r="Z201" s="181"/>
      <c r="AA201" s="245"/>
      <c r="AH201" s="168" t="s">
        <v>416</v>
      </c>
      <c r="AI201" s="168" t="s">
        <v>416</v>
      </c>
      <c r="AJ201" s="168" t="s">
        <v>416</v>
      </c>
      <c r="AK201" s="168" t="s">
        <v>416</v>
      </c>
      <c r="AL201" s="168" t="s">
        <v>416</v>
      </c>
      <c r="AM201" s="168" t="s">
        <v>416</v>
      </c>
      <c r="AN201" s="168" t="s">
        <v>416</v>
      </c>
      <c r="AO201" s="168" t="s">
        <v>416</v>
      </c>
      <c r="AP201" s="168" t="s">
        <v>416</v>
      </c>
      <c r="AQ201" s="168" t="s">
        <v>416</v>
      </c>
      <c r="AR201" s="168" t="s">
        <v>416</v>
      </c>
      <c r="AS201" s="168" t="s">
        <v>416</v>
      </c>
      <c r="AT201" s="168" t="s">
        <v>416</v>
      </c>
      <c r="AU201" s="168" t="s">
        <v>416</v>
      </c>
      <c r="AV201" s="168" t="s">
        <v>416</v>
      </c>
      <c r="AW201" s="168" t="s">
        <v>416</v>
      </c>
      <c r="AX201" s="168" t="s">
        <v>416</v>
      </c>
      <c r="AY201" s="168" t="s">
        <v>416</v>
      </c>
      <c r="AZ201" s="168" t="s">
        <v>416</v>
      </c>
      <c r="BA201" s="168" t="s">
        <v>416</v>
      </c>
      <c r="BB201" s="168" t="s">
        <v>416</v>
      </c>
      <c r="BC201" s="168" t="s">
        <v>416</v>
      </c>
      <c r="BD201" s="168" t="s">
        <v>416</v>
      </c>
      <c r="BE201" s="168" t="s">
        <v>416</v>
      </c>
      <c r="BF201" s="168" t="s">
        <v>416</v>
      </c>
      <c r="BG201" s="168" t="s">
        <v>416</v>
      </c>
      <c r="BH201" s="168" t="s">
        <v>416</v>
      </c>
      <c r="BI201" s="168" t="s">
        <v>416</v>
      </c>
      <c r="BJ201" s="168" t="s">
        <v>416</v>
      </c>
      <c r="BK201" s="168" t="s">
        <v>416</v>
      </c>
      <c r="BL201" s="168" t="s">
        <v>416</v>
      </c>
      <c r="BM201" s="168" t="s">
        <v>416</v>
      </c>
      <c r="BN201" s="168" t="s">
        <v>416</v>
      </c>
      <c r="BO201" s="168" t="s">
        <v>416</v>
      </c>
      <c r="BP201" s="168" t="s">
        <v>416</v>
      </c>
      <c r="BQ201" s="168" t="s">
        <v>416</v>
      </c>
      <c r="BR201" s="168" t="s">
        <v>416</v>
      </c>
      <c r="BS201" s="168" t="s">
        <v>416</v>
      </c>
      <c r="BT201" s="168" t="s">
        <v>416</v>
      </c>
      <c r="BU201" s="168" t="s">
        <v>416</v>
      </c>
      <c r="BV201" s="168" t="s">
        <v>416</v>
      </c>
      <c r="BW201" s="168" t="s">
        <v>416</v>
      </c>
      <c r="BX201" s="168" t="s">
        <v>416</v>
      </c>
      <c r="BY201" s="168" t="s">
        <v>416</v>
      </c>
      <c r="BZ201" s="168" t="s">
        <v>416</v>
      </c>
      <c r="CA201" s="168" t="s">
        <v>416</v>
      </c>
      <c r="CB201" s="168" t="s">
        <v>416</v>
      </c>
      <c r="CC201" s="168" t="s">
        <v>416</v>
      </c>
      <c r="CD201" s="168" t="s">
        <v>416</v>
      </c>
      <c r="CE201" s="168" t="s">
        <v>416</v>
      </c>
      <c r="CF201" s="168" t="s">
        <v>416</v>
      </c>
      <c r="CG201" s="168" t="s">
        <v>416</v>
      </c>
      <c r="CH201" s="168" t="s">
        <v>416</v>
      </c>
      <c r="CI201" s="168" t="s">
        <v>416</v>
      </c>
      <c r="CJ201" s="168" t="s">
        <v>416</v>
      </c>
      <c r="CK201" s="168" t="s">
        <v>416</v>
      </c>
      <c r="CL201" s="168" t="s">
        <v>416</v>
      </c>
      <c r="CM201" s="168" t="s">
        <v>416</v>
      </c>
      <c r="CN201" s="168" t="s">
        <v>416</v>
      </c>
      <c r="CO201" s="168" t="s">
        <v>416</v>
      </c>
    </row>
    <row r="202" spans="1:93" x14ac:dyDescent="0.2">
      <c r="A202" s="118">
        <f t="shared" si="16"/>
        <v>24</v>
      </c>
      <c r="B202" s="243" t="s">
        <v>559</v>
      </c>
      <c r="C202" s="223"/>
      <c r="D202" s="172">
        <f>SUMIF($AH$8:$CP$8,1,$AH202:$CP202)</f>
        <v>3150671.7437989893</v>
      </c>
      <c r="E202" s="225" t="s">
        <v>596</v>
      </c>
      <c r="F202" s="183">
        <v>2.64</v>
      </c>
      <c r="G202" s="233" t="s">
        <v>375</v>
      </c>
      <c r="H202" s="174">
        <f>ROUND(D202*F202,2)</f>
        <v>8317773.4000000004</v>
      </c>
      <c r="I202" s="229"/>
      <c r="J202" s="172">
        <f>SUMIF($AH$8:$CP$8,1,$AH202:$CP202)</f>
        <v>3150671.7437989893</v>
      </c>
      <c r="K202" s="225" t="s">
        <v>596</v>
      </c>
      <c r="L202" s="183">
        <f>L197</f>
        <v>2.72</v>
      </c>
      <c r="M202" s="233" t="s">
        <v>375</v>
      </c>
      <c r="N202" s="174">
        <f>ROUND(J202*L202,2)</f>
        <v>8569827.1400000006</v>
      </c>
      <c r="O202" s="227"/>
      <c r="S202" s="263"/>
      <c r="T202" s="247"/>
      <c r="U202" s="184" t="s">
        <v>592</v>
      </c>
      <c r="V202" s="179">
        <v>245</v>
      </c>
      <c r="W202" s="180">
        <v>219</v>
      </c>
      <c r="X202" s="245"/>
      <c r="Y202" s="184"/>
      <c r="Z202" s="181"/>
      <c r="AA202" s="245"/>
      <c r="AB202" s="182">
        <f>SUM(AH202:AS202)</f>
        <v>3104900.8801517384</v>
      </c>
      <c r="AC202" s="182">
        <f>SUM(AT202:BE202)</f>
        <v>3121172.2846829356</v>
      </c>
      <c r="AD202" s="182">
        <f>SUM(BF202:BQ202)</f>
        <v>3135056.2938492801</v>
      </c>
      <c r="AE202" s="182">
        <f>SUM(BR202:CC202)</f>
        <v>3150671.7437989893</v>
      </c>
      <c r="AF202" s="182">
        <f>SUM(CD202:CO202)</f>
        <v>3169621.8822275638</v>
      </c>
      <c r="AH202" s="168">
        <v>207644.98354020825</v>
      </c>
      <c r="AI202" s="168">
        <v>383028.07047386223</v>
      </c>
      <c r="AJ202" s="168">
        <v>556324.9828608915</v>
      </c>
      <c r="AK202" s="168">
        <v>224463.60804475832</v>
      </c>
      <c r="AL202" s="168">
        <v>173132.51192454118</v>
      </c>
      <c r="AM202" s="168">
        <v>196051.0194941636</v>
      </c>
      <c r="AN202" s="168">
        <v>278674.79259007057</v>
      </c>
      <c r="AO202" s="168">
        <v>198014.54055030469</v>
      </c>
      <c r="AP202" s="168">
        <v>224864.23569309074</v>
      </c>
      <c r="AQ202" s="168">
        <v>205223.10563979595</v>
      </c>
      <c r="AR202" s="168">
        <v>191734.87577689291</v>
      </c>
      <c r="AS202" s="168">
        <v>265744.15356315853</v>
      </c>
      <c r="AT202" s="168">
        <v>206053.71387678204</v>
      </c>
      <c r="AU202" s="168">
        <v>381624.00795561116</v>
      </c>
      <c r="AV202" s="168">
        <v>544929.98135594907</v>
      </c>
      <c r="AW202" s="168">
        <v>226185.33074081322</v>
      </c>
      <c r="AX202" s="168">
        <v>172593.48094199036</v>
      </c>
      <c r="AY202" s="168">
        <v>192474.4326212694</v>
      </c>
      <c r="AZ202" s="168">
        <v>289311.98577064427</v>
      </c>
      <c r="BA202" s="168">
        <v>200926.71038668414</v>
      </c>
      <c r="BB202" s="168">
        <v>230101.8840489586</v>
      </c>
      <c r="BC202" s="168">
        <v>211835.42327792922</v>
      </c>
      <c r="BD202" s="168">
        <v>197502.22572925672</v>
      </c>
      <c r="BE202" s="168">
        <v>267633.10797704681</v>
      </c>
      <c r="BF202" s="168">
        <v>203479.54768881496</v>
      </c>
      <c r="BG202" s="168">
        <v>385129.78474281303</v>
      </c>
      <c r="BH202" s="168">
        <v>551518.02602536534</v>
      </c>
      <c r="BI202" s="168">
        <v>223564.11220911902</v>
      </c>
      <c r="BJ202" s="168">
        <v>173084.7602500105</v>
      </c>
      <c r="BK202" s="168">
        <v>195737.77768809651</v>
      </c>
      <c r="BL202" s="168">
        <v>291019.66788199975</v>
      </c>
      <c r="BM202" s="168">
        <v>202676.53424241353</v>
      </c>
      <c r="BN202" s="168">
        <v>230510.06732364767</v>
      </c>
      <c r="BO202" s="168">
        <v>209187.41708069874</v>
      </c>
      <c r="BP202" s="168">
        <v>196318.79208018151</v>
      </c>
      <c r="BQ202" s="168">
        <v>272829.80663611903</v>
      </c>
      <c r="BR202" s="168">
        <v>203507.46062913901</v>
      </c>
      <c r="BS202" s="168">
        <v>380732.00468155212</v>
      </c>
      <c r="BT202" s="168">
        <v>558557.440563777</v>
      </c>
      <c r="BU202" s="168">
        <v>227588.55415502196</v>
      </c>
      <c r="BV202" s="168">
        <v>169378.70478171672</v>
      </c>
      <c r="BW202" s="168">
        <v>199502.01139316233</v>
      </c>
      <c r="BX202" s="168">
        <v>296459.23616613791</v>
      </c>
      <c r="BY202" s="168">
        <v>204682.52005630647</v>
      </c>
      <c r="BZ202" s="168">
        <v>231666.76451837455</v>
      </c>
      <c r="CA202" s="168">
        <v>211635.16554721622</v>
      </c>
      <c r="CB202" s="168">
        <v>197430.90687886009</v>
      </c>
      <c r="CC202" s="168">
        <v>269530.97442772461</v>
      </c>
      <c r="CD202" s="168">
        <v>205595.55090068333</v>
      </c>
      <c r="CE202" s="168">
        <v>378752.92226910708</v>
      </c>
      <c r="CF202" s="168">
        <v>548745.80461251293</v>
      </c>
      <c r="CG202" s="168">
        <v>233375.45369181549</v>
      </c>
      <c r="CH202" s="168">
        <v>174771.17665531501</v>
      </c>
      <c r="CI202" s="168">
        <v>198193.14854170909</v>
      </c>
      <c r="CJ202" s="168">
        <v>298441.08421410719</v>
      </c>
      <c r="CK202" s="168">
        <v>206867.9579301246</v>
      </c>
      <c r="CL202" s="168">
        <v>238808.67221226924</v>
      </c>
      <c r="CM202" s="168">
        <v>213937.52698327837</v>
      </c>
      <c r="CN202" s="168">
        <v>201335.13447656177</v>
      </c>
      <c r="CO202" s="168">
        <v>270797.44974007952</v>
      </c>
    </row>
    <row r="203" spans="1:93" x14ac:dyDescent="0.2">
      <c r="A203" s="118">
        <f t="shared" si="16"/>
        <v>25</v>
      </c>
      <c r="B203" s="243" t="s">
        <v>599</v>
      </c>
      <c r="C203" s="223"/>
      <c r="D203" s="172">
        <f>SUMIF($AH$8:$CP$8,1,$AH203:$CP203)</f>
        <v>3370903.6067370013</v>
      </c>
      <c r="E203" s="225" t="s">
        <v>596</v>
      </c>
      <c r="F203" s="183">
        <v>4.72</v>
      </c>
      <c r="G203" s="233"/>
      <c r="H203" s="174">
        <f>ROUND(D203*F203,2)</f>
        <v>15910665.02</v>
      </c>
      <c r="I203" s="229"/>
      <c r="J203" s="172">
        <f>SUMIF($AH$8:$CP$8,1,$AH203:$CP203)</f>
        <v>3370903.6067370013</v>
      </c>
      <c r="K203" s="225" t="s">
        <v>596</v>
      </c>
      <c r="L203" s="183">
        <f>L198</f>
        <v>4.8600000000000003</v>
      </c>
      <c r="M203" s="233" t="s">
        <v>375</v>
      </c>
      <c r="N203" s="174">
        <f>ROUND(J203*L203,2)</f>
        <v>16382591.529999999</v>
      </c>
      <c r="O203" s="227"/>
      <c r="R203" s="292"/>
      <c r="S203" s="263"/>
      <c r="T203" s="197"/>
      <c r="U203" s="184" t="s">
        <v>592</v>
      </c>
      <c r="V203" s="179">
        <v>245</v>
      </c>
      <c r="W203" s="180">
        <v>219</v>
      </c>
      <c r="X203" s="245"/>
      <c r="Y203" s="184"/>
      <c r="Z203" s="181"/>
      <c r="AA203" s="245"/>
      <c r="AB203" s="182"/>
      <c r="AC203" s="182"/>
      <c r="AD203" s="182"/>
      <c r="AE203" s="182"/>
      <c r="AF203" s="182"/>
      <c r="AH203" s="168">
        <v>93889.823327817561</v>
      </c>
      <c r="AI203" s="168">
        <v>232226.99555137623</v>
      </c>
      <c r="AJ203" s="168">
        <v>399641.80351284792</v>
      </c>
      <c r="AK203" s="168">
        <v>282326.93274535018</v>
      </c>
      <c r="AL203" s="168">
        <v>226594.96833318146</v>
      </c>
      <c r="AM203" s="168">
        <v>284212.78798628523</v>
      </c>
      <c r="AN203" s="168">
        <v>375149.46667315566</v>
      </c>
      <c r="AO203" s="168">
        <v>286425.88923385937</v>
      </c>
      <c r="AP203" s="168">
        <v>325615.24391300074</v>
      </c>
      <c r="AQ203" s="168">
        <v>295670.27349796036</v>
      </c>
      <c r="AR203" s="168">
        <v>266083.49479008908</v>
      </c>
      <c r="AS203" s="168">
        <v>254095.68149172328</v>
      </c>
      <c r="AT203" s="168">
        <v>92377.484888941544</v>
      </c>
      <c r="AU203" s="168">
        <v>230324.80126686525</v>
      </c>
      <c r="AV203" s="168">
        <v>389825.6375195398</v>
      </c>
      <c r="AW203" s="168">
        <v>283245.54512881517</v>
      </c>
      <c r="AX203" s="168">
        <v>224944.79497130113</v>
      </c>
      <c r="AY203" s="168">
        <v>277858.82214830251</v>
      </c>
      <c r="AZ203" s="168">
        <v>387843.45446891111</v>
      </c>
      <c r="BA203" s="168">
        <v>289423.68852375826</v>
      </c>
      <c r="BB203" s="168">
        <v>331805.0632540661</v>
      </c>
      <c r="BC203" s="168">
        <v>303919.36053101934</v>
      </c>
      <c r="BD203" s="168">
        <v>272940.4249894449</v>
      </c>
      <c r="BE203" s="168">
        <v>254833.05859872326</v>
      </c>
      <c r="BF203" s="168">
        <v>90807.33656256691</v>
      </c>
      <c r="BG203" s="168">
        <v>232533.76370471669</v>
      </c>
      <c r="BH203" s="168">
        <v>394883.55521184375</v>
      </c>
      <c r="BI203" s="168">
        <v>280131.15514677844</v>
      </c>
      <c r="BJ203" s="168">
        <v>225777.54474968914</v>
      </c>
      <c r="BK203" s="168">
        <v>282808.21723049326</v>
      </c>
      <c r="BL203" s="168">
        <v>390469.46035331493</v>
      </c>
      <c r="BM203" s="168">
        <v>292194.36127582419</v>
      </c>
      <c r="BN203" s="168">
        <v>332675.86064877722</v>
      </c>
      <c r="BO203" s="168">
        <v>300374.97540634818</v>
      </c>
      <c r="BP203" s="168">
        <v>271535.73768637434</v>
      </c>
      <c r="BQ203" s="168">
        <v>260004.6693148232</v>
      </c>
      <c r="BR203" s="168">
        <v>90492.975002285486</v>
      </c>
      <c r="BS203" s="168">
        <v>229507.02748900902</v>
      </c>
      <c r="BT203" s="168">
        <v>399353.44659638335</v>
      </c>
      <c r="BU203" s="168">
        <v>284735.91204516531</v>
      </c>
      <c r="BV203" s="168">
        <v>220626.28562288644</v>
      </c>
      <c r="BW203" s="168">
        <v>287832.29727123119</v>
      </c>
      <c r="BX203" s="168">
        <v>397198.85562322132</v>
      </c>
      <c r="BY203" s="168">
        <v>294663.46581423236</v>
      </c>
      <c r="BZ203" s="168">
        <v>333865.03149126226</v>
      </c>
      <c r="CA203" s="168">
        <v>303453.23565739166</v>
      </c>
      <c r="CB203" s="168">
        <v>272681.92596130399</v>
      </c>
      <c r="CC203" s="168">
        <v>256493.14816262887</v>
      </c>
      <c r="CD203" s="168">
        <v>91235.68389188539</v>
      </c>
      <c r="CE203" s="168">
        <v>227601.21475432819</v>
      </c>
      <c r="CF203" s="168">
        <v>391072.59582504036</v>
      </c>
      <c r="CG203" s="168">
        <v>291051.49827762146</v>
      </c>
      <c r="CH203" s="168">
        <v>226916.9209599547</v>
      </c>
      <c r="CI203" s="168">
        <v>285023.33614618034</v>
      </c>
      <c r="CJ203" s="168">
        <v>398565.11235814355</v>
      </c>
      <c r="CK203" s="168">
        <v>296849.98814245133</v>
      </c>
      <c r="CL203" s="168">
        <v>343049.12618885463</v>
      </c>
      <c r="CM203" s="168">
        <v>305766.54581370496</v>
      </c>
      <c r="CN203" s="168">
        <v>277178.57031448896</v>
      </c>
      <c r="CO203" s="168">
        <v>256867.76661601212</v>
      </c>
    </row>
    <row r="204" spans="1:93" x14ac:dyDescent="0.2">
      <c r="A204" s="118">
        <f t="shared" si="16"/>
        <v>26</v>
      </c>
      <c r="B204" s="243" t="s">
        <v>145</v>
      </c>
      <c r="C204" s="223"/>
      <c r="D204" s="172">
        <f>SUMIF($AH$8:$CP$8,1,$AH204:$CP204)</f>
        <v>4139436.2154810955</v>
      </c>
      <c r="E204" s="225" t="s">
        <v>596</v>
      </c>
      <c r="F204" s="183">
        <v>3.2</v>
      </c>
      <c r="G204" s="233" t="s">
        <v>375</v>
      </c>
      <c r="H204" s="174">
        <f>ROUND(D204*F204,2)</f>
        <v>13246195.890000001</v>
      </c>
      <c r="I204" s="229"/>
      <c r="J204" s="172">
        <f>SUMIF($AH$8:$CP$8,1,$AH204:$CP204)</f>
        <v>4139436.2154810955</v>
      </c>
      <c r="K204" s="225" t="s">
        <v>596</v>
      </c>
      <c r="L204" s="183">
        <f>L199</f>
        <v>3.32</v>
      </c>
      <c r="M204" s="233" t="s">
        <v>375</v>
      </c>
      <c r="N204" s="174">
        <f>ROUND(J204*L204,2)</f>
        <v>13742928.24</v>
      </c>
      <c r="O204" s="227"/>
      <c r="R204" s="292"/>
      <c r="S204" s="263"/>
      <c r="T204" s="197"/>
      <c r="U204" s="184" t="s">
        <v>592</v>
      </c>
      <c r="V204" s="179">
        <v>245</v>
      </c>
      <c r="W204" s="180">
        <v>219</v>
      </c>
      <c r="X204" s="245"/>
      <c r="Y204" s="184"/>
      <c r="Z204" s="181"/>
      <c r="AA204" s="245"/>
      <c r="AB204" s="182">
        <f>SUM(AH204:AS204)</f>
        <v>4079301.2391960626</v>
      </c>
      <c r="AC204" s="182">
        <f>SUM(AT204:BE204)</f>
        <v>4100679.0426202836</v>
      </c>
      <c r="AD204" s="182">
        <f>SUM(BF204:BQ204)</f>
        <v>4118920.2226074883</v>
      </c>
      <c r="AE204" s="182">
        <f>SUM(BR204:CC204)</f>
        <v>4139436.2154810955</v>
      </c>
      <c r="AF204" s="182">
        <f>SUM(CD204:CO204)</f>
        <v>4164333.4106440037</v>
      </c>
      <c r="AH204" s="168">
        <v>178213.57804333823</v>
      </c>
      <c r="AI204" s="168">
        <v>290714.68174440472</v>
      </c>
      <c r="AJ204" s="168">
        <v>480980.69790856878</v>
      </c>
      <c r="AK204" s="168">
        <v>343171.57081624388</v>
      </c>
      <c r="AL204" s="168">
        <v>272725.32343463431</v>
      </c>
      <c r="AM204" s="168">
        <v>342389.0431233517</v>
      </c>
      <c r="AN204" s="168">
        <v>451593.89439434418</v>
      </c>
      <c r="AO204" s="168">
        <v>344919.60440006264</v>
      </c>
      <c r="AP204" s="168">
        <v>392125.40516237204</v>
      </c>
      <c r="AQ204" s="168">
        <v>356056.78406674683</v>
      </c>
      <c r="AR204" s="168">
        <v>320428.58387054247</v>
      </c>
      <c r="AS204" s="168">
        <v>305982.07223145262</v>
      </c>
      <c r="AT204" s="168">
        <v>176583.21004222953</v>
      </c>
      <c r="AU204" s="168">
        <v>288548.21036262839</v>
      </c>
      <c r="AV204" s="168">
        <v>469166.02709760953</v>
      </c>
      <c r="AW204" s="168">
        <v>344353.30624106515</v>
      </c>
      <c r="AX204" s="168">
        <v>270739.06825831765</v>
      </c>
      <c r="AY204" s="168">
        <v>334740.26910616743</v>
      </c>
      <c r="AZ204" s="168">
        <v>466875.72883038135</v>
      </c>
      <c r="BA204" s="168">
        <v>348533.0077818748</v>
      </c>
      <c r="BB204" s="168">
        <v>399583.70987770689</v>
      </c>
      <c r="BC204" s="168">
        <v>365994.29463099351</v>
      </c>
      <c r="BD204" s="168">
        <v>328689.29330533836</v>
      </c>
      <c r="BE204" s="168">
        <v>306872.91708597075</v>
      </c>
      <c r="BF204" s="168">
        <v>174697.71857998995</v>
      </c>
      <c r="BG204" s="168">
        <v>291514.07082960312</v>
      </c>
      <c r="BH204" s="168">
        <v>475252.79213325825</v>
      </c>
      <c r="BI204" s="168">
        <v>340625.99287828873</v>
      </c>
      <c r="BJ204" s="168">
        <v>271741.22211406799</v>
      </c>
      <c r="BK204" s="168">
        <v>340708.27703833312</v>
      </c>
      <c r="BL204" s="168">
        <v>470037.9377582561</v>
      </c>
      <c r="BM204" s="168">
        <v>351872.67573072418</v>
      </c>
      <c r="BN204" s="168">
        <v>400636.19857123843</v>
      </c>
      <c r="BO204" s="168">
        <v>361729.28959223384</v>
      </c>
      <c r="BP204" s="168">
        <v>327000.71303205355</v>
      </c>
      <c r="BQ204" s="168">
        <v>313103.33434944082</v>
      </c>
      <c r="BR204" s="168">
        <v>174668.08827808843</v>
      </c>
      <c r="BS204" s="168">
        <v>287820.95395641954</v>
      </c>
      <c r="BT204" s="168">
        <v>480632.12115965399</v>
      </c>
      <c r="BU204" s="168">
        <v>346256.16077664751</v>
      </c>
      <c r="BV204" s="168">
        <v>265541.2080128052</v>
      </c>
      <c r="BW204" s="168">
        <v>346763.79510311142</v>
      </c>
      <c r="BX204" s="168">
        <v>478139.19990035769</v>
      </c>
      <c r="BY204" s="168">
        <v>354847.71122127026</v>
      </c>
      <c r="BZ204" s="168">
        <v>402070.27619210415</v>
      </c>
      <c r="CA204" s="168">
        <v>365438.04388593335</v>
      </c>
      <c r="CB204" s="168">
        <v>328382.5940355662</v>
      </c>
      <c r="CC204" s="168">
        <v>308876.06295913813</v>
      </c>
      <c r="CD204" s="168">
        <v>176071.45514073817</v>
      </c>
      <c r="CE204" s="168">
        <v>285425.67285114055</v>
      </c>
      <c r="CF204" s="168">
        <v>470665.92022409826</v>
      </c>
      <c r="CG204" s="168">
        <v>353934.64669046539</v>
      </c>
      <c r="CH204" s="168">
        <v>273112.48929212074</v>
      </c>
      <c r="CI204" s="168">
        <v>343379.57359796949</v>
      </c>
      <c r="CJ204" s="168">
        <v>479783.83951950597</v>
      </c>
      <c r="CK204" s="168">
        <v>357480.7391834695</v>
      </c>
      <c r="CL204" s="168">
        <v>413130.48256751365</v>
      </c>
      <c r="CM204" s="168">
        <v>368223.79097408912</v>
      </c>
      <c r="CN204" s="168">
        <v>333797.68380454282</v>
      </c>
      <c r="CO204" s="168">
        <v>309327.1167983496</v>
      </c>
    </row>
    <row r="205" spans="1:93" x14ac:dyDescent="0.2">
      <c r="A205" s="118">
        <f t="shared" si="16"/>
        <v>27</v>
      </c>
      <c r="B205" s="243" t="s">
        <v>601</v>
      </c>
      <c r="C205" s="223"/>
      <c r="D205" s="172">
        <f>D203</f>
        <v>3370903.6067370013</v>
      </c>
      <c r="E205" s="225" t="s">
        <v>596</v>
      </c>
      <c r="F205" s="183">
        <v>-1.3</v>
      </c>
      <c r="G205" s="233" t="s">
        <v>375</v>
      </c>
      <c r="H205" s="174">
        <f>ROUND(D205*F205,2)</f>
        <v>-4382174.6900000004</v>
      </c>
      <c r="I205" s="229"/>
      <c r="J205" s="172">
        <f>J203</f>
        <v>3370903.6067370013</v>
      </c>
      <c r="K205" s="225" t="s">
        <v>596</v>
      </c>
      <c r="L205" s="310">
        <f>ROUND(-DVC!G29,2)</f>
        <v>-1.34</v>
      </c>
      <c r="M205" s="233" t="s">
        <v>375</v>
      </c>
      <c r="N205" s="174">
        <f>ROUND(J205*L205,2)</f>
        <v>-4517010.83</v>
      </c>
      <c r="O205" s="227"/>
      <c r="R205" s="288"/>
      <c r="S205" s="263"/>
      <c r="T205" s="927"/>
      <c r="U205" s="184" t="s">
        <v>592</v>
      </c>
      <c r="V205" s="179">
        <v>245</v>
      </c>
      <c r="W205" s="180">
        <v>219</v>
      </c>
      <c r="X205" s="245"/>
      <c r="Y205" s="184"/>
      <c r="Z205" s="181"/>
      <c r="AA205" s="245"/>
      <c r="AB205" s="182"/>
      <c r="AC205" s="182"/>
      <c r="AD205" s="182"/>
      <c r="AE205" s="182"/>
      <c r="AF205" s="182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  <c r="AU205" s="168"/>
      <c r="AV205" s="168"/>
      <c r="AW205" s="168"/>
      <c r="AX205" s="168"/>
      <c r="AY205" s="168"/>
      <c r="AZ205" s="168"/>
      <c r="BA205" s="168"/>
      <c r="BB205" s="168"/>
      <c r="BC205" s="168"/>
      <c r="BD205" s="168"/>
      <c r="BE205" s="168"/>
      <c r="BF205" s="168"/>
      <c r="BG205" s="168"/>
      <c r="BH205" s="168"/>
      <c r="BI205" s="168"/>
      <c r="BJ205" s="168"/>
      <c r="BK205" s="168"/>
      <c r="BL205" s="168"/>
      <c r="BM205" s="168"/>
      <c r="BN205" s="168"/>
      <c r="BO205" s="168"/>
      <c r="BP205" s="168"/>
      <c r="BQ205" s="168"/>
      <c r="BR205" s="168"/>
      <c r="BS205" s="168"/>
      <c r="BT205" s="168"/>
      <c r="BU205" s="168"/>
      <c r="BV205" s="168"/>
      <c r="BW205" s="168"/>
      <c r="BX205" s="168"/>
      <c r="BY205" s="168"/>
      <c r="BZ205" s="168"/>
      <c r="CA205" s="168"/>
      <c r="CB205" s="168"/>
      <c r="CC205" s="168"/>
      <c r="CD205" s="168"/>
      <c r="CE205" s="168"/>
      <c r="CF205" s="168"/>
      <c r="CG205" s="168"/>
      <c r="CH205" s="168"/>
      <c r="CI205" s="168"/>
      <c r="CJ205" s="168"/>
      <c r="CK205" s="168"/>
      <c r="CL205" s="168"/>
      <c r="CM205" s="168"/>
      <c r="CN205" s="168"/>
      <c r="CO205" s="168"/>
    </row>
    <row r="206" spans="1:93" x14ac:dyDescent="0.2">
      <c r="A206" s="118">
        <f t="shared" si="16"/>
        <v>28</v>
      </c>
      <c r="B206" s="234" t="s">
        <v>216</v>
      </c>
      <c r="C206" s="223"/>
      <c r="D206" s="168"/>
      <c r="E206" s="225"/>
      <c r="F206" s="183"/>
      <c r="G206" s="233"/>
      <c r="H206" s="174"/>
      <c r="I206" s="229"/>
      <c r="J206" s="168"/>
      <c r="K206" s="225"/>
      <c r="L206" s="183"/>
      <c r="M206" s="233"/>
      <c r="N206" s="174"/>
      <c r="O206" s="227"/>
      <c r="R206" s="293"/>
      <c r="S206" s="263"/>
      <c r="T206" s="247"/>
      <c r="U206" s="184"/>
      <c r="V206" s="179"/>
      <c r="W206" s="180"/>
      <c r="X206" s="245"/>
      <c r="Y206" s="184"/>
      <c r="Z206" s="181"/>
      <c r="AA206" s="245"/>
    </row>
    <row r="207" spans="1:93" x14ac:dyDescent="0.2">
      <c r="A207" s="118">
        <f t="shared" si="16"/>
        <v>29</v>
      </c>
      <c r="B207" s="243" t="s">
        <v>559</v>
      </c>
      <c r="C207" s="223"/>
      <c r="D207" s="172">
        <f>SUMIF($AH$8:$CP$8,1,$AH207:$CP207)</f>
        <v>834623.55341443862</v>
      </c>
      <c r="E207" s="225" t="s">
        <v>596</v>
      </c>
      <c r="F207" s="183">
        <v>2.64</v>
      </c>
      <c r="G207" s="233" t="s">
        <v>375</v>
      </c>
      <c r="H207" s="174">
        <f>ROUND(D207*F207,2)</f>
        <v>2203406.1800000002</v>
      </c>
      <c r="I207" s="229"/>
      <c r="J207" s="172">
        <f>SUMIF($AH$8:$CP$8,1,$AH207:$CP207)</f>
        <v>834623.55341443862</v>
      </c>
      <c r="K207" s="225" t="s">
        <v>596</v>
      </c>
      <c r="L207" s="183">
        <f>L197</f>
        <v>2.72</v>
      </c>
      <c r="M207" s="233" t="s">
        <v>375</v>
      </c>
      <c r="N207" s="174">
        <f>ROUND(J207*L207,2)</f>
        <v>2270176.0699999998</v>
      </c>
      <c r="O207" s="227"/>
      <c r="S207" s="263"/>
      <c r="T207" s="197"/>
      <c r="U207" s="184" t="s">
        <v>592</v>
      </c>
      <c r="V207" s="179">
        <v>245</v>
      </c>
      <c r="W207" s="180">
        <v>219</v>
      </c>
      <c r="X207" s="245"/>
      <c r="Y207" s="184"/>
      <c r="Z207" s="181"/>
      <c r="AA207" s="245"/>
      <c r="AB207" s="182">
        <f>SUM(AH207:AS207)</f>
        <v>822498.69752130983</v>
      </c>
      <c r="AC207" s="182">
        <f>SUM(AT207:BE207)</f>
        <v>826809.04736832238</v>
      </c>
      <c r="AD207" s="182">
        <f>SUM(BF207:BQ207)</f>
        <v>830486.96814469644</v>
      </c>
      <c r="AE207" s="182">
        <f>SUM(BR207:CC207)</f>
        <v>834623.55341443862</v>
      </c>
      <c r="AF207" s="182">
        <f>SUM(CD207:CO207)</f>
        <v>839643.50889030844</v>
      </c>
      <c r="AH207" s="168">
        <v>0</v>
      </c>
      <c r="AI207" s="168">
        <v>0</v>
      </c>
      <c r="AJ207" s="168">
        <v>249785.38660222309</v>
      </c>
      <c r="AK207" s="168">
        <v>64760.021055618548</v>
      </c>
      <c r="AL207" s="168">
        <v>54635.042240392075</v>
      </c>
      <c r="AM207" s="168">
        <v>62749.391565444566</v>
      </c>
      <c r="AN207" s="168">
        <v>65502.34892473495</v>
      </c>
      <c r="AO207" s="168">
        <v>60508.292979346508</v>
      </c>
      <c r="AP207" s="168">
        <v>68685.628274439034</v>
      </c>
      <c r="AQ207" s="168">
        <v>68375.170533753917</v>
      </c>
      <c r="AR207" s="168">
        <v>66690.191132925203</v>
      </c>
      <c r="AS207" s="168">
        <v>60807.224212431916</v>
      </c>
      <c r="AT207" s="168">
        <v>0</v>
      </c>
      <c r="AU207" s="168">
        <v>0</v>
      </c>
      <c r="AV207" s="168">
        <v>244857.75204009391</v>
      </c>
      <c r="AW207" s="168">
        <v>65292.771402282247</v>
      </c>
      <c r="AX207" s="168">
        <v>54506.00017384973</v>
      </c>
      <c r="AY207" s="168">
        <v>61650.618540910364</v>
      </c>
      <c r="AZ207" s="168">
        <v>68054.422140791052</v>
      </c>
      <c r="BA207" s="168">
        <v>61444.646298482221</v>
      </c>
      <c r="BB207" s="168">
        <v>70338.240310576104</v>
      </c>
      <c r="BC207" s="168">
        <v>70631.181291433444</v>
      </c>
      <c r="BD207" s="168">
        <v>68747.573954144915</v>
      </c>
      <c r="BE207" s="168">
        <v>61285.841215758381</v>
      </c>
      <c r="BF207" s="168">
        <v>0</v>
      </c>
      <c r="BG207" s="168">
        <v>0</v>
      </c>
      <c r="BH207" s="168">
        <v>247622.97601794041</v>
      </c>
      <c r="BI207" s="168">
        <v>64467.652687679125</v>
      </c>
      <c r="BJ207" s="168">
        <v>54616.962234074039</v>
      </c>
      <c r="BK207" s="168">
        <v>62644.60892791822</v>
      </c>
      <c r="BL207" s="168">
        <v>68401.462419333489</v>
      </c>
      <c r="BM207" s="168">
        <v>61929.879609397671</v>
      </c>
      <c r="BN207" s="168">
        <v>70405.763060310928</v>
      </c>
      <c r="BO207" s="168">
        <v>69691.575362206437</v>
      </c>
      <c r="BP207" s="168">
        <v>68280.284671858593</v>
      </c>
      <c r="BQ207" s="168">
        <v>62425.803153977489</v>
      </c>
      <c r="BR207" s="168">
        <v>0</v>
      </c>
      <c r="BS207" s="168">
        <v>0</v>
      </c>
      <c r="BT207" s="168">
        <v>249915.05667464939</v>
      </c>
      <c r="BU207" s="168">
        <v>65393.681125261588</v>
      </c>
      <c r="BV207" s="168">
        <v>53261.959867566664</v>
      </c>
      <c r="BW207" s="168">
        <v>63627.417498544732</v>
      </c>
      <c r="BX207" s="168">
        <v>69438.350811787357</v>
      </c>
      <c r="BY207" s="168">
        <v>62325.789992033104</v>
      </c>
      <c r="BZ207" s="168">
        <v>70513.285229887551</v>
      </c>
      <c r="CA207" s="168">
        <v>70262.144414987677</v>
      </c>
      <c r="CB207" s="168">
        <v>68428.745224826052</v>
      </c>
      <c r="CC207" s="168">
        <v>61457.122574894536</v>
      </c>
      <c r="CD207" s="168">
        <v>0</v>
      </c>
      <c r="CE207" s="168">
        <v>0</v>
      </c>
      <c r="CF207" s="168">
        <v>245745.37555022811</v>
      </c>
      <c r="CG207" s="168">
        <v>67120.682503587741</v>
      </c>
      <c r="CH207" s="168">
        <v>55007.227563363587</v>
      </c>
      <c r="CI207" s="168">
        <v>63267.136219249231</v>
      </c>
      <c r="CJ207" s="168">
        <v>69965.456944547317</v>
      </c>
      <c r="CK207" s="168">
        <v>63048.029851247469</v>
      </c>
      <c r="CL207" s="168">
        <v>72752.733800624454</v>
      </c>
      <c r="CM207" s="168">
        <v>71090.665504017074</v>
      </c>
      <c r="CN207" s="168">
        <v>69844.762558219867</v>
      </c>
      <c r="CO207" s="168">
        <v>61801.438395223631</v>
      </c>
    </row>
    <row r="208" spans="1:93" x14ac:dyDescent="0.2">
      <c r="A208" s="118">
        <f t="shared" si="16"/>
        <v>30</v>
      </c>
      <c r="B208" s="243" t="s">
        <v>599</v>
      </c>
      <c r="C208" s="223"/>
      <c r="D208" s="172">
        <f>SUMIF($AH$8:$CP$8,1,$AH208:$CP208)</f>
        <v>894292.77862042398</v>
      </c>
      <c r="E208" s="225" t="s">
        <v>596</v>
      </c>
      <c r="F208" s="183">
        <v>4.72</v>
      </c>
      <c r="G208" s="233"/>
      <c r="H208" s="174">
        <f>ROUND(D208*F208,2)</f>
        <v>4221061.92</v>
      </c>
      <c r="I208" s="229"/>
      <c r="J208" s="172">
        <f>SUMIF($AH$8:$CP$8,1,$AH208:$CP208)</f>
        <v>894292.77862042398</v>
      </c>
      <c r="K208" s="225" t="s">
        <v>596</v>
      </c>
      <c r="L208" s="183">
        <f>L198</f>
        <v>4.8600000000000003</v>
      </c>
      <c r="M208" s="233" t="s">
        <v>375</v>
      </c>
      <c r="N208" s="174">
        <f>ROUND(J208*L208,2)</f>
        <v>4346262.9000000004</v>
      </c>
      <c r="O208" s="227"/>
      <c r="S208" s="263"/>
      <c r="T208" s="197"/>
      <c r="U208" s="184" t="s">
        <v>592</v>
      </c>
      <c r="V208" s="179">
        <v>245</v>
      </c>
      <c r="W208" s="180">
        <v>219</v>
      </c>
      <c r="X208" s="245"/>
      <c r="Y208" s="184"/>
      <c r="Z208" s="181"/>
      <c r="AA208" s="245"/>
      <c r="AB208" s="182">
        <f>SUM(AH208:AS208)</f>
        <v>881301.087908271</v>
      </c>
      <c r="AC208" s="182">
        <f>SUM(AT208:BE208)</f>
        <v>885919.59492948011</v>
      </c>
      <c r="AD208" s="182">
        <f>SUM(BF208:BQ208)</f>
        <v>889860.45901987585</v>
      </c>
      <c r="AE208" s="182">
        <f>SUM(BR208:CC208)</f>
        <v>894292.77862042398</v>
      </c>
      <c r="AF208" s="182">
        <f>SUM(CD208:CO208)</f>
        <v>899671.622666582</v>
      </c>
      <c r="AH208" s="168">
        <v>0</v>
      </c>
      <c r="AI208" s="168">
        <v>0</v>
      </c>
      <c r="AJ208" s="168">
        <v>147025.0014345682</v>
      </c>
      <c r="AK208" s="168">
        <v>78711.794007207398</v>
      </c>
      <c r="AL208" s="168">
        <v>68931.726388902534</v>
      </c>
      <c r="AM208" s="168">
        <v>81915.737990446869</v>
      </c>
      <c r="AN208" s="168">
        <v>84309.74314919833</v>
      </c>
      <c r="AO208" s="168">
        <v>85646.427957080246</v>
      </c>
      <c r="AP208" s="168">
        <v>86828.529196040719</v>
      </c>
      <c r="AQ208" s="168">
        <v>95964.195060860031</v>
      </c>
      <c r="AR208" s="168">
        <v>85940.906522390927</v>
      </c>
      <c r="AS208" s="168">
        <v>66027.026201575893</v>
      </c>
      <c r="AT208" s="168">
        <v>0</v>
      </c>
      <c r="AU208" s="168">
        <v>0</v>
      </c>
      <c r="AV208" s="168">
        <v>143385.16165183045</v>
      </c>
      <c r="AW208" s="168">
        <v>78952.178797482164</v>
      </c>
      <c r="AX208" s="168">
        <v>68416.109202662978</v>
      </c>
      <c r="AY208" s="168">
        <v>80068.456048484004</v>
      </c>
      <c r="AZ208" s="168">
        <v>87145.191697265007</v>
      </c>
      <c r="BA208" s="168">
        <v>86525.59390677698</v>
      </c>
      <c r="BB208" s="168">
        <v>88461.491054913786</v>
      </c>
      <c r="BC208" s="168">
        <v>98621.921289551159</v>
      </c>
      <c r="BD208" s="168">
        <v>88138.039935662731</v>
      </c>
      <c r="BE208" s="168">
        <v>66205.451344850866</v>
      </c>
      <c r="BF208" s="168">
        <v>0</v>
      </c>
      <c r="BG208" s="168">
        <v>0</v>
      </c>
      <c r="BH208" s="168">
        <v>145225.76649672521</v>
      </c>
      <c r="BI208" s="168">
        <v>78073.4301326001</v>
      </c>
      <c r="BJ208" s="168">
        <v>68660.029661167966</v>
      </c>
      <c r="BK208" s="168">
        <v>81483.580574095817</v>
      </c>
      <c r="BL208" s="168">
        <v>87723.278084588004</v>
      </c>
      <c r="BM208" s="168">
        <v>87342.006044149253</v>
      </c>
      <c r="BN208" s="168">
        <v>88681.565727554829</v>
      </c>
      <c r="BO208" s="168">
        <v>97458.485283305781</v>
      </c>
      <c r="BP208" s="168">
        <v>87672.489378481623</v>
      </c>
      <c r="BQ208" s="168">
        <v>67539.827637207272</v>
      </c>
      <c r="BR208" s="168">
        <v>0</v>
      </c>
      <c r="BS208" s="168">
        <v>0</v>
      </c>
      <c r="BT208" s="168">
        <v>146640.16856575059</v>
      </c>
      <c r="BU208" s="168">
        <v>79232.795459920948</v>
      </c>
      <c r="BV208" s="168">
        <v>66988.673676538048</v>
      </c>
      <c r="BW208" s="168">
        <v>82801.554350697465</v>
      </c>
      <c r="BX208" s="168">
        <v>89095.681379219823</v>
      </c>
      <c r="BY208" s="168">
        <v>87942.439644069469</v>
      </c>
      <c r="BZ208" s="168">
        <v>88859.503484004279</v>
      </c>
      <c r="CA208" s="168">
        <v>98303.406253746303</v>
      </c>
      <c r="CB208" s="168">
        <v>87905.000206931931</v>
      </c>
      <c r="CC208" s="168">
        <v>66523.5555995451</v>
      </c>
      <c r="CD208" s="168">
        <v>0</v>
      </c>
      <c r="CE208" s="168">
        <v>0</v>
      </c>
      <c r="CF208" s="168">
        <v>143577.23947973485</v>
      </c>
      <c r="CG208" s="168">
        <v>80977.669382771288</v>
      </c>
      <c r="CH208" s="168">
        <v>68888.020966163167</v>
      </c>
      <c r="CI208" s="168">
        <v>81980.787405625568</v>
      </c>
      <c r="CJ208" s="168">
        <v>89388.293548180038</v>
      </c>
      <c r="CK208" s="168">
        <v>88581.280351023801</v>
      </c>
      <c r="CL208" s="168">
        <v>91289.739170503133</v>
      </c>
      <c r="CM208" s="168">
        <v>99037.452751761055</v>
      </c>
      <c r="CN208" s="168">
        <v>89340.746618059988</v>
      </c>
      <c r="CO208" s="168">
        <v>66610.392992759167</v>
      </c>
    </row>
    <row r="209" spans="1:93" x14ac:dyDescent="0.2">
      <c r="A209" s="118">
        <f t="shared" si="16"/>
        <v>31</v>
      </c>
      <c r="B209" s="243" t="s">
        <v>145</v>
      </c>
      <c r="C209" s="223"/>
      <c r="D209" s="172">
        <f>SUMIF($AH$8:$CP$8,1,$AH209:$CP209)</f>
        <v>979622.41945506213</v>
      </c>
      <c r="E209" s="225" t="s">
        <v>596</v>
      </c>
      <c r="F209" s="183">
        <v>3.2</v>
      </c>
      <c r="G209" s="233" t="s">
        <v>375</v>
      </c>
      <c r="H209" s="174">
        <f>ROUND(D209*F209,2)</f>
        <v>3134791.74</v>
      </c>
      <c r="I209" s="229"/>
      <c r="J209" s="172">
        <f>SUMIF($AH$8:$CP$8,1,$AH209:$CP209)</f>
        <v>979622.41945506213</v>
      </c>
      <c r="K209" s="225" t="s">
        <v>596</v>
      </c>
      <c r="L209" s="183">
        <f>L199</f>
        <v>3.32</v>
      </c>
      <c r="M209" s="233" t="s">
        <v>375</v>
      </c>
      <c r="N209" s="174">
        <f>ROUND(J209*L209,2)</f>
        <v>3252346.43</v>
      </c>
      <c r="O209" s="227"/>
      <c r="P209" s="1226"/>
      <c r="S209" s="263"/>
      <c r="T209" s="927"/>
      <c r="U209" s="184" t="s">
        <v>592</v>
      </c>
      <c r="V209" s="179">
        <v>245</v>
      </c>
      <c r="W209" s="180">
        <v>219</v>
      </c>
      <c r="Y209" s="184"/>
      <c r="Z209" s="181"/>
      <c r="AB209" s="182">
        <f>SUM(AH209:AS209)</f>
        <v>965391.11647184426</v>
      </c>
      <c r="AC209" s="182">
        <f>SUM(AT209:BE209)</f>
        <v>970450.30193162896</v>
      </c>
      <c r="AD209" s="182">
        <f>SUM(BF209:BQ209)</f>
        <v>974767.18663345161</v>
      </c>
      <c r="AE209" s="182">
        <f>SUM(BR209:CC209)</f>
        <v>979622.41945506213</v>
      </c>
      <c r="AF209" s="182">
        <f>SUM(CD209:CO209)</f>
        <v>985514.49008823594</v>
      </c>
      <c r="AH209" s="168">
        <v>0</v>
      </c>
      <c r="AI209" s="168">
        <v>0</v>
      </c>
      <c r="AJ209" s="168">
        <v>161049.51650653163</v>
      </c>
      <c r="AK209" s="168">
        <v>86220.00506399585</v>
      </c>
      <c r="AL209" s="168">
        <v>75507.030087218474</v>
      </c>
      <c r="AM209" s="168">
        <v>89729.568909464433</v>
      </c>
      <c r="AN209" s="168">
        <v>92351.934966727524</v>
      </c>
      <c r="AO209" s="168">
        <v>93816.124321806783</v>
      </c>
      <c r="AP209" s="168">
        <v>95110.984591412547</v>
      </c>
      <c r="AQ209" s="168">
        <v>105118.08920721599</v>
      </c>
      <c r="AR209" s="168">
        <v>94154.612577608277</v>
      </c>
      <c r="AS209" s="168">
        <v>72333.250239862653</v>
      </c>
      <c r="AT209" s="168">
        <v>0</v>
      </c>
      <c r="AU209" s="168">
        <v>0</v>
      </c>
      <c r="AV209" s="168">
        <v>157062.47735365646</v>
      </c>
      <c r="AW209" s="168">
        <v>86483.319832719077</v>
      </c>
      <c r="AX209" s="168">
        <v>74942.228878335023</v>
      </c>
      <c r="AY209" s="168">
        <v>87706.077253613199</v>
      </c>
      <c r="AZ209" s="168">
        <v>95457.853098267282</v>
      </c>
      <c r="BA209" s="168">
        <v>94779.152716611323</v>
      </c>
      <c r="BB209" s="168">
        <v>96899.712462720607</v>
      </c>
      <c r="BC209" s="168">
        <v>108029.33232886919</v>
      </c>
      <c r="BD209" s="168">
        <v>96561.531163785708</v>
      </c>
      <c r="BE209" s="168">
        <v>72528.61684305119</v>
      </c>
      <c r="BF209" s="168">
        <v>0</v>
      </c>
      <c r="BG209" s="168">
        <v>0</v>
      </c>
      <c r="BH209" s="168">
        <v>159078.6549932248</v>
      </c>
      <c r="BI209" s="168">
        <v>85520.748526960582</v>
      </c>
      <c r="BJ209" s="168">
        <v>75209.416577875774</v>
      </c>
      <c r="BK209" s="168">
        <v>89256.188584492818</v>
      </c>
      <c r="BL209" s="168">
        <v>96091.082360426546</v>
      </c>
      <c r="BM209" s="168">
        <v>95673.441298219535</v>
      </c>
      <c r="BN209" s="168">
        <v>97140.779759291545</v>
      </c>
      <c r="BO209" s="168">
        <v>106754.91774316013</v>
      </c>
      <c r="BP209" s="168">
        <v>96051.508840933151</v>
      </c>
      <c r="BQ209" s="168">
        <v>73990.447948866757</v>
      </c>
      <c r="BR209" s="168">
        <v>0</v>
      </c>
      <c r="BS209" s="168">
        <v>0</v>
      </c>
      <c r="BT209" s="168">
        <v>160627.97495336609</v>
      </c>
      <c r="BU209" s="168">
        <v>86790.70413721478</v>
      </c>
      <c r="BV209" s="168">
        <v>73378.632217334656</v>
      </c>
      <c r="BW209" s="168">
        <v>90699.882088447295</v>
      </c>
      <c r="BX209" s="168">
        <v>97594.397340163428</v>
      </c>
      <c r="BY209" s="168">
        <v>96331.149443214599</v>
      </c>
      <c r="BZ209" s="168">
        <v>97335.690756501746</v>
      </c>
      <c r="CA209" s="168">
        <v>107680.43457667794</v>
      </c>
      <c r="CB209" s="168">
        <v>96306.374546031904</v>
      </c>
      <c r="CC209" s="168">
        <v>72877.179396109597</v>
      </c>
      <c r="CD209" s="168">
        <v>0</v>
      </c>
      <c r="CE209" s="168">
        <v>0</v>
      </c>
      <c r="CF209" s="168">
        <v>157272.87722452061</v>
      </c>
      <c r="CG209" s="168">
        <v>88702.019212188345</v>
      </c>
      <c r="CH209" s="168">
        <v>75459.155663602025</v>
      </c>
      <c r="CI209" s="168">
        <v>89800.823299951386</v>
      </c>
      <c r="CJ209" s="168">
        <v>97914.9213862451</v>
      </c>
      <c r="CK209" s="168">
        <v>97030.928296986458</v>
      </c>
      <c r="CL209" s="168">
        <v>99997.743322314796</v>
      </c>
      <c r="CM209" s="168">
        <v>108484.50077252967</v>
      </c>
      <c r="CN209" s="168">
        <v>97879.252836049665</v>
      </c>
      <c r="CO209" s="168">
        <v>72972.268073847881</v>
      </c>
    </row>
    <row r="210" spans="1:93" x14ac:dyDescent="0.2">
      <c r="A210" s="118">
        <f t="shared" si="16"/>
        <v>32</v>
      </c>
      <c r="B210" s="243" t="s">
        <v>601</v>
      </c>
      <c r="C210" s="223"/>
      <c r="D210" s="172">
        <f>D208</f>
        <v>894292.77862042398</v>
      </c>
      <c r="E210" s="225" t="s">
        <v>596</v>
      </c>
      <c r="F210" s="183">
        <v>-6.18</v>
      </c>
      <c r="G210" s="233" t="s">
        <v>375</v>
      </c>
      <c r="H210" s="174">
        <f>ROUND(D210*F210,2)</f>
        <v>-5526729.3700000001</v>
      </c>
      <c r="I210" s="229"/>
      <c r="J210" s="172">
        <f>J208</f>
        <v>894292.77862042398</v>
      </c>
      <c r="K210" s="225" t="s">
        <v>596</v>
      </c>
      <c r="L210" s="310">
        <f>ROUND(-DVC!G30,2)</f>
        <v>-6.47</v>
      </c>
      <c r="M210" s="233" t="s">
        <v>375</v>
      </c>
      <c r="N210" s="174">
        <f>ROUND(J210*L210,2)</f>
        <v>-5786074.2800000003</v>
      </c>
      <c r="O210" s="227"/>
      <c r="P210" s="182"/>
      <c r="S210" s="262"/>
      <c r="T210" s="247"/>
      <c r="U210" s="184"/>
      <c r="V210" s="179"/>
      <c r="W210" s="180"/>
      <c r="X210" s="245"/>
      <c r="Y210" s="184"/>
      <c r="Z210" s="181"/>
      <c r="AA210" s="245"/>
      <c r="AB210" s="182"/>
      <c r="AC210" s="182"/>
      <c r="AD210" s="182"/>
      <c r="AE210" s="182"/>
      <c r="AF210" s="182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  <c r="AU210" s="168"/>
      <c r="AV210" s="168"/>
      <c r="AW210" s="168"/>
      <c r="AX210" s="168"/>
      <c r="AY210" s="168"/>
      <c r="AZ210" s="168"/>
      <c r="BA210" s="168"/>
      <c r="BB210" s="168"/>
      <c r="BC210" s="168"/>
      <c r="BD210" s="168"/>
      <c r="BE210" s="168"/>
      <c r="BF210" s="168"/>
      <c r="BG210" s="168"/>
      <c r="BH210" s="168"/>
      <c r="BI210" s="168"/>
      <c r="BJ210" s="168"/>
      <c r="BK210" s="168"/>
      <c r="BL210" s="168"/>
      <c r="BM210" s="168"/>
      <c r="BN210" s="168"/>
      <c r="BO210" s="168"/>
      <c r="BP210" s="168"/>
      <c r="BQ210" s="168"/>
      <c r="BR210" s="168"/>
      <c r="BS210" s="168"/>
      <c r="BT210" s="168"/>
      <c r="BU210" s="168"/>
      <c r="BV210" s="168"/>
      <c r="BW210" s="168"/>
      <c r="BX210" s="168"/>
      <c r="BY210" s="168"/>
      <c r="BZ210" s="168"/>
      <c r="CA210" s="168"/>
      <c r="CB210" s="168"/>
      <c r="CC210" s="168"/>
      <c r="CD210" s="168"/>
      <c r="CE210" s="168"/>
      <c r="CF210" s="168"/>
      <c r="CG210" s="168"/>
      <c r="CH210" s="168"/>
      <c r="CI210" s="168"/>
      <c r="CJ210" s="168"/>
      <c r="CK210" s="168"/>
      <c r="CL210" s="168"/>
      <c r="CM210" s="168"/>
      <c r="CN210" s="168"/>
      <c r="CO210" s="168"/>
    </row>
    <row r="211" spans="1:93" x14ac:dyDescent="0.2">
      <c r="A211" s="118">
        <f t="shared" si="16"/>
        <v>33</v>
      </c>
      <c r="B211" s="243"/>
      <c r="C211" s="223"/>
      <c r="D211" s="168"/>
      <c r="E211" s="225"/>
      <c r="F211" s="183"/>
      <c r="G211" s="233"/>
      <c r="H211" s="174"/>
      <c r="I211" s="229"/>
      <c r="J211" s="168"/>
      <c r="K211" s="225"/>
      <c r="L211" s="183"/>
      <c r="M211" s="233"/>
      <c r="N211" s="174"/>
      <c r="O211" s="227"/>
      <c r="S211" s="262"/>
      <c r="T211" s="247"/>
      <c r="U211" s="184"/>
      <c r="V211" s="179"/>
      <c r="W211" s="180"/>
      <c r="Y211" s="184"/>
      <c r="Z211" s="181"/>
    </row>
    <row r="212" spans="1:93" x14ac:dyDescent="0.2">
      <c r="A212" s="118">
        <f t="shared" si="16"/>
        <v>34</v>
      </c>
      <c r="B212" s="223" t="s">
        <v>602</v>
      </c>
      <c r="C212" s="223"/>
      <c r="D212" s="172">
        <f>SUMIF($AH$8:$CP$8,1,$AH212:$CP212)</f>
        <v>0</v>
      </c>
      <c r="E212" s="225" t="s">
        <v>596</v>
      </c>
      <c r="F212" s="183">
        <v>2.5099999999999998</v>
      </c>
      <c r="G212" s="233" t="s">
        <v>375</v>
      </c>
      <c r="H212" s="187">
        <f>ROUND(D212*F212,2)</f>
        <v>0</v>
      </c>
      <c r="I212" s="229"/>
      <c r="J212" s="172">
        <f>SUMIF($AH$8:$CP$8,1,$AH212:$CP212)</f>
        <v>0</v>
      </c>
      <c r="K212" s="225" t="s">
        <v>596</v>
      </c>
      <c r="L212" s="310">
        <f>ROUND('MFR E-14G'!G22,2)</f>
        <v>2.64</v>
      </c>
      <c r="M212" s="233" t="s">
        <v>375</v>
      </c>
      <c r="N212" s="187">
        <f>ROUND(J212*L212,2)</f>
        <v>0</v>
      </c>
      <c r="O212" s="227"/>
      <c r="S212" s="262"/>
      <c r="T212" s="247"/>
      <c r="U212" s="184" t="s">
        <v>122</v>
      </c>
      <c r="V212" s="179">
        <v>244</v>
      </c>
      <c r="W212" s="180">
        <v>218</v>
      </c>
      <c r="Y212" s="184"/>
      <c r="Z212" s="181"/>
      <c r="AB212" s="182">
        <f>SUM(AH212:AS212)</f>
        <v>0</v>
      </c>
      <c r="AC212" s="182">
        <f>SUM(AT212:BE212)</f>
        <v>0</v>
      </c>
      <c r="AD212" s="182">
        <f>SUM(BF212:BQ212)</f>
        <v>0</v>
      </c>
      <c r="AE212" s="182">
        <f>SUM(BR212:CC212)</f>
        <v>0</v>
      </c>
      <c r="AF212" s="182">
        <f>SUM(CD212:CO212)</f>
        <v>0</v>
      </c>
      <c r="AH212" s="175">
        <v>0</v>
      </c>
      <c r="AI212" s="175">
        <v>0</v>
      </c>
      <c r="AJ212" s="175">
        <v>0</v>
      </c>
      <c r="AK212" s="175">
        <v>0</v>
      </c>
      <c r="AL212" s="175">
        <v>0</v>
      </c>
      <c r="AM212" s="175">
        <v>0</v>
      </c>
      <c r="AN212" s="175">
        <v>0</v>
      </c>
      <c r="AO212" s="175">
        <v>0</v>
      </c>
      <c r="AP212" s="175">
        <v>0</v>
      </c>
      <c r="AQ212" s="175">
        <v>0</v>
      </c>
      <c r="AR212" s="175">
        <v>0</v>
      </c>
      <c r="AS212" s="175">
        <v>0</v>
      </c>
      <c r="AT212" s="175">
        <v>0</v>
      </c>
      <c r="AU212" s="175">
        <v>0</v>
      </c>
      <c r="AV212" s="175">
        <v>0</v>
      </c>
      <c r="AW212" s="175">
        <v>0</v>
      </c>
      <c r="AX212" s="175">
        <v>0</v>
      </c>
      <c r="AY212" s="175">
        <v>0</v>
      </c>
      <c r="AZ212" s="175">
        <v>0</v>
      </c>
      <c r="BA212" s="175">
        <v>0</v>
      </c>
      <c r="BB212" s="175">
        <v>0</v>
      </c>
      <c r="BC212" s="175">
        <v>0</v>
      </c>
      <c r="BD212" s="175">
        <v>0</v>
      </c>
      <c r="BE212" s="175">
        <v>0</v>
      </c>
      <c r="BF212" s="175">
        <v>0</v>
      </c>
      <c r="BG212" s="175">
        <v>0</v>
      </c>
      <c r="BH212" s="175">
        <v>0</v>
      </c>
      <c r="BI212" s="175">
        <v>0</v>
      </c>
      <c r="BJ212" s="175">
        <v>0</v>
      </c>
      <c r="BK212" s="175">
        <v>0</v>
      </c>
      <c r="BL212" s="175">
        <v>0</v>
      </c>
      <c r="BM212" s="175">
        <v>0</v>
      </c>
      <c r="BN212" s="175">
        <v>0</v>
      </c>
      <c r="BO212" s="175">
        <v>0</v>
      </c>
      <c r="BP212" s="175">
        <v>0</v>
      </c>
      <c r="BQ212" s="175">
        <v>0</v>
      </c>
      <c r="BR212" s="175">
        <v>0</v>
      </c>
      <c r="BS212" s="175">
        <v>0</v>
      </c>
      <c r="BT212" s="175">
        <v>0</v>
      </c>
      <c r="BU212" s="175">
        <v>0</v>
      </c>
      <c r="BV212" s="175">
        <v>0</v>
      </c>
      <c r="BW212" s="175">
        <v>0</v>
      </c>
      <c r="BX212" s="175">
        <v>0</v>
      </c>
      <c r="BY212" s="175">
        <v>0</v>
      </c>
      <c r="BZ212" s="175">
        <v>0</v>
      </c>
      <c r="CA212" s="175">
        <v>0</v>
      </c>
      <c r="CB212" s="175">
        <v>0</v>
      </c>
      <c r="CC212" s="175">
        <v>0</v>
      </c>
      <c r="CD212" s="175">
        <v>0</v>
      </c>
      <c r="CE212" s="175">
        <v>0</v>
      </c>
      <c r="CF212" s="175">
        <v>0</v>
      </c>
      <c r="CG212" s="175">
        <v>0</v>
      </c>
      <c r="CH212" s="175">
        <v>0</v>
      </c>
      <c r="CI212" s="175">
        <v>0</v>
      </c>
      <c r="CJ212" s="175">
        <v>0</v>
      </c>
      <c r="CK212" s="175">
        <v>0</v>
      </c>
      <c r="CL212" s="175">
        <v>0</v>
      </c>
      <c r="CM212" s="175">
        <v>0</v>
      </c>
      <c r="CN212" s="175">
        <v>0</v>
      </c>
      <c r="CO212" s="175">
        <v>0</v>
      </c>
    </row>
    <row r="213" spans="1:93" x14ac:dyDescent="0.2">
      <c r="A213" s="118">
        <f t="shared" si="16"/>
        <v>35</v>
      </c>
      <c r="B213" s="243"/>
      <c r="C213" s="223" t="s">
        <v>603</v>
      </c>
      <c r="D213" s="204">
        <f>SUM(D191:D194,D199,D204,D209)</f>
        <v>37034731.427163921</v>
      </c>
      <c r="E213" s="233"/>
      <c r="F213" s="205"/>
      <c r="G213" s="233"/>
      <c r="H213" s="206">
        <f>SUM(H191:H212)</f>
        <v>330430186.33999997</v>
      </c>
      <c r="I213" s="229"/>
      <c r="J213" s="204">
        <f>SUM(J191:J194,J199,J204,J209)</f>
        <v>37034731.427163921</v>
      </c>
      <c r="K213" s="233"/>
      <c r="L213" s="205"/>
      <c r="M213" s="233"/>
      <c r="N213" s="206">
        <f>SUM(N191:N212)</f>
        <v>341056125.66999996</v>
      </c>
      <c r="O213" s="227"/>
      <c r="Q213" s="1022"/>
      <c r="S213" s="262"/>
      <c r="T213" s="247"/>
      <c r="U213" s="178"/>
      <c r="V213" s="179"/>
      <c r="W213" s="180"/>
      <c r="Y213" s="178" t="s">
        <v>122</v>
      </c>
      <c r="Z213" s="181" t="s">
        <v>146</v>
      </c>
      <c r="AB213" s="204">
        <f>AB191+AB192+AB199+AB204+AB209+AB193</f>
        <v>36496332.450185195</v>
      </c>
      <c r="AC213" s="204">
        <f>AC191+AC192+AC199+AC204+AC209+AC193</f>
        <v>36687593.49590753</v>
      </c>
      <c r="AD213" s="204">
        <f>AD191+AD192+AD199+AD204+AD209+AD193</f>
        <v>36850792.075777031</v>
      </c>
      <c r="AE213" s="204">
        <f>AE191+AE192+AE199+AE204+AE209+AE193</f>
        <v>37034342.750894219</v>
      </c>
      <c r="AF213" s="204">
        <f>AF191+AF192+AF199+AF204+AF209+AF193</f>
        <v>37257090.780142896</v>
      </c>
      <c r="AH213" s="204">
        <f t="shared" ref="AH213:CO213" si="18">AH191+AH192+AH199+AH204+AH209+AH193</f>
        <v>2854653.3440595688</v>
      </c>
      <c r="AI213" s="204">
        <f t="shared" si="18"/>
        <v>2696103.8712266786</v>
      </c>
      <c r="AJ213" s="204">
        <f t="shared" si="18"/>
        <v>2822078.3767294795</v>
      </c>
      <c r="AK213" s="204">
        <f t="shared" si="18"/>
        <v>2909493.4362696521</v>
      </c>
      <c r="AL213" s="204">
        <f t="shared" si="18"/>
        <v>2800585.815532566</v>
      </c>
      <c r="AM213" s="204">
        <f t="shared" si="18"/>
        <v>3337828.1840706854</v>
      </c>
      <c r="AN213" s="204">
        <f t="shared" si="18"/>
        <v>3352940.62752426</v>
      </c>
      <c r="AO213" s="204">
        <f t="shared" si="18"/>
        <v>3459498.1759287273</v>
      </c>
      <c r="AP213" s="204">
        <f t="shared" si="18"/>
        <v>3421323.4399230955</v>
      </c>
      <c r="AQ213" s="204">
        <f t="shared" si="18"/>
        <v>3222691.3269477654</v>
      </c>
      <c r="AR213" s="204">
        <f t="shared" si="18"/>
        <v>2915686.8933830294</v>
      </c>
      <c r="AS213" s="204">
        <f t="shared" si="18"/>
        <v>2703831.9884290365</v>
      </c>
      <c r="AT213" s="204">
        <f t="shared" si="18"/>
        <v>2812777.551564822</v>
      </c>
      <c r="AU213" s="204">
        <f t="shared" si="18"/>
        <v>2676238.6346227322</v>
      </c>
      <c r="AV213" s="204">
        <f t="shared" si="18"/>
        <v>2754426.6212779009</v>
      </c>
      <c r="AW213" s="204">
        <f t="shared" si="18"/>
        <v>2920952.8070636843</v>
      </c>
      <c r="AX213" s="204">
        <f t="shared" si="18"/>
        <v>2782003.2808307763</v>
      </c>
      <c r="AY213" s="204">
        <f t="shared" si="18"/>
        <v>3265421.7655635523</v>
      </c>
      <c r="AZ213" s="204">
        <f t="shared" si="18"/>
        <v>3468496.5195793519</v>
      </c>
      <c r="BA213" s="204">
        <f t="shared" si="18"/>
        <v>3498009.9839529041</v>
      </c>
      <c r="BB213" s="204">
        <f t="shared" si="18"/>
        <v>3488618.3293120405</v>
      </c>
      <c r="BC213" s="204">
        <f t="shared" si="18"/>
        <v>3314769.056105705</v>
      </c>
      <c r="BD213" s="204">
        <f t="shared" si="18"/>
        <v>2992771.3065563445</v>
      </c>
      <c r="BE213" s="204">
        <f t="shared" si="18"/>
        <v>2713492.6766060903</v>
      </c>
      <c r="BF213" s="204">
        <f t="shared" si="18"/>
        <v>2770382.0995181007</v>
      </c>
      <c r="BG213" s="204">
        <f t="shared" si="18"/>
        <v>2705590.5439773016</v>
      </c>
      <c r="BH213" s="204">
        <f t="shared" si="18"/>
        <v>2793157.8821239849</v>
      </c>
      <c r="BI213" s="204">
        <f t="shared" si="18"/>
        <v>2892324.6329313749</v>
      </c>
      <c r="BJ213" s="204">
        <f t="shared" si="18"/>
        <v>2795688.9065886727</v>
      </c>
      <c r="BK213" s="204">
        <f t="shared" si="18"/>
        <v>3327525.7721325909</v>
      </c>
      <c r="BL213" s="204">
        <f t="shared" si="18"/>
        <v>3496051.2873668373</v>
      </c>
      <c r="BM213" s="204">
        <f t="shared" si="18"/>
        <v>3535763.7211438501</v>
      </c>
      <c r="BN213" s="204">
        <f t="shared" si="18"/>
        <v>3501920.2595343222</v>
      </c>
      <c r="BO213" s="204">
        <f t="shared" si="18"/>
        <v>3280000.1962723276</v>
      </c>
      <c r="BP213" s="204">
        <f t="shared" si="18"/>
        <v>2980902.7428944535</v>
      </c>
      <c r="BQ213" s="204">
        <f t="shared" si="18"/>
        <v>2771870.7811943954</v>
      </c>
      <c r="BR213" s="204">
        <f t="shared" si="18"/>
        <v>2765212.4383377442</v>
      </c>
      <c r="BS213" s="204">
        <f t="shared" si="18"/>
        <v>2673802.8657102981</v>
      </c>
      <c r="BT213" s="204">
        <f t="shared" si="18"/>
        <v>2827453.9139795299</v>
      </c>
      <c r="BU213" s="204">
        <f t="shared" si="18"/>
        <v>2943155.1546379076</v>
      </c>
      <c r="BV213" s="204">
        <f t="shared" si="18"/>
        <v>2735021.4180001905</v>
      </c>
      <c r="BW213" s="204">
        <f t="shared" si="18"/>
        <v>3390404.5931158797</v>
      </c>
      <c r="BX213" s="204">
        <f t="shared" si="18"/>
        <v>3560146.8331646975</v>
      </c>
      <c r="BY213" s="204">
        <f t="shared" si="18"/>
        <v>3569673.0537784379</v>
      </c>
      <c r="BZ213" s="204">
        <f t="shared" si="18"/>
        <v>3518331.9806007263</v>
      </c>
      <c r="CA213" s="204">
        <f t="shared" si="18"/>
        <v>3317262.7584826425</v>
      </c>
      <c r="CB213" s="204">
        <f t="shared" si="18"/>
        <v>2996784.2294492112</v>
      </c>
      <c r="CC213" s="204">
        <f t="shared" si="18"/>
        <v>2737482.1879066536</v>
      </c>
      <c r="CD213" s="204">
        <f t="shared" si="18"/>
        <v>2784445.637042583</v>
      </c>
      <c r="CE213" s="204">
        <f t="shared" si="18"/>
        <v>2648446.3968430166</v>
      </c>
      <c r="CF213" s="204">
        <f t="shared" si="18"/>
        <v>2765952.7686348855</v>
      </c>
      <c r="CG213" s="204">
        <f t="shared" si="18"/>
        <v>3004979.2227213783</v>
      </c>
      <c r="CH213" s="204">
        <f t="shared" si="18"/>
        <v>2809599.1805484723</v>
      </c>
      <c r="CI213" s="204">
        <f t="shared" si="18"/>
        <v>3353378.2612122442</v>
      </c>
      <c r="CJ213" s="204">
        <f t="shared" si="18"/>
        <v>3568294.4251982872</v>
      </c>
      <c r="CK213" s="204">
        <f t="shared" si="18"/>
        <v>3591873.8441892797</v>
      </c>
      <c r="CL213" s="204">
        <f t="shared" si="18"/>
        <v>3610888.9254396465</v>
      </c>
      <c r="CM213" s="204">
        <f t="shared" si="18"/>
        <v>3338660.846513941</v>
      </c>
      <c r="CN213" s="204">
        <f t="shared" si="18"/>
        <v>3042649.7100648629</v>
      </c>
      <c r="CO213" s="204">
        <f t="shared" si="18"/>
        <v>2738312.5757496292</v>
      </c>
    </row>
    <row r="214" spans="1:93" x14ac:dyDescent="0.2">
      <c r="A214" s="118">
        <f t="shared" si="16"/>
        <v>36</v>
      </c>
      <c r="B214" s="243"/>
      <c r="C214" s="223"/>
      <c r="D214" s="943"/>
      <c r="E214" s="233"/>
      <c r="F214" s="205"/>
      <c r="G214" s="233"/>
      <c r="H214" s="174"/>
      <c r="I214" s="229"/>
      <c r="J214" s="168"/>
      <c r="K214" s="233"/>
      <c r="L214" s="205"/>
      <c r="M214" s="233"/>
      <c r="N214" s="174"/>
      <c r="O214" s="227"/>
      <c r="R214" s="227"/>
      <c r="S214" s="262"/>
      <c r="T214" s="247"/>
      <c r="U214" s="178"/>
      <c r="V214" s="179"/>
      <c r="W214" s="180"/>
      <c r="Y214" s="178"/>
      <c r="Z214" s="181"/>
      <c r="AB214" s="193">
        <f>SUM(AH214:AS214)</f>
        <v>0</v>
      </c>
      <c r="AC214" s="193">
        <f>SUM(AT214:BE214)</f>
        <v>0</v>
      </c>
      <c r="AD214" s="193">
        <f>SUM(BF214:BQ214)</f>
        <v>0</v>
      </c>
      <c r="AE214" s="193">
        <f>SUM(BR214:CC214)</f>
        <v>0</v>
      </c>
      <c r="AF214" s="193">
        <f>SUM(CD214:CO214)</f>
        <v>0</v>
      </c>
      <c r="AH214" s="294">
        <v>0</v>
      </c>
      <c r="AI214" s="294">
        <v>0</v>
      </c>
      <c r="AJ214" s="294">
        <v>0</v>
      </c>
      <c r="AK214" s="294">
        <v>0</v>
      </c>
      <c r="AL214" s="294">
        <v>0</v>
      </c>
      <c r="AM214" s="294">
        <v>0</v>
      </c>
      <c r="AN214" s="294">
        <v>0</v>
      </c>
      <c r="AO214" s="294">
        <v>0</v>
      </c>
      <c r="AP214" s="294">
        <v>0</v>
      </c>
      <c r="AQ214" s="294">
        <v>0</v>
      </c>
      <c r="AR214" s="294">
        <v>0</v>
      </c>
      <c r="AS214" s="294">
        <v>0</v>
      </c>
      <c r="AT214" s="294">
        <v>0</v>
      </c>
      <c r="AU214" s="294">
        <v>0</v>
      </c>
      <c r="AV214" s="294">
        <v>0</v>
      </c>
      <c r="AW214" s="294">
        <v>0</v>
      </c>
      <c r="AX214" s="294">
        <v>0</v>
      </c>
      <c r="AY214" s="294">
        <v>0</v>
      </c>
      <c r="AZ214" s="294">
        <v>0</v>
      </c>
      <c r="BA214" s="294">
        <v>0</v>
      </c>
      <c r="BB214" s="294">
        <v>0</v>
      </c>
      <c r="BC214" s="294">
        <v>0</v>
      </c>
      <c r="BD214" s="294">
        <v>0</v>
      </c>
      <c r="BE214" s="294">
        <v>0</v>
      </c>
      <c r="BF214" s="294">
        <v>0</v>
      </c>
      <c r="BG214" s="294">
        <v>0</v>
      </c>
      <c r="BH214" s="294">
        <v>0</v>
      </c>
      <c r="BI214" s="294">
        <v>0</v>
      </c>
      <c r="BJ214" s="294">
        <v>0</v>
      </c>
      <c r="BK214" s="294">
        <v>0</v>
      </c>
      <c r="BL214" s="294">
        <v>0</v>
      </c>
      <c r="BM214" s="294">
        <v>0</v>
      </c>
      <c r="BN214" s="294">
        <v>0</v>
      </c>
      <c r="BO214" s="294">
        <v>0</v>
      </c>
      <c r="BP214" s="294">
        <v>0</v>
      </c>
      <c r="BQ214" s="294">
        <v>0</v>
      </c>
      <c r="BR214" s="294">
        <v>0</v>
      </c>
      <c r="BS214" s="294">
        <v>0</v>
      </c>
      <c r="BT214" s="294">
        <v>0</v>
      </c>
      <c r="BU214" s="294">
        <v>0</v>
      </c>
      <c r="BV214" s="294">
        <v>0</v>
      </c>
      <c r="BW214" s="294">
        <v>0</v>
      </c>
      <c r="BX214" s="294">
        <v>0</v>
      </c>
      <c r="BY214" s="294">
        <v>0</v>
      </c>
      <c r="BZ214" s="294">
        <v>0</v>
      </c>
      <c r="CA214" s="294">
        <v>0</v>
      </c>
      <c r="CB214" s="294">
        <v>0</v>
      </c>
      <c r="CC214" s="294">
        <v>0</v>
      </c>
      <c r="CD214" s="294">
        <v>0</v>
      </c>
      <c r="CE214" s="294">
        <v>0</v>
      </c>
      <c r="CF214" s="294">
        <v>0</v>
      </c>
      <c r="CG214" s="294">
        <v>0</v>
      </c>
      <c r="CH214" s="294">
        <v>0</v>
      </c>
      <c r="CI214" s="294">
        <v>0</v>
      </c>
      <c r="CJ214" s="294">
        <v>0</v>
      </c>
      <c r="CK214" s="294">
        <v>0</v>
      </c>
      <c r="CL214" s="294">
        <v>0</v>
      </c>
      <c r="CM214" s="294">
        <v>0</v>
      </c>
      <c r="CN214" s="294">
        <v>0</v>
      </c>
      <c r="CO214" s="294">
        <v>0</v>
      </c>
    </row>
    <row r="215" spans="1:93" x14ac:dyDescent="0.2">
      <c r="A215" s="118">
        <f t="shared" si="16"/>
        <v>37</v>
      </c>
      <c r="B215" s="295"/>
      <c r="C215" s="296"/>
      <c r="D215" s="943"/>
      <c r="E215" s="233"/>
      <c r="F215" s="205"/>
      <c r="G215" s="233"/>
      <c r="H215" s="940"/>
      <c r="I215" s="297"/>
      <c r="J215" s="168"/>
      <c r="K215" s="233"/>
      <c r="L215" s="205"/>
      <c r="M215" s="233"/>
      <c r="N215" s="940"/>
      <c r="O215" s="227"/>
      <c r="P215" s="941"/>
      <c r="R215" s="227"/>
      <c r="T215" s="247"/>
      <c r="U215" s="184"/>
      <c r="V215" s="179"/>
      <c r="W215" s="180"/>
      <c r="Y215" s="184"/>
      <c r="Z215" s="181"/>
      <c r="AB215" s="193">
        <f>SUM(AH215:AS215)</f>
        <v>0</v>
      </c>
      <c r="AC215" s="193">
        <f>SUM(AT215:BE215)</f>
        <v>0</v>
      </c>
      <c r="AD215" s="193">
        <f>SUM(BF215:BQ215)</f>
        <v>0</v>
      </c>
      <c r="AE215" s="193">
        <f>SUM(BR215:CC215)</f>
        <v>0</v>
      </c>
      <c r="AF215" s="193">
        <f>SUM(CD215:CO215)</f>
        <v>0</v>
      </c>
      <c r="AH215" s="193">
        <v>0</v>
      </c>
      <c r="AI215" s="193">
        <v>0</v>
      </c>
      <c r="AJ215" s="193">
        <v>0</v>
      </c>
      <c r="AK215" s="193">
        <v>0</v>
      </c>
      <c r="AL215" s="193">
        <v>0</v>
      </c>
      <c r="AM215" s="193">
        <v>0</v>
      </c>
      <c r="AN215" s="193">
        <v>0</v>
      </c>
      <c r="AO215" s="193">
        <v>0</v>
      </c>
      <c r="AP215" s="193">
        <v>0</v>
      </c>
      <c r="AQ215" s="193">
        <v>0</v>
      </c>
      <c r="AR215" s="193">
        <v>0</v>
      </c>
      <c r="AS215" s="193">
        <v>0</v>
      </c>
      <c r="AT215" s="193">
        <v>0</v>
      </c>
      <c r="AU215" s="193">
        <v>0</v>
      </c>
      <c r="AV215" s="193">
        <v>0</v>
      </c>
      <c r="AW215" s="193">
        <v>0</v>
      </c>
      <c r="AX215" s="193">
        <v>0</v>
      </c>
      <c r="AY215" s="193">
        <v>0</v>
      </c>
      <c r="AZ215" s="193">
        <v>0</v>
      </c>
      <c r="BA215" s="193">
        <v>0</v>
      </c>
      <c r="BB215" s="193">
        <v>0</v>
      </c>
      <c r="BC215" s="193">
        <v>0</v>
      </c>
      <c r="BD215" s="193">
        <v>0</v>
      </c>
      <c r="BE215" s="193">
        <v>0</v>
      </c>
      <c r="BF215" s="193">
        <v>0</v>
      </c>
      <c r="BG215" s="193">
        <v>0</v>
      </c>
      <c r="BH215" s="193">
        <v>0</v>
      </c>
      <c r="BI215" s="193">
        <v>0</v>
      </c>
      <c r="BJ215" s="193">
        <v>0</v>
      </c>
      <c r="BK215" s="193">
        <v>0</v>
      </c>
      <c r="BL215" s="193">
        <v>0</v>
      </c>
      <c r="BM215" s="193">
        <v>0</v>
      </c>
      <c r="BN215" s="193">
        <v>0</v>
      </c>
      <c r="BO215" s="193">
        <v>0</v>
      </c>
      <c r="BP215" s="193">
        <v>0</v>
      </c>
      <c r="BQ215" s="193">
        <v>0</v>
      </c>
      <c r="BR215" s="193">
        <v>0</v>
      </c>
      <c r="BS215" s="193">
        <v>0</v>
      </c>
      <c r="BT215" s="193">
        <v>0</v>
      </c>
      <c r="BU215" s="193">
        <v>0</v>
      </c>
      <c r="BV215" s="193">
        <v>0</v>
      </c>
      <c r="BW215" s="193">
        <v>0</v>
      </c>
      <c r="BX215" s="193">
        <v>0</v>
      </c>
      <c r="BY215" s="193">
        <v>0</v>
      </c>
      <c r="BZ215" s="193">
        <v>0</v>
      </c>
      <c r="CA215" s="193">
        <v>0</v>
      </c>
      <c r="CB215" s="193">
        <v>0</v>
      </c>
      <c r="CC215" s="193">
        <v>0</v>
      </c>
      <c r="CD215" s="193">
        <v>0</v>
      </c>
      <c r="CE215" s="193">
        <v>0</v>
      </c>
      <c r="CF215" s="193">
        <v>0</v>
      </c>
      <c r="CG215" s="193">
        <v>0</v>
      </c>
      <c r="CH215" s="193">
        <v>0</v>
      </c>
      <c r="CI215" s="193">
        <v>0</v>
      </c>
      <c r="CJ215" s="193">
        <v>0</v>
      </c>
      <c r="CK215" s="193">
        <v>0</v>
      </c>
      <c r="CL215" s="193">
        <v>0</v>
      </c>
      <c r="CM215" s="193">
        <v>0</v>
      </c>
      <c r="CN215" s="193">
        <v>0</v>
      </c>
      <c r="CO215" s="193">
        <v>0</v>
      </c>
    </row>
    <row r="216" spans="1:93" x14ac:dyDescent="0.2">
      <c r="A216" s="118">
        <f t="shared" si="16"/>
        <v>38</v>
      </c>
      <c r="B216" s="243"/>
      <c r="C216" s="296"/>
      <c r="D216" s="943"/>
      <c r="E216" s="233"/>
      <c r="F216" s="205"/>
      <c r="G216" s="233"/>
      <c r="H216" s="240"/>
      <c r="I216" s="229"/>
      <c r="J216" s="168"/>
      <c r="L216" s="205"/>
      <c r="M216" s="233"/>
      <c r="N216" s="174"/>
      <c r="O216" s="227"/>
      <c r="P216" s="227"/>
      <c r="Q216" s="227"/>
      <c r="R216" s="227"/>
      <c r="S216" s="227"/>
      <c r="U216" s="184"/>
      <c r="V216" s="179"/>
      <c r="W216" s="180"/>
      <c r="Y216" s="184"/>
      <c r="Z216" s="181"/>
    </row>
    <row r="217" spans="1:93" x14ac:dyDescent="0.2">
      <c r="A217" s="118">
        <f t="shared" si="16"/>
        <v>39</v>
      </c>
      <c r="B217" s="243"/>
      <c r="C217" s="296"/>
      <c r="D217" s="168"/>
      <c r="E217" s="233"/>
      <c r="F217" s="205"/>
      <c r="G217" s="233"/>
      <c r="H217" s="174"/>
      <c r="I217" s="229"/>
      <c r="J217" s="168"/>
      <c r="K217" s="168"/>
      <c r="L217" s="205"/>
      <c r="M217" s="233"/>
      <c r="N217" s="942"/>
      <c r="O217" s="227"/>
      <c r="P217" s="227"/>
      <c r="Q217" s="227"/>
      <c r="R217" s="227"/>
      <c r="S217" s="227"/>
      <c r="U217" s="184"/>
      <c r="V217" s="179"/>
      <c r="W217" s="180"/>
      <c r="Y217" s="184"/>
      <c r="Z217" s="181"/>
    </row>
    <row r="218" spans="1:93" x14ac:dyDescent="0.2">
      <c r="A218" s="118">
        <f t="shared" si="16"/>
        <v>40</v>
      </c>
      <c r="B218" s="243"/>
      <c r="C218" s="296"/>
      <c r="D218" s="168"/>
      <c r="E218" s="233"/>
      <c r="F218" s="205"/>
      <c r="G218" s="233"/>
      <c r="H218" s="174"/>
      <c r="I218" s="229"/>
      <c r="J218" s="168"/>
      <c r="K218" s="168"/>
      <c r="L218" s="205"/>
      <c r="M218" s="233"/>
      <c r="N218" s="174"/>
      <c r="O218" s="227"/>
      <c r="P218" s="227"/>
      <c r="Q218" s="227"/>
      <c r="R218" s="227"/>
      <c r="S218" s="227"/>
      <c r="U218" s="184"/>
      <c r="V218" s="179"/>
      <c r="W218" s="180"/>
      <c r="Y218" s="184"/>
      <c r="Z218" s="181"/>
    </row>
    <row r="219" spans="1:93" x14ac:dyDescent="0.2">
      <c r="A219" s="118">
        <f t="shared" si="16"/>
        <v>41</v>
      </c>
      <c r="B219" s="243"/>
      <c r="C219" s="296"/>
      <c r="D219" s="168"/>
      <c r="E219" s="233"/>
      <c r="F219" s="205"/>
      <c r="G219" s="233"/>
      <c r="H219" s="174"/>
      <c r="I219" s="229"/>
      <c r="J219" s="168"/>
      <c r="K219" s="168"/>
      <c r="L219" s="205"/>
      <c r="M219" s="233"/>
      <c r="N219" s="174"/>
      <c r="O219" s="227"/>
      <c r="P219" s="227"/>
      <c r="Q219" s="227"/>
      <c r="U219" s="298"/>
      <c r="V219" s="253"/>
      <c r="W219" s="254"/>
      <c r="Y219" s="298"/>
      <c r="Z219" s="255"/>
    </row>
    <row r="220" spans="1:93" x14ac:dyDescent="0.2">
      <c r="A220" s="215"/>
      <c r="B220" s="215" t="s">
        <v>98</v>
      </c>
      <c r="C220" s="215"/>
      <c r="D220" s="215"/>
      <c r="E220" s="215"/>
      <c r="F220" s="299"/>
      <c r="G220" s="215"/>
      <c r="H220" s="300"/>
      <c r="I220" s="215"/>
      <c r="J220" s="215"/>
      <c r="K220" s="215"/>
      <c r="L220" s="299"/>
      <c r="M220" s="215"/>
      <c r="N220" s="300" t="s">
        <v>99</v>
      </c>
      <c r="O220" s="215"/>
      <c r="P220" s="215"/>
      <c r="Q220" s="215"/>
      <c r="Y220" s="101"/>
      <c r="AC220" s="301"/>
    </row>
    <row r="221" spans="1:93" x14ac:dyDescent="0.2">
      <c r="A221" s="216"/>
      <c r="B221" s="216"/>
      <c r="C221" s="216"/>
      <c r="D221" s="216"/>
      <c r="E221" s="216"/>
      <c r="F221" s="216"/>
      <c r="G221" s="216"/>
      <c r="H221" s="216"/>
      <c r="I221" s="216"/>
      <c r="J221" s="216"/>
      <c r="K221" s="216"/>
      <c r="L221" s="216"/>
      <c r="M221" s="216"/>
      <c r="N221" s="216"/>
      <c r="O221" s="216"/>
      <c r="P221" s="216"/>
      <c r="Q221" s="216"/>
      <c r="R221" s="216"/>
      <c r="S221" s="216"/>
      <c r="T221" s="216"/>
      <c r="U221" s="216"/>
      <c r="V221" s="216"/>
      <c r="W221" s="216"/>
      <c r="X221" s="216"/>
      <c r="Y221" s="216"/>
      <c r="Z221" s="217"/>
      <c r="AA221" s="216"/>
      <c r="AB221" s="216"/>
      <c r="AC221" s="216"/>
      <c r="AD221" s="216"/>
      <c r="AE221" s="216"/>
      <c r="AF221" s="216"/>
      <c r="AG221" s="216"/>
      <c r="AH221" s="216"/>
      <c r="AI221" s="216"/>
      <c r="AJ221" s="216"/>
      <c r="AK221" s="216"/>
      <c r="AL221" s="216"/>
      <c r="AM221" s="216"/>
      <c r="AN221" s="216"/>
      <c r="AO221" s="216"/>
      <c r="AP221" s="216"/>
      <c r="AQ221" s="216"/>
      <c r="AR221" s="216"/>
      <c r="AS221" s="216"/>
      <c r="AT221" s="216"/>
      <c r="AU221" s="216"/>
      <c r="AV221" s="216"/>
      <c r="AW221" s="216"/>
      <c r="AX221" s="216"/>
      <c r="AY221" s="216"/>
      <c r="AZ221" s="216"/>
      <c r="BA221" s="216"/>
      <c r="BB221" s="216"/>
      <c r="BC221" s="216"/>
      <c r="BD221" s="216"/>
      <c r="BE221" s="216"/>
      <c r="BF221" s="216"/>
      <c r="BG221" s="216"/>
      <c r="BH221" s="216"/>
      <c r="BI221" s="216"/>
      <c r="BJ221" s="216"/>
      <c r="BK221" s="216"/>
      <c r="BL221" s="216"/>
      <c r="BM221" s="216"/>
      <c r="BN221" s="216"/>
      <c r="BO221" s="216"/>
      <c r="BP221" s="216"/>
      <c r="BQ221" s="216"/>
      <c r="BR221" s="216"/>
      <c r="BS221" s="216"/>
      <c r="BT221" s="216"/>
      <c r="BU221" s="216"/>
      <c r="BV221" s="216"/>
      <c r="BW221" s="216"/>
      <c r="BX221" s="216"/>
      <c r="BY221" s="216"/>
      <c r="BZ221" s="216"/>
      <c r="CA221" s="216"/>
      <c r="CB221" s="216"/>
      <c r="CC221" s="216"/>
      <c r="CD221" s="216"/>
      <c r="CE221" s="216"/>
      <c r="CF221" s="216"/>
      <c r="CG221" s="216"/>
      <c r="CH221" s="216"/>
      <c r="CI221" s="216"/>
      <c r="CJ221" s="216"/>
      <c r="CK221" s="216"/>
      <c r="CL221" s="216"/>
      <c r="CM221" s="216"/>
      <c r="CN221" s="216"/>
      <c r="CO221" s="216"/>
    </row>
    <row r="222" spans="1:93" ht="13.8" x14ac:dyDescent="0.3">
      <c r="A222" s="12" t="s">
        <v>667</v>
      </c>
      <c r="C222" s="102"/>
      <c r="D222" s="1280"/>
      <c r="F222" s="104"/>
      <c r="G222" s="104"/>
      <c r="H222" s="361" t="s">
        <v>668</v>
      </c>
      <c r="I222" s="104"/>
      <c r="J222" s="104"/>
      <c r="K222" s="104"/>
      <c r="L222" s="104"/>
      <c r="N222" s="105"/>
      <c r="Q222" s="106" t="str">
        <f>'MFR E-13c'!Q204</f>
        <v>Page 18 of 39</v>
      </c>
      <c r="R222" s="105"/>
      <c r="S222" s="105"/>
      <c r="U222" s="114"/>
      <c r="V222" s="114"/>
      <c r="W222" s="114"/>
      <c r="Y222" s="114"/>
      <c r="Z222" s="218"/>
    </row>
    <row r="223" spans="1:93" ht="10.8" thickBot="1" x14ac:dyDescent="0.25">
      <c r="A223" s="108"/>
      <c r="B223" s="109"/>
      <c r="C223" s="109"/>
      <c r="D223" s="109"/>
      <c r="E223" s="110" t="s">
        <v>416</v>
      </c>
      <c r="F223" s="109"/>
      <c r="G223" s="109" t="s">
        <v>416</v>
      </c>
      <c r="H223" s="109" t="s">
        <v>416</v>
      </c>
      <c r="I223" s="109" t="s">
        <v>416</v>
      </c>
      <c r="J223" s="109"/>
      <c r="K223" s="109"/>
      <c r="L223" s="109"/>
      <c r="M223" s="111"/>
      <c r="N223" s="111"/>
      <c r="O223" s="109"/>
      <c r="P223" s="112"/>
      <c r="Q223" s="109"/>
      <c r="U223" s="114"/>
      <c r="V223" s="114"/>
      <c r="W223" s="114"/>
      <c r="Y223" s="114"/>
      <c r="Z223" s="218"/>
    </row>
    <row r="224" spans="1:93" x14ac:dyDescent="0.2">
      <c r="A224" s="113"/>
      <c r="M224" s="105"/>
      <c r="N224" s="105"/>
      <c r="P224" s="114"/>
      <c r="U224" s="114"/>
      <c r="V224" s="114"/>
      <c r="W224" s="114"/>
      <c r="Y224" s="114"/>
      <c r="Z224" s="218"/>
    </row>
    <row r="225" spans="1:93" ht="13.8" x14ac:dyDescent="0.2">
      <c r="A225" s="100"/>
      <c r="C225" s="1278" t="s">
        <v>4</v>
      </c>
      <c r="D225" s="1386" t="s">
        <v>669</v>
      </c>
      <c r="E225" s="1386"/>
      <c r="F225" s="1386"/>
      <c r="G225" s="1386"/>
      <c r="H225" s="1386"/>
      <c r="I225" s="1386"/>
      <c r="J225" s="1386"/>
      <c r="K225" s="1386"/>
      <c r="L225" s="1386"/>
      <c r="M225" s="1386"/>
      <c r="N225" s="1386"/>
      <c r="O225" s="1279"/>
      <c r="P225" s="1279"/>
      <c r="U225" s="114"/>
      <c r="V225" s="114"/>
      <c r="W225" s="114"/>
      <c r="Y225" s="114"/>
      <c r="Z225" s="218"/>
    </row>
    <row r="226" spans="1:93" ht="13.8" x14ac:dyDescent="0.2">
      <c r="C226" s="1279"/>
      <c r="D226" s="1386" t="s">
        <v>670</v>
      </c>
      <c r="E226" s="1386"/>
      <c r="F226" s="1386"/>
      <c r="G226" s="1386"/>
      <c r="H226" s="1386"/>
      <c r="I226" s="1386"/>
      <c r="J226" s="1386"/>
      <c r="K226" s="1386"/>
      <c r="L226" s="1386"/>
      <c r="M226" s="1386"/>
      <c r="N226" s="1386"/>
      <c r="O226" s="1279"/>
      <c r="P226" s="1279"/>
      <c r="U226" s="114"/>
      <c r="V226" s="114"/>
      <c r="W226" s="114"/>
      <c r="Y226" s="114"/>
      <c r="Z226" s="218"/>
    </row>
    <row r="227" spans="1:93" ht="13.8" x14ac:dyDescent="0.3">
      <c r="A227" s="100"/>
      <c r="C227" s="21"/>
      <c r="D227" s="1386" t="s">
        <v>671</v>
      </c>
      <c r="E227" s="1386"/>
      <c r="F227" s="1386"/>
      <c r="G227" s="1386"/>
      <c r="H227" s="1386"/>
      <c r="I227" s="1386"/>
      <c r="J227" s="1386"/>
      <c r="K227" s="1386"/>
      <c r="L227" s="1386"/>
      <c r="M227" s="1386"/>
      <c r="N227" s="1386"/>
      <c r="O227" s="107"/>
      <c r="U227" s="114"/>
      <c r="V227" s="114"/>
      <c r="W227" s="114"/>
      <c r="Y227" s="114"/>
      <c r="Z227" s="218"/>
    </row>
    <row r="228" spans="1:93" x14ac:dyDescent="0.2">
      <c r="U228" s="114"/>
      <c r="V228" s="114"/>
      <c r="W228" s="114"/>
      <c r="Y228" s="114"/>
      <c r="Z228" s="218"/>
    </row>
    <row r="229" spans="1:93" x14ac:dyDescent="0.2">
      <c r="A229" s="100"/>
      <c r="C229" s="119"/>
      <c r="O229" s="100"/>
      <c r="U229" s="114"/>
      <c r="V229" s="114"/>
      <c r="W229" s="114"/>
      <c r="Y229" s="114"/>
      <c r="Z229" s="218"/>
    </row>
    <row r="230" spans="1:93" ht="10.8" thickBot="1" x14ac:dyDescent="0.25">
      <c r="A230" s="123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23"/>
      <c r="O230" s="109"/>
      <c r="P230" s="109"/>
      <c r="Q230" s="109"/>
      <c r="U230" s="114"/>
      <c r="V230" s="114"/>
      <c r="W230" s="114"/>
      <c r="Y230" s="114"/>
      <c r="Z230" s="218"/>
    </row>
    <row r="231" spans="1:93" ht="15.6" x14ac:dyDescent="0.2">
      <c r="B231" s="1369"/>
      <c r="C231" s="125"/>
      <c r="D231" s="125"/>
      <c r="E231" s="125"/>
      <c r="F231" s="276"/>
      <c r="G231" s="125"/>
      <c r="H231" s="277"/>
      <c r="I231" s="126" t="s">
        <v>591</v>
      </c>
      <c r="J231" s="125"/>
      <c r="K231" s="125"/>
      <c r="L231" s="276"/>
      <c r="M231" s="125"/>
      <c r="N231" s="277"/>
      <c r="U231" s="127" t="s">
        <v>530</v>
      </c>
      <c r="V231" s="128"/>
      <c r="W231" s="129"/>
      <c r="Y231" s="130" t="s">
        <v>531</v>
      </c>
      <c r="Z231" s="131"/>
    </row>
    <row r="232" spans="1:93" x14ac:dyDescent="0.2">
      <c r="A232" s="101" t="s">
        <v>30</v>
      </c>
      <c r="B232" s="101" t="s">
        <v>532</v>
      </c>
      <c r="C232" s="132"/>
      <c r="D232" s="133" t="s">
        <v>533</v>
      </c>
      <c r="E232" s="134"/>
      <c r="F232" s="278"/>
      <c r="G232" s="133"/>
      <c r="H232" s="279"/>
      <c r="I232" s="135"/>
      <c r="J232" s="136" t="s">
        <v>534</v>
      </c>
      <c r="K232" s="133"/>
      <c r="L232" s="278"/>
      <c r="M232" s="134"/>
      <c r="N232" s="280"/>
      <c r="O232" s="137"/>
      <c r="Q232" s="118" t="s">
        <v>332</v>
      </c>
      <c r="U232" s="138"/>
      <c r="V232" s="139"/>
      <c r="W232" s="140"/>
      <c r="Y232" s="138"/>
      <c r="Z232" s="141"/>
    </row>
    <row r="233" spans="1:93" x14ac:dyDescent="0.2">
      <c r="A233" s="101" t="s">
        <v>39</v>
      </c>
      <c r="B233" s="102" t="s">
        <v>535</v>
      </c>
      <c r="C233" s="104"/>
      <c r="D233" s="142" t="s">
        <v>536</v>
      </c>
      <c r="E233" s="143"/>
      <c r="F233" s="281" t="s">
        <v>537</v>
      </c>
      <c r="G233" s="142"/>
      <c r="H233" s="282" t="s">
        <v>538</v>
      </c>
      <c r="I233" s="144"/>
      <c r="J233" s="142" t="s">
        <v>536</v>
      </c>
      <c r="K233" s="143"/>
      <c r="L233" s="281" t="s">
        <v>537</v>
      </c>
      <c r="M233" s="142"/>
      <c r="N233" s="282" t="s">
        <v>538</v>
      </c>
      <c r="O233" s="132"/>
      <c r="Q233" s="145" t="s">
        <v>539</v>
      </c>
      <c r="R233" s="132"/>
      <c r="S233" s="132"/>
      <c r="U233" s="138" t="s">
        <v>128</v>
      </c>
      <c r="V233" s="146" t="s">
        <v>343</v>
      </c>
      <c r="W233" s="147" t="s">
        <v>344</v>
      </c>
      <c r="Y233" s="148" t="s">
        <v>128</v>
      </c>
      <c r="Z233" s="149"/>
    </row>
    <row r="234" spans="1:93" ht="10.8" thickBot="1" x14ac:dyDescent="0.25">
      <c r="A234" s="109"/>
      <c r="B234" s="1370" t="s">
        <v>272</v>
      </c>
      <c r="C234" s="150"/>
      <c r="D234" s="220" t="str">
        <f>+$D$15</f>
        <v>Jan '26-Dec '26</v>
      </c>
      <c r="E234" s="221"/>
      <c r="F234" s="152">
        <f>+$L$15</f>
        <v>46023</v>
      </c>
      <c r="G234" s="153"/>
      <c r="H234" s="153"/>
      <c r="I234" s="153"/>
      <c r="J234" s="153"/>
      <c r="K234" s="151"/>
      <c r="L234" s="152">
        <f>+$L$15</f>
        <v>46023</v>
      </c>
      <c r="M234" s="154"/>
      <c r="N234" s="283"/>
      <c r="O234" s="155"/>
      <c r="P234" s="109"/>
      <c r="Q234" s="156"/>
      <c r="R234" s="132"/>
      <c r="S234" s="132"/>
      <c r="U234" s="157" t="s">
        <v>144</v>
      </c>
      <c r="V234" s="158" t="s">
        <v>540</v>
      </c>
      <c r="W234" s="159" t="s">
        <v>540</v>
      </c>
      <c r="Y234" s="160" t="s">
        <v>144</v>
      </c>
      <c r="Z234" s="159" t="s">
        <v>541</v>
      </c>
      <c r="AH234" s="116"/>
      <c r="AI234" s="116"/>
      <c r="AJ234" s="116"/>
      <c r="AK234" s="116"/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116"/>
      <c r="AY234" s="116"/>
      <c r="AZ234" s="116"/>
      <c r="BA234" s="116"/>
      <c r="BB234" s="116"/>
      <c r="BC234" s="116"/>
      <c r="BD234" s="116"/>
      <c r="BE234" s="116"/>
      <c r="BF234" s="116"/>
      <c r="BG234" s="116"/>
      <c r="BH234" s="116"/>
      <c r="BI234" s="116"/>
      <c r="BJ234" s="116"/>
      <c r="BK234" s="116"/>
      <c r="BL234" s="116"/>
      <c r="BM234" s="116"/>
      <c r="BN234" s="116"/>
      <c r="BO234" s="116"/>
      <c r="BP234" s="116"/>
      <c r="BQ234" s="116"/>
      <c r="BR234" s="116"/>
      <c r="BS234" s="116"/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</row>
    <row r="235" spans="1:93" x14ac:dyDescent="0.2">
      <c r="A235" s="118">
        <v>1</v>
      </c>
      <c r="B235" s="226"/>
      <c r="C235" s="223"/>
      <c r="D235" s="168"/>
      <c r="E235" s="225"/>
      <c r="F235" s="183"/>
      <c r="G235" s="233"/>
      <c r="H235" s="174"/>
      <c r="I235" s="229"/>
      <c r="J235" s="168"/>
      <c r="K235" s="225"/>
      <c r="L235" s="183"/>
      <c r="M235" s="233"/>
      <c r="N235" s="174"/>
      <c r="O235" s="227"/>
      <c r="P235" s="303"/>
      <c r="Q235" s="303"/>
      <c r="U235" s="184"/>
      <c r="V235" s="179"/>
      <c r="W235" s="180"/>
      <c r="Y235" s="184"/>
      <c r="Z235" s="181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16"/>
      <c r="BA235" s="116"/>
      <c r="BB235" s="116"/>
      <c r="BC235" s="116"/>
      <c r="BD235" s="116"/>
      <c r="BE235" s="116"/>
      <c r="BF235" s="116"/>
      <c r="BG235" s="116"/>
      <c r="BH235" s="116"/>
      <c r="BI235" s="116"/>
      <c r="BJ235" s="116"/>
      <c r="BK235" s="116"/>
      <c r="BL235" s="116"/>
      <c r="BM235" s="116"/>
      <c r="BN235" s="116"/>
      <c r="BO235" s="116"/>
      <c r="BP235" s="116"/>
      <c r="BQ235" s="116"/>
      <c r="BR235" s="116"/>
      <c r="BS235" s="116"/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</row>
    <row r="236" spans="1:93" x14ac:dyDescent="0.2">
      <c r="A236" s="118">
        <f t="shared" ref="A236:A276" si="19">+A235+1</f>
        <v>2</v>
      </c>
      <c r="B236" s="239" t="s">
        <v>551</v>
      </c>
      <c r="C236" s="223"/>
      <c r="D236" s="168"/>
      <c r="E236" s="225"/>
      <c r="F236" s="183"/>
      <c r="G236" s="233"/>
      <c r="H236" s="174"/>
      <c r="I236" s="229"/>
      <c r="J236" s="168"/>
      <c r="K236" s="225"/>
      <c r="L236" s="183"/>
      <c r="M236" s="233"/>
      <c r="N236" s="174"/>
      <c r="O236" s="227"/>
      <c r="P236" s="227"/>
      <c r="Q236" s="227"/>
      <c r="U236" s="184"/>
      <c r="V236" s="179"/>
      <c r="W236" s="180"/>
      <c r="Y236" s="184"/>
      <c r="Z236" s="181"/>
      <c r="AH236" s="116"/>
      <c r="AI236" s="116"/>
      <c r="AJ236" s="116"/>
      <c r="AK236" s="116"/>
      <c r="AL236" s="116"/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116"/>
      <c r="AY236" s="116"/>
      <c r="AZ236" s="116"/>
      <c r="BA236" s="116"/>
      <c r="BB236" s="116"/>
      <c r="BC236" s="116"/>
      <c r="BD236" s="116"/>
      <c r="BE236" s="116"/>
      <c r="BF236" s="116"/>
      <c r="BG236" s="116"/>
      <c r="BH236" s="116"/>
      <c r="BI236" s="116"/>
      <c r="BJ236" s="116"/>
      <c r="BK236" s="116"/>
      <c r="BL236" s="116"/>
      <c r="BM236" s="116"/>
      <c r="BN236" s="116"/>
      <c r="BO236" s="116"/>
      <c r="BP236" s="116"/>
      <c r="BQ236" s="116"/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</row>
    <row r="237" spans="1:93" x14ac:dyDescent="0.2">
      <c r="A237" s="118">
        <f t="shared" si="19"/>
        <v>3</v>
      </c>
      <c r="B237" s="228" t="s">
        <v>543</v>
      </c>
      <c r="C237" s="223"/>
      <c r="D237" s="168"/>
      <c r="E237" s="225"/>
      <c r="F237" s="183"/>
      <c r="G237" s="233"/>
      <c r="H237" s="174"/>
      <c r="I237" s="229"/>
      <c r="J237" s="175"/>
      <c r="K237" s="225"/>
      <c r="L237" s="1368">
        <v>-0.04</v>
      </c>
      <c r="M237" s="233"/>
      <c r="N237" s="174"/>
      <c r="O237" s="227"/>
      <c r="P237" s="227"/>
      <c r="Q237" s="227"/>
      <c r="U237" s="184"/>
      <c r="V237" s="179"/>
      <c r="W237" s="180"/>
      <c r="Y237" s="184"/>
      <c r="Z237" s="181"/>
      <c r="AH237" s="116"/>
      <c r="AI237" s="116"/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116"/>
      <c r="AY237" s="116"/>
      <c r="AZ237" s="116"/>
      <c r="BA237" s="116"/>
      <c r="BB237" s="116"/>
      <c r="BC237" s="116"/>
      <c r="BD237" s="116"/>
      <c r="BE237" s="116"/>
      <c r="BF237" s="116"/>
      <c r="BG237" s="116"/>
      <c r="BH237" s="116"/>
      <c r="BI237" s="116"/>
      <c r="BJ237" s="116"/>
      <c r="BK237" s="116"/>
      <c r="BL237" s="116"/>
      <c r="BM237" s="116"/>
      <c r="BN237" s="116"/>
      <c r="BO237" s="116"/>
      <c r="BP237" s="116"/>
      <c r="BQ237" s="116"/>
      <c r="BR237" s="116"/>
      <c r="BS237" s="116"/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</row>
    <row r="238" spans="1:93" x14ac:dyDescent="0.2">
      <c r="A238" s="118">
        <f t="shared" si="19"/>
        <v>4</v>
      </c>
      <c r="B238" s="234" t="s">
        <v>149</v>
      </c>
      <c r="C238" s="223"/>
      <c r="D238" s="172">
        <f>SUMIF($AH$8:$CP$8,1,$AH238:$CP238)+'Unbilled to E-13c'!P58</f>
        <v>3318996.5791742662</v>
      </c>
      <c r="E238" s="225" t="s">
        <v>555</v>
      </c>
      <c r="F238" s="183">
        <v>39.74</v>
      </c>
      <c r="G238" s="233" t="s">
        <v>375</v>
      </c>
      <c r="H238" s="174">
        <f>ROUND(D238*F238,2)</f>
        <v>131896924.06</v>
      </c>
      <c r="I238" s="229"/>
      <c r="J238" s="172">
        <f>D238</f>
        <v>3318996.5791742662</v>
      </c>
      <c r="K238" s="225" t="s">
        <v>555</v>
      </c>
      <c r="L238" s="310">
        <f>ROUND(F238*(1+'Exhibit MJC-2 - Old E-8a'!V24)+L237,2)</f>
        <v>40.799999999999997</v>
      </c>
      <c r="M238" s="233" t="s">
        <v>375</v>
      </c>
      <c r="N238" s="174">
        <f>ROUND(J238*L238,2)</f>
        <v>135415060.43000001</v>
      </c>
      <c r="O238" s="227"/>
      <c r="P238" s="227"/>
      <c r="Q238" s="1022"/>
      <c r="U238" s="184" t="s">
        <v>122</v>
      </c>
      <c r="V238" s="179">
        <v>244</v>
      </c>
      <c r="W238" s="180">
        <v>218</v>
      </c>
      <c r="Y238" s="184"/>
      <c r="Z238" s="181"/>
      <c r="AB238" s="182">
        <f>SUM(AH238:AS238)</f>
        <v>3268116.7261994653</v>
      </c>
      <c r="AC238" s="182">
        <f>SUM(AT238:BE238)</f>
        <v>3285373.9369279779</v>
      </c>
      <c r="AD238" s="182">
        <f>SUM(BF238:BQ238)</f>
        <v>3299204.3318910887</v>
      </c>
      <c r="AE238" s="182">
        <f>SUM(BR238:CC238)</f>
        <v>3315163.126174266</v>
      </c>
      <c r="AF238" s="182">
        <f>SUM(CD238:CO238)</f>
        <v>3336359.7507218462</v>
      </c>
      <c r="AH238" s="168">
        <v>275026.22858244093</v>
      </c>
      <c r="AI238" s="168">
        <v>226737.57853076211</v>
      </c>
      <c r="AJ238" s="168">
        <v>207969.1849025994</v>
      </c>
      <c r="AK238" s="168">
        <v>241506.45837077755</v>
      </c>
      <c r="AL238" s="168">
        <v>281053.29514892079</v>
      </c>
      <c r="AM238" s="168">
        <v>309997.29434977635</v>
      </c>
      <c r="AN238" s="168">
        <v>298803.34721291967</v>
      </c>
      <c r="AO238" s="168">
        <v>329461.89019602851</v>
      </c>
      <c r="AP238" s="168">
        <v>315792.0420500334</v>
      </c>
      <c r="AQ238" s="168">
        <v>289294.34803335043</v>
      </c>
      <c r="AR238" s="168">
        <v>263560.8348582153</v>
      </c>
      <c r="AS238" s="168">
        <v>228914.22396364048</v>
      </c>
      <c r="AT238" s="168">
        <v>270740.81883481942</v>
      </c>
      <c r="AU238" s="168">
        <v>225000.51831662361</v>
      </c>
      <c r="AV238" s="168">
        <v>202969.36360422801</v>
      </c>
      <c r="AW238" s="168">
        <v>242421.72656160392</v>
      </c>
      <c r="AX238" s="168">
        <v>279155.62331912271</v>
      </c>
      <c r="AY238" s="168">
        <v>303228.83097355958</v>
      </c>
      <c r="AZ238" s="168">
        <v>309079.07503699505</v>
      </c>
      <c r="BA238" s="168">
        <v>333088.01194969885</v>
      </c>
      <c r="BB238" s="168">
        <v>321967.0843734665</v>
      </c>
      <c r="BC238" s="168">
        <v>297524.45295417513</v>
      </c>
      <c r="BD238" s="168">
        <v>270497.22538860521</v>
      </c>
      <c r="BE238" s="168">
        <v>229701.20561508014</v>
      </c>
      <c r="BF238" s="168">
        <v>266457.67334011104</v>
      </c>
      <c r="BG238" s="168">
        <v>227430.40452010892</v>
      </c>
      <c r="BH238" s="168">
        <v>205849.03227433629</v>
      </c>
      <c r="BI238" s="168">
        <v>240043.28058647929</v>
      </c>
      <c r="BJ238" s="168">
        <v>280524.54562528053</v>
      </c>
      <c r="BK238" s="168">
        <v>308999.66933809291</v>
      </c>
      <c r="BL238" s="168">
        <v>311544.3640465393</v>
      </c>
      <c r="BM238" s="168">
        <v>336679.32554554509</v>
      </c>
      <c r="BN238" s="168">
        <v>323198.58022193337</v>
      </c>
      <c r="BO238" s="168">
        <v>294406.73180639825</v>
      </c>
      <c r="BP238" s="168">
        <v>269427.32373316371</v>
      </c>
      <c r="BQ238" s="168">
        <v>234643.40085309971</v>
      </c>
      <c r="BR238" s="168">
        <v>265865.78597687755</v>
      </c>
      <c r="BS238" s="168">
        <v>224749.52532835081</v>
      </c>
      <c r="BT238" s="168">
        <v>208438.29437500384</v>
      </c>
      <c r="BU238" s="168">
        <v>244292.80667342118</v>
      </c>
      <c r="BV238" s="168">
        <v>274465.44022569107</v>
      </c>
      <c r="BW238" s="168">
        <v>314880.52925550978</v>
      </c>
      <c r="BX238" s="168">
        <v>317308.06279983016</v>
      </c>
      <c r="BY238" s="168">
        <v>339946.99197856849</v>
      </c>
      <c r="BZ238" s="168">
        <v>324757.64356233407</v>
      </c>
      <c r="CA238" s="168">
        <v>297794.07510721218</v>
      </c>
      <c r="CB238" s="168">
        <v>270901.42256472871</v>
      </c>
      <c r="CC238" s="168">
        <v>231762.54832673754</v>
      </c>
      <c r="CD238" s="168">
        <v>267679.43239634659</v>
      </c>
      <c r="CE238" s="168">
        <v>222576.88274872472</v>
      </c>
      <c r="CF238" s="168">
        <v>203835.65014889784</v>
      </c>
      <c r="CG238" s="168">
        <v>249368.13535919093</v>
      </c>
      <c r="CH238" s="168">
        <v>281903.18385356845</v>
      </c>
      <c r="CI238" s="168">
        <v>311379.04829919984</v>
      </c>
      <c r="CJ238" s="168">
        <v>317961.90112085117</v>
      </c>
      <c r="CK238" s="168">
        <v>341998.83835510584</v>
      </c>
      <c r="CL238" s="168">
        <v>333232.57560930704</v>
      </c>
      <c r="CM238" s="168">
        <v>299651.82862602972</v>
      </c>
      <c r="CN238" s="168">
        <v>274990.23250717035</v>
      </c>
      <c r="CO238" s="168">
        <v>231782.04169745374</v>
      </c>
    </row>
    <row r="239" spans="1:93" x14ac:dyDescent="0.2">
      <c r="A239" s="118">
        <f t="shared" si="19"/>
        <v>5</v>
      </c>
      <c r="B239" s="234" t="s">
        <v>148</v>
      </c>
      <c r="C239" s="223"/>
      <c r="D239" s="172">
        <f>SUMIF($AH$8:$CP$8,1,$AH239:$CP239)+'Unbilled to E-13c'!P59</f>
        <v>81365.073926922123</v>
      </c>
      <c r="E239" s="225" t="s">
        <v>555</v>
      </c>
      <c r="F239" s="183">
        <v>39.74</v>
      </c>
      <c r="G239" s="233" t="s">
        <v>375</v>
      </c>
      <c r="H239" s="174">
        <f>ROUND(D239*F239,2)</f>
        <v>3233448.04</v>
      </c>
      <c r="I239" s="229"/>
      <c r="J239" s="172">
        <f t="shared" ref="J239:J240" si="20">D239</f>
        <v>81365.073926922123</v>
      </c>
      <c r="K239" s="225" t="s">
        <v>555</v>
      </c>
      <c r="L239" s="310">
        <f>L238</f>
        <v>40.799999999999997</v>
      </c>
      <c r="M239" s="233" t="s">
        <v>375</v>
      </c>
      <c r="N239" s="174">
        <f>ROUND(J239*L239,2)</f>
        <v>3319695.02</v>
      </c>
      <c r="O239" s="227"/>
      <c r="P239" s="227"/>
      <c r="Q239" s="227"/>
      <c r="U239" s="184" t="s">
        <v>122</v>
      </c>
      <c r="V239" s="179">
        <v>244</v>
      </c>
      <c r="W239" s="180">
        <v>218</v>
      </c>
      <c r="Y239" s="184"/>
      <c r="Z239" s="181"/>
      <c r="AB239" s="182">
        <f>SUM(AH239:AS239)</f>
        <v>80179.589755324181</v>
      </c>
      <c r="AC239" s="182">
        <f>SUM(AT239:BE239)</f>
        <v>80576.999150569507</v>
      </c>
      <c r="AD239" s="182">
        <f>SUM(BF239:BQ239)</f>
        <v>80950.258670562398</v>
      </c>
      <c r="AE239" s="182">
        <f>SUM(BR239:CC239)</f>
        <v>81271.097926922128</v>
      </c>
      <c r="AF239" s="182">
        <f>SUM(CD239:CO239)</f>
        <v>81781.377009266769</v>
      </c>
      <c r="AH239" s="168">
        <v>4713.1636022757148</v>
      </c>
      <c r="AI239" s="168">
        <v>7156.5385074305195</v>
      </c>
      <c r="AJ239" s="168">
        <v>6269.8449684757798</v>
      </c>
      <c r="AK239" s="168">
        <v>5485.1746356589765</v>
      </c>
      <c r="AL239" s="168">
        <v>8691.6108599820254</v>
      </c>
      <c r="AM239" s="168">
        <v>6680.4423799355236</v>
      </c>
      <c r="AN239" s="168">
        <v>6346.905688373603</v>
      </c>
      <c r="AO239" s="168">
        <v>8002.5803538038945</v>
      </c>
      <c r="AP239" s="168">
        <v>7674.870575969092</v>
      </c>
      <c r="AQ239" s="168">
        <v>7832.3691709188497</v>
      </c>
      <c r="AR239" s="168">
        <v>6205.7252945710079</v>
      </c>
      <c r="AS239" s="168">
        <v>5120.36371792919</v>
      </c>
      <c r="AT239" s="168">
        <v>4639.7239258221925</v>
      </c>
      <c r="AU239" s="168">
        <v>7101.7115202466512</v>
      </c>
      <c r="AV239" s="168">
        <v>6119.1105968160873</v>
      </c>
      <c r="AW239" s="168">
        <v>5505.9625098177639</v>
      </c>
      <c r="AX239" s="168">
        <v>8632.9251040444724</v>
      </c>
      <c r="AY239" s="168">
        <v>6534.5819791847298</v>
      </c>
      <c r="AZ239" s="168">
        <v>6565.1732412210959</v>
      </c>
      <c r="BA239" s="168">
        <v>8090.6583123476175</v>
      </c>
      <c r="BB239" s="168">
        <v>7824.9460823872423</v>
      </c>
      <c r="BC239" s="168">
        <v>8055.1914296097248</v>
      </c>
      <c r="BD239" s="168">
        <v>6369.0474899594847</v>
      </c>
      <c r="BE239" s="168">
        <v>5137.9669591124366</v>
      </c>
      <c r="BF239" s="168">
        <v>4566.3230521929354</v>
      </c>
      <c r="BG239" s="168">
        <v>7178.4062362112472</v>
      </c>
      <c r="BH239" s="168">
        <v>6205.9267091675947</v>
      </c>
      <c r="BI239" s="168">
        <v>5451.9424574222739</v>
      </c>
      <c r="BJ239" s="168">
        <v>8675.2592100237962</v>
      </c>
      <c r="BK239" s="168">
        <v>6658.9435587238331</v>
      </c>
      <c r="BL239" s="168">
        <v>6617.5386413550204</v>
      </c>
      <c r="BM239" s="168">
        <v>8177.8907859103974</v>
      </c>
      <c r="BN239" s="168">
        <v>7854.8758145947713</v>
      </c>
      <c r="BO239" s="168">
        <v>7970.7820964603798</v>
      </c>
      <c r="BP239" s="168">
        <v>6343.8559027137962</v>
      </c>
      <c r="BQ239" s="168">
        <v>5248.5142057863586</v>
      </c>
      <c r="BR239" s="168">
        <v>4556.1797942519834</v>
      </c>
      <c r="BS239" s="168">
        <v>7093.7894060681874</v>
      </c>
      <c r="BT239" s="168">
        <v>6283.9876582526185</v>
      </c>
      <c r="BU239" s="168">
        <v>5548.4591007572471</v>
      </c>
      <c r="BV239" s="168">
        <v>8487.8805626219146</v>
      </c>
      <c r="BW239" s="168">
        <v>6785.6761029712943</v>
      </c>
      <c r="BX239" s="168">
        <v>6739.9658254697488</v>
      </c>
      <c r="BY239" s="168">
        <v>8257.2619179831781</v>
      </c>
      <c r="BZ239" s="168">
        <v>7892.7666027211471</v>
      </c>
      <c r="CA239" s="168">
        <v>8062.4911928218289</v>
      </c>
      <c r="CB239" s="168">
        <v>6378.5645968589715</v>
      </c>
      <c r="CC239" s="168">
        <v>5184.0751661440145</v>
      </c>
      <c r="CD239" s="168">
        <v>4587.2605109374344</v>
      </c>
      <c r="CE239" s="168">
        <v>7025.2140936531441</v>
      </c>
      <c r="CF239" s="168">
        <v>6145.2273618353856</v>
      </c>
      <c r="CG239" s="168">
        <v>5663.7316461070532</v>
      </c>
      <c r="CH239" s="168">
        <v>8717.8937821985292</v>
      </c>
      <c r="CI239" s="168">
        <v>6710.2191806064247</v>
      </c>
      <c r="CJ239" s="168">
        <v>6753.8540573040746</v>
      </c>
      <c r="CK239" s="168">
        <v>8307.1009615585426</v>
      </c>
      <c r="CL239" s="168">
        <v>8098.7376150949958</v>
      </c>
      <c r="CM239" s="168">
        <v>8112.7881014440291</v>
      </c>
      <c r="CN239" s="168">
        <v>6474.8385037850676</v>
      </c>
      <c r="CO239" s="168">
        <v>5184.5111947420928</v>
      </c>
    </row>
    <row r="240" spans="1:93" x14ac:dyDescent="0.2">
      <c r="A240" s="118">
        <f t="shared" si="19"/>
        <v>6</v>
      </c>
      <c r="B240" s="234" t="s">
        <v>216</v>
      </c>
      <c r="C240" s="223"/>
      <c r="D240" s="172">
        <f>SUMIF($AH$8:$CP$8,1,$AH240:$CP240)+'Unbilled to E-13c'!P60</f>
        <v>180.30384422264081</v>
      </c>
      <c r="E240" s="225" t="s">
        <v>555</v>
      </c>
      <c r="F240" s="183">
        <v>39.74</v>
      </c>
      <c r="G240" s="233" t="s">
        <v>375</v>
      </c>
      <c r="H240" s="174">
        <f>ROUND(D240*F240,2)</f>
        <v>7165.27</v>
      </c>
      <c r="I240" s="229"/>
      <c r="J240" s="172">
        <f t="shared" si="20"/>
        <v>180.30384422264081</v>
      </c>
      <c r="K240" s="225" t="s">
        <v>555</v>
      </c>
      <c r="L240" s="310">
        <f>L239</f>
        <v>40.799999999999997</v>
      </c>
      <c r="M240" s="233" t="s">
        <v>375</v>
      </c>
      <c r="N240" s="174">
        <f>ROUND(J240*L240,2)</f>
        <v>7356.4</v>
      </c>
      <c r="O240" s="227"/>
      <c r="P240" s="247"/>
      <c r="Q240" s="227"/>
      <c r="U240" s="184" t="s">
        <v>122</v>
      </c>
      <c r="V240" s="179">
        <v>244</v>
      </c>
      <c r="W240" s="180">
        <v>218</v>
      </c>
      <c r="Y240" s="184"/>
      <c r="Z240" s="181"/>
      <c r="AB240" s="182">
        <f>SUM(AH240:AS240)</f>
        <v>179.30533029371068</v>
      </c>
      <c r="AC240" s="182">
        <f>SUM(AT240:BE240)</f>
        <v>177.87020417499377</v>
      </c>
      <c r="AD240" s="182">
        <f>SUM(BF240:BQ240)</f>
        <v>179.54774319095776</v>
      </c>
      <c r="AE240" s="182">
        <f>SUM(BR240:CC240)</f>
        <v>180.09584422264081</v>
      </c>
      <c r="AF240" s="182">
        <f>SUM(CD240:CO240)</f>
        <v>180.885393077147</v>
      </c>
      <c r="AH240" s="168">
        <v>1.2174780503610769</v>
      </c>
      <c r="AI240" s="168">
        <v>0.84333422890501919</v>
      </c>
      <c r="AJ240" s="168">
        <v>0</v>
      </c>
      <c r="AK240" s="168">
        <v>0.11307239854016378</v>
      </c>
      <c r="AL240" s="168">
        <v>1.0614171922974205</v>
      </c>
      <c r="AM240" s="168">
        <v>80.229360686859351</v>
      </c>
      <c r="AN240" s="168">
        <v>-77.406341665174153</v>
      </c>
      <c r="AO240" s="168">
        <v>30.742818629694607</v>
      </c>
      <c r="AP240" s="168">
        <v>32.853651776076752</v>
      </c>
      <c r="AQ240" s="168">
        <v>34.421203152336616</v>
      </c>
      <c r="AR240" s="168">
        <v>34.618654657044516</v>
      </c>
      <c r="AS240" s="168">
        <v>40.610681186769312</v>
      </c>
      <c r="AT240" s="168">
        <v>1.1985075240537337</v>
      </c>
      <c r="AU240" s="168">
        <v>0.83687335750582437</v>
      </c>
      <c r="AV240" s="168">
        <v>0</v>
      </c>
      <c r="AW240" s="168">
        <v>0.11350092360049722</v>
      </c>
      <c r="AX240" s="168">
        <v>1.0542505034869627</v>
      </c>
      <c r="AY240" s="168">
        <v>78.477637367321009</v>
      </c>
      <c r="AZ240" s="168">
        <v>-80.068314853318995</v>
      </c>
      <c r="BA240" s="168">
        <v>31.081180081260214</v>
      </c>
      <c r="BB240" s="168">
        <v>33.496076736755363</v>
      </c>
      <c r="BC240" s="168">
        <v>35.400448392938742</v>
      </c>
      <c r="BD240" s="168">
        <v>35.529747947772414</v>
      </c>
      <c r="BE240" s="168">
        <v>40.750296193618034</v>
      </c>
      <c r="BF240" s="168">
        <v>1.1795470210748431</v>
      </c>
      <c r="BG240" s="168">
        <v>0.8459111456881887</v>
      </c>
      <c r="BH240" s="168">
        <v>0</v>
      </c>
      <c r="BI240" s="168">
        <v>0.11238734430733956</v>
      </c>
      <c r="BJ240" s="168">
        <v>1.0594203331803145</v>
      </c>
      <c r="BK240" s="168">
        <v>79.971168701472948</v>
      </c>
      <c r="BL240" s="168">
        <v>-80.706958982162007</v>
      </c>
      <c r="BM240" s="168">
        <v>31.416293506530025</v>
      </c>
      <c r="BN240" s="168">
        <v>33.624196291341235</v>
      </c>
      <c r="BO240" s="168">
        <v>35.029491567375075</v>
      </c>
      <c r="BP240" s="168">
        <v>35.389216612960638</v>
      </c>
      <c r="BQ240" s="168">
        <v>41.62706964918916</v>
      </c>
      <c r="BR240" s="168">
        <v>1.1769268714377084</v>
      </c>
      <c r="BS240" s="168">
        <v>0.83593980701279558</v>
      </c>
      <c r="BT240" s="168">
        <v>0</v>
      </c>
      <c r="BU240" s="168">
        <v>0.11437695614029442</v>
      </c>
      <c r="BV240" s="168">
        <v>1.0365377029031688</v>
      </c>
      <c r="BW240" s="168">
        <v>81.493174344951171</v>
      </c>
      <c r="BX240" s="168">
        <v>-82.200070887078056</v>
      </c>
      <c r="BY240" s="168">
        <v>31.721206698259142</v>
      </c>
      <c r="BZ240" s="168">
        <v>33.786394565084485</v>
      </c>
      <c r="CA240" s="168">
        <v>35.432528932939427</v>
      </c>
      <c r="CB240" s="168">
        <v>35.58283915330415</v>
      </c>
      <c r="CC240" s="168">
        <v>41.115990077686526</v>
      </c>
      <c r="CD240" s="168">
        <v>1.1849554682671832</v>
      </c>
      <c r="CE240" s="168">
        <v>0.8278588181160802</v>
      </c>
      <c r="CF240" s="168">
        <v>0</v>
      </c>
      <c r="CG240" s="168">
        <v>0.11675320558617308</v>
      </c>
      <c r="CH240" s="168">
        <v>1.0646268557250433</v>
      </c>
      <c r="CI240" s="168">
        <v>80.58696779508044</v>
      </c>
      <c r="CJ240" s="168">
        <v>-82.36945062442976</v>
      </c>
      <c r="CK240" s="168">
        <v>31.912669027854687</v>
      </c>
      <c r="CL240" s="168">
        <v>34.668090204055176</v>
      </c>
      <c r="CM240" s="168">
        <v>35.653570621838298</v>
      </c>
      <c r="CN240" s="168">
        <v>36.119903392882172</v>
      </c>
      <c r="CO240" s="168">
        <v>41.119448312171492</v>
      </c>
    </row>
    <row r="241" spans="1:93" x14ac:dyDescent="0.2">
      <c r="A241" s="118">
        <f t="shared" si="19"/>
        <v>7</v>
      </c>
      <c r="B241" s="226" t="s">
        <v>546</v>
      </c>
      <c r="C241" s="296"/>
      <c r="D241" s="168"/>
      <c r="E241" s="225"/>
      <c r="F241" s="183"/>
      <c r="G241" s="233"/>
      <c r="H241" s="174"/>
      <c r="I241" s="229"/>
      <c r="J241" s="168"/>
      <c r="K241" s="225"/>
      <c r="L241" s="183"/>
      <c r="M241" s="233"/>
      <c r="N241" s="174"/>
      <c r="O241" s="227"/>
      <c r="S241" s="227"/>
      <c r="T241" s="227"/>
      <c r="U241" s="184"/>
      <c r="V241" s="179"/>
      <c r="W241" s="180"/>
      <c r="Y241" s="184"/>
      <c r="Z241" s="181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  <c r="AT241" s="168"/>
      <c r="AU241" s="168"/>
      <c r="AV241" s="168"/>
      <c r="AW241" s="168"/>
      <c r="AX241" s="168"/>
      <c r="AY241" s="168"/>
      <c r="AZ241" s="168"/>
      <c r="BA241" s="168"/>
      <c r="BB241" s="168"/>
      <c r="BC241" s="168"/>
      <c r="BD241" s="168"/>
      <c r="BE241" s="168"/>
      <c r="BF241" s="168"/>
      <c r="BG241" s="168"/>
      <c r="BH241" s="168"/>
      <c r="BI241" s="168"/>
      <c r="BJ241" s="168"/>
      <c r="BK241" s="168"/>
      <c r="BL241" s="168"/>
      <c r="BM241" s="168"/>
      <c r="BN241" s="168"/>
      <c r="BO241" s="168"/>
      <c r="BP241" s="168"/>
      <c r="BQ241" s="168"/>
      <c r="BR241" s="168"/>
      <c r="BS241" s="168"/>
      <c r="BT241" s="168"/>
      <c r="BU241" s="168"/>
      <c r="BV241" s="168"/>
      <c r="BW241" s="168"/>
      <c r="BX241" s="168"/>
      <c r="BY241" s="168"/>
      <c r="BZ241" s="168"/>
      <c r="CA241" s="168"/>
      <c r="CB241" s="168"/>
      <c r="CC241" s="168"/>
      <c r="CD241" s="168"/>
      <c r="CE241" s="168"/>
      <c r="CF241" s="168"/>
      <c r="CG241" s="168"/>
      <c r="CH241" s="168"/>
      <c r="CI241" s="168"/>
      <c r="CJ241" s="168"/>
      <c r="CK241" s="168"/>
      <c r="CL241" s="168"/>
      <c r="CM241" s="168"/>
      <c r="CN241" s="168"/>
      <c r="CO241" s="168"/>
    </row>
    <row r="242" spans="1:93" x14ac:dyDescent="0.2">
      <c r="A242" s="118">
        <f t="shared" si="19"/>
        <v>8</v>
      </c>
      <c r="B242" s="234" t="s">
        <v>149</v>
      </c>
      <c r="C242" s="223"/>
      <c r="D242" s="168"/>
      <c r="E242" s="225"/>
      <c r="F242" s="183"/>
      <c r="G242" s="233"/>
      <c r="H242" s="174"/>
      <c r="I242" s="229"/>
      <c r="J242" s="168"/>
      <c r="K242" s="225"/>
      <c r="L242" s="1368">
        <v>-0.12</v>
      </c>
      <c r="M242" s="233"/>
      <c r="N242" s="174"/>
      <c r="O242" s="227"/>
      <c r="S242" s="227"/>
      <c r="T242" s="858" t="s">
        <v>558</v>
      </c>
      <c r="U242" s="184"/>
      <c r="V242" s="179"/>
      <c r="W242" s="180"/>
      <c r="Y242" s="184"/>
      <c r="Z242" s="181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  <c r="AT242" s="168"/>
      <c r="AU242" s="168"/>
      <c r="AV242" s="168"/>
      <c r="AW242" s="168"/>
      <c r="AX242" s="168"/>
      <c r="AY242" s="168"/>
      <c r="AZ242" s="168"/>
      <c r="BA242" s="168"/>
      <c r="BB242" s="168"/>
      <c r="BC242" s="168"/>
      <c r="BD242" s="168"/>
      <c r="BE242" s="168"/>
      <c r="BF242" s="168"/>
      <c r="BG242" s="168"/>
      <c r="BH242" s="168"/>
      <c r="BI242" s="168"/>
      <c r="BJ242" s="168"/>
      <c r="BK242" s="168"/>
      <c r="BL242" s="168"/>
      <c r="BM242" s="168"/>
      <c r="BN242" s="168"/>
      <c r="BO242" s="168"/>
      <c r="BP242" s="168"/>
      <c r="BQ242" s="168"/>
      <c r="BR242" s="168"/>
      <c r="BS242" s="168"/>
      <c r="BT242" s="168"/>
      <c r="BU242" s="168"/>
      <c r="BV242" s="168"/>
      <c r="BW242" s="168"/>
      <c r="BX242" s="168"/>
      <c r="BY242" s="168"/>
      <c r="BZ242" s="168"/>
      <c r="CA242" s="168"/>
      <c r="CB242" s="168"/>
      <c r="CC242" s="168"/>
      <c r="CD242" s="168"/>
      <c r="CE242" s="168"/>
      <c r="CF242" s="168"/>
      <c r="CG242" s="168"/>
      <c r="CH242" s="168"/>
      <c r="CI242" s="168"/>
      <c r="CJ242" s="168"/>
      <c r="CK242" s="168"/>
      <c r="CL242" s="168"/>
      <c r="CM242" s="168"/>
      <c r="CN242" s="168"/>
      <c r="CO242" s="168"/>
    </row>
    <row r="243" spans="1:93" x14ac:dyDescent="0.2">
      <c r="A243" s="118">
        <f t="shared" si="19"/>
        <v>9</v>
      </c>
      <c r="B243" s="243" t="s">
        <v>559</v>
      </c>
      <c r="C243" s="223"/>
      <c r="D243" s="172">
        <f>SUMIF($AH$8:$CP$8,1,$AH243:$CP243)+(SUM($AE$243:$AE$245)*'TOU Split'!D20)+'Unbilled to E-13c'!P61</f>
        <v>969751.56681306148</v>
      </c>
      <c r="E243" s="225" t="s">
        <v>555</v>
      </c>
      <c r="F243" s="183">
        <v>47.24</v>
      </c>
      <c r="G243" s="233" t="s">
        <v>375</v>
      </c>
      <c r="H243" s="174">
        <f>ROUND(D243*F243,2)</f>
        <v>45811064.020000003</v>
      </c>
      <c r="I243" s="229"/>
      <c r="J243" s="172">
        <f>D243</f>
        <v>969751.56681306148</v>
      </c>
      <c r="K243" s="225" t="s">
        <v>555</v>
      </c>
      <c r="L243" s="1102">
        <f>ROUND(('MFR E-14A'!I93*10)+(L242*T243),2)</f>
        <v>49.98</v>
      </c>
      <c r="M243" s="233" t="s">
        <v>375</v>
      </c>
      <c r="N243" s="174">
        <f>ROUND(J243*L243,2)</f>
        <v>48468183.310000002</v>
      </c>
      <c r="O243" s="227"/>
      <c r="Q243" s="1022"/>
      <c r="R243" s="288"/>
      <c r="S243" s="227"/>
      <c r="T243" s="859">
        <f>'MFR E-14C'!Z149</f>
        <v>1.4</v>
      </c>
      <c r="U243" s="184" t="s">
        <v>592</v>
      </c>
      <c r="V243" s="179">
        <v>245</v>
      </c>
      <c r="W243" s="180">
        <v>219</v>
      </c>
      <c r="Y243" s="184"/>
      <c r="Z243" s="181"/>
      <c r="AB243" s="182">
        <f>SUM(AH243:AS243)</f>
        <v>961682.83832756313</v>
      </c>
      <c r="AC243" s="182">
        <f t="shared" ref="AC243:AC253" si="21">SUM(AT243:BE243)</f>
        <v>962359.21891285363</v>
      </c>
      <c r="AD243" s="182">
        <f t="shared" ref="AD243:AD253" si="22">SUM(BF243:BQ243)</f>
        <v>966382.81407191593</v>
      </c>
      <c r="AE243" s="182">
        <f t="shared" ref="AE243:AE253" si="23">SUM(BR243:CC243)</f>
        <v>968631.49881306151</v>
      </c>
      <c r="AF243" s="182">
        <f t="shared" ref="AF243:AF253" si="24">SUM(CD243:CO243)</f>
        <v>971851.09730989323</v>
      </c>
      <c r="AH243" s="168">
        <v>140078.99197888665</v>
      </c>
      <c r="AI243" s="168">
        <v>143592.50251557078</v>
      </c>
      <c r="AJ243" s="168">
        <v>91606.431111558239</v>
      </c>
      <c r="AK243" s="168">
        <v>58959.302901261057</v>
      </c>
      <c r="AL243" s="168">
        <v>60943.259650931024</v>
      </c>
      <c r="AM243" s="168">
        <v>64511.351062360482</v>
      </c>
      <c r="AN243" s="168">
        <v>62998.276005269108</v>
      </c>
      <c r="AO243" s="168">
        <v>67758.035121268811</v>
      </c>
      <c r="AP243" s="168">
        <v>63733.012981917345</v>
      </c>
      <c r="AQ243" s="168">
        <v>62508.59983147883</v>
      </c>
      <c r="AR243" s="168">
        <v>57814.020985096693</v>
      </c>
      <c r="AS243" s="168">
        <v>87179.054181964122</v>
      </c>
      <c r="AT243" s="168">
        <v>137896.30605559345</v>
      </c>
      <c r="AU243" s="168">
        <v>142492.42539211974</v>
      </c>
      <c r="AV243" s="168">
        <v>89404.105870182393</v>
      </c>
      <c r="AW243" s="168">
        <v>59182.748579951665</v>
      </c>
      <c r="AX243" s="168">
        <v>60531.77076589816</v>
      </c>
      <c r="AY243" s="168">
        <v>63102.813875183689</v>
      </c>
      <c r="AZ243" s="168">
        <v>65164.761567276022</v>
      </c>
      <c r="BA243" s="168">
        <v>68503.793257340309</v>
      </c>
      <c r="BB243" s="168">
        <v>64979.25734579812</v>
      </c>
      <c r="BC243" s="168">
        <v>64286.900508848477</v>
      </c>
      <c r="BD243" s="168">
        <v>59335.56961693542</v>
      </c>
      <c r="BE243" s="168">
        <v>87478.766077726294</v>
      </c>
      <c r="BF243" s="168">
        <v>135714.77338327304</v>
      </c>
      <c r="BG243" s="168">
        <v>144031.26797413654</v>
      </c>
      <c r="BH243" s="168">
        <v>90672.544604391645</v>
      </c>
      <c r="BI243" s="168">
        <v>58602.095302073802</v>
      </c>
      <c r="BJ243" s="168">
        <v>60828.606237981585</v>
      </c>
      <c r="BK243" s="168">
        <v>64303.742355670656</v>
      </c>
      <c r="BL243" s="168">
        <v>65684.531372081285</v>
      </c>
      <c r="BM243" s="168">
        <v>69242.392652293274</v>
      </c>
      <c r="BN243" s="168">
        <v>65227.797303892046</v>
      </c>
      <c r="BO243" s="168">
        <v>63613.246201609625</v>
      </c>
      <c r="BP243" s="168">
        <v>59100.87876541735</v>
      </c>
      <c r="BQ243" s="168">
        <v>89360.937919095071</v>
      </c>
      <c r="BR243" s="168">
        <v>135413.30764440828</v>
      </c>
      <c r="BS243" s="168">
        <v>142333.47198204327</v>
      </c>
      <c r="BT243" s="168">
        <v>91813.06482312335</v>
      </c>
      <c r="BU243" s="168">
        <v>59639.537933782485</v>
      </c>
      <c r="BV243" s="168">
        <v>59514.757085549907</v>
      </c>
      <c r="BW243" s="168">
        <v>65527.566645740058</v>
      </c>
      <c r="BX243" s="168">
        <v>66899.722193261419</v>
      </c>
      <c r="BY243" s="168">
        <v>69914.429884889905</v>
      </c>
      <c r="BZ243" s="168">
        <v>65542.446791156981</v>
      </c>
      <c r="CA243" s="168">
        <v>64345.158485143082</v>
      </c>
      <c r="CB243" s="168">
        <v>59424.233260891058</v>
      </c>
      <c r="CC243" s="168">
        <v>88263.802083071758</v>
      </c>
      <c r="CD243" s="168">
        <v>136337.05140352101</v>
      </c>
      <c r="CE243" s="168">
        <v>140957.54132642824</v>
      </c>
      <c r="CF243" s="168">
        <v>89785.688452786315</v>
      </c>
      <c r="CG243" s="168">
        <v>60878.584886507633</v>
      </c>
      <c r="CH243" s="168">
        <v>61127.548498974204</v>
      </c>
      <c r="CI243" s="168">
        <v>64798.898133698742</v>
      </c>
      <c r="CJ243" s="168">
        <v>67037.574353870426</v>
      </c>
      <c r="CK243" s="168">
        <v>70336.418233108692</v>
      </c>
      <c r="CL243" s="168">
        <v>67252.853901685172</v>
      </c>
      <c r="CM243" s="168">
        <v>64746.568232975078</v>
      </c>
      <c r="CN243" s="168">
        <v>60321.144002365858</v>
      </c>
      <c r="CO243" s="168">
        <v>88271.225883971652</v>
      </c>
    </row>
    <row r="244" spans="1:93" x14ac:dyDescent="0.2">
      <c r="A244" s="118">
        <f t="shared" si="19"/>
        <v>10</v>
      </c>
      <c r="B244" s="243" t="s">
        <v>560</v>
      </c>
      <c r="C244" s="223"/>
      <c r="D244" s="172">
        <f>SUMIF($AH$8:$CP$8,1,$AH244:$CP244)+(SUM($AE$243:$AE$245)*'TOU Split'!D21)+'Unbilled to E-13c'!P62</f>
        <v>5316042.6963971416</v>
      </c>
      <c r="E244" s="225" t="s">
        <v>555</v>
      </c>
      <c r="F244" s="183">
        <v>34.99</v>
      </c>
      <c r="G244" s="233" t="s">
        <v>375</v>
      </c>
      <c r="H244" s="174">
        <f>ROUND(D244*F244,2)</f>
        <v>186008333.94999999</v>
      </c>
      <c r="I244" s="229"/>
      <c r="J244" s="172">
        <f t="shared" ref="J244:J245" si="25">D244</f>
        <v>5316042.6963971416</v>
      </c>
      <c r="K244" s="225" t="s">
        <v>555</v>
      </c>
      <c r="L244" s="1102">
        <f>ROUND(IF(('MFR E-14A'!I94*10)+(L242*T244)&lt;F244,F244,('MFR E-14A'!I94*10)+(L242*T244)),2)</f>
        <v>35.700000000000003</v>
      </c>
      <c r="M244" s="233" t="s">
        <v>375</v>
      </c>
      <c r="N244" s="174">
        <f>ROUND(J244*L244,2)</f>
        <v>189782724.25999999</v>
      </c>
      <c r="O244" s="227"/>
      <c r="Q244" s="1022"/>
      <c r="R244" s="288"/>
      <c r="S244" s="227"/>
      <c r="T244" s="859">
        <f>'MFR E-14C'!Z150</f>
        <v>1</v>
      </c>
      <c r="U244" s="184" t="s">
        <v>592</v>
      </c>
      <c r="V244" s="179">
        <v>245</v>
      </c>
      <c r="W244" s="180">
        <v>219</v>
      </c>
      <c r="Y244" s="184"/>
      <c r="Z244" s="181"/>
      <c r="AB244" s="182">
        <f>SUM(AH244:AS244)</f>
        <v>5412287.9990909193</v>
      </c>
      <c r="AC244" s="182">
        <f t="shared" si="21"/>
        <v>5438206.672975678</v>
      </c>
      <c r="AD244" s="182">
        <f t="shared" si="22"/>
        <v>5461111.3251428884</v>
      </c>
      <c r="AE244" s="182">
        <f t="shared" si="23"/>
        <v>5487781.8349836338</v>
      </c>
      <c r="AF244" s="182">
        <f t="shared" si="24"/>
        <v>5519465.5879296642</v>
      </c>
      <c r="AH244" s="168">
        <v>471354.02068064158</v>
      </c>
      <c r="AI244" s="168">
        <v>432885.76055620721</v>
      </c>
      <c r="AJ244" s="168">
        <v>390104.35625876556</v>
      </c>
      <c r="AK244" s="168">
        <v>440726.11199600081</v>
      </c>
      <c r="AL244" s="168">
        <v>397030.35537456605</v>
      </c>
      <c r="AM244" s="168">
        <v>492710.61193814571</v>
      </c>
      <c r="AN244" s="168">
        <v>477515.94696876931</v>
      </c>
      <c r="AO244" s="168">
        <v>505511.58909785026</v>
      </c>
      <c r="AP244" s="168">
        <v>494628.57191308064</v>
      </c>
      <c r="AQ244" s="168">
        <v>471864.85175609367</v>
      </c>
      <c r="AR244" s="168">
        <v>426757.34620875638</v>
      </c>
      <c r="AS244" s="168">
        <v>411198.47634204128</v>
      </c>
      <c r="AT244" s="168">
        <v>464009.46621681197</v>
      </c>
      <c r="AU244" s="168">
        <v>429569.37763987796</v>
      </c>
      <c r="AV244" s="168">
        <v>380725.79342060513</v>
      </c>
      <c r="AW244" s="168">
        <v>442396.38861674943</v>
      </c>
      <c r="AX244" s="168">
        <v>394349.60644198454</v>
      </c>
      <c r="AY244" s="168">
        <v>481952.79632891051</v>
      </c>
      <c r="AZ244" s="168">
        <v>493937.52975381853</v>
      </c>
      <c r="BA244" s="168">
        <v>511075.34813799144</v>
      </c>
      <c r="BB244" s="168">
        <v>504300.6090743547</v>
      </c>
      <c r="BC244" s="168">
        <v>485288.88601325237</v>
      </c>
      <c r="BD244" s="168">
        <v>437988.7403444185</v>
      </c>
      <c r="BE244" s="168">
        <v>412612.13098690304</v>
      </c>
      <c r="BF244" s="168">
        <v>456668.79234546219</v>
      </c>
      <c r="BG244" s="168">
        <v>434208.49897158111</v>
      </c>
      <c r="BH244" s="168">
        <v>386127.41719153657</v>
      </c>
      <c r="BI244" s="168">
        <v>438055.95294359693</v>
      </c>
      <c r="BJ244" s="168">
        <v>396283.41657363944</v>
      </c>
      <c r="BK244" s="168">
        <v>491124.98380864097</v>
      </c>
      <c r="BL244" s="168">
        <v>497877.29424081172</v>
      </c>
      <c r="BM244" s="168">
        <v>516585.69909756602</v>
      </c>
      <c r="BN244" s="168">
        <v>506229.51465693279</v>
      </c>
      <c r="BO244" s="168">
        <v>480203.60509707284</v>
      </c>
      <c r="BP244" s="168">
        <v>436256.35703554715</v>
      </c>
      <c r="BQ244" s="168">
        <v>421489.79318049981</v>
      </c>
      <c r="BR244" s="168">
        <v>455654.38550183811</v>
      </c>
      <c r="BS244" s="168">
        <v>429090.183624811</v>
      </c>
      <c r="BT244" s="168">
        <v>390984.30224130576</v>
      </c>
      <c r="BU244" s="168">
        <v>445810.93027529272</v>
      </c>
      <c r="BV244" s="168">
        <v>387724.01231980824</v>
      </c>
      <c r="BW244" s="168">
        <v>500472.03986830986</v>
      </c>
      <c r="BX244" s="168">
        <v>507088.22876979882</v>
      </c>
      <c r="BY244" s="168">
        <v>521599.46032565983</v>
      </c>
      <c r="BZ244" s="168">
        <v>508671.49282895483</v>
      </c>
      <c r="CA244" s="168">
        <v>485728.66376258561</v>
      </c>
      <c r="CB244" s="168">
        <v>438643.21586359164</v>
      </c>
      <c r="CC244" s="168">
        <v>416314.91960167664</v>
      </c>
      <c r="CD244" s="168">
        <v>458762.70552031772</v>
      </c>
      <c r="CE244" s="168">
        <v>424942.18997685611</v>
      </c>
      <c r="CF244" s="168">
        <v>382350.75605630671</v>
      </c>
      <c r="CG244" s="168">
        <v>455072.9181072989</v>
      </c>
      <c r="CH244" s="168">
        <v>398230.95191714104</v>
      </c>
      <c r="CI244" s="168">
        <v>494906.77573175676</v>
      </c>
      <c r="CJ244" s="168">
        <v>508133.1241096236</v>
      </c>
      <c r="CK244" s="168">
        <v>524747.7216367661</v>
      </c>
      <c r="CL244" s="168">
        <v>521945.87272859289</v>
      </c>
      <c r="CM244" s="168">
        <v>488758.82523900399</v>
      </c>
      <c r="CN244" s="168">
        <v>445263.81137478392</v>
      </c>
      <c r="CO244" s="168">
        <v>416349.93553121778</v>
      </c>
    </row>
    <row r="245" spans="1:93" x14ac:dyDescent="0.2">
      <c r="A245" s="118">
        <f t="shared" si="19"/>
        <v>11</v>
      </c>
      <c r="B245" s="243" t="s">
        <v>561</v>
      </c>
      <c r="C245" s="223"/>
      <c r="D245" s="172">
        <f>SUMIF($AH$8:$CP$8,1,$AH245:$CP245)+(SUM($AE$243:$AE$245)*'TOU Split'!D22)+'Unbilled to E-13c'!P63</f>
        <v>1379065.4456674641</v>
      </c>
      <c r="E245" s="225" t="s">
        <v>555</v>
      </c>
      <c r="F245" s="183">
        <v>23.71</v>
      </c>
      <c r="G245" s="233" t="s">
        <v>375</v>
      </c>
      <c r="H245" s="174">
        <f>ROUND(D245*F245,2)</f>
        <v>32697641.719999999</v>
      </c>
      <c r="I245" s="229"/>
      <c r="J245" s="172">
        <f t="shared" si="25"/>
        <v>1379065.4456674641</v>
      </c>
      <c r="K245" s="225" t="s">
        <v>555</v>
      </c>
      <c r="L245" s="1102">
        <f>ROUND(IF(('MFR E-14A'!I95*10)+(L242*T245)&lt;F245,F245,('MFR E-14A'!I95*10)+(L242*T245)),2)</f>
        <v>24.16</v>
      </c>
      <c r="M245" s="233" t="s">
        <v>375</v>
      </c>
      <c r="N245" s="174">
        <f>ROUND(J245*L245,2)</f>
        <v>33318221.170000002</v>
      </c>
      <c r="O245" s="227"/>
      <c r="Q245" s="1022"/>
      <c r="R245" s="293"/>
      <c r="S245" s="227"/>
      <c r="T245" s="859">
        <f>'MFR E-14C'!Z151</f>
        <v>0.67665476953530823</v>
      </c>
      <c r="U245" s="184" t="s">
        <v>592</v>
      </c>
      <c r="V245" s="179">
        <v>245</v>
      </c>
      <c r="W245" s="180">
        <v>219</v>
      </c>
      <c r="Y245" s="184"/>
      <c r="Z245" s="181"/>
      <c r="AB245" s="182">
        <f>SUM(AH245:AS245)</f>
        <v>1175056.9751415562</v>
      </c>
      <c r="AC245" s="182">
        <f t="shared" si="21"/>
        <v>1186687.2899356426</v>
      </c>
      <c r="AD245" s="182">
        <f t="shared" si="22"/>
        <v>1192558.7978362571</v>
      </c>
      <c r="AE245" s="182">
        <f t="shared" si="23"/>
        <v>1199593.4310809718</v>
      </c>
      <c r="AF245" s="182">
        <f t="shared" si="24"/>
        <v>1211230.2925500069</v>
      </c>
      <c r="AH245" s="168">
        <v>8.8848242787838469E-2</v>
      </c>
      <c r="AI245" s="168">
        <v>2.0212940281265532</v>
      </c>
      <c r="AJ245" s="168">
        <v>35091.5602869758</v>
      </c>
      <c r="AK245" s="168">
        <v>83147.24946622095</v>
      </c>
      <c r="AL245" s="168">
        <v>169479.66194628782</v>
      </c>
      <c r="AM245" s="168">
        <v>138875.36477186563</v>
      </c>
      <c r="AN245" s="168">
        <v>136377.53992411718</v>
      </c>
      <c r="AO245" s="168">
        <v>144584.16998472481</v>
      </c>
      <c r="AP245" s="168">
        <v>140832.9304652992</v>
      </c>
      <c r="AQ245" s="168">
        <v>135052.05230545369</v>
      </c>
      <c r="AR245" s="168">
        <v>122350.65214051661</v>
      </c>
      <c r="AS245" s="168">
        <v>69263.683707823831</v>
      </c>
      <c r="AT245" s="168">
        <v>8.746382528095363E-2</v>
      </c>
      <c r="AU245" s="168">
        <v>2.0058086839675218</v>
      </c>
      <c r="AV245" s="168">
        <v>34247.918328201595</v>
      </c>
      <c r="AW245" s="168">
        <v>83462.363327376137</v>
      </c>
      <c r="AX245" s="168">
        <v>168335.3352803124</v>
      </c>
      <c r="AY245" s="168">
        <v>135843.16791902302</v>
      </c>
      <c r="AZ245" s="168">
        <v>141067.50907823991</v>
      </c>
      <c r="BA245" s="168">
        <v>146175.49152939889</v>
      </c>
      <c r="BB245" s="168">
        <v>143586.79753715705</v>
      </c>
      <c r="BC245" s="168">
        <v>138894.13414287163</v>
      </c>
      <c r="BD245" s="168">
        <v>125570.67496883654</v>
      </c>
      <c r="BE245" s="168">
        <v>69501.804551716137</v>
      </c>
      <c r="BF245" s="168">
        <v>8.6080139249366958E-2</v>
      </c>
      <c r="BG245" s="168">
        <v>2.0274703533915233</v>
      </c>
      <c r="BH245" s="168">
        <v>34733.817557892493</v>
      </c>
      <c r="BI245" s="168">
        <v>82643.498100459517</v>
      </c>
      <c r="BJ245" s="168">
        <v>169160.81747064012</v>
      </c>
      <c r="BK245" s="168">
        <v>138428.43978275024</v>
      </c>
      <c r="BL245" s="168">
        <v>142192.69744530335</v>
      </c>
      <c r="BM245" s="168">
        <v>147751.53753308486</v>
      </c>
      <c r="BN245" s="168">
        <v>144136.00443948916</v>
      </c>
      <c r="BO245" s="168">
        <v>137438.68006163655</v>
      </c>
      <c r="BP245" s="168">
        <v>125074.00343059412</v>
      </c>
      <c r="BQ245" s="168">
        <v>70997.188463914063</v>
      </c>
      <c r="BR245" s="168">
        <v>8.5888927842285259E-2</v>
      </c>
      <c r="BS245" s="168">
        <v>2.0035711606086464</v>
      </c>
      <c r="BT245" s="168">
        <v>35170.715202834042</v>
      </c>
      <c r="BU245" s="168">
        <v>84106.549681141085</v>
      </c>
      <c r="BV245" s="168">
        <v>165507.07936280107</v>
      </c>
      <c r="BW245" s="168">
        <v>141063.00008727348</v>
      </c>
      <c r="BX245" s="168">
        <v>144823.32077723477</v>
      </c>
      <c r="BY245" s="168">
        <v>149185.55115670775</v>
      </c>
      <c r="BZ245" s="168">
        <v>144831.29573810546</v>
      </c>
      <c r="CA245" s="168">
        <v>139020.00257190311</v>
      </c>
      <c r="CB245" s="168">
        <v>125758.31205884149</v>
      </c>
      <c r="CC245" s="168">
        <v>70125.514984040972</v>
      </c>
      <c r="CD245" s="168">
        <v>8.6474833042086877E-2</v>
      </c>
      <c r="CE245" s="168">
        <v>1.9842027369891104</v>
      </c>
      <c r="CF245" s="168">
        <v>34394.090687930329</v>
      </c>
      <c r="CG245" s="168">
        <v>85853.913388122703</v>
      </c>
      <c r="CH245" s="168">
        <v>169992.15851843907</v>
      </c>
      <c r="CI245" s="168">
        <v>139494.37528340463</v>
      </c>
      <c r="CJ245" s="168">
        <v>145121.74066630457</v>
      </c>
      <c r="CK245" s="168">
        <v>150086.00281474713</v>
      </c>
      <c r="CL245" s="168">
        <v>148610.8384647723</v>
      </c>
      <c r="CM245" s="168">
        <v>139887.26260342321</v>
      </c>
      <c r="CN245" s="168">
        <v>127656.42625780996</v>
      </c>
      <c r="CO245" s="168">
        <v>70131.413187482889</v>
      </c>
    </row>
    <row r="246" spans="1:93" x14ac:dyDescent="0.2">
      <c r="A246" s="118">
        <f t="shared" si="19"/>
        <v>12</v>
      </c>
      <c r="B246" s="234" t="s">
        <v>148</v>
      </c>
      <c r="C246" s="223"/>
      <c r="D246" s="168"/>
      <c r="E246" s="225"/>
      <c r="F246" s="183"/>
      <c r="G246" s="233"/>
      <c r="H246" s="174"/>
      <c r="I246" s="229"/>
      <c r="J246" s="168"/>
      <c r="K246" s="225"/>
      <c r="L246" s="183"/>
      <c r="M246" s="233"/>
      <c r="N246" s="174"/>
      <c r="O246" s="227"/>
      <c r="S246" s="227"/>
      <c r="T246" s="227"/>
      <c r="U246" s="184"/>
      <c r="V246" s="179"/>
      <c r="W246" s="180"/>
      <c r="Y246" s="184"/>
      <c r="Z246" s="181"/>
      <c r="AB246" s="182"/>
      <c r="AC246" s="182">
        <f t="shared" si="21"/>
        <v>0</v>
      </c>
      <c r="AD246" s="182">
        <f t="shared" si="22"/>
        <v>0</v>
      </c>
      <c r="AE246" s="182">
        <f t="shared" si="23"/>
        <v>0</v>
      </c>
      <c r="AF246" s="182">
        <f t="shared" si="24"/>
        <v>0</v>
      </c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  <c r="AT246" s="168"/>
      <c r="AU246" s="168"/>
      <c r="AV246" s="168"/>
      <c r="AW246" s="168"/>
      <c r="AX246" s="168"/>
      <c r="AY246" s="168"/>
      <c r="AZ246" s="168"/>
      <c r="BA246" s="168"/>
      <c r="BB246" s="168"/>
      <c r="BC246" s="168"/>
      <c r="BD246" s="168"/>
      <c r="BE246" s="168"/>
      <c r="BF246" s="168"/>
      <c r="BG246" s="168"/>
      <c r="BH246" s="168"/>
      <c r="BI246" s="168"/>
      <c r="BJ246" s="168"/>
      <c r="BK246" s="168"/>
      <c r="BL246" s="168"/>
      <c r="BM246" s="168"/>
      <c r="BN246" s="168"/>
      <c r="BO246" s="168"/>
      <c r="BP246" s="168"/>
      <c r="BQ246" s="168"/>
      <c r="BR246" s="168"/>
      <c r="BS246" s="168"/>
      <c r="BT246" s="168"/>
      <c r="BU246" s="168"/>
      <c r="BV246" s="168"/>
      <c r="BW246" s="168"/>
      <c r="BX246" s="168"/>
      <c r="BY246" s="168"/>
      <c r="BZ246" s="168"/>
      <c r="CA246" s="168"/>
      <c r="CB246" s="168"/>
      <c r="CC246" s="168"/>
      <c r="CD246" s="168"/>
      <c r="CE246" s="168"/>
      <c r="CF246" s="168"/>
      <c r="CG246" s="168"/>
      <c r="CH246" s="168"/>
      <c r="CI246" s="168"/>
      <c r="CJ246" s="168"/>
      <c r="CK246" s="168"/>
      <c r="CL246" s="168"/>
      <c r="CM246" s="168"/>
      <c r="CN246" s="168"/>
      <c r="CO246" s="168"/>
    </row>
    <row r="247" spans="1:93" x14ac:dyDescent="0.2">
      <c r="A247" s="118">
        <f t="shared" si="19"/>
        <v>13</v>
      </c>
      <c r="B247" s="243" t="s">
        <v>559</v>
      </c>
      <c r="C247" s="223"/>
      <c r="D247" s="172">
        <f>SUMIF($AH$8:$CP$8,1,$AH247:$CP247)+(SUM($AE$247:$AE$249)*'TOU Split'!D20)+'Unbilled to E-13c'!P64</f>
        <v>209726.5774331842</v>
      </c>
      <c r="E247" s="225" t="s">
        <v>555</v>
      </c>
      <c r="F247" s="183">
        <v>47.24</v>
      </c>
      <c r="G247" s="233" t="s">
        <v>375</v>
      </c>
      <c r="H247" s="174">
        <f>ROUND(D247*F247,2)</f>
        <v>9907483.5199999996</v>
      </c>
      <c r="I247" s="229"/>
      <c r="J247" s="172">
        <f t="shared" ref="J247:J249" si="26">D247</f>
        <v>209726.5774331842</v>
      </c>
      <c r="K247" s="225" t="s">
        <v>555</v>
      </c>
      <c r="L247" s="183">
        <f>L243</f>
        <v>49.98</v>
      </c>
      <c r="M247" s="233" t="s">
        <v>375</v>
      </c>
      <c r="N247" s="174">
        <f>ROUND(J247*L247,2)</f>
        <v>10482134.34</v>
      </c>
      <c r="O247" s="227"/>
      <c r="S247" s="227"/>
      <c r="T247" s="227"/>
      <c r="U247" s="184" t="s">
        <v>592</v>
      </c>
      <c r="V247" s="179">
        <v>245</v>
      </c>
      <c r="W247" s="180">
        <v>219</v>
      </c>
      <c r="Y247" s="184"/>
      <c r="Z247" s="181"/>
      <c r="AB247" s="182">
        <f>SUM(AH247:AS247)</f>
        <v>207289.39701007149</v>
      </c>
      <c r="AC247" s="182">
        <f t="shared" si="21"/>
        <v>207437.25831595281</v>
      </c>
      <c r="AD247" s="182">
        <f t="shared" si="22"/>
        <v>208570.77303261115</v>
      </c>
      <c r="AE247" s="182">
        <f t="shared" si="23"/>
        <v>209484.34243318421</v>
      </c>
      <c r="AF247" s="182">
        <f t="shared" si="24"/>
        <v>209823.4071783344</v>
      </c>
      <c r="AH247" s="168">
        <v>19367.159991962217</v>
      </c>
      <c r="AI247" s="168">
        <v>25606.830084347959</v>
      </c>
      <c r="AJ247" s="168">
        <v>35802.024868464483</v>
      </c>
      <c r="AK247" s="168">
        <v>14769.54198317378</v>
      </c>
      <c r="AL247" s="168">
        <v>11161.378123543114</v>
      </c>
      <c r="AM247" s="168">
        <v>12648.691752997085</v>
      </c>
      <c r="AN247" s="168">
        <v>17950.727815237457</v>
      </c>
      <c r="AO247" s="168">
        <v>12761.59162812425</v>
      </c>
      <c r="AP247" s="168">
        <v>14501.286973972123</v>
      </c>
      <c r="AQ247" s="168">
        <v>13235.018307148248</v>
      </c>
      <c r="AR247" s="168">
        <v>12363.182975708283</v>
      </c>
      <c r="AS247" s="168">
        <v>17121.962505392537</v>
      </c>
      <c r="AT247" s="168">
        <v>19065.384351722067</v>
      </c>
      <c r="AU247" s="168">
        <v>25410.653490957677</v>
      </c>
      <c r="AV247" s="168">
        <v>34941.302514111827</v>
      </c>
      <c r="AW247" s="168">
        <v>14825.516022383616</v>
      </c>
      <c r="AX247" s="168">
        <v>11086.016499209376</v>
      </c>
      <c r="AY247" s="168">
        <v>12372.520933291098</v>
      </c>
      <c r="AZ247" s="168">
        <v>18568.046178615765</v>
      </c>
      <c r="BA247" s="168">
        <v>12902.048191967386</v>
      </c>
      <c r="BB247" s="168">
        <v>14784.847193625603</v>
      </c>
      <c r="BC247" s="168">
        <v>13611.539971112141</v>
      </c>
      <c r="BD247" s="168">
        <v>12688.557060079787</v>
      </c>
      <c r="BE247" s="168">
        <v>17180.825908876464</v>
      </c>
      <c r="BF247" s="168">
        <v>18763.768158632309</v>
      </c>
      <c r="BG247" s="168">
        <v>25685.075064744167</v>
      </c>
      <c r="BH247" s="168">
        <v>35437.039271403235</v>
      </c>
      <c r="BI247" s="168">
        <v>14680.060046086768</v>
      </c>
      <c r="BJ247" s="168">
        <v>11140.38006563789</v>
      </c>
      <c r="BK247" s="168">
        <v>12607.986071083533</v>
      </c>
      <c r="BL247" s="168">
        <v>18716.149378961411</v>
      </c>
      <c r="BM247" s="168">
        <v>13041.156473934238</v>
      </c>
      <c r="BN247" s="168">
        <v>14841.397936924714</v>
      </c>
      <c r="BO247" s="168">
        <v>13468.906363688007</v>
      </c>
      <c r="BP247" s="168">
        <v>12638.36982365161</v>
      </c>
      <c r="BQ247" s="168">
        <v>17550.48437786326</v>
      </c>
      <c r="BR247" s="168">
        <v>18722.087853011832</v>
      </c>
      <c r="BS247" s="168">
        <v>25382.307352462642</v>
      </c>
      <c r="BT247" s="168">
        <v>35882.782356670832</v>
      </c>
      <c r="BU247" s="168">
        <v>14939.943588635027</v>
      </c>
      <c r="BV247" s="168">
        <v>10899.756783070125</v>
      </c>
      <c r="BW247" s="168">
        <v>12847.940372923449</v>
      </c>
      <c r="BX247" s="168">
        <v>19062.405833229383</v>
      </c>
      <c r="BY247" s="168">
        <v>13167.728395713601</v>
      </c>
      <c r="BZ247" s="168">
        <v>14912.990700196964</v>
      </c>
      <c r="CA247" s="168">
        <v>13623.874999970174</v>
      </c>
      <c r="CB247" s="168">
        <v>12707.517250615561</v>
      </c>
      <c r="CC247" s="168">
        <v>17335.006946684614</v>
      </c>
      <c r="CD247" s="168">
        <v>18849.80360054526</v>
      </c>
      <c r="CE247" s="168">
        <v>25136.937838811609</v>
      </c>
      <c r="CF247" s="168">
        <v>35090.434282984272</v>
      </c>
      <c r="CG247" s="168">
        <v>15250.329822645372</v>
      </c>
      <c r="CH247" s="168">
        <v>11195.12947732274</v>
      </c>
      <c r="CI247" s="168">
        <v>12705.070889535691</v>
      </c>
      <c r="CJ247" s="168">
        <v>19101.685425795178</v>
      </c>
      <c r="CK247" s="168">
        <v>13247.205950842772</v>
      </c>
      <c r="CL247" s="168">
        <v>15302.16270370995</v>
      </c>
      <c r="CM247" s="168">
        <v>13708.865951224034</v>
      </c>
      <c r="CN247" s="168">
        <v>12899.316254054353</v>
      </c>
      <c r="CO247" s="168">
        <v>17336.464980863209</v>
      </c>
    </row>
    <row r="248" spans="1:93" x14ac:dyDescent="0.2">
      <c r="A248" s="118">
        <f t="shared" si="19"/>
        <v>14</v>
      </c>
      <c r="B248" s="243" t="s">
        <v>560</v>
      </c>
      <c r="C248" s="223"/>
      <c r="D248" s="172">
        <f>SUMIF($AH$8:$CP$8,1,$AH248:$CP248)+(SUM($AE$247:$AE$249)*'TOU Split'!D21)+'Unbilled to E-13c'!P65</f>
        <v>1140402.0528034286</v>
      </c>
      <c r="E248" s="225" t="s">
        <v>555</v>
      </c>
      <c r="F248" s="183">
        <v>34.99</v>
      </c>
      <c r="G248" s="233" t="s">
        <v>375</v>
      </c>
      <c r="H248" s="174">
        <f>ROUND(D248*F248,2)</f>
        <v>39902667.829999998</v>
      </c>
      <c r="I248" s="229"/>
      <c r="J248" s="172">
        <f t="shared" si="26"/>
        <v>1140402.0528034286</v>
      </c>
      <c r="K248" s="225" t="s">
        <v>555</v>
      </c>
      <c r="L248" s="183">
        <f>L244</f>
        <v>35.700000000000003</v>
      </c>
      <c r="M248" s="233" t="s">
        <v>375</v>
      </c>
      <c r="N248" s="174">
        <f>ROUND(J248*L248,2)</f>
        <v>40712353.289999999</v>
      </c>
      <c r="O248" s="227"/>
      <c r="S248" s="263"/>
      <c r="T248" s="247"/>
      <c r="U248" s="184" t="s">
        <v>592</v>
      </c>
      <c r="V248" s="179">
        <v>245</v>
      </c>
      <c r="W248" s="180">
        <v>219</v>
      </c>
      <c r="Y248" s="184"/>
      <c r="Z248" s="181"/>
      <c r="AB248" s="182">
        <f>SUM(AH248:AS248)</f>
        <v>1159329.5279140726</v>
      </c>
      <c r="AC248" s="182">
        <f t="shared" si="21"/>
        <v>1165288.2600201133</v>
      </c>
      <c r="AD248" s="182">
        <f t="shared" si="22"/>
        <v>1171216.8534050847</v>
      </c>
      <c r="AE248" s="182">
        <f t="shared" si="23"/>
        <v>1178182.9628710411</v>
      </c>
      <c r="AF248" s="182">
        <f t="shared" si="24"/>
        <v>1183657.5115180467</v>
      </c>
      <c r="AH248" s="168">
        <v>62891.141199747981</v>
      </c>
      <c r="AI248" s="168">
        <v>83699.014781979044</v>
      </c>
      <c r="AJ248" s="168">
        <v>134791.57326740847</v>
      </c>
      <c r="AK248" s="168">
        <v>96843.13572684463</v>
      </c>
      <c r="AL248" s="168">
        <v>76431.721518596445</v>
      </c>
      <c r="AM248" s="168">
        <v>96017.836497530603</v>
      </c>
      <c r="AN248" s="168">
        <v>126574.07886619237</v>
      </c>
      <c r="AO248" s="168">
        <v>96700.608303883535</v>
      </c>
      <c r="AP248" s="168">
        <v>109937.70602899311</v>
      </c>
      <c r="AQ248" s="168">
        <v>99823.968931401076</v>
      </c>
      <c r="AR248" s="168">
        <v>89835.508552176398</v>
      </c>
      <c r="AS248" s="168">
        <v>85783.234239318786</v>
      </c>
      <c r="AT248" s="168">
        <v>61911.182630248666</v>
      </c>
      <c r="AU248" s="168">
        <v>83057.787908681363</v>
      </c>
      <c r="AV248" s="168">
        <v>131551.02693753273</v>
      </c>
      <c r="AW248" s="168">
        <v>97210.154655566526</v>
      </c>
      <c r="AX248" s="168">
        <v>75915.654540082818</v>
      </c>
      <c r="AY248" s="168">
        <v>93921.38849091086</v>
      </c>
      <c r="AZ248" s="168">
        <v>130926.9109082152</v>
      </c>
      <c r="BA248" s="168">
        <v>97764.914039382187</v>
      </c>
      <c r="BB248" s="168">
        <v>112087.4435057932</v>
      </c>
      <c r="BC248" s="168">
        <v>102663.85067642524</v>
      </c>
      <c r="BD248" s="168">
        <v>92199.798265969803</v>
      </c>
      <c r="BE248" s="168">
        <v>86078.147461304572</v>
      </c>
      <c r="BF248" s="168">
        <v>60931.741834819135</v>
      </c>
      <c r="BG248" s="168">
        <v>83954.767944288702</v>
      </c>
      <c r="BH248" s="168">
        <v>133417.43359154995</v>
      </c>
      <c r="BI248" s="168">
        <v>96256.407215676794</v>
      </c>
      <c r="BJ248" s="168">
        <v>76287.929444134046</v>
      </c>
      <c r="BK248" s="168">
        <v>95708.834461049657</v>
      </c>
      <c r="BL248" s="168">
        <v>131971.21542632906</v>
      </c>
      <c r="BM248" s="168">
        <v>98819.003206179928</v>
      </c>
      <c r="BN248" s="168">
        <v>112516.16814269593</v>
      </c>
      <c r="BO248" s="168">
        <v>101588.04915763244</v>
      </c>
      <c r="BP248" s="168">
        <v>91835.119047340413</v>
      </c>
      <c r="BQ248" s="168">
        <v>87930.183933388616</v>
      </c>
      <c r="BR248" s="168">
        <v>60796.393028534992</v>
      </c>
      <c r="BS248" s="168">
        <v>82965.135133734468</v>
      </c>
      <c r="BT248" s="168">
        <v>135095.61832990008</v>
      </c>
      <c r="BU248" s="168">
        <v>97960.450388636847</v>
      </c>
      <c r="BV248" s="168">
        <v>74640.171298093221</v>
      </c>
      <c r="BW248" s="168">
        <v>97530.358249506637</v>
      </c>
      <c r="BX248" s="168">
        <v>134412.73714074332</v>
      </c>
      <c r="BY248" s="168">
        <v>99778.098449698184</v>
      </c>
      <c r="BZ248" s="168">
        <v>113058.92991112071</v>
      </c>
      <c r="CA248" s="168">
        <v>102756.88655358963</v>
      </c>
      <c r="CB248" s="168">
        <v>92337.570097250966</v>
      </c>
      <c r="CC248" s="168">
        <v>86850.614290232203</v>
      </c>
      <c r="CD248" s="168">
        <v>61211.125447479724</v>
      </c>
      <c r="CE248" s="168">
        <v>82163.115263157917</v>
      </c>
      <c r="CF248" s="168">
        <v>132112.49534118644</v>
      </c>
      <c r="CG248" s="168">
        <v>99995.637141364365</v>
      </c>
      <c r="CH248" s="168">
        <v>76662.846568245892</v>
      </c>
      <c r="CI248" s="168">
        <v>96445.817732250231</v>
      </c>
      <c r="CJ248" s="168">
        <v>134689.70520011277</v>
      </c>
      <c r="CK248" s="168">
        <v>100380.33742987046</v>
      </c>
      <c r="CL248" s="168">
        <v>116009.33544365843</v>
      </c>
      <c r="CM248" s="168">
        <v>103397.92337579282</v>
      </c>
      <c r="CN248" s="168">
        <v>93731.253345940218</v>
      </c>
      <c r="CO248" s="168">
        <v>86857.919228987448</v>
      </c>
    </row>
    <row r="249" spans="1:93" x14ac:dyDescent="0.2">
      <c r="A249" s="118">
        <f t="shared" si="19"/>
        <v>15</v>
      </c>
      <c r="B249" s="243" t="s">
        <v>561</v>
      </c>
      <c r="C249" s="223"/>
      <c r="D249" s="172">
        <f>SUMIF($AH$8:$CP$8,1,$AH249:$CP249)+(SUM($AE$247:$AE$249)*'TOU Split'!D22)+'Unbilled to E-13c'!P66</f>
        <v>334617.68011558853</v>
      </c>
      <c r="E249" s="225" t="s">
        <v>555</v>
      </c>
      <c r="F249" s="183">
        <v>23.71</v>
      </c>
      <c r="G249" s="233" t="s">
        <v>375</v>
      </c>
      <c r="H249" s="174">
        <f>ROUND(D249*F249,2)</f>
        <v>7933785.2000000002</v>
      </c>
      <c r="I249" s="229"/>
      <c r="J249" s="172">
        <f t="shared" si="26"/>
        <v>334617.68011558853</v>
      </c>
      <c r="K249" s="225" t="s">
        <v>555</v>
      </c>
      <c r="L249" s="183">
        <f>L245</f>
        <v>24.16</v>
      </c>
      <c r="M249" s="233" t="s">
        <v>375</v>
      </c>
      <c r="N249" s="174">
        <f>ROUND(J249*L249,2)</f>
        <v>8084363.1500000004</v>
      </c>
      <c r="O249" s="227"/>
      <c r="R249" s="292"/>
      <c r="S249" s="263"/>
      <c r="T249" s="197"/>
      <c r="U249" s="184" t="s">
        <v>592</v>
      </c>
      <c r="V249" s="179">
        <v>245</v>
      </c>
      <c r="W249" s="180">
        <v>219</v>
      </c>
      <c r="Y249" s="184"/>
      <c r="Z249" s="181"/>
      <c r="AB249" s="182">
        <f>SUM(AH249:AS249)</f>
        <v>288684.25802575867</v>
      </c>
      <c r="AC249" s="182">
        <f t="shared" si="21"/>
        <v>291896.17196716357</v>
      </c>
      <c r="AD249" s="182">
        <f t="shared" si="22"/>
        <v>293336.13190090487</v>
      </c>
      <c r="AE249" s="182">
        <f t="shared" si="23"/>
        <v>295133.1140479758</v>
      </c>
      <c r="AF249" s="182">
        <f t="shared" si="24"/>
        <v>298018.06579560868</v>
      </c>
      <c r="AH249" s="168">
        <v>-2.7250766490196157E-3</v>
      </c>
      <c r="AI249" s="168">
        <v>0</v>
      </c>
      <c r="AJ249" s="168">
        <v>6328.6152555054023</v>
      </c>
      <c r="AK249" s="168">
        <v>18703.517231088848</v>
      </c>
      <c r="AL249" s="168">
        <v>39336.557279614906</v>
      </c>
      <c r="AM249" s="168">
        <v>32715.512637157342</v>
      </c>
      <c r="AN249" s="168">
        <v>40104.541684463227</v>
      </c>
      <c r="AO249" s="168">
        <v>32793.797424094118</v>
      </c>
      <c r="AP249" s="168">
        <v>36700.726258819996</v>
      </c>
      <c r="AQ249" s="168">
        <v>33948.534698971918</v>
      </c>
      <c r="AR249" s="168">
        <v>29909.158445507433</v>
      </c>
      <c r="AS249" s="168">
        <v>18143.299835612124</v>
      </c>
      <c r="AT249" s="168">
        <v>-2.6826149896538296E-3</v>
      </c>
      <c r="AU249" s="168">
        <v>0</v>
      </c>
      <c r="AV249" s="168">
        <v>6176.467977732048</v>
      </c>
      <c r="AW249" s="168">
        <v>18774.400363961038</v>
      </c>
      <c r="AX249" s="168">
        <v>39070.956847528854</v>
      </c>
      <c r="AY249" s="168">
        <v>32001.203986227934</v>
      </c>
      <c r="AZ249" s="168">
        <v>41483.720862684349</v>
      </c>
      <c r="BA249" s="168">
        <v>33154.73234787002</v>
      </c>
      <c r="BB249" s="168">
        <v>37418.377458887422</v>
      </c>
      <c r="BC249" s="168">
        <v>34914.333043738028</v>
      </c>
      <c r="BD249" s="168">
        <v>30696.307277863183</v>
      </c>
      <c r="BE249" s="168">
        <v>18205.674483285664</v>
      </c>
      <c r="BF249" s="168">
        <v>-2.6401757654673091E-3</v>
      </c>
      <c r="BG249" s="168">
        <v>0</v>
      </c>
      <c r="BH249" s="168">
        <v>6264.0978594618018</v>
      </c>
      <c r="BI249" s="168">
        <v>18590.201127306835</v>
      </c>
      <c r="BJ249" s="168">
        <v>39262.55286023167</v>
      </c>
      <c r="BK249" s="168">
        <v>32610.228448321664</v>
      </c>
      <c r="BL249" s="168">
        <v>41814.604993567453</v>
      </c>
      <c r="BM249" s="168">
        <v>33512.20255627107</v>
      </c>
      <c r="BN249" s="168">
        <v>37561.499469594368</v>
      </c>
      <c r="BO249" s="168">
        <v>34548.470159493838</v>
      </c>
      <c r="BP249" s="168">
        <v>30574.893722048164</v>
      </c>
      <c r="BQ249" s="168">
        <v>18597.38334478379</v>
      </c>
      <c r="BR249" s="168">
        <v>-2.634311094156828E-3</v>
      </c>
      <c r="BS249" s="168">
        <v>0</v>
      </c>
      <c r="BT249" s="168">
        <v>6342.8905115485095</v>
      </c>
      <c r="BU249" s="168">
        <v>18919.306547208504</v>
      </c>
      <c r="BV249" s="168">
        <v>38414.513179757952</v>
      </c>
      <c r="BW249" s="168">
        <v>33230.864016606727</v>
      </c>
      <c r="BX249" s="168">
        <v>42588.192368220698</v>
      </c>
      <c r="BY249" s="168">
        <v>33837.45775040087</v>
      </c>
      <c r="BZ249" s="168">
        <v>37742.69072604517</v>
      </c>
      <c r="CA249" s="168">
        <v>34945.973057033174</v>
      </c>
      <c r="CB249" s="168">
        <v>30742.175995005502</v>
      </c>
      <c r="CC249" s="168">
        <v>18369.052530459769</v>
      </c>
      <c r="CD249" s="168">
        <v>-2.6522814729557785E-3</v>
      </c>
      <c r="CE249" s="168">
        <v>0</v>
      </c>
      <c r="CF249" s="168">
        <v>6202.8295478117889</v>
      </c>
      <c r="CG249" s="168">
        <v>19312.36641884968</v>
      </c>
      <c r="CH249" s="168">
        <v>39455.508725083484</v>
      </c>
      <c r="CI249" s="168">
        <v>32861.335809222845</v>
      </c>
      <c r="CJ249" s="168">
        <v>42675.948701758687</v>
      </c>
      <c r="CK249" s="168">
        <v>34041.693312752228</v>
      </c>
      <c r="CL249" s="168">
        <v>38727.630558913967</v>
      </c>
      <c r="CM249" s="168">
        <v>35163.979423989382</v>
      </c>
      <c r="CN249" s="168">
        <v>31206.17841208633</v>
      </c>
      <c r="CO249" s="168">
        <v>18370.597537421712</v>
      </c>
    </row>
    <row r="250" spans="1:93" x14ac:dyDescent="0.2">
      <c r="A250" s="118">
        <f t="shared" si="19"/>
        <v>16</v>
      </c>
      <c r="B250" s="234" t="s">
        <v>216</v>
      </c>
      <c r="C250" s="223"/>
      <c r="D250" s="168"/>
      <c r="E250" s="225"/>
      <c r="F250" s="183"/>
      <c r="G250" s="233"/>
      <c r="H250" s="174"/>
      <c r="I250" s="229"/>
      <c r="J250" s="168"/>
      <c r="K250" s="225"/>
      <c r="L250" s="183"/>
      <c r="M250" s="233"/>
      <c r="N250" s="174"/>
      <c r="O250" s="227"/>
      <c r="R250" s="292"/>
      <c r="S250" s="263"/>
      <c r="T250" s="197"/>
      <c r="U250" s="184"/>
      <c r="V250" s="179"/>
      <c r="W250" s="180"/>
      <c r="Y250" s="184"/>
      <c r="Z250" s="181"/>
      <c r="AB250" s="182"/>
      <c r="AC250" s="182">
        <f t="shared" si="21"/>
        <v>0</v>
      </c>
      <c r="AD250" s="182">
        <f t="shared" si="22"/>
        <v>0</v>
      </c>
      <c r="AE250" s="182">
        <f t="shared" si="23"/>
        <v>0</v>
      </c>
      <c r="AF250" s="182">
        <f t="shared" si="24"/>
        <v>0</v>
      </c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  <c r="AT250" s="168"/>
      <c r="AU250" s="168"/>
      <c r="AV250" s="168"/>
      <c r="AW250" s="168"/>
      <c r="AX250" s="168"/>
      <c r="AY250" s="168"/>
      <c r="AZ250" s="168"/>
      <c r="BA250" s="168"/>
      <c r="BB250" s="168"/>
      <c r="BC250" s="168"/>
      <c r="BD250" s="168"/>
      <c r="BE250" s="168"/>
      <c r="BF250" s="168"/>
      <c r="BG250" s="168"/>
      <c r="BH250" s="168"/>
      <c r="BI250" s="168"/>
      <c r="BJ250" s="168"/>
      <c r="BK250" s="168"/>
      <c r="BL250" s="168"/>
      <c r="BM250" s="168"/>
      <c r="BN250" s="168"/>
      <c r="BO250" s="168"/>
      <c r="BP250" s="168"/>
      <c r="BQ250" s="168"/>
      <c r="BR250" s="168"/>
      <c r="BS250" s="168"/>
      <c r="BT250" s="168"/>
      <c r="BU250" s="168"/>
      <c r="BV250" s="168"/>
      <c r="BW250" s="168"/>
      <c r="BX250" s="168"/>
      <c r="BY250" s="168"/>
      <c r="BZ250" s="168"/>
      <c r="CA250" s="168"/>
      <c r="CB250" s="168"/>
      <c r="CC250" s="168"/>
      <c r="CD250" s="168"/>
      <c r="CE250" s="168"/>
      <c r="CF250" s="168"/>
      <c r="CG250" s="168"/>
      <c r="CH250" s="168"/>
      <c r="CI250" s="168"/>
      <c r="CJ250" s="168"/>
      <c r="CK250" s="168"/>
      <c r="CL250" s="168"/>
      <c r="CM250" s="168"/>
      <c r="CN250" s="168"/>
      <c r="CO250" s="168"/>
    </row>
    <row r="251" spans="1:93" x14ac:dyDescent="0.2">
      <c r="A251" s="118">
        <f t="shared" si="19"/>
        <v>17</v>
      </c>
      <c r="B251" s="243" t="s">
        <v>559</v>
      </c>
      <c r="C251" s="223"/>
      <c r="D251" s="172">
        <f>SUMIF($AH$8:$CP$8,1,$AH251:$CP251)+(SUM($AE$251:$AE$253)*'TOU Split'!D20)+'Unbilled to E-13c'!P67</f>
        <v>55259.391266313934</v>
      </c>
      <c r="E251" s="225" t="s">
        <v>555</v>
      </c>
      <c r="F251" s="183">
        <v>47.24</v>
      </c>
      <c r="G251" s="233" t="s">
        <v>375</v>
      </c>
      <c r="H251" s="174">
        <f>ROUND(D251*F251,2)</f>
        <v>2610453.64</v>
      </c>
      <c r="I251" s="229"/>
      <c r="J251" s="172">
        <f t="shared" ref="J251:J253" si="27">D251</f>
        <v>55259.391266313934</v>
      </c>
      <c r="K251" s="225" t="s">
        <v>555</v>
      </c>
      <c r="L251" s="183">
        <f>L243</f>
        <v>49.98</v>
      </c>
      <c r="M251" s="233" t="s">
        <v>375</v>
      </c>
      <c r="N251" s="174">
        <f>ROUND(J251*L251,2)</f>
        <v>2761864.38</v>
      </c>
      <c r="O251" s="227"/>
      <c r="S251" s="263"/>
      <c r="T251" s="927"/>
      <c r="U251" s="184" t="s">
        <v>592</v>
      </c>
      <c r="V251" s="179">
        <v>245</v>
      </c>
      <c r="W251" s="180">
        <v>219</v>
      </c>
      <c r="Y251" s="184"/>
      <c r="Z251" s="181"/>
      <c r="AB251" s="182">
        <f>SUM(AH251:AS251)</f>
        <v>54299.468659302205</v>
      </c>
      <c r="AC251" s="182">
        <f t="shared" si="21"/>
        <v>54343.855362911927</v>
      </c>
      <c r="AD251" s="182">
        <f t="shared" si="22"/>
        <v>54741.82418155537</v>
      </c>
      <c r="AE251" s="182">
        <f t="shared" si="23"/>
        <v>55195.566266313937</v>
      </c>
      <c r="AF251" s="182">
        <f t="shared" si="24"/>
        <v>55222.784194779044</v>
      </c>
      <c r="AH251" s="168">
        <v>0</v>
      </c>
      <c r="AI251" s="168">
        <v>0</v>
      </c>
      <c r="AJ251" s="168">
        <v>16490.300877556881</v>
      </c>
      <c r="AK251" s="168">
        <v>4275.3190912032487</v>
      </c>
      <c r="AL251" s="168">
        <v>3606.8894872414294</v>
      </c>
      <c r="AM251" s="168">
        <v>4142.581601243287</v>
      </c>
      <c r="AN251" s="168">
        <v>4324.3260010070599</v>
      </c>
      <c r="AO251" s="168">
        <v>3994.6290309038682</v>
      </c>
      <c r="AP251" s="168">
        <v>4534.4793449155568</v>
      </c>
      <c r="AQ251" s="168">
        <v>4513.9835840413753</v>
      </c>
      <c r="AR251" s="168">
        <v>4402.6398236985669</v>
      </c>
      <c r="AS251" s="168">
        <v>4014.3198174909353</v>
      </c>
      <c r="AT251" s="168">
        <v>0</v>
      </c>
      <c r="AU251" s="168">
        <v>0</v>
      </c>
      <c r="AV251" s="168">
        <v>16093.854848387826</v>
      </c>
      <c r="AW251" s="168">
        <v>4291.5218196777132</v>
      </c>
      <c r="AX251" s="168">
        <v>3582.5357696680203</v>
      </c>
      <c r="AY251" s="168">
        <v>4052.1327090688669</v>
      </c>
      <c r="AZ251" s="168">
        <v>4473.0378458488021</v>
      </c>
      <c r="BA251" s="168">
        <v>4038.5946963050619</v>
      </c>
      <c r="BB251" s="168">
        <v>4623.1471963528984</v>
      </c>
      <c r="BC251" s="168">
        <v>4642.4014351335036</v>
      </c>
      <c r="BD251" s="168">
        <v>4518.5084397554592</v>
      </c>
      <c r="BE251" s="168">
        <v>4028.1206027137778</v>
      </c>
      <c r="BF251" s="168">
        <v>0</v>
      </c>
      <c r="BG251" s="168">
        <v>0</v>
      </c>
      <c r="BH251" s="168">
        <v>16322.189651065439</v>
      </c>
      <c r="BI251" s="168">
        <v>4249.416877418842</v>
      </c>
      <c r="BJ251" s="168">
        <v>3600.1037952352526</v>
      </c>
      <c r="BK251" s="168">
        <v>4129.2500557954199</v>
      </c>
      <c r="BL251" s="168">
        <v>4508.7158710898393</v>
      </c>
      <c r="BM251" s="168">
        <v>4082.1383229761518</v>
      </c>
      <c r="BN251" s="168">
        <v>4640.8303287458839</v>
      </c>
      <c r="BO251" s="168">
        <v>4593.7542971014091</v>
      </c>
      <c r="BP251" s="168">
        <v>4500.6363168422731</v>
      </c>
      <c r="BQ251" s="168">
        <v>4114.7886652848592</v>
      </c>
      <c r="BR251" s="168">
        <v>0</v>
      </c>
      <c r="BS251" s="168">
        <v>0</v>
      </c>
      <c r="BT251" s="168">
        <v>16527.497524493225</v>
      </c>
      <c r="BU251" s="168">
        <v>4324.6450105736767</v>
      </c>
      <c r="BV251" s="168">
        <v>3522.3444380418518</v>
      </c>
      <c r="BW251" s="168">
        <v>4207.8376516790559</v>
      </c>
      <c r="BX251" s="168">
        <v>4592.128967406552</v>
      </c>
      <c r="BY251" s="168">
        <v>4121.7578224845738</v>
      </c>
      <c r="BZ251" s="168">
        <v>4663.2170249671335</v>
      </c>
      <c r="CA251" s="168">
        <v>4646.608465035667</v>
      </c>
      <c r="CB251" s="168">
        <v>4525.2603328627374</v>
      </c>
      <c r="CC251" s="168">
        <v>4064.2690287694741</v>
      </c>
      <c r="CD251" s="168">
        <v>0</v>
      </c>
      <c r="CE251" s="168">
        <v>0</v>
      </c>
      <c r="CF251" s="168">
        <v>16162.544475528863</v>
      </c>
      <c r="CG251" s="168">
        <v>4414.4920886633618</v>
      </c>
      <c r="CH251" s="168">
        <v>3617.7965098134109</v>
      </c>
      <c r="CI251" s="168">
        <v>4161.0463704288795</v>
      </c>
      <c r="CJ251" s="168">
        <v>4601.5914117814864</v>
      </c>
      <c r="CK251" s="168">
        <v>4146.6358595097181</v>
      </c>
      <c r="CL251" s="168">
        <v>4784.9091488949207</v>
      </c>
      <c r="CM251" s="168">
        <v>4675.5957886531014</v>
      </c>
      <c r="CN251" s="168">
        <v>4593.561670175669</v>
      </c>
      <c r="CO251" s="168">
        <v>4064.6108713296289</v>
      </c>
    </row>
    <row r="252" spans="1:93" x14ac:dyDescent="0.2">
      <c r="A252" s="118">
        <f t="shared" si="19"/>
        <v>18</v>
      </c>
      <c r="B252" s="243" t="s">
        <v>560</v>
      </c>
      <c r="C252" s="223"/>
      <c r="D252" s="172">
        <f>SUMIF($AH$8:$CP$8,1,$AH252:$CP252)+(SUM($AE$251:$AE$253)*'TOU Split'!D21)+'Unbilled to E-13c'!P68</f>
        <v>330314.50038498268</v>
      </c>
      <c r="E252" s="225" t="s">
        <v>555</v>
      </c>
      <c r="F252" s="183">
        <v>34.99</v>
      </c>
      <c r="G252" s="233" t="s">
        <v>375</v>
      </c>
      <c r="H252" s="174">
        <f>ROUND(D252*F252,2)</f>
        <v>11557704.369999999</v>
      </c>
      <c r="I252" s="229"/>
      <c r="J252" s="172">
        <f t="shared" si="27"/>
        <v>330314.50038498268</v>
      </c>
      <c r="K252" s="225" t="s">
        <v>555</v>
      </c>
      <c r="L252" s="183">
        <f>L244</f>
        <v>35.700000000000003</v>
      </c>
      <c r="M252" s="233" t="s">
        <v>375</v>
      </c>
      <c r="N252" s="174">
        <f>ROUND(J252*L252,2)</f>
        <v>11792227.66</v>
      </c>
      <c r="O252" s="227"/>
      <c r="S252" s="227"/>
      <c r="T252" s="227"/>
      <c r="U252" s="184" t="s">
        <v>592</v>
      </c>
      <c r="V252" s="179">
        <v>245</v>
      </c>
      <c r="W252" s="180">
        <v>219</v>
      </c>
      <c r="Y252" s="184"/>
      <c r="Z252" s="181"/>
      <c r="AB252" s="182">
        <f>SUM(AH252:AS252)</f>
        <v>334658.5972449134</v>
      </c>
      <c r="AC252" s="182">
        <f t="shared" si="21"/>
        <v>336659.24135069764</v>
      </c>
      <c r="AD252" s="182">
        <f t="shared" si="22"/>
        <v>338607.83822187834</v>
      </c>
      <c r="AE252" s="182">
        <f t="shared" si="23"/>
        <v>341251.19631391857</v>
      </c>
      <c r="AF252" s="182">
        <f t="shared" si="24"/>
        <v>342885.00655063661</v>
      </c>
      <c r="AH252" s="168">
        <v>0</v>
      </c>
      <c r="AI252" s="168">
        <v>0</v>
      </c>
      <c r="AJ252" s="168">
        <v>55829.443020369166</v>
      </c>
      <c r="AK252" s="168">
        <v>29889.036392984592</v>
      </c>
      <c r="AL252" s="168">
        <v>26175.275314910348</v>
      </c>
      <c r="AM252" s="168">
        <v>31105.662179805811</v>
      </c>
      <c r="AN252" s="168">
        <v>32014.7318842565</v>
      </c>
      <c r="AO252" s="168">
        <v>32522.307926356036</v>
      </c>
      <c r="AP252" s="168">
        <v>32971.184329150841</v>
      </c>
      <c r="AQ252" s="168">
        <v>36440.248310626463</v>
      </c>
      <c r="AR252" s="168">
        <v>32636.990385209156</v>
      </c>
      <c r="AS252" s="168">
        <v>25073.71750124446</v>
      </c>
      <c r="AT252" s="168">
        <v>0</v>
      </c>
      <c r="AU252" s="168">
        <v>0</v>
      </c>
      <c r="AV252" s="168">
        <v>54487.238220075393</v>
      </c>
      <c r="AW252" s="168">
        <v>30002.310731275582</v>
      </c>
      <c r="AX252" s="168">
        <v>25998.53985775802</v>
      </c>
      <c r="AY252" s="168">
        <v>30426.502912630294</v>
      </c>
      <c r="AZ252" s="168">
        <v>33115.705733016475</v>
      </c>
      <c r="BA252" s="168">
        <v>32880.254783824603</v>
      </c>
      <c r="BB252" s="168">
        <v>33615.907538021209</v>
      </c>
      <c r="BC252" s="168">
        <v>37476.933157655651</v>
      </c>
      <c r="BD252" s="168">
        <v>33495.930262107693</v>
      </c>
      <c r="BE252" s="168">
        <v>25159.918154332736</v>
      </c>
      <c r="BF252" s="168">
        <v>0</v>
      </c>
      <c r="BG252" s="168">
        <v>0</v>
      </c>
      <c r="BH252" s="168">
        <v>55260.286871540964</v>
      </c>
      <c r="BI252" s="168">
        <v>29707.952316230188</v>
      </c>
      <c r="BJ252" s="168">
        <v>26126.031400703338</v>
      </c>
      <c r="BK252" s="168">
        <v>31005.558768707855</v>
      </c>
      <c r="BL252" s="168">
        <v>33379.84456343433</v>
      </c>
      <c r="BM252" s="168">
        <v>33234.765609203307</v>
      </c>
      <c r="BN252" s="168">
        <v>33744.485434908012</v>
      </c>
      <c r="BO252" s="168">
        <v>37084.217110623918</v>
      </c>
      <c r="BP252" s="168">
        <v>33363.443316311859</v>
      </c>
      <c r="BQ252" s="168">
        <v>25701.252830214569</v>
      </c>
      <c r="BR252" s="168">
        <v>0</v>
      </c>
      <c r="BS252" s="168">
        <v>0</v>
      </c>
      <c r="BT252" s="168">
        <v>55955.375718389711</v>
      </c>
      <c r="BU252" s="168">
        <v>30233.877132992409</v>
      </c>
      <c r="BV252" s="168">
        <v>25561.73005738595</v>
      </c>
      <c r="BW252" s="168">
        <v>31595.654376805425</v>
      </c>
      <c r="BX252" s="168">
        <v>33997.385404155713</v>
      </c>
      <c r="BY252" s="168">
        <v>33557.328118245467</v>
      </c>
      <c r="BZ252" s="168">
        <v>33907.263966132152</v>
      </c>
      <c r="CA252" s="168">
        <v>37510.895446492286</v>
      </c>
      <c r="CB252" s="168">
        <v>33545.982385208488</v>
      </c>
      <c r="CC252" s="168">
        <v>25385.703708110977</v>
      </c>
      <c r="CD252" s="168">
        <v>0</v>
      </c>
      <c r="CE252" s="168">
        <v>0</v>
      </c>
      <c r="CF252" s="168">
        <v>54719.79332340767</v>
      </c>
      <c r="CG252" s="168">
        <v>30862.003953362713</v>
      </c>
      <c r="CH252" s="168">
        <v>26254.427814507973</v>
      </c>
      <c r="CI252" s="168">
        <v>31244.309749800032</v>
      </c>
      <c r="CJ252" s="168">
        <v>34067.439701533534</v>
      </c>
      <c r="CK252" s="168">
        <v>33759.87287884167</v>
      </c>
      <c r="CL252" s="168">
        <v>34792.113834050921</v>
      </c>
      <c r="CM252" s="168">
        <v>37744.902781878765</v>
      </c>
      <c r="CN252" s="168">
        <v>34052.303633015297</v>
      </c>
      <c r="CO252" s="168">
        <v>25387.838880237992</v>
      </c>
    </row>
    <row r="253" spans="1:93" x14ac:dyDescent="0.2">
      <c r="A253" s="118">
        <f t="shared" si="19"/>
        <v>19</v>
      </c>
      <c r="B253" s="243" t="s">
        <v>561</v>
      </c>
      <c r="C253" s="223"/>
      <c r="D253" s="172">
        <f>SUMIF($AH$8:$CP$8,1,$AH253:$CP253)+(SUM($AE$251:$AE$253)*'TOU Split'!D22)+'Unbilled to E-13c'!P69</f>
        <v>102130.62177030263</v>
      </c>
      <c r="E253" s="225" t="s">
        <v>555</v>
      </c>
      <c r="F253" s="183">
        <v>23.71</v>
      </c>
      <c r="G253" s="233" t="s">
        <v>375</v>
      </c>
      <c r="H253" s="174">
        <f>ROUND(D253*F253,2)</f>
        <v>2421517.04</v>
      </c>
      <c r="I253" s="229"/>
      <c r="J253" s="172">
        <f t="shared" si="27"/>
        <v>102130.62177030263</v>
      </c>
      <c r="K253" s="225" t="s">
        <v>555</v>
      </c>
      <c r="L253" s="183">
        <f>L245</f>
        <v>24.16</v>
      </c>
      <c r="M253" s="233" t="s">
        <v>375</v>
      </c>
      <c r="N253" s="174">
        <f>ROUND(J253*L253,2)</f>
        <v>2467475.8199999998</v>
      </c>
      <c r="O253" s="227"/>
      <c r="P253" s="1226"/>
      <c r="S253" s="263"/>
      <c r="T253" s="247"/>
      <c r="U253" s="184" t="s">
        <v>592</v>
      </c>
      <c r="V253" s="179">
        <v>245</v>
      </c>
      <c r="W253" s="180">
        <v>219</v>
      </c>
      <c r="Y253" s="184"/>
      <c r="Z253" s="181"/>
      <c r="AB253" s="182">
        <f>SUM(AH253:AS253)</f>
        <v>88709.439760522364</v>
      </c>
      <c r="AC253" s="182">
        <f t="shared" si="21"/>
        <v>89754.266585272213</v>
      </c>
      <c r="AD253" s="182">
        <f t="shared" si="22"/>
        <v>90168.177700249915</v>
      </c>
      <c r="AE253" s="182">
        <f t="shared" si="23"/>
        <v>90694.452841366772</v>
      </c>
      <c r="AF253" s="182">
        <f t="shared" si="24"/>
        <v>91615.833091779059</v>
      </c>
      <c r="AH253" s="168">
        <v>0</v>
      </c>
      <c r="AI253" s="168">
        <v>0</v>
      </c>
      <c r="AJ253" s="168">
        <v>171.45137619786962</v>
      </c>
      <c r="AK253" s="168">
        <v>6059.3206623408778</v>
      </c>
      <c r="AL253" s="168">
        <v>11222.817586080659</v>
      </c>
      <c r="AM253" s="168">
        <v>10106.349901664371</v>
      </c>
      <c r="AN253" s="168">
        <v>10536.46842672646</v>
      </c>
      <c r="AO253" s="168">
        <v>10592.658356899252</v>
      </c>
      <c r="AP253" s="168">
        <v>10694.622297198426</v>
      </c>
      <c r="AQ253" s="168">
        <v>11713.310981471352</v>
      </c>
      <c r="AR253" s="168">
        <v>10515.187393216207</v>
      </c>
      <c r="AS253" s="168">
        <v>7097.2527787268873</v>
      </c>
      <c r="AT253" s="168">
        <v>0</v>
      </c>
      <c r="AU253" s="168">
        <v>0</v>
      </c>
      <c r="AV253" s="168">
        <v>167.32948553050628</v>
      </c>
      <c r="AW253" s="168">
        <v>6082.2844517884578</v>
      </c>
      <c r="AX253" s="168">
        <v>11147.041122500032</v>
      </c>
      <c r="AY253" s="168">
        <v>9885.6884300211204</v>
      </c>
      <c r="AZ253" s="168">
        <v>10898.813369612442</v>
      </c>
      <c r="BA253" s="168">
        <v>10709.243218578689</v>
      </c>
      <c r="BB253" s="168">
        <v>10903.746456533223</v>
      </c>
      <c r="BC253" s="168">
        <v>12046.541751457376</v>
      </c>
      <c r="BD253" s="168">
        <v>10791.925954538559</v>
      </c>
      <c r="BE253" s="168">
        <v>7121.6523447118052</v>
      </c>
      <c r="BF253" s="168">
        <v>0</v>
      </c>
      <c r="BG253" s="168">
        <v>0</v>
      </c>
      <c r="BH253" s="168">
        <v>169.70350626206402</v>
      </c>
      <c r="BI253" s="168">
        <v>6022.609994473497</v>
      </c>
      <c r="BJ253" s="168">
        <v>11201.703941249001</v>
      </c>
      <c r="BK253" s="168">
        <v>10073.825916382908</v>
      </c>
      <c r="BL253" s="168">
        <v>10985.744925279749</v>
      </c>
      <c r="BM253" s="168">
        <v>10824.708949533648</v>
      </c>
      <c r="BN253" s="168">
        <v>10945.452330039161</v>
      </c>
      <c r="BO253" s="168">
        <v>11920.307562626247</v>
      </c>
      <c r="BP253" s="168">
        <v>10749.24049102752</v>
      </c>
      <c r="BQ253" s="168">
        <v>7274.8800833761206</v>
      </c>
      <c r="BR253" s="168">
        <v>0</v>
      </c>
      <c r="BS253" s="168">
        <v>0</v>
      </c>
      <c r="BT253" s="168">
        <v>171.83811361124589</v>
      </c>
      <c r="BU253" s="168">
        <v>6129.2292600511964</v>
      </c>
      <c r="BV253" s="168">
        <v>10959.75611210721</v>
      </c>
      <c r="BW253" s="168">
        <v>10265.550260857441</v>
      </c>
      <c r="BX253" s="168">
        <v>11188.985720611063</v>
      </c>
      <c r="BY253" s="168">
        <v>10929.768973710434</v>
      </c>
      <c r="BZ253" s="168">
        <v>10998.251613563705</v>
      </c>
      <c r="CA253" s="168">
        <v>12057.458550031164</v>
      </c>
      <c r="CB253" s="168">
        <v>10808.052057087272</v>
      </c>
      <c r="CC253" s="168">
        <v>7185.5621797360482</v>
      </c>
      <c r="CD253" s="168">
        <v>0</v>
      </c>
      <c r="CE253" s="168">
        <v>0</v>
      </c>
      <c r="CF253" s="168">
        <v>168.04365874003679</v>
      </c>
      <c r="CG253" s="168">
        <v>6256.567651667383</v>
      </c>
      <c r="CH253" s="168">
        <v>11256.754729196797</v>
      </c>
      <c r="CI253" s="168">
        <v>10151.397033189087</v>
      </c>
      <c r="CJ253" s="168">
        <v>11212.041509275683</v>
      </c>
      <c r="CK253" s="168">
        <v>10995.738690737704</v>
      </c>
      <c r="CL253" s="168">
        <v>11285.26390383047</v>
      </c>
      <c r="CM253" s="168">
        <v>12132.67759541094</v>
      </c>
      <c r="CN253" s="168">
        <v>10971.181767854614</v>
      </c>
      <c r="CO253" s="168">
        <v>7186.1665518763502</v>
      </c>
    </row>
    <row r="254" spans="1:93" x14ac:dyDescent="0.2">
      <c r="A254" s="118">
        <f t="shared" si="19"/>
        <v>20</v>
      </c>
      <c r="B254" s="243"/>
      <c r="C254" s="223" t="s">
        <v>374</v>
      </c>
      <c r="D254" s="204">
        <f>SUM(D238:D253)</f>
        <v>13237852.489596879</v>
      </c>
      <c r="E254" s="233" t="s">
        <v>606</v>
      </c>
      <c r="F254" s="183"/>
      <c r="G254" s="223"/>
      <c r="H254" s="206">
        <f>SUM(H238:H253)</f>
        <v>473988188.66000003</v>
      </c>
      <c r="I254" s="229"/>
      <c r="J254" s="204">
        <f>SUM(J238:J253)</f>
        <v>13237852.489596879</v>
      </c>
      <c r="K254" s="233" t="s">
        <v>606</v>
      </c>
      <c r="L254" s="183"/>
      <c r="M254" s="223"/>
      <c r="N254" s="206">
        <f>SUM(N238:N253)</f>
        <v>486611659.23000002</v>
      </c>
      <c r="O254" s="227"/>
      <c r="Q254" s="1022"/>
      <c r="S254" s="263"/>
      <c r="T254" s="197"/>
      <c r="U254" s="184"/>
      <c r="V254" s="179"/>
      <c r="W254" s="180"/>
      <c r="Y254" s="184" t="s">
        <v>122</v>
      </c>
      <c r="Z254" s="181" t="s">
        <v>141</v>
      </c>
      <c r="AB254" s="204">
        <f>SUM(AB238:AB253)</f>
        <v>13030474.122459764</v>
      </c>
      <c r="AC254" s="204">
        <f>SUM(AC238:AC253)</f>
        <v>13098761.041709008</v>
      </c>
      <c r="AD254" s="204">
        <f>SUM(AD238:AD253)</f>
        <v>13157028.673798187</v>
      </c>
      <c r="AE254" s="204">
        <f>SUM(AE238:AE253)</f>
        <v>13222562.719596881</v>
      </c>
      <c r="AF254" s="204">
        <f>SUM(AF238:AF253)</f>
        <v>13302091.599242937</v>
      </c>
      <c r="AH254" s="204">
        <f t="shared" ref="AH254:CO254" si="28">SUM(AH238:AH253)</f>
        <v>973432.00963717175</v>
      </c>
      <c r="AI254" s="204">
        <f t="shared" si="28"/>
        <v>919681.0896045547</v>
      </c>
      <c r="AJ254" s="204">
        <f t="shared" si="28"/>
        <v>980454.78619387711</v>
      </c>
      <c r="AK254" s="204">
        <f t="shared" si="28"/>
        <v>1000364.2815299539</v>
      </c>
      <c r="AL254" s="204">
        <f t="shared" si="28"/>
        <v>1085133.8837078668</v>
      </c>
      <c r="AM254" s="204">
        <f t="shared" si="28"/>
        <v>1199591.9284331691</v>
      </c>
      <c r="AN254" s="204">
        <f t="shared" si="28"/>
        <v>1213469.4841356666</v>
      </c>
      <c r="AO254" s="204">
        <f t="shared" si="28"/>
        <v>1244714.600242567</v>
      </c>
      <c r="AP254" s="204">
        <f t="shared" si="28"/>
        <v>1232034.2868711259</v>
      </c>
      <c r="AQ254" s="204">
        <f t="shared" si="28"/>
        <v>1166261.7071141084</v>
      </c>
      <c r="AR254" s="204">
        <f t="shared" si="28"/>
        <v>1056385.8657173291</v>
      </c>
      <c r="AS254" s="204">
        <f t="shared" si="28"/>
        <v>958950.19927237148</v>
      </c>
      <c r="AT254" s="204">
        <f t="shared" si="28"/>
        <v>958264.16530375218</v>
      </c>
      <c r="AU254" s="204">
        <f t="shared" si="28"/>
        <v>912635.31695054832</v>
      </c>
      <c r="AV254" s="204">
        <f t="shared" si="28"/>
        <v>956883.5118034035</v>
      </c>
      <c r="AW254" s="204">
        <f t="shared" si="28"/>
        <v>1004155.4911410753</v>
      </c>
      <c r="AX254" s="204">
        <f t="shared" si="28"/>
        <v>1077807.059798613</v>
      </c>
      <c r="AY254" s="204">
        <f t="shared" si="28"/>
        <v>1173400.1061753789</v>
      </c>
      <c r="AZ254" s="204">
        <f t="shared" si="28"/>
        <v>1255200.2152606903</v>
      </c>
      <c r="BA254" s="204">
        <f t="shared" si="28"/>
        <v>1258414.1716447861</v>
      </c>
      <c r="BB254" s="204">
        <f t="shared" si="28"/>
        <v>1256125.6598391139</v>
      </c>
      <c r="BC254" s="204">
        <f t="shared" si="28"/>
        <v>1199440.5655326722</v>
      </c>
      <c r="BD254" s="204">
        <f t="shared" si="28"/>
        <v>1084187.8148170174</v>
      </c>
      <c r="BE254" s="204">
        <f t="shared" si="28"/>
        <v>962246.96344195667</v>
      </c>
      <c r="BF254" s="204">
        <f t="shared" si="28"/>
        <v>943104.33510147512</v>
      </c>
      <c r="BG254" s="204">
        <f t="shared" si="28"/>
        <v>922491.29409256973</v>
      </c>
      <c r="BH254" s="204">
        <f t="shared" si="28"/>
        <v>970459.48908860807</v>
      </c>
      <c r="BI254" s="204">
        <f t="shared" si="28"/>
        <v>994303.52935456904</v>
      </c>
      <c r="BJ254" s="204">
        <f t="shared" si="28"/>
        <v>1083092.4060450899</v>
      </c>
      <c r="BK254" s="204">
        <f t="shared" si="28"/>
        <v>1195731.4337339213</v>
      </c>
      <c r="BL254" s="204">
        <f t="shared" si="28"/>
        <v>1265211.9939457702</v>
      </c>
      <c r="BM254" s="204">
        <f t="shared" si="28"/>
        <v>1271982.2370260048</v>
      </c>
      <c r="BN254" s="204">
        <f t="shared" si="28"/>
        <v>1260930.2302760414</v>
      </c>
      <c r="BO254" s="204">
        <f t="shared" si="28"/>
        <v>1186871.7794059108</v>
      </c>
      <c r="BP254" s="204">
        <f t="shared" si="28"/>
        <v>1079899.5108012708</v>
      </c>
      <c r="BQ254" s="204">
        <f t="shared" si="28"/>
        <v>982950.43492695538</v>
      </c>
      <c r="BR254" s="204">
        <f t="shared" si="28"/>
        <v>941009.39998041082</v>
      </c>
      <c r="BS254" s="204">
        <f t="shared" si="28"/>
        <v>911617.25233843795</v>
      </c>
      <c r="BT254" s="204">
        <f t="shared" si="28"/>
        <v>982666.36685513321</v>
      </c>
      <c r="BU254" s="204">
        <f t="shared" si="28"/>
        <v>1011905.8499694483</v>
      </c>
      <c r="BV254" s="204">
        <f t="shared" si="28"/>
        <v>1059698.4779626317</v>
      </c>
      <c r="BW254" s="204">
        <f t="shared" si="28"/>
        <v>1218488.5100625283</v>
      </c>
      <c r="BX254" s="204">
        <f t="shared" si="28"/>
        <v>1288618.9357290748</v>
      </c>
      <c r="BY254" s="204">
        <f t="shared" si="28"/>
        <v>1284327.5559807601</v>
      </c>
      <c r="BZ254" s="204">
        <f t="shared" si="28"/>
        <v>1267012.7758598635</v>
      </c>
      <c r="CA254" s="204">
        <f t="shared" si="28"/>
        <v>1200527.520720751</v>
      </c>
      <c r="CB254" s="204">
        <f t="shared" si="28"/>
        <v>1085807.8893020956</v>
      </c>
      <c r="CC254" s="204">
        <f t="shared" si="28"/>
        <v>970882.18483574153</v>
      </c>
      <c r="CD254" s="204">
        <f t="shared" si="28"/>
        <v>947428.64765716763</v>
      </c>
      <c r="CE254" s="204">
        <f t="shared" si="28"/>
        <v>902804.69330918684</v>
      </c>
      <c r="CF254" s="204">
        <f t="shared" si="28"/>
        <v>960967.55333741556</v>
      </c>
      <c r="CG254" s="204">
        <f t="shared" si="28"/>
        <v>1032928.7972169857</v>
      </c>
      <c r="CH254" s="204">
        <f t="shared" si="28"/>
        <v>1088415.2650213474</v>
      </c>
      <c r="CI254" s="204">
        <f t="shared" si="28"/>
        <v>1204938.8811808885</v>
      </c>
      <c r="CJ254" s="204">
        <f t="shared" si="28"/>
        <v>1291274.2368075871</v>
      </c>
      <c r="CK254" s="204">
        <f t="shared" si="28"/>
        <v>1292079.4787928686</v>
      </c>
      <c r="CL254" s="204">
        <f t="shared" si="28"/>
        <v>1300076.9620027153</v>
      </c>
      <c r="CM254" s="204">
        <f t="shared" si="28"/>
        <v>1208016.871290447</v>
      </c>
      <c r="CN254" s="204">
        <f t="shared" si="28"/>
        <v>1102196.3676324347</v>
      </c>
      <c r="CO254" s="204">
        <f t="shared" si="28"/>
        <v>970963.84499389667</v>
      </c>
    </row>
    <row r="255" spans="1:93" x14ac:dyDescent="0.2">
      <c r="A255" s="118">
        <f t="shared" si="19"/>
        <v>21</v>
      </c>
      <c r="B255" s="223"/>
      <c r="C255" s="223"/>
      <c r="D255" s="173"/>
      <c r="E255" s="225"/>
      <c r="F255" s="183"/>
      <c r="G255" s="223"/>
      <c r="H255" s="174"/>
      <c r="I255" s="229"/>
      <c r="J255" s="296"/>
      <c r="K255" s="225"/>
      <c r="L255" s="183"/>
      <c r="M255" s="223"/>
      <c r="N255" s="174"/>
      <c r="O255" s="227"/>
      <c r="S255" s="263"/>
      <c r="T255" s="197"/>
      <c r="U255" s="184"/>
      <c r="V255" s="179"/>
      <c r="W255" s="180"/>
      <c r="Y255" s="184"/>
      <c r="Z255" s="181"/>
      <c r="AB255" s="193">
        <f>SUM(AH255:AS255)</f>
        <v>0</v>
      </c>
      <c r="AC255" s="193">
        <f>SUM(AT255:BE255)</f>
        <v>0</v>
      </c>
      <c r="AD255" s="193">
        <f>SUM(BF255:BQ255)</f>
        <v>0</v>
      </c>
      <c r="AE255" s="193">
        <f>SUM(BR255:CC255)</f>
        <v>0</v>
      </c>
      <c r="AF255" s="193">
        <f>SUM(CD255:CO255)</f>
        <v>0</v>
      </c>
      <c r="AH255" s="193">
        <v>0</v>
      </c>
      <c r="AI255" s="193">
        <v>0</v>
      </c>
      <c r="AJ255" s="193">
        <v>0</v>
      </c>
      <c r="AK255" s="193">
        <v>0</v>
      </c>
      <c r="AL255" s="193">
        <v>0</v>
      </c>
      <c r="AM255" s="193">
        <v>0</v>
      </c>
      <c r="AN255" s="193">
        <v>0</v>
      </c>
      <c r="AO255" s="193">
        <v>0</v>
      </c>
      <c r="AP255" s="193">
        <v>0</v>
      </c>
      <c r="AQ255" s="193">
        <v>0</v>
      </c>
      <c r="AR255" s="193">
        <v>0</v>
      </c>
      <c r="AS255" s="193">
        <v>0</v>
      </c>
      <c r="AT255" s="193">
        <v>0</v>
      </c>
      <c r="AU255" s="193">
        <v>0</v>
      </c>
      <c r="AV255" s="193">
        <v>0</v>
      </c>
      <c r="AW255" s="193">
        <v>0</v>
      </c>
      <c r="AX255" s="193">
        <v>0</v>
      </c>
      <c r="AY255" s="193">
        <v>0</v>
      </c>
      <c r="AZ255" s="193">
        <v>0</v>
      </c>
      <c r="BA255" s="193">
        <v>0</v>
      </c>
      <c r="BB255" s="193">
        <v>0</v>
      </c>
      <c r="BC255" s="193">
        <v>0</v>
      </c>
      <c r="BD255" s="193">
        <v>0</v>
      </c>
      <c r="BE255" s="193">
        <v>0</v>
      </c>
      <c r="BF255" s="193">
        <v>0</v>
      </c>
      <c r="BG255" s="193">
        <v>0</v>
      </c>
      <c r="BH255" s="193">
        <v>0</v>
      </c>
      <c r="BI255" s="193">
        <v>0</v>
      </c>
      <c r="BJ255" s="193">
        <v>0</v>
      </c>
      <c r="BK255" s="193">
        <v>0</v>
      </c>
      <c r="BL255" s="193">
        <v>0</v>
      </c>
      <c r="BM255" s="193">
        <v>0</v>
      </c>
      <c r="BN255" s="193">
        <v>0</v>
      </c>
      <c r="BO255" s="193">
        <v>0</v>
      </c>
      <c r="BP255" s="193">
        <v>0</v>
      </c>
      <c r="BQ255" s="193">
        <v>0</v>
      </c>
      <c r="BR255" s="193">
        <v>0</v>
      </c>
      <c r="BS255" s="193">
        <v>0</v>
      </c>
      <c r="BT255" s="193">
        <v>0</v>
      </c>
      <c r="BU255" s="193">
        <v>0</v>
      </c>
      <c r="BV255" s="193">
        <v>0</v>
      </c>
      <c r="BW255" s="193">
        <v>0</v>
      </c>
      <c r="BX255" s="193">
        <v>0</v>
      </c>
      <c r="BY255" s="193">
        <v>0</v>
      </c>
      <c r="BZ255" s="193">
        <v>0</v>
      </c>
      <c r="CA255" s="193">
        <v>0</v>
      </c>
      <c r="CB255" s="193">
        <v>0</v>
      </c>
      <c r="CC255" s="193">
        <v>0</v>
      </c>
      <c r="CD255" s="193">
        <v>0</v>
      </c>
      <c r="CE255" s="193">
        <v>0</v>
      </c>
      <c r="CF255" s="193">
        <v>0</v>
      </c>
      <c r="CG255" s="193">
        <v>0</v>
      </c>
      <c r="CH255" s="193">
        <v>0</v>
      </c>
      <c r="CI255" s="193">
        <v>0</v>
      </c>
      <c r="CJ255" s="193">
        <v>0</v>
      </c>
      <c r="CK255" s="193">
        <v>0</v>
      </c>
      <c r="CL255" s="193">
        <v>0</v>
      </c>
      <c r="CM255" s="193">
        <v>0</v>
      </c>
      <c r="CN255" s="193">
        <v>0</v>
      </c>
      <c r="CO255" s="193">
        <v>0</v>
      </c>
    </row>
    <row r="256" spans="1:93" x14ac:dyDescent="0.2">
      <c r="A256" s="118">
        <f t="shared" si="19"/>
        <v>22</v>
      </c>
      <c r="B256" s="246" t="s">
        <v>563</v>
      </c>
      <c r="C256" s="223"/>
      <c r="D256" s="177"/>
      <c r="E256" s="225"/>
      <c r="F256" s="183"/>
      <c r="G256" s="223"/>
      <c r="H256" s="174"/>
      <c r="I256" s="229"/>
      <c r="J256" s="223"/>
      <c r="K256" s="225"/>
      <c r="L256" s="183"/>
      <c r="M256" s="223"/>
      <c r="N256" s="174"/>
      <c r="O256" s="227"/>
      <c r="S256" s="263"/>
      <c r="T256" s="927"/>
      <c r="U256" s="184"/>
      <c r="V256" s="179"/>
      <c r="W256" s="180"/>
      <c r="Y256" s="184"/>
      <c r="Z256" s="181"/>
    </row>
    <row r="257" spans="1:93" x14ac:dyDescent="0.2">
      <c r="A257" s="118">
        <f t="shared" si="19"/>
        <v>23</v>
      </c>
      <c r="B257" s="234" t="s">
        <v>582</v>
      </c>
      <c r="C257" s="223"/>
      <c r="D257" s="172">
        <f>SUM(H192,H202:H205,H239,H247:H249)</f>
        <v>96267241.120000005</v>
      </c>
      <c r="E257" s="233" t="s">
        <v>10</v>
      </c>
      <c r="F257" s="248">
        <v>0.01</v>
      </c>
      <c r="G257" s="223" t="s">
        <v>375</v>
      </c>
      <c r="H257" s="174">
        <f>ROUND(D257*-F257,2)</f>
        <v>-962672.41</v>
      </c>
      <c r="I257" s="229"/>
      <c r="J257" s="172">
        <f>SUM(N192,N202:N205,N239,N247:N249)</f>
        <v>99044987.100000024</v>
      </c>
      <c r="K257" s="233" t="s">
        <v>10</v>
      </c>
      <c r="L257" s="248">
        <v>0.01</v>
      </c>
      <c r="M257" s="223"/>
      <c r="N257" s="174">
        <f>ROUND(J257*-L257,2)</f>
        <v>-990449.87</v>
      </c>
      <c r="O257" s="227"/>
      <c r="S257" s="227"/>
      <c r="T257" s="227"/>
      <c r="U257" s="184" t="s">
        <v>122</v>
      </c>
      <c r="V257" s="179">
        <v>244</v>
      </c>
      <c r="W257" s="180">
        <v>218</v>
      </c>
      <c r="Y257" s="184" t="s">
        <v>122</v>
      </c>
      <c r="Z257" s="181" t="s">
        <v>417</v>
      </c>
      <c r="AB257" s="182">
        <f>SUM(AH257:AS257)</f>
        <v>-691938.26121619553</v>
      </c>
      <c r="AC257" s="182">
        <f>SUM(AT257:BE257)</f>
        <v>-716258.4406363304</v>
      </c>
      <c r="AD257" s="182">
        <f>SUM(BF257:BQ257)</f>
        <v>-719750.75032218324</v>
      </c>
      <c r="AE257" s="182">
        <f>SUM(BR257:CC257)</f>
        <v>-723638.8088601362</v>
      </c>
      <c r="AF257" s="182">
        <f>SUM(CD257:CO257)</f>
        <v>-727424.7223109022</v>
      </c>
      <c r="AH257" s="174">
        <v>-34734.346407952049</v>
      </c>
      <c r="AI257" s="174">
        <v>-52315.075976318476</v>
      </c>
      <c r="AJ257" s="174">
        <v>-81369.580718468176</v>
      </c>
      <c r="AK257" s="174">
        <v>-55256.712094957613</v>
      </c>
      <c r="AL257" s="174">
        <v>-49645.500740558724</v>
      </c>
      <c r="AM257" s="174">
        <v>-56937.368297359149</v>
      </c>
      <c r="AN257" s="174">
        <v>-74020.729843400652</v>
      </c>
      <c r="AO257" s="174">
        <v>-57922.012874305161</v>
      </c>
      <c r="AP257" s="174">
        <v>-65061.489165917381</v>
      </c>
      <c r="AQ257" s="174">
        <v>-59629.684011311809</v>
      </c>
      <c r="AR257" s="174">
        <v>-53385.449024684698</v>
      </c>
      <c r="AS257" s="174">
        <v>-51660.312060961558</v>
      </c>
      <c r="AT257" s="174">
        <v>-35262.436691924398</v>
      </c>
      <c r="AU257" s="174">
        <v>-53487.054764129811</v>
      </c>
      <c r="AV257" s="174">
        <v>-81802.036990696259</v>
      </c>
      <c r="AW257" s="174">
        <v>-57125.104329039721</v>
      </c>
      <c r="AX257" s="174">
        <v>-50783.628952515872</v>
      </c>
      <c r="AY257" s="174">
        <v>-57354.751937055895</v>
      </c>
      <c r="AZ257" s="174">
        <v>-78852.122941639114</v>
      </c>
      <c r="BA257" s="174">
        <v>-60306.321517144854</v>
      </c>
      <c r="BB257" s="174">
        <v>-68312.594110693462</v>
      </c>
      <c r="BC257" s="174">
        <v>-63155.604924151972</v>
      </c>
      <c r="BD257" s="174">
        <v>-56425.675198855788</v>
      </c>
      <c r="BE257" s="174">
        <v>-53391.10827848316</v>
      </c>
      <c r="BF257" s="174">
        <v>-34731.906808137333</v>
      </c>
      <c r="BG257" s="174">
        <v>-54047.51824322161</v>
      </c>
      <c r="BH257" s="174">
        <v>-82919.494494129816</v>
      </c>
      <c r="BI257" s="174">
        <v>-56542.132686041645</v>
      </c>
      <c r="BJ257" s="174">
        <v>-51012.42949833117</v>
      </c>
      <c r="BK257" s="174">
        <v>-58418.901026084241</v>
      </c>
      <c r="BL257" s="174">
        <v>-79445.631602674257</v>
      </c>
      <c r="BM257" s="174">
        <v>-60930.005478882602</v>
      </c>
      <c r="BN257" s="174">
        <v>-68543.95889969889</v>
      </c>
      <c r="BO257" s="174">
        <v>-62466.664418277469</v>
      </c>
      <c r="BP257" s="174">
        <v>-56177.941256764272</v>
      </c>
      <c r="BQ257" s="174">
        <v>-54514.165909939984</v>
      </c>
      <c r="BR257" s="174">
        <v>-34669.006079794788</v>
      </c>
      <c r="BS257" s="174">
        <v>-53402.737335158185</v>
      </c>
      <c r="BT257" s="174">
        <v>-83934.903543507025</v>
      </c>
      <c r="BU257" s="174">
        <v>-57526.399691995153</v>
      </c>
      <c r="BV257" s="174">
        <v>-49897.055461811207</v>
      </c>
      <c r="BW257" s="174">
        <v>-59508.461068589291</v>
      </c>
      <c r="BX257" s="174">
        <v>-80888.088234755181</v>
      </c>
      <c r="BY257" s="174">
        <v>-61501.262530818371</v>
      </c>
      <c r="BZ257" s="174">
        <v>-68851.805004811395</v>
      </c>
      <c r="CA257" s="174">
        <v>-63164.7573065791</v>
      </c>
      <c r="CB257" s="174">
        <v>-56466.800604254182</v>
      </c>
      <c r="CC257" s="174">
        <v>-53827.531998062281</v>
      </c>
      <c r="CD257" s="174">
        <v>-34921.743960635969</v>
      </c>
      <c r="CE257" s="174">
        <v>-52924.802688721909</v>
      </c>
      <c r="CF257" s="174">
        <v>-82144.664020639815</v>
      </c>
      <c r="CG257" s="174">
        <v>-58757.426501132046</v>
      </c>
      <c r="CH257" s="174">
        <v>-51276.868431206043</v>
      </c>
      <c r="CI257" s="174">
        <v>-58881.664163812791</v>
      </c>
      <c r="CJ257" s="174">
        <v>-81103.695744579934</v>
      </c>
      <c r="CK257" s="174">
        <v>-61908.001431229786</v>
      </c>
      <c r="CL257" s="174">
        <v>-70689.605423181041</v>
      </c>
      <c r="CM257" s="174">
        <v>-63595.418925480495</v>
      </c>
      <c r="CN257" s="174">
        <v>-57352.681397861408</v>
      </c>
      <c r="CO257" s="174">
        <v>-53868.149622420948</v>
      </c>
    </row>
    <row r="258" spans="1:93" x14ac:dyDescent="0.2">
      <c r="A258" s="118">
        <f t="shared" si="19"/>
        <v>24</v>
      </c>
      <c r="B258" s="234" t="s">
        <v>583</v>
      </c>
      <c r="C258" s="223"/>
      <c r="D258" s="172">
        <f>SUM(H193:H194,H207:H210,H240,H251:H253)</f>
        <v>20630614.549999997</v>
      </c>
      <c r="E258" s="233" t="s">
        <v>10</v>
      </c>
      <c r="F258" s="248">
        <v>0.02</v>
      </c>
      <c r="G258" s="223" t="s">
        <v>375</v>
      </c>
      <c r="H258" s="174">
        <f>ROUND(D258*-F258,2)</f>
        <v>-412612.29</v>
      </c>
      <c r="I258" s="229"/>
      <c r="J258" s="172">
        <f>SUM(N193:N194,N207:N210,N240,N251:N253)</f>
        <v>21112883.030000001</v>
      </c>
      <c r="K258" s="233" t="s">
        <v>10</v>
      </c>
      <c r="L258" s="248">
        <v>0.02</v>
      </c>
      <c r="M258" s="223"/>
      <c r="N258" s="174">
        <f>ROUND(J258*-L258,2)</f>
        <v>-422257.66</v>
      </c>
      <c r="O258" s="227"/>
      <c r="S258" s="227"/>
      <c r="T258" s="227"/>
      <c r="U258" s="184" t="s">
        <v>122</v>
      </c>
      <c r="V258" s="179">
        <v>244</v>
      </c>
      <c r="W258" s="180">
        <v>218</v>
      </c>
      <c r="Y258" s="184" t="s">
        <v>122</v>
      </c>
      <c r="Z258" s="181" t="s">
        <v>417</v>
      </c>
      <c r="AB258" s="182">
        <f>SUM(AH258:AS258)</f>
        <v>0</v>
      </c>
      <c r="AC258" s="182">
        <f>SUM(AT258:BE258)</f>
        <v>0</v>
      </c>
      <c r="AD258" s="182">
        <f>SUM(BF258:BQ258)</f>
        <v>0</v>
      </c>
      <c r="AE258" s="182">
        <f>SUM(BR258:CC258)</f>
        <v>0</v>
      </c>
      <c r="AF258" s="182">
        <f>SUM(CD258:CO258)</f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0</v>
      </c>
      <c r="AP258" s="174">
        <v>0</v>
      </c>
      <c r="AQ258" s="174">
        <v>0</v>
      </c>
      <c r="AR258" s="174">
        <v>0</v>
      </c>
      <c r="AS258" s="174">
        <v>0</v>
      </c>
      <c r="AT258" s="174">
        <v>0</v>
      </c>
      <c r="AU258" s="174">
        <v>0</v>
      </c>
      <c r="AV258" s="174">
        <v>0</v>
      </c>
      <c r="AW258" s="174">
        <v>0</v>
      </c>
      <c r="AX258" s="174">
        <v>0</v>
      </c>
      <c r="AY258" s="174">
        <v>0</v>
      </c>
      <c r="AZ258" s="174">
        <v>0</v>
      </c>
      <c r="BA258" s="174">
        <v>0</v>
      </c>
      <c r="BB258" s="174">
        <v>0</v>
      </c>
      <c r="BC258" s="174">
        <v>0</v>
      </c>
      <c r="BD258" s="174">
        <v>0</v>
      </c>
      <c r="BE258" s="174">
        <v>0</v>
      </c>
      <c r="BF258" s="174">
        <v>0</v>
      </c>
      <c r="BG258" s="174">
        <v>0</v>
      </c>
      <c r="BH258" s="174">
        <v>0</v>
      </c>
      <c r="BI258" s="174">
        <v>0</v>
      </c>
      <c r="BJ258" s="174">
        <v>0</v>
      </c>
      <c r="BK258" s="174">
        <v>0</v>
      </c>
      <c r="BL258" s="174">
        <v>0</v>
      </c>
      <c r="BM258" s="174">
        <v>0</v>
      </c>
      <c r="BN258" s="174">
        <v>0</v>
      </c>
      <c r="BO258" s="174">
        <v>0</v>
      </c>
      <c r="BP258" s="174">
        <v>0</v>
      </c>
      <c r="BQ258" s="174">
        <v>0</v>
      </c>
      <c r="BR258" s="174">
        <v>0</v>
      </c>
      <c r="BS258" s="174">
        <v>0</v>
      </c>
      <c r="BT258" s="174">
        <v>0</v>
      </c>
      <c r="BU258" s="174">
        <v>0</v>
      </c>
      <c r="BV258" s="174">
        <v>0</v>
      </c>
      <c r="BW258" s="174">
        <v>0</v>
      </c>
      <c r="BX258" s="174">
        <v>0</v>
      </c>
      <c r="BY258" s="174">
        <v>0</v>
      </c>
      <c r="BZ258" s="174">
        <v>0</v>
      </c>
      <c r="CA258" s="174">
        <v>0</v>
      </c>
      <c r="CB258" s="174">
        <v>0</v>
      </c>
      <c r="CC258" s="174">
        <v>0</v>
      </c>
      <c r="CD258" s="174">
        <v>0</v>
      </c>
      <c r="CE258" s="174">
        <v>0</v>
      </c>
      <c r="CF258" s="174">
        <v>0</v>
      </c>
      <c r="CG258" s="174">
        <v>0</v>
      </c>
      <c r="CH258" s="174">
        <v>0</v>
      </c>
      <c r="CI258" s="174">
        <v>0</v>
      </c>
      <c r="CJ258" s="174">
        <v>0</v>
      </c>
      <c r="CK258" s="174">
        <v>0</v>
      </c>
      <c r="CL258" s="174">
        <v>0</v>
      </c>
      <c r="CM258" s="174">
        <v>0</v>
      </c>
      <c r="CN258" s="174">
        <v>0</v>
      </c>
      <c r="CO258" s="174">
        <v>0</v>
      </c>
    </row>
    <row r="259" spans="1:93" x14ac:dyDescent="0.2">
      <c r="A259" s="118">
        <f t="shared" si="19"/>
        <v>25</v>
      </c>
      <c r="B259" s="234"/>
      <c r="C259" s="223"/>
      <c r="D259" s="168"/>
      <c r="E259" s="233"/>
      <c r="F259" s="183"/>
      <c r="G259" s="223"/>
      <c r="H259" s="172"/>
      <c r="I259" s="229"/>
      <c r="J259" s="174"/>
      <c r="K259" s="233"/>
      <c r="L259" s="183"/>
      <c r="M259" s="223"/>
      <c r="N259" s="174"/>
      <c r="O259" s="227"/>
      <c r="S259" s="227"/>
      <c r="T259" s="227"/>
      <c r="U259" s="184" t="s">
        <v>122</v>
      </c>
      <c r="V259" s="179">
        <v>244</v>
      </c>
      <c r="W259" s="180">
        <v>218</v>
      </c>
      <c r="Y259" s="184" t="s">
        <v>122</v>
      </c>
      <c r="Z259" s="181" t="s">
        <v>608</v>
      </c>
    </row>
    <row r="260" spans="1:93" x14ac:dyDescent="0.2">
      <c r="A260" s="118">
        <f t="shared" si="19"/>
        <v>26</v>
      </c>
      <c r="B260" s="171" t="s">
        <v>564</v>
      </c>
      <c r="C260" s="223"/>
      <c r="D260" s="168"/>
      <c r="E260" s="223"/>
      <c r="F260" s="166"/>
      <c r="G260" s="223"/>
      <c r="H260" s="1225">
        <f>'MFR E-5 Yr4'!M22*1000</f>
        <v>21639859.331999999</v>
      </c>
      <c r="I260" s="162"/>
      <c r="J260" s="1276"/>
      <c r="K260" s="166"/>
      <c r="L260" s="166"/>
      <c r="M260" s="143"/>
      <c r="N260" s="1225">
        <f>H260</f>
        <v>21639859.331999999</v>
      </c>
      <c r="O260" s="227"/>
      <c r="S260" s="227"/>
      <c r="T260" s="227"/>
      <c r="U260" s="184"/>
      <c r="V260" s="179"/>
      <c r="W260" s="180"/>
      <c r="Y260" s="184" t="s">
        <v>122</v>
      </c>
      <c r="Z260" s="181" t="s">
        <v>565</v>
      </c>
    </row>
    <row r="261" spans="1:93" x14ac:dyDescent="0.2">
      <c r="A261" s="118">
        <f t="shared" si="19"/>
        <v>27</v>
      </c>
      <c r="B261" s="171" t="s">
        <v>566</v>
      </c>
      <c r="C261" s="223"/>
      <c r="D261" s="168"/>
      <c r="E261" s="223"/>
      <c r="F261" s="166"/>
      <c r="G261" s="223"/>
      <c r="H261" s="1225">
        <f>'MFR E-5 Yr4'!M23*1000</f>
        <v>9196940.21609997</v>
      </c>
      <c r="I261" s="162"/>
      <c r="J261" s="1276"/>
      <c r="K261" s="166"/>
      <c r="L261" s="166"/>
      <c r="M261" s="143"/>
      <c r="N261" s="1225">
        <f t="shared" ref="N261:N262" si="29">H261</f>
        <v>9196940.21609997</v>
      </c>
      <c r="O261" s="227"/>
      <c r="S261" s="227"/>
      <c r="T261" s="227"/>
      <c r="U261" s="184"/>
      <c r="V261" s="179"/>
      <c r="W261" s="180"/>
      <c r="Y261" s="184" t="s">
        <v>122</v>
      </c>
      <c r="Z261" s="181" t="s">
        <v>565</v>
      </c>
    </row>
    <row r="262" spans="1:93" x14ac:dyDescent="0.2">
      <c r="A262" s="118">
        <f t="shared" si="19"/>
        <v>28</v>
      </c>
      <c r="B262" s="171" t="s">
        <v>567</v>
      </c>
      <c r="C262" s="223"/>
      <c r="D262" s="168"/>
      <c r="E262" s="223"/>
      <c r="F262" s="166"/>
      <c r="G262" s="223"/>
      <c r="H262" s="187">
        <f>'MFR E-5 Yr4'!M21*1000</f>
        <v>1422754.5748056539</v>
      </c>
      <c r="I262" s="162"/>
      <c r="J262" s="1276"/>
      <c r="K262" s="166"/>
      <c r="L262" s="166"/>
      <c r="M262" s="143"/>
      <c r="N262" s="187">
        <f t="shared" si="29"/>
        <v>1422754.5748056539</v>
      </c>
      <c r="O262" s="227"/>
      <c r="S262" s="227"/>
      <c r="T262" s="227"/>
      <c r="U262" s="184"/>
      <c r="V262" s="179"/>
      <c r="W262" s="180"/>
      <c r="Y262" s="184" t="s">
        <v>122</v>
      </c>
      <c r="Z262" s="181" t="s">
        <v>565</v>
      </c>
    </row>
    <row r="263" spans="1:93" x14ac:dyDescent="0.2">
      <c r="A263" s="118">
        <f t="shared" si="19"/>
        <v>29</v>
      </c>
      <c r="B263" s="234"/>
      <c r="C263" s="223" t="s">
        <v>374</v>
      </c>
      <c r="D263" s="249"/>
      <c r="E263" s="223"/>
      <c r="F263" s="183"/>
      <c r="G263" s="223"/>
      <c r="H263" s="174">
        <f>SUM(H257:H262)</f>
        <v>30884269.422905624</v>
      </c>
      <c r="I263" s="229"/>
      <c r="J263" s="1276"/>
      <c r="K263" s="223"/>
      <c r="L263" s="183"/>
      <c r="M263" s="223"/>
      <c r="N263" s="174">
        <f>SUM(N257:N262)</f>
        <v>30846846.592905622</v>
      </c>
      <c r="O263" s="227"/>
      <c r="S263" s="227"/>
      <c r="T263" s="176"/>
      <c r="U263" s="184"/>
      <c r="V263" s="179"/>
      <c r="W263" s="180"/>
      <c r="Y263" s="184"/>
      <c r="Z263" s="181"/>
    </row>
    <row r="264" spans="1:93" x14ac:dyDescent="0.2">
      <c r="A264" s="118">
        <f t="shared" si="19"/>
        <v>30</v>
      </c>
      <c r="B264" s="234"/>
      <c r="C264" s="223"/>
      <c r="E264" s="223"/>
      <c r="F264" s="183"/>
      <c r="G264" s="223"/>
      <c r="H264" s="174"/>
      <c r="I264" s="229"/>
      <c r="J264" s="1276"/>
      <c r="K264" s="223"/>
      <c r="L264" s="183"/>
      <c r="M264" s="223"/>
      <c r="N264" s="174"/>
      <c r="O264" s="227"/>
      <c r="S264" s="227"/>
      <c r="T264" s="227"/>
      <c r="U264" s="184"/>
      <c r="V264" s="179"/>
      <c r="W264" s="180"/>
      <c r="Y264" s="184"/>
      <c r="Z264" s="181"/>
    </row>
    <row r="265" spans="1:93" ht="10.8" thickBot="1" x14ac:dyDescent="0.25">
      <c r="A265" s="118">
        <f t="shared" si="19"/>
        <v>31</v>
      </c>
      <c r="B265" s="246" t="s">
        <v>609</v>
      </c>
      <c r="C265" s="223"/>
      <c r="D265" s="168"/>
      <c r="E265" s="225"/>
      <c r="F265" s="183"/>
      <c r="G265" s="223"/>
      <c r="H265" s="210">
        <f>H187+H213+H254+H263</f>
        <v>849232716.2629056</v>
      </c>
      <c r="I265" s="229"/>
      <c r="J265" s="168"/>
      <c r="K265" s="225"/>
      <c r="L265" s="183"/>
      <c r="M265" s="223"/>
      <c r="N265" s="210">
        <f>N187+N213+N254+N263</f>
        <v>872774078.77290559</v>
      </c>
      <c r="O265" s="227"/>
      <c r="Q265" s="939">
        <f>(N265-H265)/H265</f>
        <v>2.7720743748068287E-2</v>
      </c>
      <c r="S265" s="227"/>
      <c r="T265" s="176"/>
      <c r="U265" s="184"/>
      <c r="V265" s="179"/>
      <c r="W265" s="180"/>
      <c r="Y265" s="184" t="s">
        <v>122</v>
      </c>
      <c r="Z265" s="181" t="s">
        <v>121</v>
      </c>
    </row>
    <row r="266" spans="1:93" ht="10.8" thickTop="1" x14ac:dyDescent="0.2">
      <c r="A266" s="118">
        <f t="shared" si="19"/>
        <v>32</v>
      </c>
      <c r="B266" s="226"/>
      <c r="C266" s="223"/>
      <c r="D266" s="168"/>
      <c r="E266" s="225"/>
      <c r="F266" s="183"/>
      <c r="G266" s="223"/>
      <c r="H266" s="174"/>
      <c r="I266" s="229"/>
      <c r="J266" s="223"/>
      <c r="K266" s="225"/>
      <c r="L266" s="223"/>
      <c r="M266" s="223"/>
      <c r="N266" s="174"/>
      <c r="O266" s="227"/>
      <c r="P266" s="262"/>
      <c r="Q266" s="227"/>
      <c r="U266" s="184"/>
      <c r="V266" s="179"/>
      <c r="W266" s="180"/>
      <c r="Y266" s="184"/>
      <c r="Z266" s="181"/>
    </row>
    <row r="267" spans="1:93" x14ac:dyDescent="0.2">
      <c r="A267" s="118">
        <f t="shared" si="19"/>
        <v>33</v>
      </c>
      <c r="B267" s="223"/>
      <c r="C267" s="223"/>
      <c r="D267" s="168"/>
      <c r="E267" s="225"/>
      <c r="F267" s="183"/>
      <c r="G267" s="223"/>
      <c r="H267" s="174"/>
      <c r="I267" s="229"/>
      <c r="J267" s="171" t="s">
        <v>573</v>
      </c>
      <c r="K267" s="166"/>
      <c r="L267" s="166"/>
      <c r="M267" s="143"/>
      <c r="N267" s="174">
        <f>N265-H265</f>
        <v>23541362.50999999</v>
      </c>
      <c r="Q267" s="227"/>
      <c r="U267" s="184"/>
      <c r="V267" s="179"/>
      <c r="W267" s="180"/>
      <c r="Y267" s="184"/>
      <c r="Z267" s="181"/>
    </row>
    <row r="268" spans="1:93" x14ac:dyDescent="0.2">
      <c r="A268" s="118">
        <f t="shared" si="19"/>
        <v>34</v>
      </c>
      <c r="D268" s="168"/>
      <c r="F268" s="197"/>
      <c r="H268" s="203"/>
      <c r="I268" s="229"/>
      <c r="J268" s="171"/>
      <c r="K268" s="166"/>
      <c r="L268" s="166"/>
      <c r="M268" s="143"/>
      <c r="N268" s="212"/>
      <c r="U268" s="184"/>
      <c r="V268" s="179"/>
      <c r="W268" s="180"/>
      <c r="Y268" s="184"/>
      <c r="Z268" s="181"/>
    </row>
    <row r="269" spans="1:93" x14ac:dyDescent="0.2">
      <c r="A269" s="118">
        <f t="shared" si="19"/>
        <v>35</v>
      </c>
      <c r="F269" s="197"/>
      <c r="H269" s="203"/>
      <c r="I269" s="229"/>
      <c r="J269" s="171" t="s">
        <v>610</v>
      </c>
      <c r="N269" s="211">
        <f>('Exhibit MJC-2 - Old E-8a'!U24*1000)-N624</f>
        <v>23542008.119074773</v>
      </c>
      <c r="P269" s="101" t="s">
        <v>672</v>
      </c>
      <c r="Q269" s="939">
        <f>N269/H265</f>
        <v>2.7721503974402505E-2</v>
      </c>
      <c r="U269" s="184"/>
      <c r="V269" s="179"/>
      <c r="W269" s="180"/>
      <c r="Y269" s="184"/>
      <c r="Z269" s="181"/>
    </row>
    <row r="270" spans="1:93" x14ac:dyDescent="0.2">
      <c r="A270" s="118">
        <f t="shared" si="19"/>
        <v>36</v>
      </c>
      <c r="F270" s="197"/>
      <c r="H270" s="203"/>
      <c r="I270" s="229"/>
      <c r="P270" s="250"/>
      <c r="U270" s="184"/>
      <c r="V270" s="179"/>
      <c r="W270" s="180"/>
      <c r="Y270" s="184"/>
      <c r="Z270" s="181"/>
    </row>
    <row r="271" spans="1:93" x14ac:dyDescent="0.2">
      <c r="A271" s="118">
        <f t="shared" si="19"/>
        <v>37</v>
      </c>
      <c r="F271" s="197"/>
      <c r="H271" s="203"/>
      <c r="I271" s="229"/>
      <c r="J271" s="171" t="s">
        <v>575</v>
      </c>
      <c r="N271" s="214">
        <f>N267-N269</f>
        <v>-645.60907478258014</v>
      </c>
      <c r="Q271" s="213"/>
      <c r="U271" s="184"/>
      <c r="V271" s="179"/>
      <c r="W271" s="180"/>
      <c r="Y271" s="184"/>
      <c r="Z271" s="181"/>
    </row>
    <row r="272" spans="1:93" x14ac:dyDescent="0.2">
      <c r="A272" s="118">
        <f t="shared" si="19"/>
        <v>38</v>
      </c>
      <c r="F272" s="197"/>
      <c r="H272" s="203"/>
      <c r="I272" s="229"/>
      <c r="L272" s="197"/>
      <c r="P272" s="250"/>
      <c r="U272" s="184"/>
      <c r="V272" s="179"/>
      <c r="W272" s="180"/>
      <c r="Y272" s="184"/>
      <c r="Z272" s="181"/>
    </row>
    <row r="273" spans="1:93" x14ac:dyDescent="0.2">
      <c r="A273" s="118">
        <f t="shared" si="19"/>
        <v>39</v>
      </c>
      <c r="F273" s="1293"/>
      <c r="G273" s="1355"/>
      <c r="H273" s="1356"/>
      <c r="I273" s="229"/>
      <c r="J273" s="171"/>
      <c r="L273" s="197"/>
      <c r="N273" s="1364"/>
      <c r="O273" s="1355"/>
      <c r="P273" s="1365"/>
      <c r="U273" s="184"/>
      <c r="V273" s="179"/>
      <c r="W273" s="180"/>
      <c r="Y273" s="184"/>
      <c r="Z273" s="181"/>
    </row>
    <row r="274" spans="1:93" x14ac:dyDescent="0.2">
      <c r="A274" s="118">
        <f t="shared" si="19"/>
        <v>40</v>
      </c>
      <c r="F274" s="1357"/>
      <c r="G274" s="1355"/>
      <c r="H274" s="1358"/>
      <c r="I274" s="229"/>
      <c r="L274" s="197"/>
      <c r="N274" s="1366"/>
      <c r="O274" s="1355"/>
      <c r="P274" s="1367"/>
      <c r="U274" s="184"/>
      <c r="V274" s="179"/>
      <c r="W274" s="180"/>
      <c r="Y274" s="184"/>
      <c r="Z274" s="181"/>
    </row>
    <row r="275" spans="1:93" x14ac:dyDescent="0.2">
      <c r="A275" s="118">
        <f t="shared" si="19"/>
        <v>41</v>
      </c>
      <c r="F275" s="1357"/>
      <c r="G275" s="1355"/>
      <c r="H275" s="1358"/>
      <c r="I275" s="229"/>
      <c r="L275" s="197"/>
      <c r="N275" s="1366"/>
      <c r="O275" s="1355"/>
      <c r="P275" s="1367"/>
      <c r="U275" s="184"/>
      <c r="V275" s="179"/>
      <c r="W275" s="180"/>
      <c r="Y275" s="184"/>
      <c r="Z275" s="181"/>
    </row>
    <row r="276" spans="1:93" x14ac:dyDescent="0.2">
      <c r="A276" s="118">
        <f t="shared" si="19"/>
        <v>42</v>
      </c>
      <c r="F276" s="197"/>
      <c r="H276" s="203"/>
      <c r="I276" s="229"/>
      <c r="L276" s="197"/>
      <c r="N276" s="203"/>
      <c r="U276" s="184"/>
      <c r="V276" s="179"/>
      <c r="W276" s="180"/>
      <c r="Y276" s="184"/>
      <c r="Z276" s="181"/>
    </row>
    <row r="277" spans="1:93" x14ac:dyDescent="0.2">
      <c r="A277" s="215"/>
      <c r="B277" s="215" t="s">
        <v>98</v>
      </c>
      <c r="C277" s="215"/>
      <c r="D277" s="215"/>
      <c r="E277" s="215"/>
      <c r="F277" s="299"/>
      <c r="G277" s="215"/>
      <c r="H277" s="300"/>
      <c r="I277" s="215"/>
      <c r="J277" s="215"/>
      <c r="K277" s="215"/>
      <c r="L277" s="299"/>
      <c r="M277" s="215"/>
      <c r="N277" s="300" t="s">
        <v>99</v>
      </c>
      <c r="O277" s="215"/>
      <c r="P277" s="215"/>
      <c r="Q277" s="215"/>
      <c r="Y277" s="101"/>
    </row>
    <row r="278" spans="1:93" x14ac:dyDescent="0.2">
      <c r="A278" s="216"/>
      <c r="B278" s="216"/>
      <c r="C278" s="216"/>
      <c r="D278" s="216"/>
      <c r="E278" s="216"/>
      <c r="F278" s="216"/>
      <c r="G278" s="216"/>
      <c r="H278" s="216"/>
      <c r="I278" s="216"/>
      <c r="J278" s="216"/>
      <c r="K278" s="216"/>
      <c r="L278" s="216"/>
      <c r="M278" s="216"/>
      <c r="N278" s="216"/>
      <c r="O278" s="216"/>
      <c r="P278" s="216"/>
      <c r="Q278" s="216"/>
      <c r="R278" s="216"/>
      <c r="S278" s="216"/>
      <c r="T278" s="216"/>
      <c r="U278" s="216"/>
      <c r="V278" s="216"/>
      <c r="W278" s="216"/>
      <c r="X278" s="216"/>
      <c r="Y278" s="216"/>
      <c r="Z278" s="217"/>
      <c r="AA278" s="216"/>
      <c r="AB278" s="216"/>
      <c r="AC278" s="216"/>
      <c r="AD278" s="216"/>
      <c r="AE278" s="216"/>
      <c r="AF278" s="216"/>
      <c r="AG278" s="216"/>
      <c r="AH278" s="216"/>
      <c r="AI278" s="216"/>
      <c r="AJ278" s="216"/>
      <c r="AK278" s="216"/>
      <c r="AL278" s="216"/>
      <c r="AM278" s="216"/>
      <c r="AN278" s="216"/>
      <c r="AO278" s="216"/>
      <c r="AP278" s="216"/>
      <c r="AQ278" s="216"/>
      <c r="AR278" s="216"/>
      <c r="AS278" s="216"/>
      <c r="AT278" s="216"/>
      <c r="AU278" s="216"/>
      <c r="AV278" s="216"/>
      <c r="AW278" s="216"/>
      <c r="AX278" s="216"/>
      <c r="AY278" s="216"/>
      <c r="AZ278" s="216"/>
      <c r="BA278" s="216"/>
      <c r="BB278" s="216"/>
      <c r="BC278" s="216"/>
      <c r="BD278" s="216"/>
      <c r="BE278" s="216"/>
      <c r="BF278" s="216"/>
      <c r="BG278" s="216"/>
      <c r="BH278" s="216"/>
      <c r="BI278" s="216"/>
      <c r="BJ278" s="216"/>
      <c r="BK278" s="216"/>
      <c r="BL278" s="216"/>
      <c r="BM278" s="216"/>
      <c r="BN278" s="216"/>
      <c r="BO278" s="216"/>
      <c r="BP278" s="216"/>
      <c r="BQ278" s="216"/>
      <c r="BR278" s="216"/>
      <c r="BS278" s="216"/>
      <c r="BT278" s="216"/>
      <c r="BU278" s="216"/>
      <c r="BV278" s="216"/>
      <c r="BW278" s="216"/>
      <c r="BX278" s="216"/>
      <c r="BY278" s="216"/>
      <c r="BZ278" s="216"/>
      <c r="CA278" s="216"/>
      <c r="CB278" s="216"/>
      <c r="CC278" s="216"/>
      <c r="CD278" s="216"/>
      <c r="CE278" s="216"/>
      <c r="CF278" s="216"/>
      <c r="CG278" s="216"/>
      <c r="CH278" s="216"/>
      <c r="CI278" s="216"/>
      <c r="CJ278" s="216"/>
      <c r="CK278" s="216"/>
      <c r="CL278" s="216"/>
      <c r="CM278" s="216"/>
      <c r="CN278" s="216"/>
      <c r="CO278" s="216"/>
    </row>
    <row r="279" spans="1:93" ht="13.8" x14ac:dyDescent="0.3">
      <c r="A279" s="12" t="s">
        <v>667</v>
      </c>
      <c r="C279" s="102"/>
      <c r="D279" s="1280"/>
      <c r="F279" s="104"/>
      <c r="G279" s="104"/>
      <c r="H279" s="361" t="s">
        <v>668</v>
      </c>
      <c r="I279" s="104"/>
      <c r="J279" s="104"/>
      <c r="K279" s="104"/>
      <c r="L279" s="104"/>
      <c r="N279" s="105"/>
      <c r="Q279" s="106" t="str">
        <f>'MFR E-13c'!Q253</f>
        <v>Page 19 of 39</v>
      </c>
      <c r="R279" s="105"/>
      <c r="S279" s="105"/>
      <c r="U279" s="114"/>
      <c r="V279" s="114"/>
      <c r="W279" s="114"/>
      <c r="Y279" s="114"/>
      <c r="Z279" s="218"/>
      <c r="AD279" s="114"/>
    </row>
    <row r="280" spans="1:93" ht="10.8" thickBot="1" x14ac:dyDescent="0.25">
      <c r="A280" s="108"/>
      <c r="B280" s="109"/>
      <c r="C280" s="109"/>
      <c r="D280" s="109"/>
      <c r="E280" s="110" t="s">
        <v>416</v>
      </c>
      <c r="F280" s="109"/>
      <c r="G280" s="109" t="s">
        <v>416</v>
      </c>
      <c r="H280" s="109" t="s">
        <v>416</v>
      </c>
      <c r="I280" s="109" t="s">
        <v>416</v>
      </c>
      <c r="J280" s="109"/>
      <c r="K280" s="109"/>
      <c r="L280" s="109"/>
      <c r="M280" s="111"/>
      <c r="N280" s="111"/>
      <c r="O280" s="109"/>
      <c r="P280" s="112"/>
      <c r="Q280" s="109"/>
      <c r="U280" s="114"/>
      <c r="V280" s="114"/>
      <c r="W280" s="114"/>
      <c r="Y280" s="114"/>
      <c r="Z280" s="218"/>
      <c r="AD280" s="114"/>
    </row>
    <row r="281" spans="1:93" x14ac:dyDescent="0.2">
      <c r="A281" s="113"/>
      <c r="M281" s="105"/>
      <c r="N281" s="105"/>
      <c r="P281" s="114"/>
      <c r="U281" s="114"/>
      <c r="V281" s="114"/>
      <c r="W281" s="114"/>
      <c r="Y281" s="114"/>
      <c r="Z281" s="218"/>
      <c r="AD281" s="114"/>
    </row>
    <row r="282" spans="1:93" ht="13.8" x14ac:dyDescent="0.2">
      <c r="A282" s="100"/>
      <c r="C282" s="1278" t="s">
        <v>4</v>
      </c>
      <c r="D282" s="1386" t="s">
        <v>669</v>
      </c>
      <c r="E282" s="1386"/>
      <c r="F282" s="1386"/>
      <c r="G282" s="1386"/>
      <c r="H282" s="1386"/>
      <c r="I282" s="1386"/>
      <c r="J282" s="1386"/>
      <c r="K282" s="1386"/>
      <c r="L282" s="1386"/>
      <c r="M282" s="1386"/>
      <c r="N282" s="1386"/>
      <c r="O282" s="1279"/>
      <c r="P282" s="1279"/>
      <c r="U282" s="114"/>
      <c r="V282" s="114"/>
      <c r="W282" s="114"/>
      <c r="Y282" s="114"/>
      <c r="Z282" s="218"/>
      <c r="AD282" s="114"/>
    </row>
    <row r="283" spans="1:93" ht="13.8" x14ac:dyDescent="0.2">
      <c r="C283" s="1279"/>
      <c r="D283" s="1386" t="s">
        <v>670</v>
      </c>
      <c r="E283" s="1386"/>
      <c r="F283" s="1386"/>
      <c r="G283" s="1386"/>
      <c r="H283" s="1386"/>
      <c r="I283" s="1386"/>
      <c r="J283" s="1386"/>
      <c r="K283" s="1386"/>
      <c r="L283" s="1386"/>
      <c r="M283" s="1386"/>
      <c r="N283" s="1386"/>
      <c r="O283" s="1279"/>
      <c r="P283" s="1279"/>
      <c r="U283" s="114"/>
      <c r="V283" s="114"/>
      <c r="W283" s="114"/>
      <c r="Y283" s="114"/>
      <c r="Z283" s="218"/>
      <c r="AD283" s="114"/>
    </row>
    <row r="284" spans="1:93" ht="13.8" x14ac:dyDescent="0.3">
      <c r="A284" s="100"/>
      <c r="C284" s="21"/>
      <c r="D284" s="1386" t="s">
        <v>671</v>
      </c>
      <c r="E284" s="1386"/>
      <c r="F284" s="1386"/>
      <c r="G284" s="1386"/>
      <c r="H284" s="1386"/>
      <c r="I284" s="1386"/>
      <c r="J284" s="1386"/>
      <c r="K284" s="1386"/>
      <c r="L284" s="1386"/>
      <c r="M284" s="1386"/>
      <c r="N284" s="1386"/>
      <c r="O284" s="107"/>
      <c r="U284" s="114"/>
      <c r="V284" s="114"/>
      <c r="W284" s="114"/>
      <c r="Y284" s="114"/>
      <c r="Z284" s="218"/>
      <c r="AD284" s="114"/>
    </row>
    <row r="285" spans="1:93" x14ac:dyDescent="0.2">
      <c r="U285" s="114"/>
      <c r="V285" s="114"/>
      <c r="W285" s="114"/>
      <c r="Y285" s="114"/>
      <c r="Z285" s="218"/>
      <c r="AD285" s="114"/>
    </row>
    <row r="286" spans="1:93" x14ac:dyDescent="0.2">
      <c r="A286" s="100"/>
      <c r="C286" s="119"/>
      <c r="O286" s="100"/>
      <c r="U286" s="114"/>
      <c r="V286" s="114"/>
      <c r="W286" s="114"/>
      <c r="Y286" s="114"/>
      <c r="Z286" s="218"/>
      <c r="AD286" s="114"/>
    </row>
    <row r="287" spans="1:93" ht="10.8" thickBot="1" x14ac:dyDescent="0.25">
      <c r="A287" s="123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23"/>
      <c r="O287" s="109"/>
      <c r="P287" s="109"/>
      <c r="Q287" s="109"/>
      <c r="U287" s="114"/>
      <c r="V287" s="114"/>
      <c r="W287" s="114"/>
      <c r="Y287" s="114"/>
      <c r="Z287" s="218"/>
      <c r="AD287" s="114"/>
    </row>
    <row r="288" spans="1:93" ht="15.6" x14ac:dyDescent="0.2">
      <c r="B288" s="1369"/>
      <c r="C288" s="125"/>
      <c r="D288" s="125"/>
      <c r="E288" s="125"/>
      <c r="F288" s="276"/>
      <c r="G288" s="125"/>
      <c r="H288" s="277"/>
      <c r="I288" s="126" t="s">
        <v>612</v>
      </c>
      <c r="J288" s="125"/>
      <c r="K288" s="125"/>
      <c r="L288" s="276"/>
      <c r="M288" s="125"/>
      <c r="N288" s="277"/>
      <c r="U288" s="127" t="s">
        <v>530</v>
      </c>
      <c r="V288" s="128"/>
      <c r="W288" s="129"/>
      <c r="Y288" s="130" t="s">
        <v>531</v>
      </c>
      <c r="Z288" s="131"/>
    </row>
    <row r="289" spans="1:93" x14ac:dyDescent="0.2">
      <c r="A289" s="101" t="s">
        <v>30</v>
      </c>
      <c r="B289" s="101" t="s">
        <v>532</v>
      </c>
      <c r="C289" s="132"/>
      <c r="D289" s="133" t="s">
        <v>533</v>
      </c>
      <c r="E289" s="134"/>
      <c r="F289" s="278"/>
      <c r="G289" s="133"/>
      <c r="H289" s="279"/>
      <c r="I289" s="135"/>
      <c r="J289" s="136" t="s">
        <v>534</v>
      </c>
      <c r="K289" s="133"/>
      <c r="L289" s="278"/>
      <c r="M289" s="134"/>
      <c r="N289" s="280"/>
      <c r="O289" s="137"/>
      <c r="Q289" s="118" t="s">
        <v>332</v>
      </c>
      <c r="U289" s="138"/>
      <c r="V289" s="139"/>
      <c r="W289" s="140"/>
      <c r="Y289" s="138"/>
      <c r="Z289" s="141"/>
    </row>
    <row r="290" spans="1:93" x14ac:dyDescent="0.2">
      <c r="A290" s="101" t="s">
        <v>39</v>
      </c>
      <c r="B290" s="102" t="s">
        <v>535</v>
      </c>
      <c r="C290" s="104"/>
      <c r="D290" s="142" t="s">
        <v>536</v>
      </c>
      <c r="E290" s="143"/>
      <c r="F290" s="281" t="s">
        <v>537</v>
      </c>
      <c r="G290" s="142"/>
      <c r="H290" s="282" t="s">
        <v>538</v>
      </c>
      <c r="I290" s="144"/>
      <c r="J290" s="142" t="s">
        <v>536</v>
      </c>
      <c r="K290" s="143"/>
      <c r="L290" s="281" t="s">
        <v>537</v>
      </c>
      <c r="M290" s="142"/>
      <c r="N290" s="282" t="s">
        <v>538</v>
      </c>
      <c r="O290" s="132"/>
      <c r="Q290" s="145" t="s">
        <v>539</v>
      </c>
      <c r="R290" s="132"/>
      <c r="S290" s="132"/>
      <c r="U290" s="138" t="s">
        <v>128</v>
      </c>
      <c r="V290" s="146" t="s">
        <v>343</v>
      </c>
      <c r="W290" s="147" t="s">
        <v>344</v>
      </c>
      <c r="X290" s="118"/>
      <c r="Y290" s="148" t="s">
        <v>128</v>
      </c>
      <c r="Z290" s="149"/>
      <c r="AA290" s="118"/>
      <c r="AB290" s="118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/>
      <c r="AV290" s="116"/>
      <c r="AW290" s="116"/>
      <c r="AX290" s="116"/>
      <c r="AY290" s="116"/>
      <c r="AZ290" s="116"/>
      <c r="BA290" s="116"/>
      <c r="BB290" s="116"/>
      <c r="BC290" s="116"/>
      <c r="BD290" s="116"/>
      <c r="BE290" s="116"/>
      <c r="BF290" s="116"/>
      <c r="BG290" s="116"/>
      <c r="BH290" s="116"/>
      <c r="BI290" s="116"/>
      <c r="BJ290" s="116"/>
      <c r="BK290" s="116"/>
      <c r="BL290" s="116"/>
      <c r="BM290" s="116"/>
      <c r="BN290" s="116"/>
      <c r="BO290" s="116"/>
      <c r="BP290" s="116"/>
      <c r="BQ290" s="116"/>
      <c r="BR290" s="116"/>
      <c r="BS290" s="116"/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</row>
    <row r="291" spans="1:93" ht="10.8" thickBot="1" x14ac:dyDescent="0.25">
      <c r="A291" s="109"/>
      <c r="B291" s="1370" t="s">
        <v>275</v>
      </c>
      <c r="C291" s="150"/>
      <c r="D291" s="220" t="str">
        <f>+$D$15</f>
        <v>Jan '26-Dec '26</v>
      </c>
      <c r="E291" s="221"/>
      <c r="F291" s="152">
        <f>+$L$15</f>
        <v>46023</v>
      </c>
      <c r="G291" s="153"/>
      <c r="H291" s="153"/>
      <c r="I291" s="153"/>
      <c r="J291" s="153"/>
      <c r="K291" s="151"/>
      <c r="L291" s="152">
        <f>+$L$15</f>
        <v>46023</v>
      </c>
      <c r="M291" s="154"/>
      <c r="N291" s="283"/>
      <c r="O291" s="155"/>
      <c r="P291" s="109"/>
      <c r="Q291" s="156"/>
      <c r="R291" s="132"/>
      <c r="S291" s="132"/>
      <c r="U291" s="157" t="s">
        <v>144</v>
      </c>
      <c r="V291" s="158" t="s">
        <v>540</v>
      </c>
      <c r="W291" s="159" t="s">
        <v>540</v>
      </c>
      <c r="X291" s="118"/>
      <c r="Y291" s="160" t="s">
        <v>144</v>
      </c>
      <c r="Z291" s="159" t="s">
        <v>541</v>
      </c>
      <c r="AA291" s="118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  <c r="BA291" s="116"/>
      <c r="BB291" s="116"/>
      <c r="BC291" s="116"/>
      <c r="BD291" s="116"/>
      <c r="BE291" s="116"/>
      <c r="BF291" s="116"/>
      <c r="BG291" s="116"/>
      <c r="BH291" s="116"/>
      <c r="BI291" s="116"/>
      <c r="BJ291" s="116"/>
      <c r="BK291" s="116"/>
      <c r="BL291" s="116"/>
      <c r="BM291" s="116"/>
      <c r="BN291" s="116"/>
      <c r="BO291" s="116"/>
      <c r="BP291" s="116"/>
      <c r="BQ291" s="116"/>
      <c r="BR291" s="116"/>
      <c r="BS291" s="116"/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</row>
    <row r="292" spans="1:93" x14ac:dyDescent="0.2">
      <c r="A292" s="118">
        <v>1</v>
      </c>
      <c r="B292" s="102"/>
      <c r="C292" s="104"/>
      <c r="E292" s="143"/>
      <c r="F292" s="281"/>
      <c r="G292" s="142"/>
      <c r="H292" s="282"/>
      <c r="I292" s="162"/>
      <c r="J292" s="142"/>
      <c r="K292" s="143"/>
      <c r="L292" s="281"/>
      <c r="M292" s="142"/>
      <c r="N292" s="282"/>
      <c r="O292" s="132"/>
      <c r="Q292" s="145"/>
      <c r="R292" s="132"/>
      <c r="S292" s="132"/>
      <c r="T292" s="118"/>
      <c r="U292" s="163"/>
      <c r="V292" s="139"/>
      <c r="W292" s="140"/>
      <c r="X292" s="118"/>
      <c r="Y292" s="163"/>
      <c r="Z292" s="141"/>
      <c r="AA292" s="118"/>
      <c r="AH292" s="116"/>
      <c r="AI292" s="116"/>
      <c r="AJ292" s="116"/>
      <c r="AK292" s="116"/>
      <c r="AL292" s="116"/>
      <c r="AM292" s="116"/>
      <c r="AN292" s="116"/>
      <c r="AO292" s="116"/>
      <c r="AP292" s="116"/>
      <c r="AQ292" s="116"/>
      <c r="AR292" s="116"/>
      <c r="AS292" s="116"/>
      <c r="AT292" s="116"/>
      <c r="AU292" s="116"/>
      <c r="AV292" s="116"/>
      <c r="AW292" s="116"/>
      <c r="AX292" s="116"/>
      <c r="AY292" s="116"/>
      <c r="AZ292" s="116"/>
      <c r="BA292" s="116"/>
      <c r="BB292" s="116"/>
      <c r="BC292" s="116"/>
      <c r="BD292" s="116"/>
      <c r="BE292" s="116"/>
      <c r="BF292" s="116"/>
      <c r="BG292" s="116"/>
      <c r="BH292" s="116"/>
      <c r="BI292" s="116"/>
      <c r="BJ292" s="116"/>
      <c r="BK292" s="116"/>
      <c r="BL292" s="116"/>
      <c r="BM292" s="116"/>
      <c r="BN292" s="116"/>
      <c r="BO292" s="116"/>
      <c r="BP292" s="116"/>
      <c r="BQ292" s="116"/>
      <c r="BR292" s="116"/>
      <c r="BS292" s="116"/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</row>
    <row r="293" spans="1:93" x14ac:dyDescent="0.2">
      <c r="A293" s="118">
        <f t="shared" ref="A293:A332" si="30">+A292+1</f>
        <v>2</v>
      </c>
      <c r="B293" s="222" t="s">
        <v>542</v>
      </c>
      <c r="C293" s="223"/>
      <c r="D293" s="226"/>
      <c r="E293" s="225"/>
      <c r="F293" s="284"/>
      <c r="G293" s="227"/>
      <c r="H293" s="285"/>
      <c r="I293" s="229"/>
      <c r="J293" s="226"/>
      <c r="K293" s="225"/>
      <c r="L293" s="284"/>
      <c r="M293" s="227"/>
      <c r="N293" s="285"/>
      <c r="O293" s="228"/>
      <c r="P293" s="230"/>
      <c r="Q293" s="227"/>
      <c r="R293" s="227"/>
      <c r="S293" s="227"/>
      <c r="T293" s="227"/>
      <c r="U293" s="163"/>
      <c r="V293" s="139"/>
      <c r="W293" s="140"/>
      <c r="X293" s="227"/>
      <c r="Y293" s="163"/>
      <c r="Z293" s="141"/>
      <c r="AA293" s="227"/>
      <c r="AH293" s="116"/>
      <c r="AI293" s="116"/>
      <c r="AJ293" s="116"/>
      <c r="AK293" s="116"/>
      <c r="AL293" s="116"/>
      <c r="AM293" s="116"/>
      <c r="AN293" s="116"/>
      <c r="AO293" s="116"/>
      <c r="AP293" s="116"/>
      <c r="AQ293" s="116"/>
      <c r="AR293" s="116"/>
      <c r="AS293" s="116"/>
      <c r="AT293" s="116"/>
      <c r="AU293" s="116"/>
      <c r="AV293" s="116"/>
      <c r="AW293" s="116"/>
      <c r="AX293" s="116"/>
      <c r="AY293" s="116"/>
      <c r="AZ293" s="116"/>
      <c r="BA293" s="116"/>
      <c r="BB293" s="116"/>
      <c r="BC293" s="116"/>
      <c r="BD293" s="116"/>
      <c r="BE293" s="116"/>
      <c r="BF293" s="116"/>
      <c r="BG293" s="116"/>
      <c r="BH293" s="116"/>
      <c r="BI293" s="116"/>
      <c r="BJ293" s="116"/>
      <c r="BK293" s="116"/>
      <c r="BL293" s="116"/>
      <c r="BM293" s="116"/>
      <c r="BN293" s="116"/>
      <c r="BO293" s="116"/>
      <c r="BP293" s="116"/>
      <c r="BQ293" s="116"/>
      <c r="BR293" s="116"/>
      <c r="BS293" s="116"/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</row>
    <row r="294" spans="1:93" x14ac:dyDescent="0.2">
      <c r="A294" s="118">
        <f t="shared" si="30"/>
        <v>3</v>
      </c>
      <c r="B294" s="228" t="s">
        <v>543</v>
      </c>
      <c r="C294" s="223"/>
      <c r="D294" s="168"/>
      <c r="E294" s="225"/>
      <c r="F294" s="183"/>
      <c r="G294" s="223"/>
      <c r="H294" s="174"/>
      <c r="I294" s="229"/>
      <c r="J294" s="168"/>
      <c r="K294" s="225"/>
      <c r="L294" s="1368">
        <v>-2.23</v>
      </c>
      <c r="M294" s="223"/>
      <c r="N294" s="174"/>
      <c r="O294" s="227"/>
      <c r="P294" s="227"/>
      <c r="Q294" s="227"/>
      <c r="R294" s="227"/>
      <c r="S294" s="227"/>
      <c r="T294" s="227"/>
      <c r="U294" s="184"/>
      <c r="V294" s="179"/>
      <c r="W294" s="180"/>
      <c r="X294" s="227"/>
      <c r="Y294" s="184"/>
      <c r="Z294" s="181"/>
      <c r="AA294" s="227"/>
      <c r="AB294" s="227"/>
    </row>
    <row r="295" spans="1:93" x14ac:dyDescent="0.2">
      <c r="A295" s="118">
        <f t="shared" si="30"/>
        <v>4</v>
      </c>
      <c r="B295" s="234" t="s">
        <v>149</v>
      </c>
      <c r="C295" s="223"/>
      <c r="D295" s="172">
        <f>SUMIF($AH$8:$CP$8,1,$AH295:$CP295)</f>
        <v>6.7393666844344846</v>
      </c>
      <c r="E295" s="225" t="s">
        <v>545</v>
      </c>
      <c r="F295" s="183">
        <v>117.17</v>
      </c>
      <c r="G295" s="233" t="s">
        <v>375</v>
      </c>
      <c r="H295" s="174">
        <f>ROUND(D295*F295,2)</f>
        <v>789.65</v>
      </c>
      <c r="I295" s="229"/>
      <c r="J295" s="172">
        <f>SUMIF($AH$8:$CP$8,1,$AH295:$CP295)</f>
        <v>6.7393666844344846</v>
      </c>
      <c r="K295" s="225" t="s">
        <v>545</v>
      </c>
      <c r="L295" s="183">
        <f>ROUND(F295*(1+'Exhibit MJC-2 - Old E-8a'!V27)+L294,2)</f>
        <v>119.69</v>
      </c>
      <c r="M295" s="233" t="s">
        <v>375</v>
      </c>
      <c r="N295" s="174">
        <f>ROUND(J295*L295,2)</f>
        <v>806.63</v>
      </c>
      <c r="O295" s="227"/>
      <c r="P295" s="176"/>
      <c r="Q295" s="1022"/>
      <c r="R295" s="186"/>
      <c r="S295" s="227"/>
      <c r="T295" s="227"/>
      <c r="U295" s="184" t="s">
        <v>613</v>
      </c>
      <c r="V295" s="179">
        <v>246</v>
      </c>
      <c r="W295" s="180">
        <v>220</v>
      </c>
      <c r="X295" s="227"/>
      <c r="Y295" s="184"/>
      <c r="Z295" s="181"/>
      <c r="AA295" s="227"/>
      <c r="AB295" s="182">
        <f>SUM(AH295:AS295)</f>
        <v>6.6253355117171964</v>
      </c>
      <c r="AC295" s="182">
        <f>SUM(AT295:BE295)</f>
        <v>6.6672327777265918</v>
      </c>
      <c r="AD295" s="182">
        <f>SUM(BF295:BQ295)</f>
        <v>6.6997861905054945</v>
      </c>
      <c r="AE295" s="182">
        <f>SUM(BR295:CC295)</f>
        <v>6.7393666844344846</v>
      </c>
      <c r="AF295" s="182">
        <f>SUM(CD295:CO295)</f>
        <v>6.7868672747482002</v>
      </c>
      <c r="AH295" s="168">
        <v>0.54887926319307923</v>
      </c>
      <c r="AI295" s="168">
        <v>1.4910773156547863</v>
      </c>
      <c r="AJ295" s="168">
        <v>1.1447690782329609</v>
      </c>
      <c r="AK295" s="168">
        <v>0.98080386829491661</v>
      </c>
      <c r="AL295" s="168">
        <v>0.43251498515272352</v>
      </c>
      <c r="AM295" s="168">
        <v>0.26039679859991516</v>
      </c>
      <c r="AN295" s="168">
        <v>0.2691407757710742</v>
      </c>
      <c r="AO295" s="168">
        <v>0.43682925080407592</v>
      </c>
      <c r="AP295" s="168">
        <v>0.35359369623871534</v>
      </c>
      <c r="AQ295" s="168">
        <v>0.26213628542660139</v>
      </c>
      <c r="AR295" s="168">
        <v>0.18285293399908539</v>
      </c>
      <c r="AS295" s="168">
        <v>0.26234126034926197</v>
      </c>
      <c r="AT295" s="168">
        <v>0.5505128887872035</v>
      </c>
      <c r="AU295" s="168">
        <v>1.5082424396006915</v>
      </c>
      <c r="AV295" s="168">
        <v>1.1570489879425228</v>
      </c>
      <c r="AW295" s="168">
        <v>0.98981501142623696</v>
      </c>
      <c r="AX295" s="168">
        <v>0.4350134816248743</v>
      </c>
      <c r="AY295" s="168">
        <v>0.26032031476191675</v>
      </c>
      <c r="AZ295" s="168">
        <v>0.26884776276515227</v>
      </c>
      <c r="BA295" s="168">
        <v>0.43879020505170496</v>
      </c>
      <c r="BB295" s="168">
        <v>0.35419038406769571</v>
      </c>
      <c r="BC295" s="168">
        <v>0.26139050891162197</v>
      </c>
      <c r="BD295" s="168">
        <v>0.18165680332092565</v>
      </c>
      <c r="BE295" s="168">
        <v>0.26140398946604559</v>
      </c>
      <c r="BF295" s="168">
        <v>0.5514936029445604</v>
      </c>
      <c r="BG295" s="168">
        <v>1.5239636063662687</v>
      </c>
      <c r="BH295" s="168">
        <v>1.1695032201385904</v>
      </c>
      <c r="BI295" s="168">
        <v>0.99736619727652742</v>
      </c>
      <c r="BJ295" s="168">
        <v>0.43629160878468537</v>
      </c>
      <c r="BK295" s="168">
        <v>0.25917346081790937</v>
      </c>
      <c r="BL295" s="168">
        <v>0.26759366863159156</v>
      </c>
      <c r="BM295" s="168">
        <v>0.4399745369569571</v>
      </c>
      <c r="BN295" s="168">
        <v>0.35412027610850227</v>
      </c>
      <c r="BO295" s="168">
        <v>0.26010649588571794</v>
      </c>
      <c r="BP295" s="168">
        <v>0.18003613703275032</v>
      </c>
      <c r="BQ295" s="168">
        <v>0.26016337956143309</v>
      </c>
      <c r="BR295" s="168">
        <v>0.55222953146953857</v>
      </c>
      <c r="BS295" s="168">
        <v>1.5397495981884826</v>
      </c>
      <c r="BT295" s="168">
        <v>1.1819531597403099</v>
      </c>
      <c r="BU295" s="168">
        <v>1.0052378280834589</v>
      </c>
      <c r="BV295" s="168">
        <v>0.43798168988949621</v>
      </c>
      <c r="BW295" s="168">
        <v>0.25852989567354023</v>
      </c>
      <c r="BX295" s="168">
        <v>0.26698412423068629</v>
      </c>
      <c r="BY295" s="168">
        <v>0.44192399383924114</v>
      </c>
      <c r="BZ295" s="168">
        <v>0.35499252936509668</v>
      </c>
      <c r="CA295" s="168">
        <v>0.25990456206134122</v>
      </c>
      <c r="CB295" s="168">
        <v>0.17975380948286257</v>
      </c>
      <c r="CC295" s="168">
        <v>0.2601259624104304</v>
      </c>
      <c r="CD295" s="168">
        <v>0.55549075039277362</v>
      </c>
      <c r="CE295" s="168">
        <v>1.5565322627461995</v>
      </c>
      <c r="CF295" s="168">
        <v>1.194299251713</v>
      </c>
      <c r="CG295" s="168">
        <v>1.013883822419595</v>
      </c>
      <c r="CH295" s="168">
        <v>0.44038238244063072</v>
      </c>
      <c r="CI295" s="168">
        <v>0.25859212080034572</v>
      </c>
      <c r="CJ295" s="168">
        <v>0.2670814014103684</v>
      </c>
      <c r="CK295" s="168">
        <v>0.44442358272687532</v>
      </c>
      <c r="CL295" s="168">
        <v>0.35630027503280909</v>
      </c>
      <c r="CM295" s="168">
        <v>0.25997770376149171</v>
      </c>
      <c r="CN295" s="168">
        <v>0.17967574851956528</v>
      </c>
      <c r="CO295" s="168">
        <v>0.26022797278454551</v>
      </c>
    </row>
    <row r="296" spans="1:93" x14ac:dyDescent="0.2">
      <c r="A296" s="118">
        <f t="shared" si="30"/>
        <v>5</v>
      </c>
      <c r="B296" s="234" t="s">
        <v>148</v>
      </c>
      <c r="C296" s="223"/>
      <c r="D296" s="172">
        <f>SUMIF($AH$8:$CP$8,1,$AH296:$CP296)</f>
        <v>32.734066752967493</v>
      </c>
      <c r="E296" s="225" t="s">
        <v>545</v>
      </c>
      <c r="F296" s="183">
        <v>325.3</v>
      </c>
      <c r="G296" s="233" t="s">
        <v>375</v>
      </c>
      <c r="H296" s="174">
        <f>ROUND(D296*F296,2)</f>
        <v>10648.39</v>
      </c>
      <c r="I296" s="229"/>
      <c r="J296" s="172">
        <f>SUMIF($AH$8:$CP$8,1,$AH296:$CP296)</f>
        <v>32.734066752967493</v>
      </c>
      <c r="K296" s="225" t="s">
        <v>545</v>
      </c>
      <c r="L296" s="183">
        <f>ROUND(F296*(1+'Exhibit MJC-2 - Old E-8a'!V27)+(L294*(F296/F295)),2)</f>
        <v>332.29</v>
      </c>
      <c r="M296" s="233" t="s">
        <v>375</v>
      </c>
      <c r="N296" s="174">
        <f>ROUND(J296*L296,2)</f>
        <v>10877.2</v>
      </c>
      <c r="O296" s="227"/>
      <c r="P296" s="176"/>
      <c r="Q296" s="1022"/>
      <c r="R296" s="186"/>
      <c r="S296" s="227"/>
      <c r="T296" s="227"/>
      <c r="U296" s="184" t="s">
        <v>613</v>
      </c>
      <c r="V296" s="179">
        <v>246</v>
      </c>
      <c r="W296" s="180">
        <v>220</v>
      </c>
      <c r="X296" s="227"/>
      <c r="Y296" s="184"/>
      <c r="Z296" s="181"/>
      <c r="AA296" s="227"/>
      <c r="AB296" s="182">
        <f>SUM(AH296:AS296)</f>
        <v>32.18020105691209</v>
      </c>
      <c r="AC296" s="182">
        <f>SUM(AT296:BE296)</f>
        <v>32.383702063243447</v>
      </c>
      <c r="AD296" s="182">
        <f>SUM(BF296:BQ296)</f>
        <v>32.541818639598112</v>
      </c>
      <c r="AE296" s="182">
        <f>SUM(BR296:CC296)</f>
        <v>32.734066752967493</v>
      </c>
      <c r="AF296" s="182">
        <f>SUM(CD296:CO296)</f>
        <v>32.964783905919823</v>
      </c>
      <c r="AH296" s="168">
        <v>2.6659849926520991</v>
      </c>
      <c r="AI296" s="168">
        <v>7.2423755331803896</v>
      </c>
      <c r="AJ296" s="168">
        <v>5.5603069514172381</v>
      </c>
      <c r="AK296" s="168">
        <v>4.7639045031467377</v>
      </c>
      <c r="AL296" s="168">
        <v>2.1007870707417999</v>
      </c>
      <c r="AM296" s="168">
        <v>1.2647844503424448</v>
      </c>
      <c r="AN296" s="168">
        <v>1.3072551966023602</v>
      </c>
      <c r="AO296" s="168">
        <v>2.1217420753340832</v>
      </c>
      <c r="AP296" s="168">
        <v>1.7174550960166171</v>
      </c>
      <c r="AQ296" s="168">
        <v>1.2732333863577781</v>
      </c>
      <c r="AR296" s="168">
        <v>0.88814282228127184</v>
      </c>
      <c r="AS296" s="168">
        <v>1.2742289788392722</v>
      </c>
      <c r="AT296" s="168">
        <v>2.6739197455378458</v>
      </c>
      <c r="AU296" s="168">
        <v>7.3257489923462149</v>
      </c>
      <c r="AV296" s="168">
        <v>5.6199522271493958</v>
      </c>
      <c r="AW296" s="168">
        <v>4.8076729126417215</v>
      </c>
      <c r="AX296" s="168">
        <v>2.1129226250351039</v>
      </c>
      <c r="AY296" s="168">
        <v>1.2644129574150242</v>
      </c>
      <c r="AZ296" s="168">
        <v>1.3058319905735964</v>
      </c>
      <c r="BA296" s="168">
        <v>2.131266710251138</v>
      </c>
      <c r="BB296" s="168">
        <v>1.7203532940430932</v>
      </c>
      <c r="BC296" s="168">
        <v>1.2696110432850207</v>
      </c>
      <c r="BD296" s="168">
        <v>0.88233304470163876</v>
      </c>
      <c r="BE296" s="168">
        <v>1.26967652026365</v>
      </c>
      <c r="BF296" s="168">
        <v>2.6786832143021502</v>
      </c>
      <c r="BG296" s="168">
        <v>7.4021089452075906</v>
      </c>
      <c r="BH296" s="168">
        <v>5.6804442121017242</v>
      </c>
      <c r="BI296" s="168">
        <v>4.8443501010574188</v>
      </c>
      <c r="BJ296" s="168">
        <v>2.1191306712399003</v>
      </c>
      <c r="BK296" s="168">
        <v>1.2588425239727026</v>
      </c>
      <c r="BL296" s="168">
        <v>1.2997406762105876</v>
      </c>
      <c r="BM296" s="168">
        <v>2.13701917950522</v>
      </c>
      <c r="BN296" s="168">
        <v>1.7200127696698679</v>
      </c>
      <c r="BO296" s="168">
        <v>1.2633744085877727</v>
      </c>
      <c r="BP296" s="168">
        <v>0.8744612370162157</v>
      </c>
      <c r="BQ296" s="168">
        <v>1.2636507007269606</v>
      </c>
      <c r="BR296" s="168">
        <v>2.6822577242806158</v>
      </c>
      <c r="BS296" s="168">
        <v>7.4787837626297717</v>
      </c>
      <c r="BT296" s="168">
        <v>5.7409153473100751</v>
      </c>
      <c r="BU296" s="168">
        <v>4.8825837364053717</v>
      </c>
      <c r="BV296" s="168">
        <v>2.1273396366061244</v>
      </c>
      <c r="BW296" s="168">
        <v>1.2557166361286241</v>
      </c>
      <c r="BX296" s="168">
        <v>1.2967800319776188</v>
      </c>
      <c r="BY296" s="168">
        <v>2.146487970076314</v>
      </c>
      <c r="BZ296" s="168">
        <v>1.7242494283447551</v>
      </c>
      <c r="CA296" s="168">
        <v>1.2623935871550858</v>
      </c>
      <c r="CB296" s="168">
        <v>0.87308993177390382</v>
      </c>
      <c r="CC296" s="168">
        <v>1.2634689602792333</v>
      </c>
      <c r="CD296" s="168">
        <v>2.6980979304791859</v>
      </c>
      <c r="CE296" s="168">
        <v>7.560299561910111</v>
      </c>
      <c r="CF296" s="168">
        <v>5.8008820797488561</v>
      </c>
      <c r="CG296" s="168">
        <v>4.9245785660380319</v>
      </c>
      <c r="CH296" s="168">
        <v>2.1390001432830634</v>
      </c>
      <c r="CI296" s="168">
        <v>1.2560188724588219</v>
      </c>
      <c r="CJ296" s="168">
        <v>1.297252521136075</v>
      </c>
      <c r="CK296" s="168">
        <v>2.1586288303876802</v>
      </c>
      <c r="CL296" s="168">
        <v>1.7306013358736441</v>
      </c>
      <c r="CM296" s="168">
        <v>1.2627488468415309</v>
      </c>
      <c r="CN296" s="168">
        <v>0.87271077852360268</v>
      </c>
      <c r="CO296" s="168">
        <v>1.2639644392392209</v>
      </c>
    </row>
    <row r="297" spans="1:93" x14ac:dyDescent="0.2">
      <c r="A297" s="118">
        <f t="shared" si="30"/>
        <v>6</v>
      </c>
      <c r="B297" s="234" t="s">
        <v>216</v>
      </c>
      <c r="C297" s="223"/>
      <c r="D297" s="172">
        <f>SUMIF($AH$8:$CP$8,1,$AH297:$CP297)</f>
        <v>0</v>
      </c>
      <c r="E297" s="225" t="s">
        <v>545</v>
      </c>
      <c r="F297" s="183">
        <v>1214.08</v>
      </c>
      <c r="G297" s="233" t="s">
        <v>375</v>
      </c>
      <c r="H297" s="174">
        <f>ROUND(D297*F297,2)</f>
        <v>0</v>
      </c>
      <c r="I297" s="229"/>
      <c r="J297" s="172">
        <f>SUMIF($AH$8:$CP$8,1,$AH297:$CP297)</f>
        <v>0</v>
      </c>
      <c r="K297" s="225" t="s">
        <v>545</v>
      </c>
      <c r="L297" s="183">
        <f>ROUND(F297*(1+'Exhibit MJC-2 - Old E-8a'!V27)+(L294*(F297/F295)),2)</f>
        <v>1240.17</v>
      </c>
      <c r="M297" s="233" t="s">
        <v>375</v>
      </c>
      <c r="N297" s="174">
        <f>ROUND(J297*L297,2)</f>
        <v>0</v>
      </c>
      <c r="O297" s="227"/>
      <c r="P297" s="227"/>
      <c r="Q297" s="1022"/>
      <c r="R297" s="227"/>
      <c r="S297" s="227"/>
      <c r="T297" s="227"/>
      <c r="U297" s="184" t="s">
        <v>613</v>
      </c>
      <c r="V297" s="179">
        <v>246</v>
      </c>
      <c r="W297" s="180">
        <v>220</v>
      </c>
      <c r="X297" s="227"/>
      <c r="Y297" s="184"/>
      <c r="Z297" s="181"/>
      <c r="AA297" s="227"/>
      <c r="AB297" s="182">
        <f>SUM(AH297:AS297)</f>
        <v>0</v>
      </c>
      <c r="AC297" s="182">
        <f>SUM(AT297:BE297)</f>
        <v>0</v>
      </c>
      <c r="AD297" s="182">
        <f>SUM(BF297:BQ297)</f>
        <v>0</v>
      </c>
      <c r="AE297" s="182">
        <f>SUM(BR297:CC297)</f>
        <v>0</v>
      </c>
      <c r="AF297" s="182">
        <f>SUM(CD297:CO297)</f>
        <v>0</v>
      </c>
      <c r="AH297" s="168">
        <v>0</v>
      </c>
      <c r="AI297" s="168">
        <v>0</v>
      </c>
      <c r="AJ297" s="168">
        <v>0</v>
      </c>
      <c r="AK297" s="168">
        <v>0</v>
      </c>
      <c r="AL297" s="168">
        <v>0</v>
      </c>
      <c r="AM297" s="168">
        <v>0</v>
      </c>
      <c r="AN297" s="168">
        <v>0</v>
      </c>
      <c r="AO297" s="168">
        <v>0</v>
      </c>
      <c r="AP297" s="168">
        <v>0</v>
      </c>
      <c r="AQ297" s="168">
        <v>0</v>
      </c>
      <c r="AR297" s="168">
        <v>0</v>
      </c>
      <c r="AS297" s="168">
        <v>0</v>
      </c>
      <c r="AT297" s="168">
        <v>0</v>
      </c>
      <c r="AU297" s="168">
        <v>0</v>
      </c>
      <c r="AV297" s="168">
        <v>0</v>
      </c>
      <c r="AW297" s="168">
        <v>0</v>
      </c>
      <c r="AX297" s="168">
        <v>0</v>
      </c>
      <c r="AY297" s="168">
        <v>0</v>
      </c>
      <c r="AZ297" s="168">
        <v>0</v>
      </c>
      <c r="BA297" s="168">
        <v>0</v>
      </c>
      <c r="BB297" s="168">
        <v>0</v>
      </c>
      <c r="BC297" s="168">
        <v>0</v>
      </c>
      <c r="BD297" s="168">
        <v>0</v>
      </c>
      <c r="BE297" s="168">
        <v>0</v>
      </c>
      <c r="BF297" s="168">
        <v>0</v>
      </c>
      <c r="BG297" s="168">
        <v>0</v>
      </c>
      <c r="BH297" s="168">
        <v>0</v>
      </c>
      <c r="BI297" s="168">
        <v>0</v>
      </c>
      <c r="BJ297" s="168">
        <v>0</v>
      </c>
      <c r="BK297" s="168">
        <v>0</v>
      </c>
      <c r="BL297" s="168">
        <v>0</v>
      </c>
      <c r="BM297" s="168">
        <v>0</v>
      </c>
      <c r="BN297" s="168">
        <v>0</v>
      </c>
      <c r="BO297" s="168">
        <v>0</v>
      </c>
      <c r="BP297" s="168">
        <v>0</v>
      </c>
      <c r="BQ297" s="168">
        <v>0</v>
      </c>
      <c r="BR297" s="168">
        <v>0</v>
      </c>
      <c r="BS297" s="168">
        <v>0</v>
      </c>
      <c r="BT297" s="168">
        <v>0</v>
      </c>
      <c r="BU297" s="168">
        <v>0</v>
      </c>
      <c r="BV297" s="168">
        <v>0</v>
      </c>
      <c r="BW297" s="168">
        <v>0</v>
      </c>
      <c r="BX297" s="168">
        <v>0</v>
      </c>
      <c r="BY297" s="168">
        <v>0</v>
      </c>
      <c r="BZ297" s="168">
        <v>0</v>
      </c>
      <c r="CA297" s="168">
        <v>0</v>
      </c>
      <c r="CB297" s="168">
        <v>0</v>
      </c>
      <c r="CC297" s="168">
        <v>0</v>
      </c>
      <c r="CD297" s="168">
        <v>0</v>
      </c>
      <c r="CE297" s="168">
        <v>0</v>
      </c>
      <c r="CF297" s="168">
        <v>0</v>
      </c>
      <c r="CG297" s="168">
        <v>0</v>
      </c>
      <c r="CH297" s="168">
        <v>0</v>
      </c>
      <c r="CI297" s="168">
        <v>0</v>
      </c>
      <c r="CJ297" s="168">
        <v>0</v>
      </c>
      <c r="CK297" s="168">
        <v>0</v>
      </c>
      <c r="CL297" s="168">
        <v>0</v>
      </c>
      <c r="CM297" s="168">
        <v>0</v>
      </c>
      <c r="CN297" s="168">
        <v>0</v>
      </c>
      <c r="CO297" s="168">
        <v>0</v>
      </c>
    </row>
    <row r="298" spans="1:93" x14ac:dyDescent="0.2">
      <c r="A298" s="118">
        <f t="shared" si="30"/>
        <v>7</v>
      </c>
      <c r="B298" s="226" t="s">
        <v>546</v>
      </c>
      <c r="C298" s="223"/>
      <c r="D298" s="168"/>
      <c r="E298" s="225"/>
      <c r="F298" s="183"/>
      <c r="G298" s="233"/>
      <c r="H298" s="174"/>
      <c r="I298" s="229"/>
      <c r="J298" s="168"/>
      <c r="K298" s="225"/>
      <c r="L298" s="183"/>
      <c r="M298" s="233"/>
      <c r="N298" s="174"/>
      <c r="O298" s="227"/>
      <c r="P298" s="227"/>
      <c r="Q298" s="1022"/>
      <c r="R298" s="227"/>
      <c r="S298" s="227"/>
      <c r="T298" s="227"/>
      <c r="U298" s="178"/>
      <c r="V298" s="179"/>
      <c r="W298" s="180"/>
      <c r="X298" s="227"/>
      <c r="Y298" s="178"/>
      <c r="Z298" s="181"/>
      <c r="AA298" s="227"/>
      <c r="AB298" s="227"/>
    </row>
    <row r="299" spans="1:93" x14ac:dyDescent="0.2">
      <c r="A299" s="118">
        <f t="shared" si="30"/>
        <v>8</v>
      </c>
      <c r="B299" s="234" t="s">
        <v>149</v>
      </c>
      <c r="C299" s="223"/>
      <c r="D299" s="172">
        <f>SUMIF($AH$8:$CP$8,1,$AH299:$CP299)</f>
        <v>0</v>
      </c>
      <c r="E299" s="225" t="s">
        <v>545</v>
      </c>
      <c r="F299" s="183">
        <v>117.17</v>
      </c>
      <c r="G299" s="233" t="s">
        <v>375</v>
      </c>
      <c r="H299" s="174">
        <f>ROUND(D299*F299,2)</f>
        <v>0</v>
      </c>
      <c r="I299" s="229"/>
      <c r="J299" s="172">
        <f>SUMIF($AH$8:$CP$8,1,$AH299:$CP299)</f>
        <v>0</v>
      </c>
      <c r="K299" s="225" t="s">
        <v>545</v>
      </c>
      <c r="L299" s="183">
        <f>L295</f>
        <v>119.69</v>
      </c>
      <c r="M299" s="233" t="s">
        <v>375</v>
      </c>
      <c r="N299" s="174">
        <f>ROUND(J299*L299,2)</f>
        <v>0</v>
      </c>
      <c r="O299" s="227"/>
      <c r="P299" s="227"/>
      <c r="Q299" s="1022"/>
      <c r="R299" s="289"/>
      <c r="S299" s="230"/>
      <c r="T299" s="227"/>
      <c r="U299" s="178" t="s">
        <v>614</v>
      </c>
      <c r="V299" s="179">
        <v>249</v>
      </c>
      <c r="W299" s="180">
        <v>223</v>
      </c>
      <c r="X299" s="227"/>
      <c r="Y299" s="178"/>
      <c r="Z299" s="181"/>
      <c r="AA299" s="227"/>
      <c r="AB299" s="182">
        <f>SUM(AH299:AS299)</f>
        <v>0</v>
      </c>
      <c r="AC299" s="182">
        <f>SUM(AT299:BE299)</f>
        <v>0</v>
      </c>
      <c r="AD299" s="182">
        <f>SUM(BF299:BQ299)</f>
        <v>0</v>
      </c>
      <c r="AE299" s="182">
        <f>SUM(BR299:CC299)</f>
        <v>0</v>
      </c>
      <c r="AF299" s="182">
        <f>SUM(CD299:CO299)</f>
        <v>0</v>
      </c>
      <c r="AH299" s="168">
        <v>0</v>
      </c>
      <c r="AI299" s="168">
        <v>0</v>
      </c>
      <c r="AJ299" s="168">
        <v>0</v>
      </c>
      <c r="AK299" s="168">
        <v>0</v>
      </c>
      <c r="AL299" s="168">
        <v>0</v>
      </c>
      <c r="AM299" s="168">
        <v>0</v>
      </c>
      <c r="AN299" s="168">
        <v>0</v>
      </c>
      <c r="AO299" s="168">
        <v>0</v>
      </c>
      <c r="AP299" s="168">
        <v>0</v>
      </c>
      <c r="AQ299" s="168">
        <v>0</v>
      </c>
      <c r="AR299" s="168">
        <v>0</v>
      </c>
      <c r="AS299" s="168">
        <v>0</v>
      </c>
      <c r="AT299" s="168">
        <v>0</v>
      </c>
      <c r="AU299" s="168">
        <v>0</v>
      </c>
      <c r="AV299" s="168">
        <v>0</v>
      </c>
      <c r="AW299" s="168">
        <v>0</v>
      </c>
      <c r="AX299" s="168">
        <v>0</v>
      </c>
      <c r="AY299" s="168">
        <v>0</v>
      </c>
      <c r="AZ299" s="168">
        <v>0</v>
      </c>
      <c r="BA299" s="168">
        <v>0</v>
      </c>
      <c r="BB299" s="168">
        <v>0</v>
      </c>
      <c r="BC299" s="168">
        <v>0</v>
      </c>
      <c r="BD299" s="168">
        <v>0</v>
      </c>
      <c r="BE299" s="168">
        <v>0</v>
      </c>
      <c r="BF299" s="168">
        <v>0</v>
      </c>
      <c r="BG299" s="168">
        <v>0</v>
      </c>
      <c r="BH299" s="168">
        <v>0</v>
      </c>
      <c r="BI299" s="168">
        <v>0</v>
      </c>
      <c r="BJ299" s="168">
        <v>0</v>
      </c>
      <c r="BK299" s="168">
        <v>0</v>
      </c>
      <c r="BL299" s="168">
        <v>0</v>
      </c>
      <c r="BM299" s="168">
        <v>0</v>
      </c>
      <c r="BN299" s="168">
        <v>0</v>
      </c>
      <c r="BO299" s="168">
        <v>0</v>
      </c>
      <c r="BP299" s="168">
        <v>0</v>
      </c>
      <c r="BQ299" s="168">
        <v>0</v>
      </c>
      <c r="BR299" s="168">
        <v>0</v>
      </c>
      <c r="BS299" s="168">
        <v>0</v>
      </c>
      <c r="BT299" s="168">
        <v>0</v>
      </c>
      <c r="BU299" s="168">
        <v>0</v>
      </c>
      <c r="BV299" s="168">
        <v>0</v>
      </c>
      <c r="BW299" s="168">
        <v>0</v>
      </c>
      <c r="BX299" s="168">
        <v>0</v>
      </c>
      <c r="BY299" s="168">
        <v>0</v>
      </c>
      <c r="BZ299" s="168">
        <v>0</v>
      </c>
      <c r="CA299" s="168">
        <v>0</v>
      </c>
      <c r="CB299" s="168">
        <v>0</v>
      </c>
      <c r="CC299" s="168">
        <v>0</v>
      </c>
      <c r="CD299" s="168">
        <v>0</v>
      </c>
      <c r="CE299" s="168">
        <v>0</v>
      </c>
      <c r="CF299" s="168">
        <v>0</v>
      </c>
      <c r="CG299" s="168">
        <v>0</v>
      </c>
      <c r="CH299" s="168">
        <v>0</v>
      </c>
      <c r="CI299" s="168">
        <v>0</v>
      </c>
      <c r="CJ299" s="168">
        <v>0</v>
      </c>
      <c r="CK299" s="168">
        <v>0</v>
      </c>
      <c r="CL299" s="168">
        <v>0</v>
      </c>
      <c r="CM299" s="168">
        <v>0</v>
      </c>
      <c r="CN299" s="168">
        <v>0</v>
      </c>
      <c r="CO299" s="168">
        <v>0</v>
      </c>
    </row>
    <row r="300" spans="1:93" x14ac:dyDescent="0.2">
      <c r="A300" s="118">
        <f t="shared" si="30"/>
        <v>9</v>
      </c>
      <c r="B300" s="234" t="s">
        <v>148</v>
      </c>
      <c r="C300" s="223"/>
      <c r="D300" s="172">
        <f>SUMIF($AH$8:$CP$8,1,$AH300:$CP300)</f>
        <v>32.734066752967493</v>
      </c>
      <c r="E300" s="225" t="s">
        <v>545</v>
      </c>
      <c r="F300" s="183">
        <v>325.3</v>
      </c>
      <c r="G300" s="233" t="s">
        <v>375</v>
      </c>
      <c r="H300" s="174">
        <f>ROUND(D300*F300,2)</f>
        <v>10648.39</v>
      </c>
      <c r="I300" s="229"/>
      <c r="J300" s="172">
        <f>SUMIF($AH$8:$CP$8,1,$AH300:$CP300)</f>
        <v>32.734066752967493</v>
      </c>
      <c r="K300" s="225" t="s">
        <v>545</v>
      </c>
      <c r="L300" s="183">
        <f t="shared" ref="L300:L301" si="31">L296</f>
        <v>332.29</v>
      </c>
      <c r="M300" s="233" t="s">
        <v>375</v>
      </c>
      <c r="N300" s="174">
        <f>ROUND(J300*L300,2)</f>
        <v>10877.2</v>
      </c>
      <c r="O300" s="227"/>
      <c r="P300" s="176"/>
      <c r="Q300" s="1022"/>
      <c r="R300" s="259"/>
      <c r="S300" s="259"/>
      <c r="T300" s="227"/>
      <c r="U300" s="178" t="s">
        <v>614</v>
      </c>
      <c r="V300" s="179">
        <v>249</v>
      </c>
      <c r="W300" s="180">
        <v>223</v>
      </c>
      <c r="X300" s="227"/>
      <c r="Y300" s="178"/>
      <c r="Z300" s="181"/>
      <c r="AA300" s="227"/>
      <c r="AB300" s="182">
        <f>SUM(AH300:AS300)</f>
        <v>32.18020105691209</v>
      </c>
      <c r="AC300" s="182">
        <f>SUM(AT300:BE300)</f>
        <v>32.383702063243454</v>
      </c>
      <c r="AD300" s="182">
        <f>SUM(BF300:BQ300)</f>
        <v>32.541818639598112</v>
      </c>
      <c r="AE300" s="182">
        <f>SUM(BR300:CC300)</f>
        <v>32.734066752967493</v>
      </c>
      <c r="AF300" s="182">
        <f>SUM(CD300:CO300)</f>
        <v>32.96478390591983</v>
      </c>
      <c r="AH300" s="168">
        <v>2.6659849926520991</v>
      </c>
      <c r="AI300" s="168">
        <v>7.2423755331803905</v>
      </c>
      <c r="AJ300" s="168">
        <v>5.560306951417239</v>
      </c>
      <c r="AK300" s="168">
        <v>4.7639045031467377</v>
      </c>
      <c r="AL300" s="168">
        <v>2.1007870707417999</v>
      </c>
      <c r="AM300" s="168">
        <v>1.2647844503424452</v>
      </c>
      <c r="AN300" s="168">
        <v>1.3072551966023602</v>
      </c>
      <c r="AO300" s="168">
        <v>2.1217420753340832</v>
      </c>
      <c r="AP300" s="168">
        <v>1.7174550960166175</v>
      </c>
      <c r="AQ300" s="168">
        <v>1.2732333863577783</v>
      </c>
      <c r="AR300" s="168">
        <v>0.88814282228127184</v>
      </c>
      <c r="AS300" s="168">
        <v>1.2742289788392724</v>
      </c>
      <c r="AT300" s="168">
        <v>2.6739197455378458</v>
      </c>
      <c r="AU300" s="168">
        <v>7.3257489923462158</v>
      </c>
      <c r="AV300" s="168">
        <v>5.6199522271493967</v>
      </c>
      <c r="AW300" s="168">
        <v>4.8076729126417224</v>
      </c>
      <c r="AX300" s="168">
        <v>2.1129226250351039</v>
      </c>
      <c r="AY300" s="168">
        <v>1.2644129574150242</v>
      </c>
      <c r="AZ300" s="168">
        <v>1.3058319905735967</v>
      </c>
      <c r="BA300" s="168">
        <v>2.1312667102511385</v>
      </c>
      <c r="BB300" s="168">
        <v>1.7203532940430935</v>
      </c>
      <c r="BC300" s="168">
        <v>1.2696110432850207</v>
      </c>
      <c r="BD300" s="168">
        <v>0.88233304470163887</v>
      </c>
      <c r="BE300" s="168">
        <v>1.26967652026365</v>
      </c>
      <c r="BF300" s="168">
        <v>2.6786832143021506</v>
      </c>
      <c r="BG300" s="168">
        <v>7.4021089452075914</v>
      </c>
      <c r="BH300" s="168">
        <v>5.6804442121017251</v>
      </c>
      <c r="BI300" s="168">
        <v>4.8443501010574188</v>
      </c>
      <c r="BJ300" s="168">
        <v>2.1191306712399003</v>
      </c>
      <c r="BK300" s="168">
        <v>1.2588425239727026</v>
      </c>
      <c r="BL300" s="168">
        <v>1.2997406762105876</v>
      </c>
      <c r="BM300" s="168">
        <v>2.1370191795052205</v>
      </c>
      <c r="BN300" s="168">
        <v>1.7200127696698684</v>
      </c>
      <c r="BO300" s="168">
        <v>1.2633744085877729</v>
      </c>
      <c r="BP300" s="168">
        <v>0.87446123701621581</v>
      </c>
      <c r="BQ300" s="168">
        <v>1.2636507007269608</v>
      </c>
      <c r="BR300" s="168">
        <v>2.6822577242806158</v>
      </c>
      <c r="BS300" s="168">
        <v>7.4787837626297726</v>
      </c>
      <c r="BT300" s="168">
        <v>5.740915347310076</v>
      </c>
      <c r="BU300" s="168">
        <v>4.8825837364053726</v>
      </c>
      <c r="BV300" s="168">
        <v>2.1273396366061244</v>
      </c>
      <c r="BW300" s="168">
        <v>1.2557166361286241</v>
      </c>
      <c r="BX300" s="168">
        <v>1.296780031977619</v>
      </c>
      <c r="BY300" s="168">
        <v>2.146487970076314</v>
      </c>
      <c r="BZ300" s="168">
        <v>1.7242494283447551</v>
      </c>
      <c r="CA300" s="168">
        <v>1.2623935871550862</v>
      </c>
      <c r="CB300" s="168">
        <v>0.87308993177390404</v>
      </c>
      <c r="CC300" s="168">
        <v>1.2634689602792333</v>
      </c>
      <c r="CD300" s="168">
        <v>2.6980979304791868</v>
      </c>
      <c r="CE300" s="168">
        <v>7.5602995619101119</v>
      </c>
      <c r="CF300" s="168">
        <v>5.8008820797488569</v>
      </c>
      <c r="CG300" s="168">
        <v>4.9245785660380328</v>
      </c>
      <c r="CH300" s="168">
        <v>2.1390001432830634</v>
      </c>
      <c r="CI300" s="168">
        <v>1.2560188724588222</v>
      </c>
      <c r="CJ300" s="168">
        <v>1.2972525211360753</v>
      </c>
      <c r="CK300" s="168">
        <v>2.1586288303876802</v>
      </c>
      <c r="CL300" s="168">
        <v>1.7306013358736443</v>
      </c>
      <c r="CM300" s="168">
        <v>1.2627488468415311</v>
      </c>
      <c r="CN300" s="168">
        <v>0.87271077852360279</v>
      </c>
      <c r="CO300" s="168">
        <v>1.2639644392392211</v>
      </c>
    </row>
    <row r="301" spans="1:93" x14ac:dyDescent="0.2">
      <c r="A301" s="118">
        <f t="shared" si="30"/>
        <v>10</v>
      </c>
      <c r="B301" s="234" t="s">
        <v>216</v>
      </c>
      <c r="C301" s="223"/>
      <c r="D301" s="172">
        <f>SUMIF($AH$8:$CP$8,1,$AH301:$CP301)</f>
        <v>0</v>
      </c>
      <c r="E301" s="225" t="s">
        <v>545</v>
      </c>
      <c r="F301" s="183">
        <v>1214.08</v>
      </c>
      <c r="G301" s="233" t="s">
        <v>375</v>
      </c>
      <c r="H301" s="187">
        <f>ROUND(D301*F301,2)</f>
        <v>0</v>
      </c>
      <c r="I301" s="229"/>
      <c r="J301" s="172">
        <f>SUMIF($AH$8:$CP$8,1,$AH301:$CP301)</f>
        <v>0</v>
      </c>
      <c r="K301" s="225" t="s">
        <v>545</v>
      </c>
      <c r="L301" s="183">
        <f t="shared" si="31"/>
        <v>1240.17</v>
      </c>
      <c r="M301" s="233" t="s">
        <v>375</v>
      </c>
      <c r="N301" s="187">
        <f>ROUND(J301*L301,2)</f>
        <v>0</v>
      </c>
      <c r="O301" s="227"/>
      <c r="P301" s="227"/>
      <c r="Q301" s="227"/>
      <c r="R301" s="288"/>
      <c r="S301" s="227"/>
      <c r="T301" s="227"/>
      <c r="U301" s="178" t="s">
        <v>614</v>
      </c>
      <c r="V301" s="179">
        <v>249</v>
      </c>
      <c r="W301" s="180">
        <v>223</v>
      </c>
      <c r="X301" s="227"/>
      <c r="Y301" s="178"/>
      <c r="Z301" s="181"/>
      <c r="AA301" s="227"/>
      <c r="AB301" s="182">
        <f>SUM(AH301:AS301)</f>
        <v>0</v>
      </c>
      <c r="AC301" s="182">
        <f>SUM(AT301:BE301)</f>
        <v>0</v>
      </c>
      <c r="AD301" s="182">
        <f>SUM(BF301:BQ301)</f>
        <v>0</v>
      </c>
      <c r="AE301" s="182">
        <f>SUM(BR301:CC301)</f>
        <v>0</v>
      </c>
      <c r="AF301" s="182">
        <f>SUM(CD301:CO301)</f>
        <v>0</v>
      </c>
      <c r="AH301" s="168">
        <v>0</v>
      </c>
      <c r="AI301" s="168">
        <v>0</v>
      </c>
      <c r="AJ301" s="168">
        <v>0</v>
      </c>
      <c r="AK301" s="168">
        <v>0</v>
      </c>
      <c r="AL301" s="168">
        <v>0</v>
      </c>
      <c r="AM301" s="168">
        <v>0</v>
      </c>
      <c r="AN301" s="168">
        <v>0</v>
      </c>
      <c r="AO301" s="168">
        <v>0</v>
      </c>
      <c r="AP301" s="168">
        <v>0</v>
      </c>
      <c r="AQ301" s="168">
        <v>0</v>
      </c>
      <c r="AR301" s="168">
        <v>0</v>
      </c>
      <c r="AS301" s="168">
        <v>0</v>
      </c>
      <c r="AT301" s="168">
        <v>0</v>
      </c>
      <c r="AU301" s="168">
        <v>0</v>
      </c>
      <c r="AV301" s="168">
        <v>0</v>
      </c>
      <c r="AW301" s="168">
        <v>0</v>
      </c>
      <c r="AX301" s="168">
        <v>0</v>
      </c>
      <c r="AY301" s="168">
        <v>0</v>
      </c>
      <c r="AZ301" s="168">
        <v>0</v>
      </c>
      <c r="BA301" s="168">
        <v>0</v>
      </c>
      <c r="BB301" s="168">
        <v>0</v>
      </c>
      <c r="BC301" s="168">
        <v>0</v>
      </c>
      <c r="BD301" s="168">
        <v>0</v>
      </c>
      <c r="BE301" s="168">
        <v>0</v>
      </c>
      <c r="BF301" s="168">
        <v>0</v>
      </c>
      <c r="BG301" s="168">
        <v>0</v>
      </c>
      <c r="BH301" s="168">
        <v>0</v>
      </c>
      <c r="BI301" s="168">
        <v>0</v>
      </c>
      <c r="BJ301" s="168">
        <v>0</v>
      </c>
      <c r="BK301" s="168">
        <v>0</v>
      </c>
      <c r="BL301" s="168">
        <v>0</v>
      </c>
      <c r="BM301" s="168">
        <v>0</v>
      </c>
      <c r="BN301" s="168">
        <v>0</v>
      </c>
      <c r="BO301" s="168">
        <v>0</v>
      </c>
      <c r="BP301" s="168">
        <v>0</v>
      </c>
      <c r="BQ301" s="168">
        <v>0</v>
      </c>
      <c r="BR301" s="168">
        <v>0</v>
      </c>
      <c r="BS301" s="168">
        <v>0</v>
      </c>
      <c r="BT301" s="168">
        <v>0</v>
      </c>
      <c r="BU301" s="168">
        <v>0</v>
      </c>
      <c r="BV301" s="168">
        <v>0</v>
      </c>
      <c r="BW301" s="168">
        <v>0</v>
      </c>
      <c r="BX301" s="168">
        <v>0</v>
      </c>
      <c r="BY301" s="168">
        <v>0</v>
      </c>
      <c r="BZ301" s="168">
        <v>0</v>
      </c>
      <c r="CA301" s="168">
        <v>0</v>
      </c>
      <c r="CB301" s="168">
        <v>0</v>
      </c>
      <c r="CC301" s="168">
        <v>0</v>
      </c>
      <c r="CD301" s="168">
        <v>0</v>
      </c>
      <c r="CE301" s="168">
        <v>0</v>
      </c>
      <c r="CF301" s="168">
        <v>0</v>
      </c>
      <c r="CG301" s="168">
        <v>0</v>
      </c>
      <c r="CH301" s="168">
        <v>0</v>
      </c>
      <c r="CI301" s="168">
        <v>0</v>
      </c>
      <c r="CJ301" s="168">
        <v>0</v>
      </c>
      <c r="CK301" s="168">
        <v>0</v>
      </c>
      <c r="CL301" s="168">
        <v>0</v>
      </c>
      <c r="CM301" s="168">
        <v>0</v>
      </c>
      <c r="CN301" s="168">
        <v>0</v>
      </c>
      <c r="CO301" s="168">
        <v>0</v>
      </c>
    </row>
    <row r="302" spans="1:93" x14ac:dyDescent="0.2">
      <c r="A302" s="118">
        <f t="shared" si="30"/>
        <v>11</v>
      </c>
      <c r="B302" s="226"/>
      <c r="C302" s="223" t="s">
        <v>374</v>
      </c>
      <c r="D302" s="204">
        <f>SUM(D295:D301)</f>
        <v>72.207500190369473</v>
      </c>
      <c r="E302" s="237" t="s">
        <v>550</v>
      </c>
      <c r="F302" s="183"/>
      <c r="G302" s="233"/>
      <c r="H302" s="206">
        <f>SUM(H295:H297)+SUM(H299:H301)</f>
        <v>22086.43</v>
      </c>
      <c r="I302" s="229"/>
      <c r="J302" s="204">
        <f>SUM(J295:J301)</f>
        <v>72.207500190369473</v>
      </c>
      <c r="K302" s="237" t="s">
        <v>550</v>
      </c>
      <c r="L302" s="183"/>
      <c r="M302" s="233"/>
      <c r="N302" s="206">
        <f>SUM(N295:N297)+SUM(N299:N301)</f>
        <v>22561.03</v>
      </c>
      <c r="O302" s="227"/>
      <c r="Q302" s="1022"/>
      <c r="R302" s="227"/>
      <c r="S302" s="227"/>
      <c r="T302" s="227"/>
      <c r="U302" s="178"/>
      <c r="V302" s="179"/>
      <c r="W302" s="180"/>
      <c r="X302" s="227"/>
      <c r="Y302" s="178" t="s">
        <v>613</v>
      </c>
      <c r="Z302" s="181" t="s">
        <v>451</v>
      </c>
      <c r="AA302" s="227"/>
      <c r="AB302" s="204">
        <f>SUM(AB295:AB301)</f>
        <v>70.985737625541375</v>
      </c>
      <c r="AC302" s="204">
        <f>SUM(AC295:AC301)</f>
        <v>71.434636904213491</v>
      </c>
      <c r="AD302" s="204">
        <f>SUM(AD295:AD301)</f>
        <v>71.783423469701717</v>
      </c>
      <c r="AE302" s="204">
        <f>SUM(AE295:AE301)</f>
        <v>72.207500190369473</v>
      </c>
      <c r="AF302" s="204">
        <f>SUM(AF295:AF301)</f>
        <v>72.71643508658785</v>
      </c>
      <c r="AH302" s="204">
        <f t="shared" ref="AH302:CO302" si="32">SUM(AH295:AH301)</f>
        <v>5.8808492484972774</v>
      </c>
      <c r="AI302" s="204">
        <f t="shared" si="32"/>
        <v>15.975828382015568</v>
      </c>
      <c r="AJ302" s="204">
        <f t="shared" si="32"/>
        <v>12.265382981067438</v>
      </c>
      <c r="AK302" s="204">
        <f t="shared" si="32"/>
        <v>10.508612874588392</v>
      </c>
      <c r="AL302" s="204">
        <f t="shared" si="32"/>
        <v>4.634089126636324</v>
      </c>
      <c r="AM302" s="204">
        <f t="shared" si="32"/>
        <v>2.7899656992848052</v>
      </c>
      <c r="AN302" s="204">
        <f t="shared" si="32"/>
        <v>2.8836511689757947</v>
      </c>
      <c r="AO302" s="204">
        <f t="shared" si="32"/>
        <v>4.6803134014722421</v>
      </c>
      <c r="AP302" s="204">
        <f t="shared" si="32"/>
        <v>3.7885038882719497</v>
      </c>
      <c r="AQ302" s="204">
        <f t="shared" si="32"/>
        <v>2.8086030581421575</v>
      </c>
      <c r="AR302" s="204">
        <f t="shared" si="32"/>
        <v>1.9591385785616291</v>
      </c>
      <c r="AS302" s="204">
        <f t="shared" si="32"/>
        <v>2.8107992180278067</v>
      </c>
      <c r="AT302" s="204">
        <f t="shared" si="32"/>
        <v>5.8983523798628958</v>
      </c>
      <c r="AU302" s="204">
        <f t="shared" si="32"/>
        <v>16.159740424293123</v>
      </c>
      <c r="AV302" s="204">
        <f t="shared" si="32"/>
        <v>12.396953442241315</v>
      </c>
      <c r="AW302" s="204">
        <f t="shared" si="32"/>
        <v>10.605160836709681</v>
      </c>
      <c r="AX302" s="204">
        <f t="shared" si="32"/>
        <v>4.6608587316950825</v>
      </c>
      <c r="AY302" s="204">
        <f t="shared" si="32"/>
        <v>2.7891462295919651</v>
      </c>
      <c r="AZ302" s="204">
        <f t="shared" si="32"/>
        <v>2.8805117439123453</v>
      </c>
      <c r="BA302" s="204">
        <f t="shared" si="32"/>
        <v>4.7013236255539814</v>
      </c>
      <c r="BB302" s="204">
        <f t="shared" si="32"/>
        <v>3.7948969721538823</v>
      </c>
      <c r="BC302" s="204">
        <f t="shared" si="32"/>
        <v>2.8006125954816632</v>
      </c>
      <c r="BD302" s="204">
        <f t="shared" si="32"/>
        <v>1.9463228927242033</v>
      </c>
      <c r="BE302" s="204">
        <f t="shared" si="32"/>
        <v>2.8007570299933455</v>
      </c>
      <c r="BF302" s="204">
        <f t="shared" si="32"/>
        <v>5.9088600315488611</v>
      </c>
      <c r="BG302" s="204">
        <f t="shared" si="32"/>
        <v>16.32818149678145</v>
      </c>
      <c r="BH302" s="204">
        <f t="shared" si="32"/>
        <v>12.530391644342039</v>
      </c>
      <c r="BI302" s="204">
        <f t="shared" si="32"/>
        <v>10.686066399391365</v>
      </c>
      <c r="BJ302" s="204">
        <f t="shared" si="32"/>
        <v>4.6745529512644861</v>
      </c>
      <c r="BK302" s="204">
        <f t="shared" si="32"/>
        <v>2.7768585087633144</v>
      </c>
      <c r="BL302" s="204">
        <f t="shared" si="32"/>
        <v>2.8670750210527669</v>
      </c>
      <c r="BM302" s="204">
        <f t="shared" si="32"/>
        <v>4.7140128959673975</v>
      </c>
      <c r="BN302" s="204">
        <f t="shared" si="32"/>
        <v>3.7941458154482386</v>
      </c>
      <c r="BO302" s="204">
        <f t="shared" si="32"/>
        <v>2.7868553130612637</v>
      </c>
      <c r="BP302" s="204">
        <f t="shared" si="32"/>
        <v>1.9289586110651817</v>
      </c>
      <c r="BQ302" s="204">
        <f t="shared" si="32"/>
        <v>2.7874647810153546</v>
      </c>
      <c r="BR302" s="204">
        <f t="shared" si="32"/>
        <v>5.9167449800307708</v>
      </c>
      <c r="BS302" s="204">
        <f t="shared" si="32"/>
        <v>16.497317123448028</v>
      </c>
      <c r="BT302" s="204">
        <f t="shared" si="32"/>
        <v>12.66378385436046</v>
      </c>
      <c r="BU302" s="204">
        <f t="shared" si="32"/>
        <v>10.770405300894204</v>
      </c>
      <c r="BV302" s="204">
        <f t="shared" si="32"/>
        <v>4.6926609631017451</v>
      </c>
      <c r="BW302" s="204">
        <f t="shared" si="32"/>
        <v>2.7699631679307881</v>
      </c>
      <c r="BX302" s="204">
        <f t="shared" si="32"/>
        <v>2.8605441881859242</v>
      </c>
      <c r="BY302" s="204">
        <f t="shared" si="32"/>
        <v>4.7348999339918691</v>
      </c>
      <c r="BZ302" s="204">
        <f t="shared" si="32"/>
        <v>3.8034913860546071</v>
      </c>
      <c r="CA302" s="204">
        <f t="shared" si="32"/>
        <v>2.7846917363715131</v>
      </c>
      <c r="CB302" s="204">
        <f t="shared" si="32"/>
        <v>1.9259336730306704</v>
      </c>
      <c r="CC302" s="204">
        <f t="shared" si="32"/>
        <v>2.787063882968897</v>
      </c>
      <c r="CD302" s="204">
        <f t="shared" si="32"/>
        <v>5.9516866113511462</v>
      </c>
      <c r="CE302" s="204">
        <f t="shared" si="32"/>
        <v>16.677131386566423</v>
      </c>
      <c r="CF302" s="204">
        <f t="shared" si="32"/>
        <v>12.796063411210714</v>
      </c>
      <c r="CG302" s="204">
        <f t="shared" si="32"/>
        <v>10.863040954495659</v>
      </c>
      <c r="CH302" s="204">
        <f t="shared" si="32"/>
        <v>4.7183826690067576</v>
      </c>
      <c r="CI302" s="204">
        <f t="shared" si="32"/>
        <v>2.7706298657179897</v>
      </c>
      <c r="CJ302" s="204">
        <f t="shared" si="32"/>
        <v>2.8615864436825187</v>
      </c>
      <c r="CK302" s="204">
        <f t="shared" si="32"/>
        <v>4.7616812435022355</v>
      </c>
      <c r="CL302" s="204">
        <f t="shared" si="32"/>
        <v>3.8175029467800972</v>
      </c>
      <c r="CM302" s="204">
        <f t="shared" si="32"/>
        <v>2.7854753974445536</v>
      </c>
      <c r="CN302" s="204">
        <f t="shared" si="32"/>
        <v>1.9250973055667708</v>
      </c>
      <c r="CO302" s="204">
        <f t="shared" si="32"/>
        <v>2.7881568512629875</v>
      </c>
    </row>
    <row r="303" spans="1:93" x14ac:dyDescent="0.2">
      <c r="A303" s="118">
        <f t="shared" si="30"/>
        <v>12</v>
      </c>
      <c r="B303" s="226"/>
      <c r="C303" s="223"/>
      <c r="D303" s="168"/>
      <c r="E303" s="237"/>
      <c r="F303" s="183"/>
      <c r="G303" s="233"/>
      <c r="H303" s="203"/>
      <c r="I303" s="229"/>
      <c r="J303" s="168"/>
      <c r="K303" s="237"/>
      <c r="L303" s="183"/>
      <c r="M303" s="233"/>
      <c r="N303" s="203"/>
      <c r="O303" s="227"/>
      <c r="R303" s="227"/>
      <c r="S303" s="1361"/>
      <c r="T303" s="227"/>
      <c r="U303" s="178"/>
      <c r="V303" s="179"/>
      <c r="W303" s="180"/>
      <c r="X303" s="227"/>
      <c r="Y303" s="178"/>
      <c r="Z303" s="181"/>
      <c r="AA303" s="227"/>
      <c r="AB303" s="193">
        <f>SUM(AH303:AS303)</f>
        <v>0</v>
      </c>
      <c r="AC303" s="193">
        <f>SUM(AT303:BE303)</f>
        <v>0</v>
      </c>
      <c r="AD303" s="193">
        <f>SUM(BF303:BQ303)</f>
        <v>0</v>
      </c>
      <c r="AE303" s="193">
        <f>SUM(BR303:CC303)</f>
        <v>0</v>
      </c>
      <c r="AF303" s="193">
        <f>SUM(CD303:CO303)</f>
        <v>0</v>
      </c>
      <c r="AG303" s="114"/>
      <c r="AH303" s="193">
        <v>0</v>
      </c>
      <c r="AI303" s="193">
        <v>0</v>
      </c>
      <c r="AJ303" s="193">
        <v>0</v>
      </c>
      <c r="AK303" s="193">
        <v>0</v>
      </c>
      <c r="AL303" s="193">
        <v>0</v>
      </c>
      <c r="AM303" s="193">
        <v>0</v>
      </c>
      <c r="AN303" s="193">
        <v>0</v>
      </c>
      <c r="AO303" s="193">
        <v>0</v>
      </c>
      <c r="AP303" s="193">
        <v>0</v>
      </c>
      <c r="AQ303" s="193">
        <v>0</v>
      </c>
      <c r="AR303" s="193">
        <v>0</v>
      </c>
      <c r="AS303" s="193">
        <v>0</v>
      </c>
      <c r="AT303" s="193">
        <v>0</v>
      </c>
      <c r="AU303" s="193">
        <v>0</v>
      </c>
      <c r="AV303" s="193">
        <v>0</v>
      </c>
      <c r="AW303" s="193">
        <v>0</v>
      </c>
      <c r="AX303" s="193">
        <v>0</v>
      </c>
      <c r="AY303" s="193">
        <v>0</v>
      </c>
      <c r="AZ303" s="193">
        <v>0</v>
      </c>
      <c r="BA303" s="193">
        <v>0</v>
      </c>
      <c r="BB303" s="193">
        <v>0</v>
      </c>
      <c r="BC303" s="193">
        <v>0</v>
      </c>
      <c r="BD303" s="193">
        <v>0</v>
      </c>
      <c r="BE303" s="193">
        <v>0</v>
      </c>
      <c r="BF303" s="193">
        <v>0</v>
      </c>
      <c r="BG303" s="193">
        <v>0</v>
      </c>
      <c r="BH303" s="193">
        <v>0</v>
      </c>
      <c r="BI303" s="193">
        <v>0</v>
      </c>
      <c r="BJ303" s="193">
        <v>0</v>
      </c>
      <c r="BK303" s="193">
        <v>0</v>
      </c>
      <c r="BL303" s="193">
        <v>0</v>
      </c>
      <c r="BM303" s="193">
        <v>0</v>
      </c>
      <c r="BN303" s="193">
        <v>0</v>
      </c>
      <c r="BO303" s="193">
        <v>0</v>
      </c>
      <c r="BP303" s="193">
        <v>0</v>
      </c>
      <c r="BQ303" s="193">
        <v>0</v>
      </c>
      <c r="BR303" s="193">
        <v>0</v>
      </c>
      <c r="BS303" s="193">
        <v>0</v>
      </c>
      <c r="BT303" s="193">
        <v>0</v>
      </c>
      <c r="BU303" s="193">
        <v>0</v>
      </c>
      <c r="BV303" s="193">
        <v>0</v>
      </c>
      <c r="BW303" s="193">
        <v>0</v>
      </c>
      <c r="BX303" s="193">
        <v>0</v>
      </c>
      <c r="BY303" s="193">
        <v>0</v>
      </c>
      <c r="BZ303" s="193">
        <v>0</v>
      </c>
      <c r="CA303" s="193">
        <v>0</v>
      </c>
      <c r="CB303" s="193">
        <v>0</v>
      </c>
      <c r="CC303" s="193">
        <v>0</v>
      </c>
      <c r="CD303" s="193">
        <v>0</v>
      </c>
      <c r="CE303" s="193">
        <v>0</v>
      </c>
      <c r="CF303" s="193">
        <v>0</v>
      </c>
      <c r="CG303" s="193">
        <v>0</v>
      </c>
      <c r="CH303" s="193">
        <v>0</v>
      </c>
      <c r="CI303" s="193">
        <v>0</v>
      </c>
      <c r="CJ303" s="193">
        <v>0</v>
      </c>
      <c r="CK303" s="193">
        <v>0</v>
      </c>
      <c r="CL303" s="193">
        <v>0</v>
      </c>
      <c r="CM303" s="193">
        <v>0</v>
      </c>
      <c r="CN303" s="193">
        <v>0</v>
      </c>
      <c r="CO303" s="193">
        <v>0</v>
      </c>
    </row>
    <row r="304" spans="1:93" x14ac:dyDescent="0.2">
      <c r="A304" s="118">
        <f t="shared" si="30"/>
        <v>13</v>
      </c>
      <c r="B304" s="239" t="s">
        <v>594</v>
      </c>
      <c r="C304" s="223"/>
      <c r="D304" s="168"/>
      <c r="E304" s="225"/>
      <c r="F304" s="183"/>
      <c r="G304" s="233"/>
      <c r="H304" s="174"/>
      <c r="I304" s="229"/>
      <c r="J304" s="168"/>
      <c r="K304" s="225"/>
      <c r="L304" s="183"/>
      <c r="M304" s="233"/>
      <c r="N304" s="174"/>
      <c r="O304" s="227"/>
      <c r="R304" s="227"/>
      <c r="S304" s="263"/>
      <c r="T304" s="1293"/>
      <c r="U304" s="178"/>
      <c r="V304" s="179"/>
      <c r="W304" s="180"/>
      <c r="X304" s="227"/>
      <c r="Y304" s="178"/>
      <c r="Z304" s="181"/>
      <c r="AA304" s="227"/>
      <c r="AB304" s="227"/>
      <c r="AD304" s="260"/>
      <c r="AE304" s="260"/>
      <c r="AF304" s="260"/>
      <c r="AG304" s="114"/>
    </row>
    <row r="305" spans="1:93" x14ac:dyDescent="0.2">
      <c r="A305" s="118">
        <f t="shared" si="30"/>
        <v>14</v>
      </c>
      <c r="B305" s="228" t="s">
        <v>543</v>
      </c>
      <c r="C305" s="223"/>
      <c r="D305" s="168"/>
      <c r="E305" s="225"/>
      <c r="F305" s="183"/>
      <c r="G305" s="233"/>
      <c r="H305" s="174"/>
      <c r="I305" s="229"/>
      <c r="J305" s="168"/>
      <c r="K305" s="225"/>
      <c r="L305" s="1368">
        <v>0.09</v>
      </c>
      <c r="M305" s="233"/>
      <c r="N305" s="174"/>
      <c r="O305" s="227"/>
      <c r="R305" s="227"/>
      <c r="S305" s="263"/>
      <c r="T305" s="1293"/>
      <c r="U305" s="184"/>
      <c r="V305" s="179"/>
      <c r="W305" s="180"/>
      <c r="X305" s="227"/>
      <c r="Y305" s="184"/>
      <c r="Z305" s="181"/>
      <c r="AA305" s="227"/>
      <c r="AB305" s="227"/>
      <c r="AD305" s="260"/>
      <c r="AE305" s="260"/>
      <c r="AF305" s="260"/>
      <c r="AG305" s="114"/>
    </row>
    <row r="306" spans="1:93" x14ac:dyDescent="0.2">
      <c r="A306" s="118">
        <f t="shared" si="30"/>
        <v>15</v>
      </c>
      <c r="B306" s="234" t="s">
        <v>149</v>
      </c>
      <c r="C306" s="223"/>
      <c r="D306" s="172">
        <f>SUMIF($AH$8:$CP$8,1,$AH306:$CP306)</f>
        <v>0</v>
      </c>
      <c r="E306" s="225" t="s">
        <v>596</v>
      </c>
      <c r="F306" s="183">
        <v>13.88</v>
      </c>
      <c r="G306" s="233" t="s">
        <v>375</v>
      </c>
      <c r="H306" s="174">
        <f>ROUND(D306*F306,2)</f>
        <v>0</v>
      </c>
      <c r="I306" s="229"/>
      <c r="J306" s="172">
        <f>SUMIF($AH$8:$CP$8,1,$AH306:$CP306)</f>
        <v>0</v>
      </c>
      <c r="K306" s="225" t="s">
        <v>596</v>
      </c>
      <c r="L306" s="183">
        <f>ROUND(F306*(1+'Exhibit MJC-2 - Old E-8a'!V27)+L305,2)</f>
        <v>14.53</v>
      </c>
      <c r="M306" s="233" t="s">
        <v>375</v>
      </c>
      <c r="N306" s="174">
        <f>ROUND(J306*L306,2)</f>
        <v>0</v>
      </c>
      <c r="O306" s="227"/>
      <c r="R306" s="227"/>
      <c r="S306" s="263"/>
      <c r="T306" s="927"/>
      <c r="U306" s="184" t="s">
        <v>613</v>
      </c>
      <c r="V306" s="179">
        <v>246</v>
      </c>
      <c r="W306" s="180">
        <v>220</v>
      </c>
      <c r="X306" s="227"/>
      <c r="Y306" s="184"/>
      <c r="Z306" s="181"/>
      <c r="AA306" s="227"/>
      <c r="AB306" s="182">
        <f>SUM(AH306:AS306)</f>
        <v>0</v>
      </c>
      <c r="AC306" s="182">
        <f>SUM(AT306:BE306)</f>
        <v>0</v>
      </c>
      <c r="AD306" s="182">
        <f>SUM(BF306:BQ306)</f>
        <v>0</v>
      </c>
      <c r="AE306" s="182">
        <f>SUM(BR306:CC306)</f>
        <v>0</v>
      </c>
      <c r="AF306" s="182">
        <f>SUM(CD306:CO306)</f>
        <v>0</v>
      </c>
      <c r="AH306" s="168">
        <v>0</v>
      </c>
      <c r="AI306" s="168">
        <v>0</v>
      </c>
      <c r="AJ306" s="168">
        <v>0</v>
      </c>
      <c r="AK306" s="168">
        <v>0</v>
      </c>
      <c r="AL306" s="168">
        <v>0</v>
      </c>
      <c r="AM306" s="168">
        <v>0</v>
      </c>
      <c r="AN306" s="168">
        <v>0</v>
      </c>
      <c r="AO306" s="168">
        <v>0</v>
      </c>
      <c r="AP306" s="168">
        <v>0</v>
      </c>
      <c r="AQ306" s="168">
        <v>0</v>
      </c>
      <c r="AR306" s="168">
        <v>0</v>
      </c>
      <c r="AS306" s="168">
        <v>0</v>
      </c>
      <c r="AT306" s="168">
        <v>0</v>
      </c>
      <c r="AU306" s="168">
        <v>0</v>
      </c>
      <c r="AV306" s="168">
        <v>0</v>
      </c>
      <c r="AW306" s="168">
        <v>0</v>
      </c>
      <c r="AX306" s="168">
        <v>0</v>
      </c>
      <c r="AY306" s="168">
        <v>0</v>
      </c>
      <c r="AZ306" s="168">
        <v>0</v>
      </c>
      <c r="BA306" s="168">
        <v>0</v>
      </c>
      <c r="BB306" s="168">
        <v>0</v>
      </c>
      <c r="BC306" s="168">
        <v>0</v>
      </c>
      <c r="BD306" s="168">
        <v>0</v>
      </c>
      <c r="BE306" s="168">
        <v>0</v>
      </c>
      <c r="BF306" s="168">
        <v>0</v>
      </c>
      <c r="BG306" s="168">
        <v>0</v>
      </c>
      <c r="BH306" s="168">
        <v>0</v>
      </c>
      <c r="BI306" s="168">
        <v>0</v>
      </c>
      <c r="BJ306" s="168">
        <v>0</v>
      </c>
      <c r="BK306" s="168">
        <v>0</v>
      </c>
      <c r="BL306" s="168">
        <v>0</v>
      </c>
      <c r="BM306" s="168">
        <v>0</v>
      </c>
      <c r="BN306" s="168">
        <v>0</v>
      </c>
      <c r="BO306" s="168">
        <v>0</v>
      </c>
      <c r="BP306" s="168">
        <v>0</v>
      </c>
      <c r="BQ306" s="168">
        <v>0</v>
      </c>
      <c r="BR306" s="168">
        <v>0</v>
      </c>
      <c r="BS306" s="168">
        <v>0</v>
      </c>
      <c r="BT306" s="168">
        <v>0</v>
      </c>
      <c r="BU306" s="168">
        <v>0</v>
      </c>
      <c r="BV306" s="168">
        <v>0</v>
      </c>
      <c r="BW306" s="168">
        <v>0</v>
      </c>
      <c r="BX306" s="168">
        <v>0</v>
      </c>
      <c r="BY306" s="168">
        <v>0</v>
      </c>
      <c r="BZ306" s="168">
        <v>0</v>
      </c>
      <c r="CA306" s="168">
        <v>0</v>
      </c>
      <c r="CB306" s="168">
        <v>0</v>
      </c>
      <c r="CC306" s="168">
        <v>0</v>
      </c>
      <c r="CD306" s="168">
        <v>0</v>
      </c>
      <c r="CE306" s="168">
        <v>0</v>
      </c>
      <c r="CF306" s="168">
        <v>0</v>
      </c>
      <c r="CG306" s="168">
        <v>0</v>
      </c>
      <c r="CH306" s="168">
        <v>0</v>
      </c>
      <c r="CI306" s="168">
        <v>0</v>
      </c>
      <c r="CJ306" s="168">
        <v>0</v>
      </c>
      <c r="CK306" s="168">
        <v>0</v>
      </c>
      <c r="CL306" s="168">
        <v>0</v>
      </c>
      <c r="CM306" s="168">
        <v>0</v>
      </c>
      <c r="CN306" s="168">
        <v>0</v>
      </c>
      <c r="CO306" s="168">
        <v>0</v>
      </c>
    </row>
    <row r="307" spans="1:93" x14ac:dyDescent="0.2">
      <c r="A307" s="118">
        <f t="shared" si="30"/>
        <v>16</v>
      </c>
      <c r="B307" s="234" t="s">
        <v>148</v>
      </c>
      <c r="C307" s="223"/>
      <c r="D307" s="172">
        <f>SUMIF($AH$8:$CP$8,1,$AH307:$CP307)</f>
        <v>1026.8160018500821</v>
      </c>
      <c r="E307" s="225" t="s">
        <v>596</v>
      </c>
      <c r="F307" s="183">
        <v>12.58</v>
      </c>
      <c r="G307" s="233" t="s">
        <v>375</v>
      </c>
      <c r="H307" s="174">
        <f>ROUND(D307*F307,2)</f>
        <v>12917.35</v>
      </c>
      <c r="I307" s="229"/>
      <c r="J307" s="172">
        <f>SUMIF($AH$8:$CP$8,1,$AH307:$CP307)</f>
        <v>1026.8160018500821</v>
      </c>
      <c r="K307" s="225" t="s">
        <v>596</v>
      </c>
      <c r="L307" s="310">
        <f>ROUND(L306-DVC!G29,2)</f>
        <v>13.19</v>
      </c>
      <c r="M307" s="233" t="s">
        <v>375</v>
      </c>
      <c r="N307" s="174">
        <f>ROUND(J307*L307,2)</f>
        <v>13543.7</v>
      </c>
      <c r="O307" s="227"/>
      <c r="Q307" s="1022"/>
      <c r="R307" s="227"/>
      <c r="S307" s="1355"/>
      <c r="T307" s="327"/>
      <c r="U307" s="184" t="s">
        <v>613</v>
      </c>
      <c r="V307" s="179">
        <v>246</v>
      </c>
      <c r="W307" s="180">
        <v>220</v>
      </c>
      <c r="X307" s="227"/>
      <c r="Y307" s="184"/>
      <c r="Z307" s="181"/>
      <c r="AA307" s="227"/>
      <c r="AB307" s="182">
        <f>SUM(AH307:AS307)</f>
        <v>1010.0202379317366</v>
      </c>
      <c r="AC307" s="182">
        <f>SUM(AT307:BE307)</f>
        <v>1009.8694257570944</v>
      </c>
      <c r="AD307" s="182">
        <f>SUM(BF307:BQ307)</f>
        <v>1016.5342097808782</v>
      </c>
      <c r="AE307" s="182">
        <f>SUM(BR307:CC307)</f>
        <v>1026.8160018500821</v>
      </c>
      <c r="AF307" s="182">
        <f>SUM(CD307:CO307)</f>
        <v>1032.3913774279865</v>
      </c>
      <c r="AH307" s="168">
        <v>-2.4795460071609829</v>
      </c>
      <c r="AI307" s="168">
        <v>-5423.1620050934725</v>
      </c>
      <c r="AJ307" s="168">
        <v>-5949.7173601847335</v>
      </c>
      <c r="AK307" s="168">
        <v>12384.732945137435</v>
      </c>
      <c r="AL307" s="168">
        <v>0</v>
      </c>
      <c r="AM307" s="168">
        <v>0</v>
      </c>
      <c r="AN307" s="168">
        <v>0</v>
      </c>
      <c r="AO307" s="168">
        <v>-16.424118202121626</v>
      </c>
      <c r="AP307" s="168">
        <v>17.070322281788837</v>
      </c>
      <c r="AQ307" s="168">
        <v>0</v>
      </c>
      <c r="AR307" s="168">
        <v>0</v>
      </c>
      <c r="AS307" s="168">
        <v>0</v>
      </c>
      <c r="AT307" s="168">
        <v>-3.2575949648988702</v>
      </c>
      <c r="AU307" s="168">
        <v>-6988.6654448241889</v>
      </c>
      <c r="AV307" s="168">
        <v>-7429.6719808035832</v>
      </c>
      <c r="AW307" s="168">
        <v>15430.468178176654</v>
      </c>
      <c r="AX307" s="168">
        <v>0</v>
      </c>
      <c r="AY307" s="168">
        <v>0</v>
      </c>
      <c r="AZ307" s="168">
        <v>0</v>
      </c>
      <c r="BA307" s="168">
        <v>-20.62847733946505</v>
      </c>
      <c r="BB307" s="168">
        <v>21.624745512576514</v>
      </c>
      <c r="BC307" s="168">
        <v>0</v>
      </c>
      <c r="BD307" s="168">
        <v>0</v>
      </c>
      <c r="BE307" s="168">
        <v>0</v>
      </c>
      <c r="BF307" s="168">
        <v>-3.3691242734913387</v>
      </c>
      <c r="BG307" s="168">
        <v>-7321.5166631462198</v>
      </c>
      <c r="BH307" s="168">
        <v>-7807.3794774658454</v>
      </c>
      <c r="BI307" s="168">
        <v>16147.851992507336</v>
      </c>
      <c r="BJ307" s="168">
        <v>0</v>
      </c>
      <c r="BK307" s="168">
        <v>0</v>
      </c>
      <c r="BL307" s="168">
        <v>0</v>
      </c>
      <c r="BM307" s="168">
        <v>-21.519762089219867</v>
      </c>
      <c r="BN307" s="168">
        <v>22.467244248318483</v>
      </c>
      <c r="BO307" s="168">
        <v>0</v>
      </c>
      <c r="BP307" s="168">
        <v>0</v>
      </c>
      <c r="BQ307" s="168">
        <v>0</v>
      </c>
      <c r="BR307" s="168">
        <v>-3.5033043028003363</v>
      </c>
      <c r="BS307" s="168">
        <v>-7592.7618005256636</v>
      </c>
      <c r="BT307" s="168">
        <v>-8037.4617000938833</v>
      </c>
      <c r="BU307" s="168">
        <v>16659.675860670184</v>
      </c>
      <c r="BV307" s="168">
        <v>0</v>
      </c>
      <c r="BW307" s="168">
        <v>0</v>
      </c>
      <c r="BX307" s="168">
        <v>0</v>
      </c>
      <c r="BY307" s="168">
        <v>-22.376663291181405</v>
      </c>
      <c r="BZ307" s="168">
        <v>23.243609393426876</v>
      </c>
      <c r="CA307" s="168">
        <v>0</v>
      </c>
      <c r="CB307" s="168">
        <v>0</v>
      </c>
      <c r="CC307" s="168">
        <v>0</v>
      </c>
      <c r="CD307" s="168">
        <v>-2.7255263917902899</v>
      </c>
      <c r="CE307" s="168">
        <v>-5834.7601080542463</v>
      </c>
      <c r="CF307" s="168">
        <v>-6271.169191080885</v>
      </c>
      <c r="CG307" s="168">
        <v>13140.123915068303</v>
      </c>
      <c r="CH307" s="168">
        <v>0</v>
      </c>
      <c r="CI307" s="168">
        <v>0</v>
      </c>
      <c r="CJ307" s="168">
        <v>0</v>
      </c>
      <c r="CK307" s="168">
        <v>-17.339725846506326</v>
      </c>
      <c r="CL307" s="168">
        <v>18.262013733112404</v>
      </c>
      <c r="CM307" s="168">
        <v>0</v>
      </c>
      <c r="CN307" s="168">
        <v>0</v>
      </c>
      <c r="CO307" s="168">
        <v>0</v>
      </c>
    </row>
    <row r="308" spans="1:93" x14ac:dyDescent="0.2">
      <c r="A308" s="118">
        <f t="shared" si="30"/>
        <v>17</v>
      </c>
      <c r="B308" s="234" t="s">
        <v>597</v>
      </c>
      <c r="C308" s="223"/>
      <c r="D308" s="172">
        <f>SUMIF($AH$8:$CP$8,1,$AH308:$CP308)</f>
        <v>0</v>
      </c>
      <c r="E308" s="225" t="s">
        <v>596</v>
      </c>
      <c r="F308" s="183">
        <v>7.7</v>
      </c>
      <c r="G308" s="233" t="s">
        <v>375</v>
      </c>
      <c r="H308" s="174">
        <f>ROUND(D308*F308,2)</f>
        <v>0</v>
      </c>
      <c r="I308" s="229"/>
      <c r="J308" s="172">
        <f>SUMIF($AH$8:$CP$8,1,$AH308:$CP308)</f>
        <v>0</v>
      </c>
      <c r="K308" s="225" t="s">
        <v>596</v>
      </c>
      <c r="L308" s="310">
        <f>ROUND(L306-DVC!G30,2)</f>
        <v>8.06</v>
      </c>
      <c r="M308" s="233" t="s">
        <v>375</v>
      </c>
      <c r="N308" s="174">
        <f>ROUND(J308*L308,2)</f>
        <v>0</v>
      </c>
      <c r="O308" s="227"/>
      <c r="Q308" s="1022"/>
      <c r="R308" s="227"/>
      <c r="S308" s="1355"/>
      <c r="T308" s="227"/>
      <c r="U308" s="184" t="s">
        <v>613</v>
      </c>
      <c r="V308" s="179">
        <v>246</v>
      </c>
      <c r="W308" s="180">
        <v>220</v>
      </c>
      <c r="X308" s="227"/>
      <c r="Y308" s="184"/>
      <c r="Z308" s="181"/>
      <c r="AA308" s="227"/>
      <c r="AB308" s="182">
        <f>SUM(AH308:AS308)</f>
        <v>0</v>
      </c>
      <c r="AC308" s="182">
        <f>SUM(AT308:BE308)</f>
        <v>0</v>
      </c>
      <c r="AD308" s="182">
        <f>SUM(BF308:BQ308)</f>
        <v>0</v>
      </c>
      <c r="AE308" s="182">
        <f>SUM(BR308:CC308)</f>
        <v>0</v>
      </c>
      <c r="AF308" s="182">
        <f>SUM(CD308:CO308)</f>
        <v>0</v>
      </c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  <c r="AT308" s="168"/>
      <c r="AU308" s="168"/>
      <c r="AV308" s="168"/>
      <c r="AW308" s="168"/>
      <c r="AX308" s="168"/>
      <c r="AY308" s="168"/>
      <c r="AZ308" s="168"/>
      <c r="BA308" s="168"/>
      <c r="BB308" s="168"/>
      <c r="BC308" s="168"/>
      <c r="BD308" s="168"/>
      <c r="BE308" s="168"/>
      <c r="BF308" s="168"/>
      <c r="BG308" s="168"/>
      <c r="BH308" s="168"/>
      <c r="BI308" s="168"/>
      <c r="BJ308" s="168"/>
      <c r="BK308" s="168"/>
      <c r="BL308" s="168"/>
      <c r="BM308" s="168"/>
      <c r="BN308" s="168"/>
      <c r="BO308" s="168"/>
      <c r="BP308" s="168"/>
      <c r="BQ308" s="168"/>
      <c r="BR308" s="168"/>
      <c r="BS308" s="168"/>
      <c r="BT308" s="168"/>
      <c r="BU308" s="168"/>
      <c r="BV308" s="168"/>
      <c r="BW308" s="168"/>
      <c r="BX308" s="168"/>
      <c r="BY308" s="168"/>
      <c r="BZ308" s="168"/>
      <c r="CA308" s="168"/>
      <c r="CB308" s="168"/>
      <c r="CC308" s="168"/>
      <c r="CD308" s="168"/>
      <c r="CE308" s="168"/>
      <c r="CF308" s="168"/>
      <c r="CG308" s="168"/>
      <c r="CH308" s="168"/>
      <c r="CI308" s="168"/>
      <c r="CJ308" s="168"/>
      <c r="CK308" s="168"/>
      <c r="CL308" s="168"/>
      <c r="CM308" s="168"/>
      <c r="CN308" s="168"/>
      <c r="CO308" s="168"/>
    </row>
    <row r="309" spans="1:93" x14ac:dyDescent="0.2">
      <c r="A309" s="118">
        <f t="shared" si="30"/>
        <v>18</v>
      </c>
      <c r="B309" s="234" t="s">
        <v>598</v>
      </c>
      <c r="C309" s="223"/>
      <c r="D309" s="172">
        <f>SUMIF($AH$8:$CP$8,1,$AH309:$CP309)</f>
        <v>0</v>
      </c>
      <c r="E309" s="225" t="s">
        <v>596</v>
      </c>
      <c r="F309" s="183">
        <v>5.27</v>
      </c>
      <c r="G309" s="233" t="s">
        <v>375</v>
      </c>
      <c r="H309" s="174">
        <f>ROUND(D309*F309,2)</f>
        <v>0</v>
      </c>
      <c r="I309" s="229"/>
      <c r="J309" s="172">
        <f>SUMIF($AH$8:$CP$8,1,$AH309:$CP309)</f>
        <v>0</v>
      </c>
      <c r="K309" s="225" t="s">
        <v>596</v>
      </c>
      <c r="L309" s="310">
        <f>ROUND(L306-DVC!G31,2)</f>
        <v>5.49</v>
      </c>
      <c r="M309" s="233" t="s">
        <v>375</v>
      </c>
      <c r="N309" s="174">
        <f>ROUND(J309*L309,2)</f>
        <v>0</v>
      </c>
      <c r="O309" s="227"/>
      <c r="Q309" s="1022"/>
      <c r="R309" s="227"/>
      <c r="S309" s="1355"/>
      <c r="T309" s="227"/>
      <c r="U309" s="184" t="s">
        <v>613</v>
      </c>
      <c r="V309" s="179">
        <v>246</v>
      </c>
      <c r="W309" s="180">
        <v>220</v>
      </c>
      <c r="X309" s="227"/>
      <c r="Y309" s="184"/>
      <c r="Z309" s="181"/>
      <c r="AA309" s="227"/>
      <c r="AB309" s="182"/>
      <c r="AC309" s="182"/>
      <c r="AD309" s="182"/>
      <c r="AE309" s="182"/>
      <c r="AF309" s="182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  <c r="AT309" s="168"/>
      <c r="AU309" s="168"/>
      <c r="AV309" s="168"/>
      <c r="AW309" s="168"/>
      <c r="AX309" s="168"/>
      <c r="AY309" s="168"/>
      <c r="AZ309" s="168"/>
      <c r="BA309" s="168"/>
      <c r="BB309" s="168"/>
      <c r="BC309" s="168"/>
      <c r="BD309" s="168"/>
      <c r="BE309" s="168"/>
      <c r="BF309" s="168"/>
      <c r="BG309" s="168"/>
      <c r="BH309" s="168"/>
      <c r="BI309" s="168"/>
      <c r="BJ309" s="168"/>
      <c r="BK309" s="168"/>
      <c r="BL309" s="168"/>
      <c r="BM309" s="168"/>
      <c r="BN309" s="168"/>
      <c r="BO309" s="168"/>
      <c r="BP309" s="168"/>
      <c r="BQ309" s="168"/>
      <c r="BR309" s="168"/>
      <c r="BS309" s="168"/>
      <c r="BT309" s="168"/>
      <c r="BU309" s="168"/>
      <c r="BV309" s="168"/>
      <c r="BW309" s="168"/>
      <c r="BX309" s="168"/>
      <c r="BY309" s="168"/>
      <c r="BZ309" s="168"/>
      <c r="CA309" s="168"/>
      <c r="CB309" s="168"/>
      <c r="CC309" s="168"/>
      <c r="CD309" s="168"/>
      <c r="CE309" s="168"/>
      <c r="CF309" s="168"/>
      <c r="CG309" s="168"/>
      <c r="CH309" s="168"/>
      <c r="CI309" s="168"/>
      <c r="CJ309" s="168"/>
      <c r="CK309" s="168"/>
      <c r="CL309" s="168"/>
      <c r="CM309" s="168"/>
      <c r="CN309" s="168"/>
      <c r="CO309" s="168"/>
    </row>
    <row r="310" spans="1:93" x14ac:dyDescent="0.2">
      <c r="A310" s="118">
        <f t="shared" si="30"/>
        <v>19</v>
      </c>
      <c r="B310" s="226" t="s">
        <v>546</v>
      </c>
      <c r="C310" s="223"/>
      <c r="D310" s="168"/>
      <c r="E310" s="225"/>
      <c r="F310" s="183"/>
      <c r="G310" s="233"/>
      <c r="H310" s="174"/>
      <c r="I310" s="229"/>
      <c r="J310" s="168"/>
      <c r="K310" s="225"/>
      <c r="L310" s="183"/>
      <c r="M310" s="233"/>
      <c r="N310" s="174"/>
      <c r="O310" s="227"/>
      <c r="Q310" s="1022"/>
      <c r="R310" s="227"/>
      <c r="S310" s="1355"/>
      <c r="T310" s="227"/>
      <c r="U310" s="184"/>
      <c r="V310" s="179"/>
      <c r="W310" s="180"/>
      <c r="X310" s="227"/>
      <c r="Y310" s="184"/>
      <c r="Z310" s="181"/>
      <c r="AA310" s="227"/>
      <c r="AB310" s="264"/>
      <c r="AD310" s="260"/>
      <c r="AE310" s="260"/>
      <c r="AF310" s="260"/>
      <c r="AG310" s="114"/>
    </row>
    <row r="311" spans="1:93" x14ac:dyDescent="0.2">
      <c r="A311" s="118">
        <f t="shared" si="30"/>
        <v>20</v>
      </c>
      <c r="B311" s="234" t="s">
        <v>149</v>
      </c>
      <c r="C311" s="223"/>
      <c r="D311" s="168"/>
      <c r="E311" s="225"/>
      <c r="F311" s="183"/>
      <c r="G311" s="233"/>
      <c r="H311" s="174"/>
      <c r="I311" s="229"/>
      <c r="J311" s="168"/>
      <c r="K311" s="225"/>
      <c r="L311" s="1368">
        <v>0.05</v>
      </c>
      <c r="M311" s="233"/>
      <c r="N311" s="174"/>
      <c r="O311" s="227"/>
      <c r="Q311" s="1022"/>
      <c r="R311" s="227"/>
      <c r="S311" s="1355"/>
      <c r="T311" s="227"/>
      <c r="U311" s="178"/>
      <c r="V311" s="179"/>
      <c r="W311" s="180"/>
      <c r="X311" s="227"/>
      <c r="Y311" s="178"/>
      <c r="Z311" s="181"/>
      <c r="AA311" s="227"/>
      <c r="AB311" s="264"/>
      <c r="AC311" s="264"/>
      <c r="AF311" s="114"/>
      <c r="AG311" s="114"/>
    </row>
    <row r="312" spans="1:93" x14ac:dyDescent="0.2">
      <c r="A312" s="118">
        <f t="shared" si="30"/>
        <v>21</v>
      </c>
      <c r="B312" s="243" t="s">
        <v>559</v>
      </c>
      <c r="C312" s="223"/>
      <c r="D312" s="172">
        <f>SUMIF($AH$8:$CP$8,1,$AH312:$CP312)</f>
        <v>0</v>
      </c>
      <c r="E312" s="225" t="s">
        <v>596</v>
      </c>
      <c r="F312" s="183">
        <v>2.5</v>
      </c>
      <c r="G312" s="233" t="s">
        <v>375</v>
      </c>
      <c r="H312" s="174">
        <f>ROUND(D312*F312,2)</f>
        <v>0</v>
      </c>
      <c r="I312" s="229"/>
      <c r="J312" s="172">
        <f>SUMIF($AH$8:$CP$8,1,$AH312:$CP312)</f>
        <v>0</v>
      </c>
      <c r="K312" s="225" t="s">
        <v>596</v>
      </c>
      <c r="L312" s="310">
        <f>ROUND('MFR E-14A'!I113+(L311*T312),2)</f>
        <v>2.59</v>
      </c>
      <c r="M312" s="233" t="s">
        <v>375</v>
      </c>
      <c r="N312" s="174">
        <f>ROUND(J312*L312,2)</f>
        <v>0</v>
      </c>
      <c r="O312" s="227"/>
      <c r="Q312" s="1022"/>
      <c r="S312" s="1355"/>
      <c r="T312" s="227"/>
      <c r="U312" s="178" t="s">
        <v>614</v>
      </c>
      <c r="V312" s="179">
        <v>249</v>
      </c>
      <c r="W312" s="180">
        <v>223</v>
      </c>
      <c r="X312" s="264"/>
      <c r="Y312" s="178"/>
      <c r="Z312" s="181"/>
      <c r="AA312" s="264"/>
      <c r="AB312" s="182">
        <f>SUM(AH312:AS312)</f>
        <v>0</v>
      </c>
      <c r="AC312" s="182">
        <f>SUM(AT312:BE312)</f>
        <v>0</v>
      </c>
      <c r="AD312" s="182">
        <f>SUM(BF312:BQ312)</f>
        <v>0</v>
      </c>
      <c r="AE312" s="182">
        <f>SUM(BR312:CC312)</f>
        <v>0</v>
      </c>
      <c r="AF312" s="182">
        <f>SUM(CD312:CO312)</f>
        <v>0</v>
      </c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  <c r="AT312" s="168"/>
      <c r="AU312" s="168"/>
      <c r="AV312" s="168"/>
      <c r="AW312" s="168"/>
      <c r="AX312" s="168"/>
      <c r="AY312" s="168"/>
      <c r="AZ312" s="168"/>
      <c r="BA312" s="168"/>
      <c r="BB312" s="168"/>
      <c r="BC312" s="168"/>
      <c r="BD312" s="168"/>
      <c r="BE312" s="168"/>
      <c r="BF312" s="168"/>
      <c r="BG312" s="168"/>
      <c r="BH312" s="168"/>
      <c r="BI312" s="168"/>
      <c r="BJ312" s="168"/>
      <c r="BK312" s="168"/>
      <c r="BL312" s="168"/>
      <c r="BM312" s="168"/>
      <c r="BN312" s="168"/>
      <c r="BO312" s="168"/>
      <c r="BP312" s="168"/>
      <c r="BQ312" s="168"/>
      <c r="BR312" s="168"/>
      <c r="BS312" s="168"/>
      <c r="BT312" s="168"/>
      <c r="BU312" s="168"/>
      <c r="BV312" s="168"/>
      <c r="BW312" s="168"/>
      <c r="BX312" s="168"/>
      <c r="BY312" s="168"/>
      <c r="BZ312" s="168"/>
      <c r="CA312" s="168"/>
      <c r="CB312" s="168"/>
      <c r="CC312" s="168"/>
      <c r="CD312" s="168"/>
      <c r="CE312" s="168"/>
      <c r="CF312" s="168"/>
      <c r="CG312" s="168"/>
      <c r="CH312" s="168"/>
      <c r="CI312" s="168"/>
      <c r="CJ312" s="168"/>
      <c r="CK312" s="168"/>
      <c r="CL312" s="168"/>
      <c r="CM312" s="168"/>
      <c r="CN312" s="168"/>
      <c r="CO312" s="168"/>
    </row>
    <row r="313" spans="1:93" x14ac:dyDescent="0.2">
      <c r="A313" s="118">
        <f t="shared" si="30"/>
        <v>22</v>
      </c>
      <c r="B313" s="243" t="s">
        <v>599</v>
      </c>
      <c r="C313" s="223"/>
      <c r="D313" s="172">
        <f>SUMIF($AH$8:$CP$8,1,$AH313:$CP313)</f>
        <v>0</v>
      </c>
      <c r="E313" s="225" t="s">
        <v>596</v>
      </c>
      <c r="F313" s="183">
        <v>4.97</v>
      </c>
      <c r="G313" s="233" t="s">
        <v>375</v>
      </c>
      <c r="H313" s="174">
        <f>ROUND(D313*F313,2)</f>
        <v>0</v>
      </c>
      <c r="I313" s="229"/>
      <c r="J313" s="172">
        <f>SUMIF($AH$8:$CP$8,1,$AH313:$CP313)</f>
        <v>0</v>
      </c>
      <c r="K313" s="225" t="s">
        <v>596</v>
      </c>
      <c r="L313" s="310">
        <f>ROUND('MFR E-14A'!I114+(L311*T313),2)</f>
        <v>5.14</v>
      </c>
      <c r="M313" s="233" t="s">
        <v>375</v>
      </c>
      <c r="N313" s="174">
        <f>ROUND(J313*L313,2)</f>
        <v>0</v>
      </c>
      <c r="O313" s="227"/>
      <c r="Q313" s="1022"/>
      <c r="S313" s="1355"/>
      <c r="T313" s="927"/>
      <c r="U313" s="178" t="s">
        <v>614</v>
      </c>
      <c r="V313" s="179">
        <v>249</v>
      </c>
      <c r="W313" s="180">
        <v>223</v>
      </c>
      <c r="X313" s="264"/>
      <c r="Y313" s="178"/>
      <c r="Z313" s="181"/>
      <c r="AA313" s="264"/>
      <c r="AB313" s="182"/>
      <c r="AC313" s="182"/>
      <c r="AD313" s="182"/>
      <c r="AE313" s="182"/>
      <c r="AF313" s="182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  <c r="AT313" s="168"/>
      <c r="AU313" s="168"/>
      <c r="AV313" s="168"/>
      <c r="AW313" s="168"/>
      <c r="AX313" s="168"/>
      <c r="AY313" s="168"/>
      <c r="AZ313" s="168"/>
      <c r="BA313" s="168"/>
      <c r="BB313" s="168"/>
      <c r="BC313" s="168"/>
      <c r="BD313" s="168"/>
      <c r="BE313" s="168"/>
      <c r="BF313" s="168"/>
      <c r="BG313" s="168"/>
      <c r="BH313" s="168"/>
      <c r="BI313" s="168"/>
      <c r="BJ313" s="168"/>
      <c r="BK313" s="168"/>
      <c r="BL313" s="168"/>
      <c r="BM313" s="168"/>
      <c r="BN313" s="168"/>
      <c r="BO313" s="168"/>
      <c r="BP313" s="168"/>
      <c r="BQ313" s="168"/>
      <c r="BR313" s="168"/>
      <c r="BS313" s="168"/>
      <c r="BT313" s="168"/>
      <c r="BU313" s="168"/>
      <c r="BV313" s="168"/>
      <c r="BW313" s="168"/>
      <c r="BX313" s="168"/>
      <c r="BY313" s="168"/>
      <c r="BZ313" s="168"/>
      <c r="CA313" s="168"/>
      <c r="CB313" s="168"/>
      <c r="CC313" s="168"/>
      <c r="CD313" s="168"/>
      <c r="CE313" s="168"/>
      <c r="CF313" s="168"/>
      <c r="CG313" s="168"/>
      <c r="CH313" s="168"/>
      <c r="CI313" s="168"/>
      <c r="CJ313" s="168"/>
      <c r="CK313" s="168"/>
      <c r="CL313" s="168"/>
      <c r="CM313" s="168"/>
      <c r="CN313" s="168"/>
      <c r="CO313" s="168"/>
    </row>
    <row r="314" spans="1:93" x14ac:dyDescent="0.2">
      <c r="A314" s="118">
        <f t="shared" si="30"/>
        <v>23</v>
      </c>
      <c r="B314" s="243" t="s">
        <v>145</v>
      </c>
      <c r="C314" s="223"/>
      <c r="D314" s="172">
        <f>SUMIF($AH$8:$CP$8,1,$AH314:$CP314)</f>
        <v>0</v>
      </c>
      <c r="E314" s="225" t="s">
        <v>596</v>
      </c>
      <c r="F314" s="183">
        <v>2.21</v>
      </c>
      <c r="G314" s="233" t="s">
        <v>375</v>
      </c>
      <c r="H314" s="174">
        <f>ROUND(D314*F314,2)</f>
        <v>0</v>
      </c>
      <c r="I314" s="229"/>
      <c r="J314" s="172">
        <f>SUMIF($AH$8:$CP$8,1,$AH314:$CP314)</f>
        <v>0</v>
      </c>
      <c r="K314" s="225" t="s">
        <v>596</v>
      </c>
      <c r="L314" s="310">
        <f>ROUND('MFR E-14A'!I112+(L311*T314),2)</f>
        <v>2.3199999999999998</v>
      </c>
      <c r="M314" s="233" t="s">
        <v>375</v>
      </c>
      <c r="N314" s="174">
        <f>ROUND(J314*L314,2)</f>
        <v>0</v>
      </c>
      <c r="O314" s="227"/>
      <c r="Q314" s="1022"/>
      <c r="S314" s="1355"/>
      <c r="T314" s="927"/>
      <c r="U314" s="178" t="s">
        <v>614</v>
      </c>
      <c r="V314" s="179">
        <v>249</v>
      </c>
      <c r="W314" s="180">
        <v>223</v>
      </c>
      <c r="X314" s="264"/>
      <c r="Y314" s="178"/>
      <c r="Z314" s="181"/>
      <c r="AA314" s="264"/>
      <c r="AB314" s="182">
        <f>SUM(AH314:AS314)</f>
        <v>0</v>
      </c>
      <c r="AC314" s="182">
        <f>SUM(AT314:BE314)</f>
        <v>0</v>
      </c>
      <c r="AD314" s="182">
        <f>SUM(BF314:BQ314)</f>
        <v>0</v>
      </c>
      <c r="AE314" s="182">
        <f>SUM(BR314:CC314)</f>
        <v>0</v>
      </c>
      <c r="AF314" s="182">
        <f>SUM(CD314:CO314)</f>
        <v>0</v>
      </c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  <c r="AT314" s="168"/>
      <c r="AU314" s="168"/>
      <c r="AV314" s="168"/>
      <c r="AW314" s="168"/>
      <c r="AX314" s="168"/>
      <c r="AY314" s="168"/>
      <c r="AZ314" s="168"/>
      <c r="BA314" s="168"/>
      <c r="BB314" s="168"/>
      <c r="BC314" s="168"/>
      <c r="BD314" s="168"/>
      <c r="BE314" s="168"/>
      <c r="BF314" s="168"/>
      <c r="BG314" s="168"/>
      <c r="BH314" s="168"/>
      <c r="BI314" s="168"/>
      <c r="BJ314" s="168"/>
      <c r="BK314" s="168"/>
      <c r="BL314" s="168"/>
      <c r="BM314" s="168"/>
      <c r="BN314" s="168"/>
      <c r="BO314" s="168"/>
      <c r="BP314" s="168"/>
      <c r="BQ314" s="168"/>
      <c r="BR314" s="168"/>
      <c r="BS314" s="168"/>
      <c r="BT314" s="168"/>
      <c r="BU314" s="168"/>
      <c r="BV314" s="168"/>
      <c r="BW314" s="168"/>
      <c r="BX314" s="168"/>
      <c r="BY314" s="168"/>
      <c r="BZ314" s="168"/>
      <c r="CA314" s="168"/>
      <c r="CB314" s="168"/>
      <c r="CC314" s="168"/>
      <c r="CD314" s="168"/>
      <c r="CE314" s="168"/>
      <c r="CF314" s="168"/>
      <c r="CG314" s="168"/>
      <c r="CH314" s="168"/>
      <c r="CI314" s="168"/>
      <c r="CJ314" s="168"/>
      <c r="CK314" s="168"/>
      <c r="CL314" s="168"/>
      <c r="CM314" s="168"/>
      <c r="CN314" s="168"/>
      <c r="CO314" s="168"/>
    </row>
    <row r="315" spans="1:93" x14ac:dyDescent="0.2">
      <c r="A315" s="118">
        <f t="shared" si="30"/>
        <v>24</v>
      </c>
      <c r="B315" s="234" t="s">
        <v>148</v>
      </c>
      <c r="C315" s="223"/>
      <c r="D315" s="168"/>
      <c r="E315" s="225"/>
      <c r="F315" s="183"/>
      <c r="G315" s="233"/>
      <c r="H315" s="174"/>
      <c r="I315" s="229"/>
      <c r="J315" s="168"/>
      <c r="K315" s="225"/>
      <c r="L315" s="183"/>
      <c r="M315" s="233"/>
      <c r="N315" s="174"/>
      <c r="O315" s="227"/>
      <c r="Q315" s="1022"/>
      <c r="S315" s="1355"/>
      <c r="T315" s="227"/>
      <c r="U315" s="178"/>
      <c r="V315" s="179"/>
      <c r="W315" s="180"/>
      <c r="X315" s="227"/>
      <c r="Y315" s="178"/>
      <c r="Z315" s="181"/>
      <c r="AA315" s="227"/>
      <c r="AB315" s="264"/>
      <c r="AC315" s="264"/>
      <c r="AD315" s="242"/>
    </row>
    <row r="316" spans="1:93" x14ac:dyDescent="0.2">
      <c r="A316" s="118">
        <f t="shared" si="30"/>
        <v>25</v>
      </c>
      <c r="B316" s="243" t="s">
        <v>559</v>
      </c>
      <c r="C316" s="223"/>
      <c r="D316" s="172">
        <f>SUMIF($AH$8:$CP$8,1,$AH316:$CP316)</f>
        <v>108534.72452861042</v>
      </c>
      <c r="E316" s="225" t="s">
        <v>596</v>
      </c>
      <c r="F316" s="183">
        <v>2.5</v>
      </c>
      <c r="G316" s="233" t="s">
        <v>375</v>
      </c>
      <c r="H316" s="174">
        <f>ROUND(D316*F316,2)</f>
        <v>271336.81</v>
      </c>
      <c r="I316" s="229"/>
      <c r="J316" s="172">
        <f>SUMIF($AH$8:$CP$8,1,$AH316:$CP316)</f>
        <v>108534.72452861042</v>
      </c>
      <c r="K316" s="225" t="s">
        <v>596</v>
      </c>
      <c r="L316" s="183">
        <f>L312</f>
        <v>2.59</v>
      </c>
      <c r="M316" s="233" t="s">
        <v>375</v>
      </c>
      <c r="N316" s="174">
        <f>ROUND(J316*L316,2)</f>
        <v>281104.94</v>
      </c>
      <c r="O316" s="227"/>
      <c r="Q316" s="1022"/>
      <c r="S316" s="1355"/>
      <c r="T316" s="264"/>
      <c r="U316" s="178" t="s">
        <v>614</v>
      </c>
      <c r="V316" s="179">
        <v>249</v>
      </c>
      <c r="W316" s="180">
        <v>223</v>
      </c>
      <c r="X316" s="264"/>
      <c r="Y316" s="178"/>
      <c r="Z316" s="181"/>
      <c r="AA316" s="264"/>
      <c r="AB316" s="182">
        <f>SUM(AH316:AS316)</f>
        <v>106759.40781476791</v>
      </c>
      <c r="AC316" s="182">
        <f>SUM(AT316:BE316)</f>
        <v>106743.46692779238</v>
      </c>
      <c r="AD316" s="182">
        <f>SUM(BF316:BQ316)</f>
        <v>107447.93637193846</v>
      </c>
      <c r="AE316" s="182">
        <f>SUM(BR316:CC316)</f>
        <v>108534.72452861042</v>
      </c>
      <c r="AF316" s="182">
        <f>SUM(CD316:CO316)</f>
        <v>109124.04321024504</v>
      </c>
      <c r="AH316" s="168">
        <v>6254.6569913788308</v>
      </c>
      <c r="AI316" s="168">
        <v>26406.641689714481</v>
      </c>
      <c r="AJ316" s="168">
        <v>1477.2052894933711</v>
      </c>
      <c r="AK316" s="168">
        <v>8503.9008670353796</v>
      </c>
      <c r="AL316" s="168">
        <v>19122.627262678248</v>
      </c>
      <c r="AM316" s="168">
        <v>6132.0116458045468</v>
      </c>
      <c r="AN316" s="168">
        <v>6453.2662508590738</v>
      </c>
      <c r="AO316" s="168">
        <v>4525.7825683278797</v>
      </c>
      <c r="AP316" s="168">
        <v>7639.0379646710653</v>
      </c>
      <c r="AQ316" s="168">
        <v>6102.1291012941883</v>
      </c>
      <c r="AR316" s="168">
        <v>6823.7302423465371</v>
      </c>
      <c r="AS316" s="168">
        <v>7318.417941164319</v>
      </c>
      <c r="AT316" s="168">
        <v>6252.3894965239124</v>
      </c>
      <c r="AU316" s="168">
        <v>26887.210058669869</v>
      </c>
      <c r="AV316" s="168">
        <v>1457.3476622360231</v>
      </c>
      <c r="AW316" s="168">
        <v>8370.6591010973589</v>
      </c>
      <c r="AX316" s="168">
        <v>18911.719067332113</v>
      </c>
      <c r="AY316" s="168">
        <v>5968.9411055666205</v>
      </c>
      <c r="AZ316" s="168">
        <v>6485.6622649672699</v>
      </c>
      <c r="BA316" s="168">
        <v>4490.8423071567267</v>
      </c>
      <c r="BB316" s="168">
        <v>7645.3427954989402</v>
      </c>
      <c r="BC316" s="168">
        <v>6109.0887082681911</v>
      </c>
      <c r="BD316" s="168">
        <v>6846.1717603758043</v>
      </c>
      <c r="BE316" s="168">
        <v>7318.0926000995632</v>
      </c>
      <c r="BF316" s="168">
        <v>6294.5447291098517</v>
      </c>
      <c r="BG316" s="168">
        <v>27156.187069374228</v>
      </c>
      <c r="BH316" s="168">
        <v>1476.4733540961249</v>
      </c>
      <c r="BI316" s="168">
        <v>8445.4366523241952</v>
      </c>
      <c r="BJ316" s="168">
        <v>19013.70205632666</v>
      </c>
      <c r="BK316" s="168">
        <v>6037.9616653287394</v>
      </c>
      <c r="BL316" s="168">
        <v>6515.1492940537673</v>
      </c>
      <c r="BM316" s="168">
        <v>4516.7379555175594</v>
      </c>
      <c r="BN316" s="168">
        <v>7658.1269345128248</v>
      </c>
      <c r="BO316" s="168">
        <v>6081.417617565603</v>
      </c>
      <c r="BP316" s="168">
        <v>6845.7792818865482</v>
      </c>
      <c r="BQ316" s="168">
        <v>7406.4197618423668</v>
      </c>
      <c r="BR316" s="168">
        <v>6358.0229295197478</v>
      </c>
      <c r="BS316" s="168">
        <v>27481.271234363619</v>
      </c>
      <c r="BT316" s="168">
        <v>1483.2131254349054</v>
      </c>
      <c r="BU316" s="168">
        <v>8502.3350387065329</v>
      </c>
      <c r="BV316" s="168">
        <v>19032.184211174848</v>
      </c>
      <c r="BW316" s="168">
        <v>6161.2889056928434</v>
      </c>
      <c r="BX316" s="168">
        <v>6640.715615051261</v>
      </c>
      <c r="BY316" s="168">
        <v>4582.9706403127147</v>
      </c>
      <c r="BZ316" s="168">
        <v>7731.0884342993204</v>
      </c>
      <c r="CA316" s="168">
        <v>6177.3306706954127</v>
      </c>
      <c r="CB316" s="168">
        <v>6941.8318867308553</v>
      </c>
      <c r="CC316" s="168">
        <v>7442.4718366283341</v>
      </c>
      <c r="CD316" s="168">
        <v>6391.6806053109867</v>
      </c>
      <c r="CE316" s="168">
        <v>27328.75480100526</v>
      </c>
      <c r="CF316" s="168">
        <v>1497.5845307760144</v>
      </c>
      <c r="CG316" s="168">
        <v>8678.193150480527</v>
      </c>
      <c r="CH316" s="168">
        <v>19296.863919107251</v>
      </c>
      <c r="CI316" s="168">
        <v>6132.9414157871151</v>
      </c>
      <c r="CJ316" s="168">
        <v>6653.2538746409409</v>
      </c>
      <c r="CK316" s="168">
        <v>4595.7051625701351</v>
      </c>
      <c r="CL316" s="168">
        <v>7860.3868703430444</v>
      </c>
      <c r="CM316" s="168">
        <v>6203.8613489659883</v>
      </c>
      <c r="CN316" s="168">
        <v>7018.8931123399343</v>
      </c>
      <c r="CO316" s="168">
        <v>7465.9244189178435</v>
      </c>
    </row>
    <row r="317" spans="1:93" x14ac:dyDescent="0.2">
      <c r="A317" s="118">
        <f t="shared" si="30"/>
        <v>26</v>
      </c>
      <c r="B317" s="243" t="s">
        <v>599</v>
      </c>
      <c r="C317" s="223"/>
      <c r="D317" s="172">
        <f>SUMIF($AH$8:$CP$8,1,$AH317:$CP317)</f>
        <v>108765.62464294641</v>
      </c>
      <c r="E317" s="225" t="s">
        <v>596</v>
      </c>
      <c r="F317" s="183">
        <v>4.97</v>
      </c>
      <c r="G317" s="233" t="s">
        <v>375</v>
      </c>
      <c r="H317" s="174">
        <f>ROUND(D317*F317,2)</f>
        <v>540565.15</v>
      </c>
      <c r="I317" s="229"/>
      <c r="J317" s="172">
        <f>SUMIF($AH$8:$CP$8,1,$AH317:$CP317)</f>
        <v>108765.62464294641</v>
      </c>
      <c r="K317" s="225" t="s">
        <v>596</v>
      </c>
      <c r="L317" s="183">
        <f>L313</f>
        <v>5.14</v>
      </c>
      <c r="M317" s="233" t="s">
        <v>375</v>
      </c>
      <c r="N317" s="174">
        <f>ROUND(J317*L317,2)</f>
        <v>559055.31000000006</v>
      </c>
      <c r="O317" s="227"/>
      <c r="Q317" s="1022"/>
      <c r="S317" s="1361"/>
      <c r="T317" s="227"/>
      <c r="U317" s="178" t="s">
        <v>614</v>
      </c>
      <c r="V317" s="179">
        <v>249</v>
      </c>
      <c r="W317" s="180">
        <v>223</v>
      </c>
      <c r="X317" s="264"/>
      <c r="Y317" s="178"/>
      <c r="Z317" s="181"/>
      <c r="AA317" s="264"/>
      <c r="AB317" s="182"/>
      <c r="AC317" s="182"/>
      <c r="AD317" s="182"/>
      <c r="AE317" s="182"/>
      <c r="AF317" s="182"/>
      <c r="AH317" s="168">
        <v>0</v>
      </c>
      <c r="AI317" s="168">
        <v>17216.024450015258</v>
      </c>
      <c r="AJ317" s="168">
        <v>999.55326766015401</v>
      </c>
      <c r="AK317" s="168">
        <v>6337.2176354027506</v>
      </c>
      <c r="AL317" s="168">
        <v>19777.325447554536</v>
      </c>
      <c r="AM317" s="168">
        <v>8714.2803721103992</v>
      </c>
      <c r="AN317" s="168">
        <v>8883.1083749754052</v>
      </c>
      <c r="AO317" s="168">
        <v>7143.5401906645575</v>
      </c>
      <c r="AP317" s="168">
        <v>10759.923256882395</v>
      </c>
      <c r="AQ317" s="168">
        <v>9066.3777593753402</v>
      </c>
      <c r="AR317" s="168">
        <v>9597.9045006437991</v>
      </c>
      <c r="AS317" s="168">
        <v>8491.2758103870037</v>
      </c>
      <c r="AT317" s="168">
        <v>0</v>
      </c>
      <c r="AU317" s="168">
        <v>17559.679663472307</v>
      </c>
      <c r="AV317" s="168">
        <v>987.9188994095133</v>
      </c>
      <c r="AW317" s="168">
        <v>6249.3251971010513</v>
      </c>
      <c r="AX317" s="168">
        <v>19594.944786909415</v>
      </c>
      <c r="AY317" s="168">
        <v>8498.0422812462457</v>
      </c>
      <c r="AZ317" s="168">
        <v>8944.0195998934832</v>
      </c>
      <c r="BA317" s="168">
        <v>7101.3455930120217</v>
      </c>
      <c r="BB317" s="168">
        <v>10788.486044150217</v>
      </c>
      <c r="BC317" s="168">
        <v>9093.3076815018467</v>
      </c>
      <c r="BD317" s="168">
        <v>9647.0693655361938</v>
      </c>
      <c r="BE317" s="168">
        <v>8506.4171533300523</v>
      </c>
      <c r="BF317" s="168">
        <v>0</v>
      </c>
      <c r="BG317" s="168">
        <v>17751.695782815899</v>
      </c>
      <c r="BH317" s="168">
        <v>1001.7823962155445</v>
      </c>
      <c r="BI317" s="168">
        <v>6310.8118877076149</v>
      </c>
      <c r="BJ317" s="168">
        <v>19718.295809056381</v>
      </c>
      <c r="BK317" s="168">
        <v>8604.0237815423607</v>
      </c>
      <c r="BL317" s="168">
        <v>8992.7483779684899</v>
      </c>
      <c r="BM317" s="168">
        <v>7148.7053202690158</v>
      </c>
      <c r="BN317" s="168">
        <v>10816.226145935148</v>
      </c>
      <c r="BO317" s="168">
        <v>9060.2449563691589</v>
      </c>
      <c r="BP317" s="168">
        <v>9655.1752321066178</v>
      </c>
      <c r="BQ317" s="168">
        <v>8616.8147297056476</v>
      </c>
      <c r="BR317" s="168">
        <v>0</v>
      </c>
      <c r="BS317" s="168">
        <v>17952.984274065391</v>
      </c>
      <c r="BT317" s="168">
        <v>1005.7385732714876</v>
      </c>
      <c r="BU317" s="168">
        <v>6349.4353512868911</v>
      </c>
      <c r="BV317" s="168">
        <v>19725.366929460335</v>
      </c>
      <c r="BW317" s="168">
        <v>8774.3830358345258</v>
      </c>
      <c r="BX317" s="168">
        <v>9160.4480659644505</v>
      </c>
      <c r="BY317" s="168">
        <v>7249.0874675411696</v>
      </c>
      <c r="BZ317" s="168">
        <v>10912.584115743724</v>
      </c>
      <c r="CA317" s="168">
        <v>9197.4985101587899</v>
      </c>
      <c r="CB317" s="168">
        <v>9784.6461449087055</v>
      </c>
      <c r="CC317" s="168">
        <v>8653.452174710932</v>
      </c>
      <c r="CD317" s="168">
        <v>0</v>
      </c>
      <c r="CE317" s="168">
        <v>17840.217165370163</v>
      </c>
      <c r="CF317" s="168">
        <v>1014.7404319179387</v>
      </c>
      <c r="CG317" s="168">
        <v>6476.0214073760098</v>
      </c>
      <c r="CH317" s="168">
        <v>19985.051187569006</v>
      </c>
      <c r="CI317" s="168">
        <v>8727.6215176718197</v>
      </c>
      <c r="CJ317" s="168">
        <v>9171.0276504931189</v>
      </c>
      <c r="CK317" s="168">
        <v>7263.9106970424091</v>
      </c>
      <c r="CL317" s="168">
        <v>11086.972170357765</v>
      </c>
      <c r="CM317" s="168">
        <v>9230.2408250394128</v>
      </c>
      <c r="CN317" s="168">
        <v>9886.0256684280321</v>
      </c>
      <c r="CO317" s="168">
        <v>8674.3683380215771</v>
      </c>
    </row>
    <row r="318" spans="1:93" x14ac:dyDescent="0.2">
      <c r="A318" s="118">
        <f t="shared" si="30"/>
        <v>27</v>
      </c>
      <c r="B318" s="243" t="s">
        <v>145</v>
      </c>
      <c r="C318" s="223"/>
      <c r="D318" s="172">
        <f>SUMIF($AH$8:$CP$8,1,$AH318:$CP318)</f>
        <v>245588.00463218853</v>
      </c>
      <c r="E318" s="225" t="s">
        <v>596</v>
      </c>
      <c r="F318" s="183">
        <v>2.21</v>
      </c>
      <c r="G318" s="233" t="s">
        <v>375</v>
      </c>
      <c r="H318" s="174">
        <f>ROUND(D318*F318,2)</f>
        <v>542749.49</v>
      </c>
      <c r="I318" s="229"/>
      <c r="J318" s="172">
        <f>SUMIF($AH$8:$CP$8,1,$AH318:$CP318)</f>
        <v>245588.00463218853</v>
      </c>
      <c r="K318" s="225" t="s">
        <v>596</v>
      </c>
      <c r="L318" s="183">
        <f>L314</f>
        <v>2.3199999999999998</v>
      </c>
      <c r="M318" s="233" t="s">
        <v>375</v>
      </c>
      <c r="N318" s="174">
        <f>ROUND(J318*L318,2)</f>
        <v>569764.17000000004</v>
      </c>
      <c r="O318" s="227"/>
      <c r="Q318" s="1022"/>
      <c r="S318" s="263"/>
      <c r="T318" s="1293"/>
      <c r="U318" s="178" t="s">
        <v>614</v>
      </c>
      <c r="V318" s="179">
        <v>249</v>
      </c>
      <c r="W318" s="180">
        <v>223</v>
      </c>
      <c r="X318" s="264"/>
      <c r="Y318" s="178"/>
      <c r="Z318" s="181"/>
      <c r="AA318" s="264"/>
      <c r="AB318" s="182">
        <f>SUM(AH318:AS318)</f>
        <v>241570.8894532781</v>
      </c>
      <c r="AC318" s="182">
        <f>SUM(AT318:BE318)</f>
        <v>241534.8190560721</v>
      </c>
      <c r="AD318" s="182">
        <f>SUM(BF318:BQ318)</f>
        <v>243128.86414959954</v>
      </c>
      <c r="AE318" s="182">
        <f>SUM(BR318:CC318)</f>
        <v>245588.00463218853</v>
      </c>
      <c r="AF318" s="182">
        <f>SUM(CD318:CO318)</f>
        <v>246921.49121672375</v>
      </c>
      <c r="AH318" s="168">
        <v>6720.4486136367041</v>
      </c>
      <c r="AI318" s="168">
        <v>37758.38513013436</v>
      </c>
      <c r="AJ318" s="168">
        <v>2194.5293141515654</v>
      </c>
      <c r="AK318" s="168">
        <v>13913.425448155331</v>
      </c>
      <c r="AL318" s="168">
        <v>43421.318157233734</v>
      </c>
      <c r="AM318" s="168">
        <v>19132.290741341374</v>
      </c>
      <c r="AN318" s="168">
        <v>19502.95433009059</v>
      </c>
      <c r="AO318" s="168">
        <v>15683.714777833411</v>
      </c>
      <c r="AP318" s="168">
        <v>23623.520395791409</v>
      </c>
      <c r="AQ318" s="168">
        <v>19905.324118139659</v>
      </c>
      <c r="AR318" s="168">
        <v>21072.296457392396</v>
      </c>
      <c r="AS318" s="168">
        <v>18642.681969377554</v>
      </c>
      <c r="AT318" s="168">
        <v>6718.6843476078429</v>
      </c>
      <c r="AU318" s="168">
        <v>38513.650333026737</v>
      </c>
      <c r="AV318" s="168">
        <v>2168.9859409230098</v>
      </c>
      <c r="AW318" s="168">
        <v>13720.456710434275</v>
      </c>
      <c r="AX318" s="168">
        <v>43020.899571181813</v>
      </c>
      <c r="AY318" s="168">
        <v>18657.537824622486</v>
      </c>
      <c r="AZ318" s="168">
        <v>19636.685540790862</v>
      </c>
      <c r="BA318" s="168">
        <v>15591.076111698008</v>
      </c>
      <c r="BB318" s="168">
        <v>23686.230284279736</v>
      </c>
      <c r="BC318" s="168">
        <v>19964.449034686408</v>
      </c>
      <c r="BD318" s="168">
        <v>21180.238415788703</v>
      </c>
      <c r="BE318" s="168">
        <v>18675.924941032208</v>
      </c>
      <c r="BF318" s="168">
        <v>6763.5340082113053</v>
      </c>
      <c r="BG318" s="168">
        <v>38934.458872628056</v>
      </c>
      <c r="BH318" s="168">
        <v>2199.4233884526452</v>
      </c>
      <c r="BI318" s="168">
        <v>13855.451361877049</v>
      </c>
      <c r="BJ318" s="168">
        <v>43291.717988559161</v>
      </c>
      <c r="BK318" s="168">
        <v>18890.221281004982</v>
      </c>
      <c r="BL318" s="168">
        <v>19743.670066166596</v>
      </c>
      <c r="BM318" s="168">
        <v>15695.05487214865</v>
      </c>
      <c r="BN318" s="168">
        <v>23747.133958465187</v>
      </c>
      <c r="BO318" s="168">
        <v>19891.859487078531</v>
      </c>
      <c r="BP318" s="168">
        <v>21198.034927871573</v>
      </c>
      <c r="BQ318" s="168">
        <v>18918.303937135792</v>
      </c>
      <c r="BR318" s="168">
        <v>6831.8367153143436</v>
      </c>
      <c r="BS318" s="168">
        <v>39376.097006264485</v>
      </c>
      <c r="BT318" s="168">
        <v>2208.1092152135989</v>
      </c>
      <c r="BU318" s="168">
        <v>13940.249567016435</v>
      </c>
      <c r="BV318" s="168">
        <v>43307.242704962417</v>
      </c>
      <c r="BW318" s="168">
        <v>19264.246747758069</v>
      </c>
      <c r="BX318" s="168">
        <v>20111.856428202816</v>
      </c>
      <c r="BY318" s="168">
        <v>15915.444892304256</v>
      </c>
      <c r="BZ318" s="168">
        <v>23958.688856276749</v>
      </c>
      <c r="CA318" s="168">
        <v>20193.201053364362</v>
      </c>
      <c r="CB318" s="168">
        <v>21482.289627112626</v>
      </c>
      <c r="CC318" s="168">
        <v>18998.741818398419</v>
      </c>
      <c r="CD318" s="168">
        <v>6868.438556359928</v>
      </c>
      <c r="CE318" s="168">
        <v>39128.792705075881</v>
      </c>
      <c r="CF318" s="168">
        <v>2227.8728869664105</v>
      </c>
      <c r="CG318" s="168">
        <v>14218.170534150777</v>
      </c>
      <c r="CH318" s="168">
        <v>43877.382121521201</v>
      </c>
      <c r="CI318" s="168">
        <v>19161.581361427521</v>
      </c>
      <c r="CJ318" s="168">
        <v>20135.084013095868</v>
      </c>
      <c r="CK318" s="168">
        <v>15947.989442678261</v>
      </c>
      <c r="CL318" s="168">
        <v>24341.559594906052</v>
      </c>
      <c r="CM318" s="168">
        <v>20265.087137021423</v>
      </c>
      <c r="CN318" s="168">
        <v>21704.869396911869</v>
      </c>
      <c r="CO318" s="168">
        <v>19044.663466608563</v>
      </c>
    </row>
    <row r="319" spans="1:93" x14ac:dyDescent="0.2">
      <c r="A319" s="118">
        <f t="shared" si="30"/>
        <v>28</v>
      </c>
      <c r="B319" s="243" t="s">
        <v>601</v>
      </c>
      <c r="C319" s="223"/>
      <c r="D319" s="172">
        <f>D317</f>
        <v>108765.62464294641</v>
      </c>
      <c r="E319" s="225" t="s">
        <v>596</v>
      </c>
      <c r="F319" s="183">
        <v>-1.3</v>
      </c>
      <c r="G319" s="233" t="s">
        <v>375</v>
      </c>
      <c r="H319" s="174">
        <f>ROUND(D319*F319,2)</f>
        <v>-141395.31</v>
      </c>
      <c r="I319" s="229"/>
      <c r="J319" s="172">
        <f>J317</f>
        <v>108765.62464294641</v>
      </c>
      <c r="K319" s="225" t="s">
        <v>596</v>
      </c>
      <c r="L319" s="310">
        <f>ROUND(-DVC!G29,2)</f>
        <v>-1.34</v>
      </c>
      <c r="M319" s="233" t="s">
        <v>375</v>
      </c>
      <c r="N319" s="174">
        <f>ROUND(J319*L319,2)</f>
        <v>-145745.94</v>
      </c>
      <c r="O319" s="227"/>
      <c r="Q319" s="939"/>
      <c r="S319" s="263"/>
      <c r="T319" s="197"/>
      <c r="U319" s="178"/>
      <c r="V319" s="179"/>
      <c r="W319" s="180"/>
      <c r="X319" s="264"/>
      <c r="Y319" s="178"/>
      <c r="Z319" s="181"/>
      <c r="AA319" s="264"/>
      <c r="AB319" s="182"/>
      <c r="AC319" s="182"/>
      <c r="AD319" s="182"/>
      <c r="AE319" s="182"/>
      <c r="AF319" s="182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  <c r="AT319" s="168"/>
      <c r="AU319" s="168"/>
      <c r="AV319" s="168"/>
      <c r="AW319" s="168"/>
      <c r="AX319" s="168"/>
      <c r="AY319" s="168"/>
      <c r="AZ319" s="168"/>
      <c r="BA319" s="168"/>
      <c r="BB319" s="168"/>
      <c r="BC319" s="168"/>
      <c r="BD319" s="168"/>
      <c r="BE319" s="168"/>
      <c r="BF319" s="168"/>
      <c r="BG319" s="168"/>
      <c r="BH319" s="168"/>
      <c r="BI319" s="168"/>
      <c r="BJ319" s="168"/>
      <c r="BK319" s="168"/>
      <c r="BL319" s="168"/>
      <c r="BM319" s="168"/>
      <c r="BN319" s="168"/>
      <c r="BO319" s="168"/>
      <c r="BP319" s="168"/>
      <c r="BQ319" s="168"/>
      <c r="BR319" s="168"/>
      <c r="BS319" s="168"/>
      <c r="BT319" s="168"/>
      <c r="BU319" s="168"/>
      <c r="BV319" s="168"/>
      <c r="BW319" s="168"/>
      <c r="BX319" s="168"/>
      <c r="BY319" s="168"/>
      <c r="BZ319" s="168"/>
      <c r="CA319" s="168"/>
      <c r="CB319" s="168"/>
      <c r="CC319" s="168"/>
      <c r="CD319" s="168"/>
      <c r="CE319" s="168"/>
      <c r="CF319" s="168"/>
      <c r="CG319" s="168"/>
      <c r="CH319" s="168"/>
      <c r="CI319" s="168"/>
      <c r="CJ319" s="168"/>
      <c r="CK319" s="168"/>
      <c r="CL319" s="168"/>
      <c r="CM319" s="168"/>
      <c r="CN319" s="168"/>
      <c r="CO319" s="168"/>
    </row>
    <row r="320" spans="1:93" x14ac:dyDescent="0.2">
      <c r="A320" s="118">
        <f t="shared" si="30"/>
        <v>29</v>
      </c>
      <c r="B320" s="234" t="s">
        <v>216</v>
      </c>
      <c r="C320" s="223"/>
      <c r="D320" s="168"/>
      <c r="E320" s="225"/>
      <c r="F320" s="183"/>
      <c r="G320" s="233"/>
      <c r="H320" s="174"/>
      <c r="I320" s="229"/>
      <c r="J320" s="168"/>
      <c r="K320" s="225"/>
      <c r="L320" s="183"/>
      <c r="M320" s="233"/>
      <c r="N320" s="174"/>
      <c r="O320" s="227"/>
      <c r="Q320" s="227"/>
      <c r="S320" s="263"/>
      <c r="T320" s="927"/>
      <c r="U320" s="178"/>
      <c r="V320" s="179"/>
      <c r="W320" s="180"/>
      <c r="X320" s="227"/>
      <c r="Y320" s="178"/>
      <c r="Z320" s="181"/>
      <c r="AA320" s="227"/>
      <c r="AB320" s="264"/>
      <c r="AC320" s="264"/>
      <c r="AE320" s="245"/>
    </row>
    <row r="321" spans="1:93" x14ac:dyDescent="0.2">
      <c r="A321" s="118">
        <f t="shared" si="30"/>
        <v>30</v>
      </c>
      <c r="B321" s="243" t="s">
        <v>559</v>
      </c>
      <c r="C321" s="223"/>
      <c r="D321" s="172">
        <f>SUMIF($AH$8:$CP$8,1,$AH321:$CP321)</f>
        <v>0</v>
      </c>
      <c r="E321" s="225" t="s">
        <v>596</v>
      </c>
      <c r="F321" s="183">
        <v>2.5</v>
      </c>
      <c r="G321" s="233" t="s">
        <v>375</v>
      </c>
      <c r="H321" s="174">
        <f>ROUND(D321*F321,2)</f>
        <v>0</v>
      </c>
      <c r="I321" s="229"/>
      <c r="J321" s="172">
        <f>SUMIF($AH$8:$CP$8,1,$AH321:$CP321)</f>
        <v>0</v>
      </c>
      <c r="K321" s="225" t="s">
        <v>596</v>
      </c>
      <c r="L321" s="183">
        <f>L316</f>
        <v>2.59</v>
      </c>
      <c r="M321" s="233" t="s">
        <v>375</v>
      </c>
      <c r="N321" s="174">
        <f>ROUND(J321*L321,2)</f>
        <v>0</v>
      </c>
      <c r="O321" s="227"/>
      <c r="Q321" s="227"/>
      <c r="T321" s="264"/>
      <c r="U321" s="178" t="s">
        <v>614</v>
      </c>
      <c r="V321" s="179">
        <v>249</v>
      </c>
      <c r="W321" s="180">
        <v>223</v>
      </c>
      <c r="X321" s="264"/>
      <c r="Y321" s="178"/>
      <c r="Z321" s="181"/>
      <c r="AA321" s="264"/>
      <c r="AB321" s="182">
        <f>SUM(AH321:AS321)</f>
        <v>0</v>
      </c>
      <c r="AC321" s="182">
        <f>SUM(AT321:BE321)</f>
        <v>0</v>
      </c>
      <c r="AD321" s="182">
        <f>SUM(BF321:BQ321)</f>
        <v>0</v>
      </c>
      <c r="AE321" s="182">
        <f>SUM(BR321:CC321)</f>
        <v>0</v>
      </c>
      <c r="AF321" s="182">
        <f>SUM(CD321:CO321)</f>
        <v>0</v>
      </c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  <c r="AT321" s="168"/>
      <c r="AU321" s="168"/>
      <c r="AV321" s="168"/>
      <c r="AW321" s="168"/>
      <c r="AX321" s="168"/>
      <c r="AY321" s="168"/>
      <c r="AZ321" s="168"/>
      <c r="BA321" s="168"/>
      <c r="BB321" s="168"/>
      <c r="BC321" s="168"/>
      <c r="BD321" s="168"/>
      <c r="BE321" s="168"/>
      <c r="BF321" s="168"/>
      <c r="BG321" s="168"/>
      <c r="BH321" s="168"/>
      <c r="BI321" s="168"/>
      <c r="BJ321" s="168"/>
      <c r="BK321" s="168"/>
      <c r="BL321" s="168"/>
      <c r="BM321" s="168"/>
      <c r="BN321" s="168"/>
      <c r="BO321" s="168"/>
      <c r="BP321" s="168"/>
      <c r="BQ321" s="168"/>
      <c r="BR321" s="168"/>
      <c r="BS321" s="168"/>
      <c r="BT321" s="168"/>
      <c r="BU321" s="168"/>
      <c r="BV321" s="168"/>
      <c r="BW321" s="168"/>
      <c r="BX321" s="168"/>
      <c r="BY321" s="168"/>
      <c r="BZ321" s="168"/>
      <c r="CA321" s="168"/>
      <c r="CB321" s="168"/>
      <c r="CC321" s="168"/>
      <c r="CD321" s="168"/>
      <c r="CE321" s="168"/>
      <c r="CF321" s="168"/>
      <c r="CG321" s="168"/>
      <c r="CH321" s="168"/>
      <c r="CI321" s="168"/>
      <c r="CJ321" s="168"/>
      <c r="CK321" s="168"/>
      <c r="CL321" s="168"/>
      <c r="CM321" s="168"/>
      <c r="CN321" s="168"/>
      <c r="CO321" s="168"/>
    </row>
    <row r="322" spans="1:93" x14ac:dyDescent="0.2">
      <c r="A322" s="118">
        <f t="shared" si="30"/>
        <v>31</v>
      </c>
      <c r="B322" s="243" t="s">
        <v>599</v>
      </c>
      <c r="C322" s="223"/>
      <c r="D322" s="172">
        <f>SUMIF($AH$8:$CP$8,1,$AH322:$CP322)</f>
        <v>0</v>
      </c>
      <c r="E322" s="225" t="s">
        <v>596</v>
      </c>
      <c r="F322" s="183">
        <v>4.97</v>
      </c>
      <c r="G322" s="233" t="s">
        <v>375</v>
      </c>
      <c r="H322" s="174">
        <f>ROUND(D322*F322,2)</f>
        <v>0</v>
      </c>
      <c r="I322" s="229"/>
      <c r="J322" s="172">
        <f>SUMIF($AH$8:$CP$8,1,$AH322:$CP322)</f>
        <v>0</v>
      </c>
      <c r="K322" s="225" t="s">
        <v>596</v>
      </c>
      <c r="L322" s="183">
        <f>L317</f>
        <v>5.14</v>
      </c>
      <c r="M322" s="233" t="s">
        <v>375</v>
      </c>
      <c r="N322" s="174">
        <f>ROUND(J322*L322,2)</f>
        <v>0</v>
      </c>
      <c r="O322" s="227"/>
      <c r="Q322" s="227"/>
      <c r="T322" s="264"/>
      <c r="U322" s="178" t="s">
        <v>614</v>
      </c>
      <c r="V322" s="179">
        <v>249</v>
      </c>
      <c r="W322" s="180">
        <v>223</v>
      </c>
      <c r="X322" s="264"/>
      <c r="Y322" s="178"/>
      <c r="Z322" s="181"/>
      <c r="AA322" s="264"/>
      <c r="AB322" s="182"/>
      <c r="AC322" s="182"/>
      <c r="AD322" s="182"/>
      <c r="AE322" s="182"/>
      <c r="AF322" s="182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  <c r="AX322" s="168"/>
      <c r="AY322" s="168"/>
      <c r="AZ322" s="168"/>
      <c r="BA322" s="168"/>
      <c r="BB322" s="168"/>
      <c r="BC322" s="168"/>
      <c r="BD322" s="168"/>
      <c r="BE322" s="168"/>
      <c r="BF322" s="168"/>
      <c r="BG322" s="168"/>
      <c r="BH322" s="168"/>
      <c r="BI322" s="168"/>
      <c r="BJ322" s="168"/>
      <c r="BK322" s="168"/>
      <c r="BL322" s="168"/>
      <c r="BM322" s="168"/>
      <c r="BN322" s="168"/>
      <c r="BO322" s="168"/>
      <c r="BP322" s="168"/>
      <c r="BQ322" s="168"/>
      <c r="BR322" s="168"/>
      <c r="BS322" s="168"/>
      <c r="BT322" s="168"/>
      <c r="BU322" s="168"/>
      <c r="BV322" s="168"/>
      <c r="BW322" s="168"/>
      <c r="BX322" s="168"/>
      <c r="BY322" s="168"/>
      <c r="BZ322" s="168"/>
      <c r="CA322" s="168"/>
      <c r="CB322" s="168"/>
      <c r="CC322" s="168"/>
      <c r="CD322" s="168"/>
      <c r="CE322" s="168"/>
      <c r="CF322" s="168"/>
      <c r="CG322" s="168"/>
      <c r="CH322" s="168"/>
      <c r="CI322" s="168"/>
      <c r="CJ322" s="168"/>
      <c r="CK322" s="168"/>
      <c r="CL322" s="168"/>
      <c r="CM322" s="168"/>
      <c r="CN322" s="168"/>
      <c r="CO322" s="168"/>
    </row>
    <row r="323" spans="1:93" x14ac:dyDescent="0.2">
      <c r="A323" s="118">
        <f t="shared" si="30"/>
        <v>32</v>
      </c>
      <c r="B323" s="243" t="s">
        <v>145</v>
      </c>
      <c r="C323" s="223"/>
      <c r="D323" s="172">
        <f>SUMIF($AH$8:$CP$8,1,$AH323:$CP323)</f>
        <v>0</v>
      </c>
      <c r="E323" s="225" t="s">
        <v>596</v>
      </c>
      <c r="F323" s="183">
        <v>2.21</v>
      </c>
      <c r="G323" s="233" t="s">
        <v>375</v>
      </c>
      <c r="H323" s="174">
        <f>ROUND(D323*F323,2)</f>
        <v>0</v>
      </c>
      <c r="I323" s="229"/>
      <c r="J323" s="172">
        <f>SUMIF($AH$8:$CP$8,1,$AH323:$CP323)</f>
        <v>0</v>
      </c>
      <c r="K323" s="225" t="s">
        <v>596</v>
      </c>
      <c r="L323" s="183">
        <f>L318</f>
        <v>2.3199999999999998</v>
      </c>
      <c r="M323" s="233" t="s">
        <v>375</v>
      </c>
      <c r="N323" s="174">
        <f>ROUND(J323*L323,2)</f>
        <v>0</v>
      </c>
      <c r="O323" s="227"/>
      <c r="Q323" s="227"/>
      <c r="T323" s="264"/>
      <c r="U323" s="178" t="s">
        <v>614</v>
      </c>
      <c r="V323" s="179">
        <v>249</v>
      </c>
      <c r="W323" s="180">
        <v>223</v>
      </c>
      <c r="X323" s="264"/>
      <c r="Y323" s="178"/>
      <c r="Z323" s="181"/>
      <c r="AA323" s="264"/>
      <c r="AB323" s="182">
        <f>SUM(AH323:AS323)</f>
        <v>0</v>
      </c>
      <c r="AC323" s="182">
        <f>SUM(AT323:BE323)</f>
        <v>0</v>
      </c>
      <c r="AD323" s="182">
        <f>SUM(BF323:BQ323)</f>
        <v>0</v>
      </c>
      <c r="AE323" s="182">
        <f>SUM(BR323:CC323)</f>
        <v>0</v>
      </c>
      <c r="AF323" s="182">
        <f>SUM(CD323:CO323)</f>
        <v>0</v>
      </c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  <c r="AT323" s="168"/>
      <c r="AU323" s="168"/>
      <c r="AV323" s="168"/>
      <c r="AW323" s="168"/>
      <c r="AX323" s="168"/>
      <c r="AY323" s="168"/>
      <c r="AZ323" s="168"/>
      <c r="BA323" s="168"/>
      <c r="BB323" s="168"/>
      <c r="BC323" s="168"/>
      <c r="BD323" s="168"/>
      <c r="BE323" s="168"/>
      <c r="BF323" s="168"/>
      <c r="BG323" s="168"/>
      <c r="BH323" s="168"/>
      <c r="BI323" s="168"/>
      <c r="BJ323" s="168"/>
      <c r="BK323" s="168"/>
      <c r="BL323" s="168"/>
      <c r="BM323" s="168"/>
      <c r="BN323" s="168"/>
      <c r="BO323" s="168"/>
      <c r="BP323" s="168"/>
      <c r="BQ323" s="168"/>
      <c r="BR323" s="168"/>
      <c r="BS323" s="168"/>
      <c r="BT323" s="168"/>
      <c r="BU323" s="168"/>
      <c r="BV323" s="168"/>
      <c r="BW323" s="168"/>
      <c r="BX323" s="168"/>
      <c r="BY323" s="168"/>
      <c r="BZ323" s="168"/>
      <c r="CA323" s="168"/>
      <c r="CB323" s="168"/>
      <c r="CC323" s="168"/>
      <c r="CD323" s="168"/>
      <c r="CE323" s="168"/>
      <c r="CF323" s="168"/>
      <c r="CG323" s="168"/>
      <c r="CH323" s="168"/>
      <c r="CI323" s="168"/>
      <c r="CJ323" s="168"/>
      <c r="CK323" s="168"/>
      <c r="CL323" s="168"/>
      <c r="CM323" s="168"/>
      <c r="CN323" s="168"/>
      <c r="CO323" s="168"/>
    </row>
    <row r="324" spans="1:93" x14ac:dyDescent="0.2">
      <c r="A324" s="118">
        <f t="shared" si="30"/>
        <v>33</v>
      </c>
      <c r="B324" s="243" t="s">
        <v>601</v>
      </c>
      <c r="C324" s="223"/>
      <c r="D324" s="172">
        <f>D323</f>
        <v>0</v>
      </c>
      <c r="E324" s="225" t="s">
        <v>596</v>
      </c>
      <c r="F324" s="183">
        <v>-6.18</v>
      </c>
      <c r="G324" s="233" t="s">
        <v>375</v>
      </c>
      <c r="H324" s="174">
        <f>ROUND(D324*F324,2)</f>
        <v>0</v>
      </c>
      <c r="I324" s="229"/>
      <c r="J324" s="172">
        <f>J322</f>
        <v>0</v>
      </c>
      <c r="K324" s="225" t="s">
        <v>596</v>
      </c>
      <c r="L324" s="310">
        <f>ROUND(-DVC!G30,2)</f>
        <v>-6.47</v>
      </c>
      <c r="M324" s="233" t="s">
        <v>375</v>
      </c>
      <c r="N324" s="174">
        <f>ROUND(J324*L324,2)</f>
        <v>0</v>
      </c>
      <c r="O324" s="227"/>
      <c r="P324" s="227"/>
      <c r="Q324" s="227"/>
      <c r="T324" s="264"/>
      <c r="U324" s="178"/>
      <c r="V324" s="179"/>
      <c r="W324" s="180"/>
      <c r="X324" s="264"/>
      <c r="Y324" s="178"/>
      <c r="Z324" s="181"/>
      <c r="AA324" s="264"/>
      <c r="AB324" s="182"/>
      <c r="AC324" s="182"/>
      <c r="AD324" s="182"/>
      <c r="AE324" s="182"/>
      <c r="AF324" s="182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  <c r="AT324" s="168"/>
      <c r="AU324" s="168"/>
      <c r="AV324" s="168"/>
      <c r="AW324" s="168"/>
      <c r="AX324" s="168"/>
      <c r="AY324" s="168"/>
      <c r="AZ324" s="168"/>
      <c r="BA324" s="168"/>
      <c r="BB324" s="168"/>
      <c r="BC324" s="168"/>
      <c r="BD324" s="168"/>
      <c r="BE324" s="168"/>
      <c r="BF324" s="168"/>
      <c r="BG324" s="168"/>
      <c r="BH324" s="168"/>
      <c r="BI324" s="168"/>
      <c r="BJ324" s="168"/>
      <c r="BK324" s="168"/>
      <c r="BL324" s="168"/>
      <c r="BM324" s="168"/>
      <c r="BN324" s="168"/>
      <c r="BO324" s="168"/>
      <c r="BP324" s="168"/>
      <c r="BQ324" s="168"/>
      <c r="BR324" s="168"/>
      <c r="BS324" s="168"/>
      <c r="BT324" s="168"/>
      <c r="BU324" s="168"/>
      <c r="BV324" s="168"/>
      <c r="BW324" s="168"/>
      <c r="BX324" s="168"/>
      <c r="BY324" s="168"/>
      <c r="BZ324" s="168"/>
      <c r="CA324" s="168"/>
      <c r="CB324" s="168"/>
      <c r="CC324" s="168"/>
      <c r="CD324" s="168"/>
      <c r="CE324" s="168"/>
      <c r="CF324" s="168"/>
      <c r="CG324" s="168"/>
      <c r="CH324" s="168"/>
      <c r="CI324" s="168"/>
      <c r="CJ324" s="168"/>
      <c r="CK324" s="168"/>
      <c r="CL324" s="168"/>
      <c r="CM324" s="168"/>
      <c r="CN324" s="168"/>
      <c r="CO324" s="168"/>
    </row>
    <row r="325" spans="1:93" x14ac:dyDescent="0.2">
      <c r="A325" s="118">
        <f t="shared" si="30"/>
        <v>34</v>
      </c>
      <c r="B325" s="243"/>
      <c r="C325" s="223" t="s">
        <v>603</v>
      </c>
      <c r="D325" s="204">
        <f>D306+D307+D308+D314+D318+D323</f>
        <v>246614.82063403862</v>
      </c>
      <c r="E325" s="233" t="s">
        <v>615</v>
      </c>
      <c r="F325" s="205" t="s">
        <v>374</v>
      </c>
      <c r="G325" s="233"/>
      <c r="H325" s="206">
        <f>SUM(H306:H324)</f>
        <v>1226173.49</v>
      </c>
      <c r="I325" s="229"/>
      <c r="J325" s="204">
        <f>J306+J307+J308+J314+J318+J323</f>
        <v>246614.82063403862</v>
      </c>
      <c r="K325" s="233" t="s">
        <v>615</v>
      </c>
      <c r="L325" s="205" t="s">
        <v>374</v>
      </c>
      <c r="M325" s="233"/>
      <c r="N325" s="206">
        <f>SUM(N306:N324)</f>
        <v>1277722.1800000002</v>
      </c>
      <c r="O325" s="227"/>
      <c r="Q325" s="1022"/>
      <c r="T325" s="264"/>
      <c r="U325" s="178"/>
      <c r="V325" s="179"/>
      <c r="W325" s="180"/>
      <c r="X325" s="264"/>
      <c r="Y325" s="178" t="s">
        <v>613</v>
      </c>
      <c r="Z325" s="181" t="s">
        <v>146</v>
      </c>
      <c r="AA325" s="264"/>
      <c r="AB325" s="204">
        <f>AB306+AB307+AB308+AB314+AB318+AB323</f>
        <v>242580.90969120985</v>
      </c>
      <c r="AC325" s="204">
        <f>AC306+AC307+AC308+AC314+AC318+AC323</f>
        <v>242544.68848182919</v>
      </c>
      <c r="AD325" s="204">
        <f>AD306+AD307+AD308+AD314+AD318+AD323</f>
        <v>244145.39835938043</v>
      </c>
      <c r="AE325" s="204">
        <f>AE306+AE307+AE308+AE314+AE318+AE323</f>
        <v>246614.82063403862</v>
      </c>
      <c r="AF325" s="204">
        <f>AF306+AF307+AF308+AF314+AF318+AF323</f>
        <v>247953.88259415174</v>
      </c>
      <c r="AH325" s="204">
        <f t="shared" ref="AH325:CO325" si="33">AH306+AH307+AH308+AH314+AH318+AH323</f>
        <v>6717.9690676295431</v>
      </c>
      <c r="AI325" s="204">
        <f t="shared" si="33"/>
        <v>32335.223125040888</v>
      </c>
      <c r="AJ325" s="204">
        <f t="shared" si="33"/>
        <v>-3755.1880460331681</v>
      </c>
      <c r="AK325" s="204">
        <f t="shared" si="33"/>
        <v>26298.158393292768</v>
      </c>
      <c r="AL325" s="204">
        <f t="shared" si="33"/>
        <v>43421.318157233734</v>
      </c>
      <c r="AM325" s="204">
        <f t="shared" si="33"/>
        <v>19132.290741341374</v>
      </c>
      <c r="AN325" s="204">
        <f t="shared" si="33"/>
        <v>19502.95433009059</v>
      </c>
      <c r="AO325" s="204">
        <f t="shared" si="33"/>
        <v>15667.29065963129</v>
      </c>
      <c r="AP325" s="204">
        <f t="shared" si="33"/>
        <v>23640.590718073199</v>
      </c>
      <c r="AQ325" s="204">
        <f t="shared" si="33"/>
        <v>19905.324118139659</v>
      </c>
      <c r="AR325" s="204">
        <f t="shared" si="33"/>
        <v>21072.296457392396</v>
      </c>
      <c r="AS325" s="204">
        <f t="shared" si="33"/>
        <v>18642.681969377554</v>
      </c>
      <c r="AT325" s="204">
        <f t="shared" si="33"/>
        <v>6715.4267526429439</v>
      </c>
      <c r="AU325" s="204">
        <f t="shared" si="33"/>
        <v>31524.984888202547</v>
      </c>
      <c r="AV325" s="204">
        <f t="shared" si="33"/>
        <v>-5260.6860398805729</v>
      </c>
      <c r="AW325" s="204">
        <f t="shared" si="33"/>
        <v>29150.924888610927</v>
      </c>
      <c r="AX325" s="204">
        <f t="shared" si="33"/>
        <v>43020.899571181813</v>
      </c>
      <c r="AY325" s="204">
        <f t="shared" si="33"/>
        <v>18657.537824622486</v>
      </c>
      <c r="AZ325" s="204">
        <f t="shared" si="33"/>
        <v>19636.685540790862</v>
      </c>
      <c r="BA325" s="204">
        <f t="shared" si="33"/>
        <v>15570.447634358543</v>
      </c>
      <c r="BB325" s="204">
        <f t="shared" si="33"/>
        <v>23707.855029792314</v>
      </c>
      <c r="BC325" s="204">
        <f t="shared" si="33"/>
        <v>19964.449034686408</v>
      </c>
      <c r="BD325" s="204">
        <f t="shared" si="33"/>
        <v>21180.238415788703</v>
      </c>
      <c r="BE325" s="204">
        <f t="shared" si="33"/>
        <v>18675.924941032208</v>
      </c>
      <c r="BF325" s="204">
        <f t="shared" si="33"/>
        <v>6760.164883937814</v>
      </c>
      <c r="BG325" s="204">
        <f t="shared" si="33"/>
        <v>31612.942209481836</v>
      </c>
      <c r="BH325" s="204">
        <f t="shared" si="33"/>
        <v>-5607.9560890131997</v>
      </c>
      <c r="BI325" s="204">
        <f t="shared" si="33"/>
        <v>30003.303354384385</v>
      </c>
      <c r="BJ325" s="204">
        <f t="shared" si="33"/>
        <v>43291.717988559161</v>
      </c>
      <c r="BK325" s="204">
        <f t="shared" si="33"/>
        <v>18890.221281004982</v>
      </c>
      <c r="BL325" s="204">
        <f t="shared" si="33"/>
        <v>19743.670066166596</v>
      </c>
      <c r="BM325" s="204">
        <f t="shared" si="33"/>
        <v>15673.535110059431</v>
      </c>
      <c r="BN325" s="204">
        <f t="shared" si="33"/>
        <v>23769.601202713504</v>
      </c>
      <c r="BO325" s="204">
        <f t="shared" si="33"/>
        <v>19891.859487078531</v>
      </c>
      <c r="BP325" s="204">
        <f t="shared" si="33"/>
        <v>21198.034927871573</v>
      </c>
      <c r="BQ325" s="204">
        <f t="shared" si="33"/>
        <v>18918.303937135792</v>
      </c>
      <c r="BR325" s="204">
        <f t="shared" si="33"/>
        <v>6828.3334110115429</v>
      </c>
      <c r="BS325" s="204">
        <f t="shared" si="33"/>
        <v>31783.335205738822</v>
      </c>
      <c r="BT325" s="204">
        <f t="shared" si="33"/>
        <v>-5829.3524848802845</v>
      </c>
      <c r="BU325" s="204">
        <f t="shared" si="33"/>
        <v>30599.92542768662</v>
      </c>
      <c r="BV325" s="204">
        <f t="shared" si="33"/>
        <v>43307.242704962417</v>
      </c>
      <c r="BW325" s="204">
        <f t="shared" si="33"/>
        <v>19264.246747758069</v>
      </c>
      <c r="BX325" s="204">
        <f t="shared" si="33"/>
        <v>20111.856428202816</v>
      </c>
      <c r="BY325" s="204">
        <f t="shared" si="33"/>
        <v>15893.068229013075</v>
      </c>
      <c r="BZ325" s="204">
        <f t="shared" si="33"/>
        <v>23981.932465670176</v>
      </c>
      <c r="CA325" s="204">
        <f t="shared" si="33"/>
        <v>20193.201053364362</v>
      </c>
      <c r="CB325" s="204">
        <f t="shared" si="33"/>
        <v>21482.289627112626</v>
      </c>
      <c r="CC325" s="204">
        <f t="shared" si="33"/>
        <v>18998.741818398419</v>
      </c>
      <c r="CD325" s="204">
        <f t="shared" si="33"/>
        <v>6865.7130299681376</v>
      </c>
      <c r="CE325" s="204">
        <f t="shared" si="33"/>
        <v>33294.032597021636</v>
      </c>
      <c r="CF325" s="204">
        <f t="shared" si="33"/>
        <v>-4043.2963041144744</v>
      </c>
      <c r="CG325" s="204">
        <f t="shared" si="33"/>
        <v>27358.29444921908</v>
      </c>
      <c r="CH325" s="204">
        <f t="shared" si="33"/>
        <v>43877.382121521201</v>
      </c>
      <c r="CI325" s="204">
        <f t="shared" si="33"/>
        <v>19161.581361427521</v>
      </c>
      <c r="CJ325" s="204">
        <f t="shared" si="33"/>
        <v>20135.084013095868</v>
      </c>
      <c r="CK325" s="204">
        <f t="shared" si="33"/>
        <v>15930.649716831755</v>
      </c>
      <c r="CL325" s="204">
        <f t="shared" si="33"/>
        <v>24359.821608639166</v>
      </c>
      <c r="CM325" s="204">
        <f t="shared" si="33"/>
        <v>20265.087137021423</v>
      </c>
      <c r="CN325" s="204">
        <f t="shared" si="33"/>
        <v>21704.869396911869</v>
      </c>
      <c r="CO325" s="204">
        <f t="shared" si="33"/>
        <v>19044.663466608563</v>
      </c>
    </row>
    <row r="326" spans="1:93" x14ac:dyDescent="0.2">
      <c r="A326" s="118">
        <f t="shared" si="30"/>
        <v>35</v>
      </c>
      <c r="F326" s="197"/>
      <c r="H326" s="203"/>
      <c r="I326" s="229"/>
      <c r="L326" s="197"/>
      <c r="U326" s="184"/>
      <c r="V326" s="179"/>
      <c r="W326" s="180"/>
      <c r="Y326" s="184"/>
      <c r="Z326" s="181"/>
      <c r="AB326" s="193">
        <f>SUM(AH326:AS326)</f>
        <v>0</v>
      </c>
      <c r="AC326" s="193">
        <f>SUM(AT326:BE326)</f>
        <v>0</v>
      </c>
      <c r="AD326" s="193">
        <f>SUM(BF326:BQ326)</f>
        <v>0</v>
      </c>
      <c r="AE326" s="193">
        <f>SUM(BR326:CC326)</f>
        <v>0</v>
      </c>
      <c r="AF326" s="193">
        <f>SUM(CD326:CO326)</f>
        <v>0</v>
      </c>
      <c r="AH326" s="294">
        <v>0</v>
      </c>
      <c r="AI326" s="294">
        <v>0</v>
      </c>
      <c r="AJ326" s="294">
        <v>0</v>
      </c>
      <c r="AK326" s="294">
        <v>0</v>
      </c>
      <c r="AL326" s="294">
        <v>0</v>
      </c>
      <c r="AM326" s="294">
        <v>0</v>
      </c>
      <c r="AN326" s="294">
        <v>0</v>
      </c>
      <c r="AO326" s="294">
        <v>0</v>
      </c>
      <c r="AP326" s="294">
        <v>0</v>
      </c>
      <c r="AQ326" s="294">
        <v>0</v>
      </c>
      <c r="AR326" s="294">
        <v>0</v>
      </c>
      <c r="AS326" s="294">
        <v>0</v>
      </c>
      <c r="AT326" s="294">
        <v>0</v>
      </c>
      <c r="AU326" s="294">
        <v>0</v>
      </c>
      <c r="AV326" s="294">
        <v>0</v>
      </c>
      <c r="AW326" s="294">
        <v>0</v>
      </c>
      <c r="AX326" s="294">
        <v>0</v>
      </c>
      <c r="AY326" s="294">
        <v>0</v>
      </c>
      <c r="AZ326" s="294">
        <v>0</v>
      </c>
      <c r="BA326" s="294">
        <v>0</v>
      </c>
      <c r="BB326" s="294">
        <v>0</v>
      </c>
      <c r="BC326" s="294">
        <v>0</v>
      </c>
      <c r="BD326" s="294">
        <v>0</v>
      </c>
      <c r="BE326" s="294">
        <v>0</v>
      </c>
      <c r="BF326" s="294">
        <v>0</v>
      </c>
      <c r="BG326" s="294">
        <v>0</v>
      </c>
      <c r="BH326" s="294">
        <v>0</v>
      </c>
      <c r="BI326" s="294">
        <v>0</v>
      </c>
      <c r="BJ326" s="294">
        <v>0</v>
      </c>
      <c r="BK326" s="294">
        <v>0</v>
      </c>
      <c r="BL326" s="294">
        <v>0</v>
      </c>
      <c r="BM326" s="294">
        <v>0</v>
      </c>
      <c r="BN326" s="294">
        <v>0</v>
      </c>
      <c r="BO326" s="294">
        <v>0</v>
      </c>
      <c r="BP326" s="294">
        <v>0</v>
      </c>
      <c r="BQ326" s="294">
        <v>0</v>
      </c>
      <c r="BR326" s="294">
        <v>0</v>
      </c>
      <c r="BS326" s="294">
        <v>0</v>
      </c>
      <c r="BT326" s="294">
        <v>0</v>
      </c>
      <c r="BU326" s="294">
        <v>0</v>
      </c>
      <c r="BV326" s="294">
        <v>0</v>
      </c>
      <c r="BW326" s="294">
        <v>0</v>
      </c>
      <c r="BX326" s="294">
        <v>0</v>
      </c>
      <c r="BY326" s="294">
        <v>0</v>
      </c>
      <c r="BZ326" s="294">
        <v>0</v>
      </c>
      <c r="CA326" s="294">
        <v>0</v>
      </c>
      <c r="CB326" s="294">
        <v>0</v>
      </c>
      <c r="CC326" s="294">
        <v>0</v>
      </c>
      <c r="CD326" s="294">
        <v>0</v>
      </c>
      <c r="CE326" s="294">
        <v>0</v>
      </c>
      <c r="CF326" s="294">
        <v>0</v>
      </c>
      <c r="CG326" s="294">
        <v>0</v>
      </c>
      <c r="CH326" s="294">
        <v>0</v>
      </c>
      <c r="CI326" s="294">
        <v>0</v>
      </c>
      <c r="CJ326" s="294">
        <v>0</v>
      </c>
      <c r="CK326" s="294">
        <v>0</v>
      </c>
      <c r="CL326" s="294">
        <v>0</v>
      </c>
      <c r="CM326" s="294">
        <v>0</v>
      </c>
      <c r="CN326" s="294">
        <v>0</v>
      </c>
      <c r="CO326" s="294">
        <v>0</v>
      </c>
    </row>
    <row r="327" spans="1:93" x14ac:dyDescent="0.2">
      <c r="A327" s="118">
        <f t="shared" si="30"/>
        <v>36</v>
      </c>
      <c r="B327" s="243"/>
      <c r="C327" s="223"/>
      <c r="D327" s="168"/>
      <c r="E327" s="225"/>
      <c r="F327" s="183"/>
      <c r="G327" s="233"/>
      <c r="H327" s="940"/>
      <c r="I327" s="297"/>
      <c r="J327" s="168"/>
      <c r="K327" s="233"/>
      <c r="L327" s="205"/>
      <c r="M327" s="233"/>
      <c r="N327" s="940"/>
      <c r="O327" s="941"/>
      <c r="P327" s="941"/>
      <c r="Q327" s="227"/>
      <c r="T327" s="213"/>
      <c r="U327" s="184"/>
      <c r="V327" s="179"/>
      <c r="W327" s="180"/>
      <c r="X327" s="213"/>
      <c r="Y327" s="184"/>
      <c r="Z327" s="181"/>
      <c r="AA327" s="213"/>
      <c r="AB327" s="193">
        <f>SUM(AH327:AS327)</f>
        <v>0</v>
      </c>
      <c r="AC327" s="193">
        <f>SUM(AT327:BE327)</f>
        <v>0</v>
      </c>
      <c r="AD327" s="193">
        <f>SUM(BF327:BQ327)</f>
        <v>0</v>
      </c>
      <c r="AE327" s="193">
        <f>SUM(BR327:CC327)</f>
        <v>0</v>
      </c>
      <c r="AF327" s="193">
        <f>SUM(CD327:CO327)</f>
        <v>0</v>
      </c>
      <c r="AH327" s="193">
        <v>0</v>
      </c>
      <c r="AI327" s="193">
        <v>0</v>
      </c>
      <c r="AJ327" s="193">
        <v>0</v>
      </c>
      <c r="AK327" s="193">
        <v>0</v>
      </c>
      <c r="AL327" s="193">
        <v>0</v>
      </c>
      <c r="AM327" s="193">
        <v>0</v>
      </c>
      <c r="AN327" s="193">
        <v>0</v>
      </c>
      <c r="AO327" s="193">
        <v>0</v>
      </c>
      <c r="AP327" s="193">
        <v>0</v>
      </c>
      <c r="AQ327" s="193">
        <v>0</v>
      </c>
      <c r="AR327" s="193">
        <v>0</v>
      </c>
      <c r="AS327" s="193">
        <v>0</v>
      </c>
      <c r="AT327" s="193">
        <v>0</v>
      </c>
      <c r="AU327" s="193">
        <v>0</v>
      </c>
      <c r="AV327" s="193">
        <v>0</v>
      </c>
      <c r="AW327" s="193">
        <v>0</v>
      </c>
      <c r="AX327" s="193">
        <v>0</v>
      </c>
      <c r="AY327" s="193">
        <v>0</v>
      </c>
      <c r="AZ327" s="193">
        <v>0</v>
      </c>
      <c r="BA327" s="193">
        <v>0</v>
      </c>
      <c r="BB327" s="193">
        <v>0</v>
      </c>
      <c r="BC327" s="193">
        <v>0</v>
      </c>
      <c r="BD327" s="193">
        <v>0</v>
      </c>
      <c r="BE327" s="193">
        <v>0</v>
      </c>
      <c r="BF327" s="193">
        <v>0</v>
      </c>
      <c r="BG327" s="193">
        <v>0</v>
      </c>
      <c r="BH327" s="193">
        <v>0</v>
      </c>
      <c r="BI327" s="193">
        <v>0</v>
      </c>
      <c r="BJ327" s="193">
        <v>0</v>
      </c>
      <c r="BK327" s="193">
        <v>0</v>
      </c>
      <c r="BL327" s="193">
        <v>0</v>
      </c>
      <c r="BM327" s="193">
        <v>0</v>
      </c>
      <c r="BN327" s="193">
        <v>0</v>
      </c>
      <c r="BO327" s="193">
        <v>0</v>
      </c>
      <c r="BP327" s="193">
        <v>0</v>
      </c>
      <c r="BQ327" s="193">
        <v>0</v>
      </c>
      <c r="BR327" s="193">
        <v>0</v>
      </c>
      <c r="BS327" s="193">
        <v>0</v>
      </c>
      <c r="BT327" s="193">
        <v>0</v>
      </c>
      <c r="BU327" s="193">
        <v>0</v>
      </c>
      <c r="BV327" s="193">
        <v>0</v>
      </c>
      <c r="BW327" s="193">
        <v>0</v>
      </c>
      <c r="BX327" s="193">
        <v>0</v>
      </c>
      <c r="BY327" s="193">
        <v>0</v>
      </c>
      <c r="BZ327" s="193">
        <v>0</v>
      </c>
      <c r="CA327" s="193">
        <v>0</v>
      </c>
      <c r="CB327" s="193">
        <v>0</v>
      </c>
      <c r="CC327" s="193">
        <v>0</v>
      </c>
      <c r="CD327" s="193">
        <v>0</v>
      </c>
      <c r="CE327" s="193">
        <v>0</v>
      </c>
      <c r="CF327" s="193">
        <v>0</v>
      </c>
      <c r="CG327" s="193">
        <v>0</v>
      </c>
      <c r="CH327" s="193">
        <v>0</v>
      </c>
      <c r="CI327" s="193">
        <v>0</v>
      </c>
      <c r="CJ327" s="193">
        <v>0</v>
      </c>
      <c r="CK327" s="193">
        <v>0</v>
      </c>
      <c r="CL327" s="193">
        <v>0</v>
      </c>
      <c r="CM327" s="193">
        <v>0</v>
      </c>
      <c r="CN327" s="193">
        <v>0</v>
      </c>
      <c r="CO327" s="193">
        <v>0</v>
      </c>
    </row>
    <row r="328" spans="1:93" x14ac:dyDescent="0.2">
      <c r="A328" s="118">
        <f t="shared" si="30"/>
        <v>37</v>
      </c>
      <c r="F328" s="197"/>
      <c r="H328" s="203"/>
      <c r="I328" s="229"/>
      <c r="L328" s="197"/>
      <c r="N328" s="182"/>
      <c r="U328" s="184"/>
      <c r="V328" s="179"/>
      <c r="W328" s="180"/>
      <c r="Y328" s="184"/>
      <c r="Z328" s="181"/>
    </row>
    <row r="329" spans="1:93" x14ac:dyDescent="0.2">
      <c r="A329" s="118">
        <f t="shared" si="30"/>
        <v>38</v>
      </c>
      <c r="F329" s="197"/>
      <c r="H329" s="203"/>
      <c r="I329" s="229"/>
      <c r="L329" s="197"/>
      <c r="N329" s="182"/>
      <c r="U329" s="184"/>
      <c r="V329" s="179"/>
      <c r="W329" s="180"/>
      <c r="Y329" s="184"/>
      <c r="Z329" s="181"/>
    </row>
    <row r="330" spans="1:93" x14ac:dyDescent="0.2">
      <c r="A330" s="118">
        <f t="shared" si="30"/>
        <v>39</v>
      </c>
      <c r="B330" s="243"/>
      <c r="C330" s="223"/>
      <c r="D330" s="168"/>
      <c r="E330" s="225"/>
      <c r="F330" s="183"/>
      <c r="G330" s="233"/>
      <c r="H330" s="174"/>
      <c r="I330" s="229"/>
      <c r="J330" s="168"/>
      <c r="K330" s="225"/>
      <c r="L330" s="183"/>
      <c r="M330" s="233"/>
      <c r="N330" s="174"/>
      <c r="O330" s="227"/>
      <c r="P330" s="227"/>
      <c r="Q330" s="227"/>
      <c r="U330" s="184"/>
      <c r="V330" s="179"/>
      <c r="W330" s="180"/>
      <c r="Y330" s="184"/>
      <c r="Z330" s="181"/>
    </row>
    <row r="331" spans="1:93" x14ac:dyDescent="0.2">
      <c r="A331" s="118">
        <f t="shared" si="30"/>
        <v>40</v>
      </c>
      <c r="B331" s="243"/>
      <c r="C331" s="223"/>
      <c r="D331" s="168"/>
      <c r="E331" s="233"/>
      <c r="F331" s="205"/>
      <c r="G331" s="233"/>
      <c r="H331" s="174"/>
      <c r="I331" s="229"/>
      <c r="J331" s="168"/>
      <c r="K331" s="168"/>
      <c r="L331" s="205"/>
      <c r="M331" s="233"/>
      <c r="N331" s="174"/>
      <c r="O331" s="227"/>
      <c r="P331" s="227"/>
      <c r="Q331" s="227"/>
      <c r="U331" s="184"/>
      <c r="V331" s="179"/>
      <c r="W331" s="180"/>
      <c r="Y331" s="184"/>
      <c r="Z331" s="181"/>
    </row>
    <row r="332" spans="1:93" x14ac:dyDescent="0.2">
      <c r="A332" s="118">
        <f t="shared" si="30"/>
        <v>41</v>
      </c>
      <c r="B332" s="243"/>
      <c r="C332" s="223"/>
      <c r="D332" s="168"/>
      <c r="E332" s="233"/>
      <c r="F332" s="205"/>
      <c r="G332" s="233"/>
      <c r="H332" s="174"/>
      <c r="I332" s="229"/>
      <c r="J332" s="168"/>
      <c r="K332" s="168"/>
      <c r="L332" s="205"/>
      <c r="M332" s="233"/>
      <c r="N332" s="174"/>
      <c r="O332" s="227"/>
      <c r="P332" s="227"/>
      <c r="Q332" s="227"/>
      <c r="U332" s="298"/>
      <c r="V332" s="253"/>
      <c r="W332" s="254"/>
      <c r="Y332" s="298"/>
      <c r="Z332" s="255"/>
    </row>
    <row r="333" spans="1:93" x14ac:dyDescent="0.2">
      <c r="A333" s="215"/>
      <c r="B333" s="215" t="s">
        <v>98</v>
      </c>
      <c r="C333" s="215"/>
      <c r="D333" s="215"/>
      <c r="E333" s="215"/>
      <c r="F333" s="299"/>
      <c r="G333" s="215"/>
      <c r="H333" s="300"/>
      <c r="I333" s="215"/>
      <c r="J333" s="215"/>
      <c r="K333" s="215"/>
      <c r="L333" s="299"/>
      <c r="M333" s="215"/>
      <c r="N333" s="300" t="s">
        <v>99</v>
      </c>
      <c r="O333" s="215"/>
      <c r="P333" s="215"/>
      <c r="Q333" s="215"/>
      <c r="Y333" s="101"/>
    </row>
    <row r="334" spans="1:93" x14ac:dyDescent="0.2">
      <c r="A334" s="216"/>
      <c r="B334" s="216"/>
      <c r="C334" s="216"/>
      <c r="D334" s="216"/>
      <c r="E334" s="216"/>
      <c r="F334" s="216"/>
      <c r="G334" s="216"/>
      <c r="H334" s="216"/>
      <c r="I334" s="216"/>
      <c r="J334" s="216"/>
      <c r="K334" s="216"/>
      <c r="L334" s="216"/>
      <c r="M334" s="216"/>
      <c r="N334" s="216"/>
      <c r="O334" s="216"/>
      <c r="P334" s="216"/>
      <c r="Q334" s="216"/>
      <c r="R334" s="216"/>
      <c r="S334" s="216"/>
      <c r="T334" s="216"/>
      <c r="U334" s="216"/>
      <c r="V334" s="216"/>
      <c r="W334" s="216"/>
      <c r="X334" s="216"/>
      <c r="Y334" s="216"/>
      <c r="Z334" s="217"/>
      <c r="AA334" s="216"/>
      <c r="AB334" s="216"/>
      <c r="AC334" s="216"/>
      <c r="AD334" s="216"/>
      <c r="AE334" s="216"/>
      <c r="AF334" s="216"/>
      <c r="AG334" s="216"/>
      <c r="AH334" s="216"/>
      <c r="AI334" s="216"/>
      <c r="AJ334" s="216"/>
      <c r="AK334" s="216"/>
      <c r="AL334" s="216"/>
      <c r="AM334" s="216"/>
      <c r="AN334" s="216"/>
      <c r="AO334" s="216"/>
      <c r="AP334" s="216"/>
      <c r="AQ334" s="216"/>
      <c r="AR334" s="216"/>
      <c r="AS334" s="216"/>
      <c r="AT334" s="216"/>
      <c r="AU334" s="216"/>
      <c r="AV334" s="216"/>
      <c r="AW334" s="216"/>
      <c r="AX334" s="216"/>
      <c r="AY334" s="216"/>
      <c r="AZ334" s="216"/>
      <c r="BA334" s="216"/>
      <c r="BB334" s="216"/>
      <c r="BC334" s="216"/>
      <c r="BD334" s="216"/>
      <c r="BE334" s="216"/>
      <c r="BF334" s="216"/>
      <c r="BG334" s="216"/>
      <c r="BH334" s="216"/>
      <c r="BI334" s="216"/>
      <c r="BJ334" s="216"/>
      <c r="BK334" s="216"/>
      <c r="BL334" s="216"/>
      <c r="BM334" s="216"/>
      <c r="BN334" s="216"/>
      <c r="BO334" s="216"/>
      <c r="BP334" s="216"/>
      <c r="BQ334" s="216"/>
      <c r="BR334" s="216"/>
      <c r="BS334" s="216"/>
      <c r="BT334" s="216"/>
      <c r="BU334" s="216"/>
      <c r="BV334" s="216"/>
      <c r="BW334" s="216"/>
      <c r="BX334" s="216"/>
      <c r="BY334" s="216"/>
      <c r="BZ334" s="216"/>
      <c r="CA334" s="216"/>
      <c r="CB334" s="216"/>
      <c r="CC334" s="216"/>
      <c r="CD334" s="216"/>
      <c r="CE334" s="216"/>
      <c r="CF334" s="216"/>
      <c r="CG334" s="216"/>
      <c r="CH334" s="216"/>
      <c r="CI334" s="216"/>
      <c r="CJ334" s="216"/>
      <c r="CK334" s="216"/>
      <c r="CL334" s="216"/>
      <c r="CM334" s="216"/>
      <c r="CN334" s="216"/>
      <c r="CO334" s="216"/>
    </row>
    <row r="335" spans="1:93" ht="13.8" x14ac:dyDescent="0.3">
      <c r="A335" s="12" t="s">
        <v>667</v>
      </c>
      <c r="C335" s="102"/>
      <c r="D335" s="1280"/>
      <c r="F335" s="104"/>
      <c r="G335" s="104"/>
      <c r="H335" s="361" t="s">
        <v>668</v>
      </c>
      <c r="I335" s="104"/>
      <c r="J335" s="104"/>
      <c r="K335" s="104"/>
      <c r="L335" s="104"/>
      <c r="N335" s="105"/>
      <c r="Q335" s="106" t="str">
        <f>'MFR E-13c'!Q304</f>
        <v>Page 20 of 39</v>
      </c>
      <c r="R335" s="105"/>
      <c r="S335" s="105"/>
      <c r="U335" s="114"/>
      <c r="V335" s="114"/>
      <c r="W335" s="114"/>
      <c r="Y335" s="114"/>
      <c r="Z335" s="218"/>
      <c r="AD335" s="114"/>
    </row>
    <row r="336" spans="1:93" ht="10.8" thickBot="1" x14ac:dyDescent="0.25">
      <c r="A336" s="108"/>
      <c r="B336" s="109"/>
      <c r="C336" s="109"/>
      <c r="D336" s="109"/>
      <c r="E336" s="110" t="s">
        <v>416</v>
      </c>
      <c r="F336" s="109"/>
      <c r="G336" s="109" t="s">
        <v>416</v>
      </c>
      <c r="H336" s="109" t="s">
        <v>416</v>
      </c>
      <c r="I336" s="109" t="s">
        <v>416</v>
      </c>
      <c r="J336" s="109"/>
      <c r="K336" s="109"/>
      <c r="L336" s="109"/>
      <c r="M336" s="111"/>
      <c r="N336" s="111"/>
      <c r="O336" s="109"/>
      <c r="P336" s="112"/>
      <c r="Q336" s="109"/>
      <c r="U336" s="114"/>
      <c r="V336" s="114"/>
      <c r="W336" s="114"/>
      <c r="Y336" s="114"/>
      <c r="Z336" s="218"/>
      <c r="AD336" s="114"/>
    </row>
    <row r="337" spans="1:93" x14ac:dyDescent="0.2">
      <c r="A337" s="113"/>
      <c r="M337" s="105"/>
      <c r="N337" s="105"/>
      <c r="P337" s="114"/>
      <c r="U337" s="114"/>
      <c r="V337" s="114"/>
      <c r="W337" s="114"/>
      <c r="Y337" s="114"/>
      <c r="Z337" s="218"/>
      <c r="AD337" s="114"/>
    </row>
    <row r="338" spans="1:93" ht="13.8" x14ac:dyDescent="0.2">
      <c r="A338" s="100"/>
      <c r="C338" s="1278" t="s">
        <v>4</v>
      </c>
      <c r="D338" s="1386" t="s">
        <v>669</v>
      </c>
      <c r="E338" s="1386"/>
      <c r="F338" s="1386"/>
      <c r="G338" s="1386"/>
      <c r="H338" s="1386"/>
      <c r="I338" s="1386"/>
      <c r="J338" s="1386"/>
      <c r="K338" s="1386"/>
      <c r="L338" s="1386"/>
      <c r="M338" s="1386"/>
      <c r="N338" s="1386"/>
      <c r="O338" s="1279"/>
      <c r="P338" s="1279"/>
      <c r="U338" s="114"/>
      <c r="V338" s="114"/>
      <c r="W338" s="114"/>
      <c r="Y338" s="114"/>
      <c r="Z338" s="218"/>
      <c r="AD338" s="114"/>
    </row>
    <row r="339" spans="1:93" ht="13.8" x14ac:dyDescent="0.2">
      <c r="C339" s="1279"/>
      <c r="D339" s="1386" t="s">
        <v>670</v>
      </c>
      <c r="E339" s="1386"/>
      <c r="F339" s="1386"/>
      <c r="G339" s="1386"/>
      <c r="H339" s="1386"/>
      <c r="I339" s="1386"/>
      <c r="J339" s="1386"/>
      <c r="K339" s="1386"/>
      <c r="L339" s="1386"/>
      <c r="M339" s="1386"/>
      <c r="N339" s="1386"/>
      <c r="O339" s="1279"/>
      <c r="P339" s="1279"/>
      <c r="U339" s="114"/>
      <c r="V339" s="114"/>
      <c r="W339" s="114"/>
      <c r="Y339" s="114"/>
      <c r="Z339" s="218"/>
      <c r="AD339" s="114"/>
    </row>
    <row r="340" spans="1:93" ht="13.8" x14ac:dyDescent="0.3">
      <c r="A340" s="100"/>
      <c r="C340" s="21"/>
      <c r="D340" s="1386" t="s">
        <v>671</v>
      </c>
      <c r="E340" s="1386"/>
      <c r="F340" s="1386"/>
      <c r="G340" s="1386"/>
      <c r="H340" s="1386"/>
      <c r="I340" s="1386"/>
      <c r="J340" s="1386"/>
      <c r="K340" s="1386"/>
      <c r="L340" s="1386"/>
      <c r="M340" s="1386"/>
      <c r="N340" s="1386"/>
      <c r="O340" s="107"/>
      <c r="U340" s="114"/>
      <c r="V340" s="114"/>
      <c r="W340" s="114"/>
      <c r="Y340" s="114"/>
      <c r="Z340" s="218"/>
      <c r="AD340" s="114"/>
    </row>
    <row r="341" spans="1:93" x14ac:dyDescent="0.2">
      <c r="U341" s="114"/>
      <c r="V341" s="114"/>
      <c r="W341" s="114"/>
      <c r="Y341" s="114"/>
      <c r="Z341" s="218"/>
      <c r="AD341" s="114"/>
    </row>
    <row r="342" spans="1:93" x14ac:dyDescent="0.2">
      <c r="A342" s="100"/>
      <c r="C342" s="119"/>
      <c r="O342" s="100"/>
      <c r="U342" s="114"/>
      <c r="V342" s="114"/>
      <c r="W342" s="114"/>
      <c r="Y342" s="114"/>
      <c r="Z342" s="218"/>
      <c r="AD342" s="114"/>
    </row>
    <row r="343" spans="1:93" ht="10.8" thickBot="1" x14ac:dyDescent="0.25">
      <c r="A343" s="123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23"/>
      <c r="O343" s="109"/>
      <c r="P343" s="109"/>
      <c r="Q343" s="109"/>
      <c r="U343" s="114"/>
      <c r="V343" s="114"/>
      <c r="W343" s="114"/>
      <c r="Y343" s="114"/>
      <c r="Z343" s="218"/>
      <c r="AD343" s="114"/>
    </row>
    <row r="344" spans="1:93" ht="15.6" x14ac:dyDescent="0.2">
      <c r="B344" s="1369"/>
      <c r="C344" s="125"/>
      <c r="D344" s="125"/>
      <c r="E344" s="125"/>
      <c r="F344" s="276"/>
      <c r="G344" s="125"/>
      <c r="H344" s="277"/>
      <c r="I344" s="126" t="s">
        <v>612</v>
      </c>
      <c r="J344" s="125"/>
      <c r="K344" s="125"/>
      <c r="L344" s="276"/>
      <c r="M344" s="125"/>
      <c r="N344" s="277"/>
      <c r="U344" s="127" t="s">
        <v>530</v>
      </c>
      <c r="V344" s="128"/>
      <c r="W344" s="129"/>
      <c r="Y344" s="130" t="s">
        <v>531</v>
      </c>
      <c r="Z344" s="131"/>
    </row>
    <row r="345" spans="1:93" x14ac:dyDescent="0.2">
      <c r="A345" s="101" t="s">
        <v>30</v>
      </c>
      <c r="B345" s="101" t="s">
        <v>532</v>
      </c>
      <c r="C345" s="132"/>
      <c r="D345" s="133" t="s">
        <v>533</v>
      </c>
      <c r="E345" s="134"/>
      <c r="F345" s="278"/>
      <c r="G345" s="133"/>
      <c r="H345" s="279"/>
      <c r="I345" s="135"/>
      <c r="J345" s="136" t="s">
        <v>534</v>
      </c>
      <c r="K345" s="133"/>
      <c r="L345" s="278"/>
      <c r="M345" s="134"/>
      <c r="N345" s="280"/>
      <c r="O345" s="137"/>
      <c r="Q345" s="118" t="s">
        <v>332</v>
      </c>
      <c r="U345" s="138"/>
      <c r="V345" s="139"/>
      <c r="W345" s="140"/>
      <c r="Y345" s="138"/>
      <c r="Z345" s="141"/>
    </row>
    <row r="346" spans="1:93" x14ac:dyDescent="0.2">
      <c r="A346" s="101" t="s">
        <v>39</v>
      </c>
      <c r="B346" s="102" t="s">
        <v>535</v>
      </c>
      <c r="C346" s="104"/>
      <c r="D346" s="142" t="s">
        <v>536</v>
      </c>
      <c r="E346" s="143"/>
      <c r="F346" s="281" t="s">
        <v>537</v>
      </c>
      <c r="G346" s="142"/>
      <c r="H346" s="282" t="s">
        <v>538</v>
      </c>
      <c r="I346" s="144"/>
      <c r="J346" s="142" t="s">
        <v>536</v>
      </c>
      <c r="K346" s="143"/>
      <c r="L346" s="281" t="s">
        <v>537</v>
      </c>
      <c r="M346" s="142"/>
      <c r="N346" s="282" t="s">
        <v>538</v>
      </c>
      <c r="O346" s="132"/>
      <c r="Q346" s="145" t="s">
        <v>539</v>
      </c>
      <c r="R346" s="132"/>
      <c r="S346" s="132"/>
      <c r="U346" s="138" t="s">
        <v>128</v>
      </c>
      <c r="V346" s="146" t="s">
        <v>343</v>
      </c>
      <c r="W346" s="147" t="s">
        <v>344</v>
      </c>
      <c r="X346" s="118"/>
      <c r="Y346" s="148" t="s">
        <v>128</v>
      </c>
      <c r="Z346" s="149"/>
      <c r="AA346" s="118"/>
    </row>
    <row r="347" spans="1:93" ht="10.8" thickBot="1" x14ac:dyDescent="0.25">
      <c r="A347" s="109"/>
      <c r="B347" s="1370" t="s">
        <v>275</v>
      </c>
      <c r="C347" s="150"/>
      <c r="D347" s="220" t="str">
        <f>+$D$15</f>
        <v>Jan '26-Dec '26</v>
      </c>
      <c r="E347" s="221"/>
      <c r="F347" s="152">
        <f>+$L$15</f>
        <v>46023</v>
      </c>
      <c r="G347" s="153"/>
      <c r="H347" s="153"/>
      <c r="I347" s="153"/>
      <c r="J347" s="153"/>
      <c r="K347" s="151"/>
      <c r="L347" s="152">
        <f>+$L$15</f>
        <v>46023</v>
      </c>
      <c r="M347" s="154"/>
      <c r="N347" s="283"/>
      <c r="O347" s="155"/>
      <c r="P347" s="109"/>
      <c r="Q347" s="156"/>
      <c r="R347" s="132"/>
      <c r="S347" s="132"/>
      <c r="U347" s="157" t="s">
        <v>144</v>
      </c>
      <c r="V347" s="158" t="s">
        <v>540</v>
      </c>
      <c r="W347" s="159" t="s">
        <v>540</v>
      </c>
      <c r="X347" s="118"/>
      <c r="Y347" s="160" t="s">
        <v>144</v>
      </c>
      <c r="Z347" s="159" t="s">
        <v>541</v>
      </c>
      <c r="AA347" s="118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16"/>
      <c r="BG347" s="116"/>
      <c r="BH347" s="116"/>
      <c r="BI347" s="116"/>
      <c r="BJ347" s="116"/>
      <c r="BK347" s="116"/>
      <c r="BL347" s="116"/>
      <c r="BM347" s="116"/>
      <c r="BN347" s="116"/>
      <c r="BO347" s="116"/>
      <c r="BP347" s="116"/>
      <c r="BQ347" s="116"/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</row>
    <row r="348" spans="1:93" x14ac:dyDescent="0.2">
      <c r="A348" s="118">
        <v>1</v>
      </c>
      <c r="B348" s="226"/>
      <c r="C348" s="223"/>
      <c r="D348" s="168"/>
      <c r="E348" s="225"/>
      <c r="F348" s="183"/>
      <c r="G348" s="233"/>
      <c r="H348" s="174"/>
      <c r="I348" s="229"/>
      <c r="J348" s="168"/>
      <c r="K348" s="225"/>
      <c r="L348" s="183"/>
      <c r="M348" s="233"/>
      <c r="N348" s="174"/>
      <c r="O348" s="227"/>
      <c r="P348" s="303"/>
      <c r="Q348" s="303"/>
      <c r="U348" s="184"/>
      <c r="V348" s="179"/>
      <c r="W348" s="180"/>
      <c r="Y348" s="184"/>
      <c r="Z348" s="181"/>
      <c r="AH348" s="116"/>
      <c r="AI348" s="116"/>
      <c r="AJ348" s="116"/>
      <c r="AK348" s="116"/>
      <c r="AL348" s="116"/>
      <c r="AM348" s="116"/>
      <c r="AN348" s="116"/>
      <c r="AO348" s="116"/>
      <c r="AP348" s="116"/>
      <c r="AQ348" s="116"/>
      <c r="AR348" s="116"/>
      <c r="AS348" s="116"/>
      <c r="AT348" s="116"/>
      <c r="AU348" s="116"/>
      <c r="AV348" s="116"/>
      <c r="AW348" s="116"/>
      <c r="AX348" s="116"/>
      <c r="AY348" s="116"/>
      <c r="AZ348" s="116"/>
      <c r="BA348" s="116"/>
      <c r="BB348" s="116"/>
      <c r="BC348" s="116"/>
      <c r="BD348" s="116"/>
      <c r="BE348" s="116"/>
      <c r="BF348" s="116"/>
      <c r="BG348" s="116"/>
      <c r="BH348" s="116"/>
      <c r="BI348" s="116"/>
      <c r="BJ348" s="116"/>
      <c r="BK348" s="116"/>
      <c r="BL348" s="116"/>
      <c r="BM348" s="116"/>
      <c r="BN348" s="116"/>
      <c r="BO348" s="116"/>
      <c r="BP348" s="116"/>
      <c r="BQ348" s="116"/>
      <c r="BR348" s="116"/>
      <c r="BS348" s="116"/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</row>
    <row r="349" spans="1:93" x14ac:dyDescent="0.2">
      <c r="A349" s="118">
        <f t="shared" ref="A349:A390" si="34">+A348+1</f>
        <v>2</v>
      </c>
      <c r="B349" s="239" t="s">
        <v>551</v>
      </c>
      <c r="C349" s="223"/>
      <c r="D349" s="168"/>
      <c r="E349" s="225"/>
      <c r="F349" s="183"/>
      <c r="G349" s="233"/>
      <c r="H349" s="174"/>
      <c r="I349" s="229"/>
      <c r="J349" s="168"/>
      <c r="K349" s="225"/>
      <c r="L349" s="183"/>
      <c r="M349" s="233"/>
      <c r="N349" s="174"/>
      <c r="O349" s="227"/>
      <c r="P349" s="230"/>
      <c r="Q349" s="230"/>
      <c r="U349" s="184"/>
      <c r="V349" s="179"/>
      <c r="W349" s="180"/>
      <c r="Y349" s="184"/>
      <c r="Z349" s="181"/>
      <c r="AH349" s="116"/>
      <c r="AI349" s="116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  <c r="BF349" s="116"/>
      <c r="BG349" s="116"/>
      <c r="BH349" s="116"/>
      <c r="BI349" s="116"/>
      <c r="BJ349" s="116"/>
      <c r="BK349" s="116"/>
      <c r="BL349" s="116"/>
      <c r="BM349" s="116"/>
      <c r="BN349" s="116"/>
      <c r="BO349" s="116"/>
      <c r="BP349" s="116"/>
      <c r="BQ349" s="116"/>
      <c r="BR349" s="116"/>
      <c r="BS349" s="116"/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</row>
    <row r="350" spans="1:93" x14ac:dyDescent="0.2">
      <c r="A350" s="118">
        <f t="shared" si="34"/>
        <v>3</v>
      </c>
      <c r="B350" s="228" t="s">
        <v>543</v>
      </c>
      <c r="C350" s="223"/>
      <c r="D350" s="168"/>
      <c r="E350" s="225"/>
      <c r="F350" s="183"/>
      <c r="G350" s="233"/>
      <c r="H350" s="174"/>
      <c r="I350" s="229"/>
      <c r="J350" s="168"/>
      <c r="K350" s="225"/>
      <c r="L350" s="1368">
        <v>0.14000000000000001</v>
      </c>
      <c r="M350" s="233"/>
      <c r="N350" s="174"/>
      <c r="O350" s="227"/>
      <c r="P350" s="227"/>
      <c r="Q350" s="227"/>
      <c r="U350" s="184"/>
      <c r="V350" s="179"/>
      <c r="W350" s="180"/>
      <c r="Y350" s="184"/>
      <c r="Z350" s="181"/>
    </row>
    <row r="351" spans="1:93" x14ac:dyDescent="0.2">
      <c r="A351" s="118">
        <f t="shared" si="34"/>
        <v>4</v>
      </c>
      <c r="B351" s="234" t="s">
        <v>149</v>
      </c>
      <c r="C351" s="223"/>
      <c r="D351" s="172">
        <f>SUMIF($AH$8:$CP$8,1,$AH351:$CP351)+'Unbilled to E-13c'!P71</f>
        <v>8.5840145151625635E-2</v>
      </c>
      <c r="E351" s="225" t="s">
        <v>555</v>
      </c>
      <c r="F351" s="183">
        <v>26.68</v>
      </c>
      <c r="G351" s="233" t="s">
        <v>375</v>
      </c>
      <c r="H351" s="174">
        <f>ROUND(D351*F351,2)</f>
        <v>2.29</v>
      </c>
      <c r="I351" s="229"/>
      <c r="J351" s="172">
        <f>D351</f>
        <v>8.5840145151625635E-2</v>
      </c>
      <c r="K351" s="225" t="s">
        <v>555</v>
      </c>
      <c r="L351" s="183">
        <f>ROUND(F351*(1+'Exhibit MJC-2 - Old E-8a'!V27)+L350,2)</f>
        <v>27.9</v>
      </c>
      <c r="M351" s="233" t="s">
        <v>375</v>
      </c>
      <c r="N351" s="174">
        <f>ROUND(J351*L351,2)</f>
        <v>2.39</v>
      </c>
      <c r="O351" s="227"/>
      <c r="P351" s="305"/>
      <c r="Q351" s="1022"/>
      <c r="U351" s="184" t="s">
        <v>613</v>
      </c>
      <c r="V351" s="179">
        <v>246</v>
      </c>
      <c r="W351" s="180">
        <v>220</v>
      </c>
      <c r="Y351" s="184"/>
      <c r="Z351" s="181"/>
      <c r="AB351" s="182">
        <f>SUM(AH351:AS351)</f>
        <v>7.6741170818254989E-2</v>
      </c>
      <c r="AC351" s="182">
        <f>SUM(AT351:BE351)</f>
        <v>8.2225372969407684E-2</v>
      </c>
      <c r="AD351" s="182">
        <f>SUM(BF351:BQ351)</f>
        <v>8.2557813474933739E-2</v>
      </c>
      <c r="AE351" s="182">
        <f>SUM(BR351:CC351)</f>
        <v>8.5840145151625635E-2</v>
      </c>
      <c r="AF351" s="182">
        <f>SUM(CD351:CO351)</f>
        <v>8.6500455559962386E-2</v>
      </c>
      <c r="AH351" s="168">
        <v>0.12679104991198284</v>
      </c>
      <c r="AI351" s="168">
        <v>3.7862765773491576E-2</v>
      </c>
      <c r="AJ351" s="168">
        <v>0</v>
      </c>
      <c r="AK351" s="168">
        <v>0.18610011191583123</v>
      </c>
      <c r="AL351" s="168">
        <v>-0.27401275678305065</v>
      </c>
      <c r="AM351" s="168">
        <v>0</v>
      </c>
      <c r="AN351" s="168">
        <v>0</v>
      </c>
      <c r="AO351" s="168">
        <v>0</v>
      </c>
      <c r="AP351" s="168">
        <v>0</v>
      </c>
      <c r="AQ351" s="168">
        <v>0</v>
      </c>
      <c r="AR351" s="168">
        <v>0</v>
      </c>
      <c r="AS351" s="168">
        <v>0</v>
      </c>
      <c r="AT351" s="168">
        <v>0.1314128215061999</v>
      </c>
      <c r="AU351" s="168">
        <v>3.8492687604584658E-2</v>
      </c>
      <c r="AV351" s="168">
        <v>0</v>
      </c>
      <c r="AW351" s="168">
        <v>0.18292089557888552</v>
      </c>
      <c r="AX351" s="168">
        <v>-0.2706010317202624</v>
      </c>
      <c r="AY351" s="168">
        <v>0</v>
      </c>
      <c r="AZ351" s="168">
        <v>0</v>
      </c>
      <c r="BA351" s="168">
        <v>0</v>
      </c>
      <c r="BB351" s="168">
        <v>0</v>
      </c>
      <c r="BC351" s="168">
        <v>0</v>
      </c>
      <c r="BD351" s="168">
        <v>0</v>
      </c>
      <c r="BE351" s="168">
        <v>0</v>
      </c>
      <c r="BF351" s="168">
        <v>0.13127304960416308</v>
      </c>
      <c r="BG351" s="168">
        <v>3.8949593396119336E-2</v>
      </c>
      <c r="BH351" s="168">
        <v>0</v>
      </c>
      <c r="BI351" s="168">
        <v>0.18489146549162241</v>
      </c>
      <c r="BJ351" s="168">
        <v>-0.2725562950169711</v>
      </c>
      <c r="BK351" s="168">
        <v>0</v>
      </c>
      <c r="BL351" s="168">
        <v>0</v>
      </c>
      <c r="BM351" s="168">
        <v>0</v>
      </c>
      <c r="BN351" s="168">
        <v>0</v>
      </c>
      <c r="BO351" s="168">
        <v>0</v>
      </c>
      <c r="BP351" s="168">
        <v>0</v>
      </c>
      <c r="BQ351" s="168">
        <v>0</v>
      </c>
      <c r="BR351" s="168">
        <v>0.13305931989869227</v>
      </c>
      <c r="BS351" s="168">
        <v>3.9374091090012421E-2</v>
      </c>
      <c r="BT351" s="168">
        <v>0</v>
      </c>
      <c r="BU351" s="168">
        <v>0.18594202014701466</v>
      </c>
      <c r="BV351" s="168">
        <v>-0.27253528598409371</v>
      </c>
      <c r="BW351" s="168">
        <v>0</v>
      </c>
      <c r="BX351" s="168">
        <v>0</v>
      </c>
      <c r="BY351" s="168">
        <v>0</v>
      </c>
      <c r="BZ351" s="168">
        <v>0</v>
      </c>
      <c r="CA351" s="168">
        <v>0</v>
      </c>
      <c r="CB351" s="168">
        <v>0</v>
      </c>
      <c r="CC351" s="168">
        <v>0</v>
      </c>
      <c r="CD351" s="168">
        <v>0.13383993516674858</v>
      </c>
      <c r="CE351" s="168">
        <v>3.9120253493345511E-2</v>
      </c>
      <c r="CF351" s="168">
        <v>0</v>
      </c>
      <c r="CG351" s="168">
        <v>0.18961746992716674</v>
      </c>
      <c r="CH351" s="168">
        <v>-0.27607720302729849</v>
      </c>
      <c r="CI351" s="168">
        <v>0</v>
      </c>
      <c r="CJ351" s="168">
        <v>0</v>
      </c>
      <c r="CK351" s="168">
        <v>0</v>
      </c>
      <c r="CL351" s="168">
        <v>0</v>
      </c>
      <c r="CM351" s="168">
        <v>0</v>
      </c>
      <c r="CN351" s="168">
        <v>0</v>
      </c>
      <c r="CO351" s="168">
        <v>0</v>
      </c>
    </row>
    <row r="352" spans="1:93" x14ac:dyDescent="0.2">
      <c r="A352" s="118">
        <f t="shared" si="34"/>
        <v>5</v>
      </c>
      <c r="B352" s="234" t="s">
        <v>148</v>
      </c>
      <c r="C352" s="223"/>
      <c r="D352" s="172">
        <f>SUMIF($AH$8:$CP$8,1,$AH352:$CP352)+'Unbilled to E-13c'!P72</f>
        <v>-2.9821908096501142</v>
      </c>
      <c r="E352" s="225" t="s">
        <v>555</v>
      </c>
      <c r="F352" s="183">
        <v>26.68</v>
      </c>
      <c r="G352" s="233" t="s">
        <v>375</v>
      </c>
      <c r="H352" s="174">
        <f>ROUND(D352*F352,2)</f>
        <v>-79.56</v>
      </c>
      <c r="I352" s="229"/>
      <c r="J352" s="172">
        <f t="shared" ref="J352:J353" si="35">D352</f>
        <v>-2.9821908096501142</v>
      </c>
      <c r="K352" s="225" t="s">
        <v>555</v>
      </c>
      <c r="L352" s="183">
        <f>L351</f>
        <v>27.9</v>
      </c>
      <c r="M352" s="233" t="s">
        <v>375</v>
      </c>
      <c r="N352" s="174">
        <f>ROUND(J352*L352,2)</f>
        <v>-83.2</v>
      </c>
      <c r="O352" s="227"/>
      <c r="P352" s="176"/>
      <c r="Q352" s="1022"/>
      <c r="S352" s="305"/>
      <c r="T352" s="305"/>
      <c r="U352" s="184" t="s">
        <v>613</v>
      </c>
      <c r="V352" s="179">
        <v>246</v>
      </c>
      <c r="W352" s="180">
        <v>220</v>
      </c>
      <c r="Y352" s="184"/>
      <c r="Z352" s="181"/>
      <c r="AB352" s="182">
        <f>SUM(AH352:AS352)</f>
        <v>-3.9294600584388593</v>
      </c>
      <c r="AC352" s="182">
        <f>SUM(AT352:BE352)</f>
        <v>-3.1018479779680028</v>
      </c>
      <c r="AD352" s="182">
        <f>SUM(BF352:BQ352)</f>
        <v>-3.0156417312019843</v>
      </c>
      <c r="AE352" s="182">
        <f>SUM(BR352:CC352)</f>
        <v>-2.9691908096501143</v>
      </c>
      <c r="AF352" s="182">
        <f>SUM(CD352:CO352)</f>
        <v>-3.8569559955333332</v>
      </c>
      <c r="AH352" s="168">
        <v>9.6203641169473036E-3</v>
      </c>
      <c r="AI352" s="168">
        <v>21.041268443302549</v>
      </c>
      <c r="AJ352" s="168">
        <v>23.139261684351993</v>
      </c>
      <c r="AK352" s="168">
        <v>-48.032919450184693</v>
      </c>
      <c r="AL352" s="168">
        <v>-8.418389970660603E-2</v>
      </c>
      <c r="AM352" s="168">
        <v>0</v>
      </c>
      <c r="AN352" s="168">
        <v>0</v>
      </c>
      <c r="AO352" s="168">
        <v>6.3723761102987081E-2</v>
      </c>
      <c r="AP352" s="168">
        <v>-6.6230961422037965E-2</v>
      </c>
      <c r="AQ352" s="168">
        <v>0</v>
      </c>
      <c r="AR352" s="168">
        <v>0</v>
      </c>
      <c r="AS352" s="168">
        <v>0</v>
      </c>
      <c r="AT352" s="168">
        <v>9.9710444341510659E-3</v>
      </c>
      <c r="AU352" s="168">
        <v>21.391331468957318</v>
      </c>
      <c r="AV352" s="168">
        <v>22.795390179062569</v>
      </c>
      <c r="AW352" s="168">
        <v>-47.212355503956161</v>
      </c>
      <c r="AX352" s="168">
        <v>-8.3135728359095787E-2</v>
      </c>
      <c r="AY352" s="168">
        <v>0</v>
      </c>
      <c r="AZ352" s="168">
        <v>0</v>
      </c>
      <c r="BA352" s="168">
        <v>6.3140895776485767E-2</v>
      </c>
      <c r="BB352" s="168">
        <v>-6.6190333883268115E-2</v>
      </c>
      <c r="BC352" s="168">
        <v>0</v>
      </c>
      <c r="BD352" s="168">
        <v>0</v>
      </c>
      <c r="BE352" s="168">
        <v>0</v>
      </c>
      <c r="BF352" s="168">
        <v>9.9604391383368435E-3</v>
      </c>
      <c r="BG352" s="168">
        <v>21.645245234013316</v>
      </c>
      <c r="BH352" s="168">
        <v>23.136654844193806</v>
      </c>
      <c r="BI352" s="168">
        <v>-47.72096468701919</v>
      </c>
      <c r="BJ352" s="168">
        <v>-8.3736436483792545E-2</v>
      </c>
      <c r="BK352" s="168">
        <v>0</v>
      </c>
      <c r="BL352" s="168">
        <v>0</v>
      </c>
      <c r="BM352" s="168">
        <v>6.3620770016607708E-2</v>
      </c>
      <c r="BN352" s="168">
        <v>-6.6421895061063885E-2</v>
      </c>
      <c r="BO352" s="168">
        <v>0</v>
      </c>
      <c r="BP352" s="168">
        <v>0</v>
      </c>
      <c r="BQ352" s="168">
        <v>0</v>
      </c>
      <c r="BR352" s="168">
        <v>1.0095973710032454E-2</v>
      </c>
      <c r="BS352" s="168">
        <v>21.881149023614995</v>
      </c>
      <c r="BT352" s="168">
        <v>23.217908134133626</v>
      </c>
      <c r="BU352" s="168">
        <v>-47.99211555641412</v>
      </c>
      <c r="BV352" s="168">
        <v>-8.3729981958326496E-2</v>
      </c>
      <c r="BW352" s="168">
        <v>0</v>
      </c>
      <c r="BX352" s="168">
        <v>0</v>
      </c>
      <c r="BY352" s="168">
        <v>6.4486035119881879E-2</v>
      </c>
      <c r="BZ352" s="168">
        <v>-6.6984437856203977E-2</v>
      </c>
      <c r="CA352" s="168">
        <v>0</v>
      </c>
      <c r="CB352" s="168">
        <v>0</v>
      </c>
      <c r="CC352" s="168">
        <v>0</v>
      </c>
      <c r="CD352" s="168">
        <v>1.0155203467331279E-2</v>
      </c>
      <c r="CE352" s="168">
        <v>21.740085239621418</v>
      </c>
      <c r="CF352" s="168">
        <v>23.421816756989504</v>
      </c>
      <c r="CG352" s="168">
        <v>-48.940758635753539</v>
      </c>
      <c r="CH352" s="168">
        <v>-8.4818151694052851E-2</v>
      </c>
      <c r="CI352" s="168">
        <v>0</v>
      </c>
      <c r="CJ352" s="168">
        <v>0</v>
      </c>
      <c r="CK352" s="168">
        <v>6.4607132247708435E-2</v>
      </c>
      <c r="CL352" s="168">
        <v>-6.8043540411706266E-2</v>
      </c>
      <c r="CM352" s="168">
        <v>0</v>
      </c>
      <c r="CN352" s="168">
        <v>0</v>
      </c>
      <c r="CO352" s="168">
        <v>0</v>
      </c>
    </row>
    <row r="353" spans="1:93" x14ac:dyDescent="0.2">
      <c r="A353" s="118">
        <f t="shared" si="34"/>
        <v>6</v>
      </c>
      <c r="B353" s="234" t="s">
        <v>216</v>
      </c>
      <c r="C353" s="223"/>
      <c r="D353" s="172">
        <f>SUMIF($AH$8:$CP$8,1,$AH353:$CP353)+'Unbilled to E-13c'!P73</f>
        <v>0</v>
      </c>
      <c r="E353" s="225" t="s">
        <v>555</v>
      </c>
      <c r="F353" s="183">
        <v>26.68</v>
      </c>
      <c r="G353" s="233" t="s">
        <v>375</v>
      </c>
      <c r="H353" s="174">
        <f>ROUND(D353*F353,2)</f>
        <v>0</v>
      </c>
      <c r="I353" s="229"/>
      <c r="J353" s="172">
        <f t="shared" si="35"/>
        <v>0</v>
      </c>
      <c r="K353" s="225" t="s">
        <v>555</v>
      </c>
      <c r="L353" s="183">
        <f>L351</f>
        <v>27.9</v>
      </c>
      <c r="M353" s="233" t="s">
        <v>375</v>
      </c>
      <c r="N353" s="174">
        <f>ROUND(J353*L353,2)</f>
        <v>0</v>
      </c>
      <c r="O353" s="227"/>
      <c r="Q353" s="1022"/>
      <c r="S353" s="227"/>
      <c r="T353" s="227"/>
      <c r="U353" s="184" t="s">
        <v>613</v>
      </c>
      <c r="V353" s="179">
        <v>246</v>
      </c>
      <c r="W353" s="180">
        <v>220</v>
      </c>
      <c r="Y353" s="184"/>
      <c r="Z353" s="181"/>
      <c r="AB353" s="182">
        <f>SUM(AH353:AS353)</f>
        <v>0</v>
      </c>
      <c r="AC353" s="182">
        <f>SUM(AT353:BE353)</f>
        <v>0</v>
      </c>
      <c r="AD353" s="182">
        <f>SUM(BF353:BQ353)</f>
        <v>0</v>
      </c>
      <c r="AE353" s="182">
        <f>SUM(BR353:CC353)</f>
        <v>0</v>
      </c>
      <c r="AF353" s="182">
        <f>SUM(CD353:CO353)</f>
        <v>0</v>
      </c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  <c r="AT353" s="168"/>
      <c r="AU353" s="168"/>
      <c r="AV353" s="168"/>
      <c r="AW353" s="168"/>
      <c r="AX353" s="168"/>
      <c r="AY353" s="168"/>
      <c r="AZ353" s="168"/>
      <c r="BA353" s="168"/>
      <c r="BB353" s="168"/>
      <c r="BC353" s="168"/>
      <c r="BD353" s="168"/>
      <c r="BE353" s="168"/>
      <c r="BF353" s="168"/>
      <c r="BG353" s="168"/>
      <c r="BH353" s="168"/>
      <c r="BI353" s="168"/>
      <c r="BJ353" s="168"/>
      <c r="BK353" s="168"/>
      <c r="BL353" s="168"/>
      <c r="BM353" s="168"/>
      <c r="BN353" s="168"/>
      <c r="BO353" s="168"/>
      <c r="BP353" s="168"/>
      <c r="BQ353" s="168"/>
      <c r="BR353" s="168"/>
      <c r="BS353" s="168"/>
      <c r="BT353" s="168"/>
      <c r="BU353" s="168"/>
      <c r="BV353" s="168"/>
      <c r="BW353" s="168"/>
      <c r="BX353" s="168"/>
      <c r="BY353" s="168"/>
      <c r="BZ353" s="168"/>
      <c r="CA353" s="168"/>
      <c r="CB353" s="168"/>
      <c r="CC353" s="168"/>
      <c r="CD353" s="168"/>
      <c r="CE353" s="168"/>
      <c r="CF353" s="168"/>
      <c r="CG353" s="168"/>
      <c r="CH353" s="168"/>
      <c r="CI353" s="168"/>
      <c r="CJ353" s="168"/>
      <c r="CK353" s="168"/>
      <c r="CL353" s="168"/>
      <c r="CM353" s="168"/>
      <c r="CN353" s="168"/>
      <c r="CO353" s="168"/>
    </row>
    <row r="354" spans="1:93" x14ac:dyDescent="0.2">
      <c r="A354" s="118">
        <f t="shared" si="34"/>
        <v>7</v>
      </c>
      <c r="B354" s="226" t="s">
        <v>546</v>
      </c>
      <c r="C354" s="223"/>
      <c r="D354" s="168"/>
      <c r="E354" s="225"/>
      <c r="F354" s="183"/>
      <c r="G354" s="233"/>
      <c r="H354" s="174"/>
      <c r="I354" s="229"/>
      <c r="J354" s="168"/>
      <c r="K354" s="225"/>
      <c r="L354" s="183"/>
      <c r="M354" s="233"/>
      <c r="N354" s="174"/>
      <c r="O354" s="227"/>
      <c r="Q354" s="1022"/>
      <c r="S354" s="227"/>
      <c r="U354" s="184"/>
      <c r="V354" s="179"/>
      <c r="W354" s="180"/>
      <c r="Y354" s="184"/>
      <c r="Z354" s="181"/>
    </row>
    <row r="355" spans="1:93" x14ac:dyDescent="0.2">
      <c r="A355" s="118">
        <f t="shared" si="34"/>
        <v>8</v>
      </c>
      <c r="B355" s="234" t="s">
        <v>149</v>
      </c>
      <c r="C355" s="223"/>
      <c r="D355" s="168"/>
      <c r="E355" s="225"/>
      <c r="F355" s="183"/>
      <c r="G355" s="233"/>
      <c r="H355" s="174"/>
      <c r="I355" s="229"/>
      <c r="J355" s="168"/>
      <c r="K355" s="225"/>
      <c r="L355" s="1368">
        <v>0.1</v>
      </c>
      <c r="M355" s="233"/>
      <c r="N355" s="174"/>
      <c r="O355" s="227"/>
      <c r="S355" s="305"/>
      <c r="T355" s="858" t="s">
        <v>558</v>
      </c>
      <c r="U355" s="184"/>
      <c r="V355" s="179"/>
      <c r="W355" s="180"/>
      <c r="Y355" s="184"/>
      <c r="Z355" s="181"/>
    </row>
    <row r="356" spans="1:93" x14ac:dyDescent="0.2">
      <c r="A356" s="118">
        <f t="shared" si="34"/>
        <v>9</v>
      </c>
      <c r="B356" s="243" t="s">
        <v>559</v>
      </c>
      <c r="C356" s="223"/>
      <c r="D356" s="172">
        <f>SUMIF($AH$8:$CP$8,1,$AH356:$CP356)+(SUM($AE$356:$AE$358)*'TOU Split'!E20)+'Unbilled to E-13c'!P74</f>
        <v>0</v>
      </c>
      <c r="E356" s="225" t="s">
        <v>555</v>
      </c>
      <c r="F356" s="183">
        <v>29.14</v>
      </c>
      <c r="G356" s="233" t="s">
        <v>375</v>
      </c>
      <c r="H356" s="174">
        <f>ROUND(D356*F356,2)</f>
        <v>0</v>
      </c>
      <c r="I356" s="229"/>
      <c r="J356" s="172">
        <f>D356</f>
        <v>0</v>
      </c>
      <c r="K356" s="225" t="s">
        <v>555</v>
      </c>
      <c r="L356" s="1102">
        <f>ROUND(('MFR E-14A'!I129*10)+(L355*T356),2)</f>
        <v>31.4</v>
      </c>
      <c r="M356" s="233" t="s">
        <v>375</v>
      </c>
      <c r="N356" s="174">
        <f>ROUND(J356*L356,2)</f>
        <v>0</v>
      </c>
      <c r="O356" s="227"/>
      <c r="S356" s="305"/>
      <c r="T356" s="859">
        <f>'MFR E-14C'!Z207</f>
        <v>1.3999999999999997</v>
      </c>
      <c r="U356" s="184" t="s">
        <v>614</v>
      </c>
      <c r="V356" s="179">
        <v>249</v>
      </c>
      <c r="W356" s="180">
        <v>223</v>
      </c>
      <c r="Y356" s="184"/>
      <c r="Z356" s="181"/>
      <c r="AB356" s="182">
        <f>SUM(AH356:AS356)</f>
        <v>0</v>
      </c>
      <c r="AC356" s="182">
        <f>SUM(AT356:BE356)</f>
        <v>0</v>
      </c>
      <c r="AD356" s="182">
        <f>SUM(BF356:BQ356)</f>
        <v>0</v>
      </c>
      <c r="AE356" s="182">
        <f>SUM(BR356:CC356)</f>
        <v>0</v>
      </c>
      <c r="AF356" s="182">
        <f>SUM(CD356:CO356)</f>
        <v>0</v>
      </c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  <c r="AT356" s="168"/>
      <c r="AU356" s="168"/>
      <c r="AV356" s="168"/>
      <c r="AW356" s="168"/>
      <c r="AX356" s="168"/>
      <c r="AY356" s="168"/>
      <c r="AZ356" s="168"/>
      <c r="BA356" s="168"/>
      <c r="BB356" s="168"/>
      <c r="BC356" s="168"/>
      <c r="BD356" s="168"/>
      <c r="BE356" s="168"/>
      <c r="BF356" s="168"/>
      <c r="BG356" s="168"/>
      <c r="BH356" s="168"/>
      <c r="BI356" s="168"/>
      <c r="BJ356" s="168"/>
      <c r="BK356" s="168"/>
      <c r="BL356" s="168"/>
      <c r="BM356" s="168"/>
      <c r="BN356" s="168"/>
      <c r="BO356" s="168"/>
      <c r="BP356" s="168"/>
      <c r="BQ356" s="168"/>
      <c r="BR356" s="168"/>
      <c r="BS356" s="168"/>
      <c r="BT356" s="168"/>
      <c r="BU356" s="168"/>
      <c r="BV356" s="168"/>
      <c r="BW356" s="168"/>
      <c r="BX356" s="168"/>
      <c r="BY356" s="168"/>
      <c r="BZ356" s="168"/>
      <c r="CA356" s="168"/>
      <c r="CB356" s="168"/>
      <c r="CC356" s="168"/>
      <c r="CD356" s="168"/>
      <c r="CE356" s="168"/>
      <c r="CF356" s="168"/>
      <c r="CG356" s="168"/>
      <c r="CH356" s="168"/>
      <c r="CI356" s="168"/>
      <c r="CJ356" s="168"/>
      <c r="CK356" s="168"/>
      <c r="CL356" s="168"/>
      <c r="CM356" s="168"/>
      <c r="CN356" s="168"/>
      <c r="CO356" s="168"/>
    </row>
    <row r="357" spans="1:93" x14ac:dyDescent="0.2">
      <c r="A357" s="118">
        <f t="shared" si="34"/>
        <v>10</v>
      </c>
      <c r="B357" s="243" t="s">
        <v>560</v>
      </c>
      <c r="C357" s="223"/>
      <c r="D357" s="172">
        <f>SUMIF($AH$8:$CP$8,1,$AH357:$CP357)+(SUM($AE$356:$AE$358)*'TOU Split'!E21)+'Unbilled to E-13c'!P75</f>
        <v>0</v>
      </c>
      <c r="E357" s="225" t="s">
        <v>555</v>
      </c>
      <c r="F357" s="183">
        <v>21.59</v>
      </c>
      <c r="G357" s="233" t="s">
        <v>375</v>
      </c>
      <c r="H357" s="174">
        <f>ROUND(D357*F357,2)</f>
        <v>0</v>
      </c>
      <c r="I357" s="229"/>
      <c r="J357" s="172">
        <f t="shared" ref="J357:J358" si="36">D357</f>
        <v>0</v>
      </c>
      <c r="K357" s="225" t="s">
        <v>555</v>
      </c>
      <c r="L357" s="1102">
        <f>ROUND(IF(('MFR E-14A'!I130*10)+(L355*T357)&lt;F357,F357,('MFR E-14A'!I130*10)+(L355*T357)),2)</f>
        <v>22.43</v>
      </c>
      <c r="M357" s="233" t="s">
        <v>375</v>
      </c>
      <c r="N357" s="174">
        <f>ROUND(J357*L357,2)</f>
        <v>0</v>
      </c>
      <c r="O357" s="227"/>
      <c r="S357" s="305"/>
      <c r="T357" s="859">
        <f>'MFR E-14C'!Z208</f>
        <v>1</v>
      </c>
      <c r="U357" s="184" t="s">
        <v>614</v>
      </c>
      <c r="V357" s="179">
        <v>249</v>
      </c>
      <c r="W357" s="180">
        <v>223</v>
      </c>
      <c r="Y357" s="184"/>
      <c r="Z357" s="181"/>
      <c r="AB357" s="182">
        <f>SUM(AH357:AS357)</f>
        <v>0</v>
      </c>
      <c r="AC357" s="182">
        <f>SUM(AT357:BE357)</f>
        <v>0</v>
      </c>
      <c r="AD357" s="182">
        <f>SUM(BF357:BQ357)</f>
        <v>0</v>
      </c>
      <c r="AE357" s="182">
        <f>SUM(BR357:CC357)</f>
        <v>0</v>
      </c>
      <c r="AF357" s="182">
        <f>SUM(CD357:CO357)</f>
        <v>0</v>
      </c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  <c r="AT357" s="168"/>
      <c r="AU357" s="168"/>
      <c r="AV357" s="168"/>
      <c r="AW357" s="168"/>
      <c r="AX357" s="168"/>
      <c r="AY357" s="168"/>
      <c r="AZ357" s="168"/>
      <c r="BA357" s="168"/>
      <c r="BB357" s="168"/>
      <c r="BC357" s="168"/>
      <c r="BD357" s="168"/>
      <c r="BE357" s="168"/>
      <c r="BF357" s="168"/>
      <c r="BG357" s="168"/>
      <c r="BH357" s="168"/>
      <c r="BI357" s="168"/>
      <c r="BJ357" s="168"/>
      <c r="BK357" s="168"/>
      <c r="BL357" s="168"/>
      <c r="BM357" s="168"/>
      <c r="BN357" s="168"/>
      <c r="BO357" s="168"/>
      <c r="BP357" s="168"/>
      <c r="BQ357" s="168"/>
      <c r="BR357" s="168"/>
      <c r="BS357" s="168"/>
      <c r="BT357" s="168"/>
      <c r="BU357" s="168"/>
      <c r="BV357" s="168"/>
      <c r="BW357" s="168"/>
      <c r="BX357" s="168"/>
      <c r="BY357" s="168"/>
      <c r="BZ357" s="168"/>
      <c r="CA357" s="168"/>
      <c r="CB357" s="168"/>
      <c r="CC357" s="168"/>
      <c r="CD357" s="168"/>
      <c r="CE357" s="168"/>
      <c r="CF357" s="168"/>
      <c r="CG357" s="168"/>
      <c r="CH357" s="168"/>
      <c r="CI357" s="168"/>
      <c r="CJ357" s="168"/>
      <c r="CK357" s="168"/>
      <c r="CL357" s="168"/>
      <c r="CM357" s="168"/>
      <c r="CN357" s="168"/>
      <c r="CO357" s="168"/>
    </row>
    <row r="358" spans="1:93" x14ac:dyDescent="0.2">
      <c r="A358" s="118">
        <f t="shared" si="34"/>
        <v>11</v>
      </c>
      <c r="B358" s="243" t="s">
        <v>561</v>
      </c>
      <c r="C358" s="223"/>
      <c r="D358" s="172">
        <f>SUMIF($AH$8:$CP$8,1,$AH358:$CP358)+(SUM($AE$356:$AE$358)*'TOU Split'!E22)+'Unbilled to E-13c'!P76</f>
        <v>0</v>
      </c>
      <c r="E358" s="225" t="s">
        <v>555</v>
      </c>
      <c r="F358" s="183">
        <v>16.37</v>
      </c>
      <c r="G358" s="233" t="s">
        <v>375</v>
      </c>
      <c r="H358" s="174">
        <f>ROUND(D358*F358,2)</f>
        <v>0</v>
      </c>
      <c r="I358" s="229"/>
      <c r="J358" s="172">
        <f t="shared" si="36"/>
        <v>0</v>
      </c>
      <c r="K358" s="225" t="s">
        <v>555</v>
      </c>
      <c r="L358" s="1102">
        <f>ROUND(IF(('MFR E-14A'!I131*10)+(L355*T358)&lt;F358,F358,('MFR E-14A'!I131*10)+(L355*T358)),2)</f>
        <v>16.940000000000001</v>
      </c>
      <c r="M358" s="233" t="s">
        <v>375</v>
      </c>
      <c r="N358" s="174">
        <f>ROUND(J358*L358,2)</f>
        <v>0</v>
      </c>
      <c r="O358" s="227"/>
      <c r="S358" s="227"/>
      <c r="T358" s="859">
        <f>'MFR E-14C'!Z209</f>
        <v>0.75507416988388154</v>
      </c>
      <c r="U358" s="184" t="s">
        <v>614</v>
      </c>
      <c r="V358" s="179">
        <v>249</v>
      </c>
      <c r="W358" s="180">
        <v>223</v>
      </c>
      <c r="Y358" s="184"/>
      <c r="Z358" s="181"/>
      <c r="AB358" s="182">
        <f>SUM(AH358:AS358)</f>
        <v>0</v>
      </c>
      <c r="AC358" s="182">
        <f>SUM(AT358:BE358)</f>
        <v>0</v>
      </c>
      <c r="AD358" s="182">
        <f>SUM(BF358:BQ358)</f>
        <v>0</v>
      </c>
      <c r="AE358" s="182">
        <f>SUM(BR358:CC358)</f>
        <v>0</v>
      </c>
      <c r="AF358" s="182">
        <f>SUM(CD358:CO358)</f>
        <v>0</v>
      </c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  <c r="AT358" s="168"/>
      <c r="AU358" s="168"/>
      <c r="AV358" s="168"/>
      <c r="AW358" s="168"/>
      <c r="AX358" s="168"/>
      <c r="AY358" s="168"/>
      <c r="AZ358" s="168"/>
      <c r="BA358" s="168"/>
      <c r="BB358" s="168"/>
      <c r="BC358" s="168"/>
      <c r="BD358" s="168"/>
      <c r="BE358" s="168"/>
      <c r="BF358" s="168"/>
      <c r="BG358" s="168"/>
      <c r="BH358" s="168"/>
      <c r="BI358" s="168"/>
      <c r="BJ358" s="168"/>
      <c r="BK358" s="168"/>
      <c r="BL358" s="168"/>
      <c r="BM358" s="168"/>
      <c r="BN358" s="168"/>
      <c r="BO358" s="168"/>
      <c r="BP358" s="168"/>
      <c r="BQ358" s="168"/>
      <c r="BR358" s="168"/>
      <c r="BS358" s="168"/>
      <c r="BT358" s="168"/>
      <c r="BU358" s="168"/>
      <c r="BV358" s="168"/>
      <c r="BW358" s="168"/>
      <c r="BX358" s="168"/>
      <c r="BY358" s="168"/>
      <c r="BZ358" s="168"/>
      <c r="CA358" s="168"/>
      <c r="CB358" s="168"/>
      <c r="CC358" s="168"/>
      <c r="CD358" s="168"/>
      <c r="CE358" s="168"/>
      <c r="CF358" s="168"/>
      <c r="CG358" s="168"/>
      <c r="CH358" s="168"/>
      <c r="CI358" s="168"/>
      <c r="CJ358" s="168"/>
      <c r="CK358" s="168"/>
      <c r="CL358" s="168"/>
      <c r="CM358" s="168"/>
      <c r="CN358" s="168"/>
      <c r="CO358" s="168"/>
    </row>
    <row r="359" spans="1:93" x14ac:dyDescent="0.2">
      <c r="A359" s="118">
        <f t="shared" si="34"/>
        <v>12</v>
      </c>
      <c r="B359" s="234" t="s">
        <v>148</v>
      </c>
      <c r="C359" s="223"/>
      <c r="D359" s="168"/>
      <c r="E359" s="225"/>
      <c r="F359" s="183"/>
      <c r="G359" s="233"/>
      <c r="H359" s="174"/>
      <c r="I359" s="229"/>
      <c r="J359" s="168"/>
      <c r="K359" s="225"/>
      <c r="L359" s="183"/>
      <c r="M359" s="233"/>
      <c r="N359" s="174"/>
      <c r="O359" s="227"/>
      <c r="S359" s="227"/>
      <c r="T359" s="306"/>
      <c r="U359" s="184"/>
      <c r="V359" s="179"/>
      <c r="W359" s="180"/>
      <c r="Y359" s="184"/>
      <c r="Z359" s="181"/>
    </row>
    <row r="360" spans="1:93" x14ac:dyDescent="0.2">
      <c r="A360" s="118">
        <f t="shared" si="34"/>
        <v>13</v>
      </c>
      <c r="B360" s="243" t="s">
        <v>559</v>
      </c>
      <c r="C360" s="223"/>
      <c r="D360" s="172">
        <f>SUMIF($AH$8:$CP$8,1,$AH360:$CP360)+(SUM($AE$360:$AE$362)*'TOU Split'!E20)+'Unbilled to E-13c'!P77</f>
        <v>8877.7664748828665</v>
      </c>
      <c r="E360" s="225" t="s">
        <v>555</v>
      </c>
      <c r="F360" s="183">
        <v>29.14</v>
      </c>
      <c r="G360" s="233" t="s">
        <v>375</v>
      </c>
      <c r="H360" s="174">
        <f>ROUND(D360*F360,2)</f>
        <v>258698.12</v>
      </c>
      <c r="I360" s="229"/>
      <c r="J360" s="172">
        <f>D360</f>
        <v>8877.7664748828665</v>
      </c>
      <c r="K360" s="225" t="s">
        <v>555</v>
      </c>
      <c r="L360" s="183">
        <f>L356</f>
        <v>31.4</v>
      </c>
      <c r="M360" s="233" t="s">
        <v>375</v>
      </c>
      <c r="N360" s="174">
        <f>ROUND(J360*L360,2)</f>
        <v>278761.87</v>
      </c>
      <c r="O360" s="227"/>
      <c r="Q360" s="1022"/>
      <c r="S360" s="227"/>
      <c r="T360" s="306"/>
      <c r="U360" s="184" t="s">
        <v>614</v>
      </c>
      <c r="V360" s="179">
        <v>249</v>
      </c>
      <c r="W360" s="180">
        <v>223</v>
      </c>
      <c r="Y360" s="184"/>
      <c r="Z360" s="181"/>
      <c r="AB360" s="182">
        <f>SUM(AH360:AS360)</f>
        <v>8659.3568470564787</v>
      </c>
      <c r="AC360" s="182">
        <f>SUM(AT360:BE360)</f>
        <v>8696.3144982775157</v>
      </c>
      <c r="AD360" s="182">
        <f>SUM(BF360:BQ360)</f>
        <v>8756.4247387058313</v>
      </c>
      <c r="AE360" s="182">
        <f>SUM(BR360:CC360)</f>
        <v>8842.0074748828665</v>
      </c>
      <c r="AF360" s="182">
        <f>SUM(CD360:CO360)</f>
        <v>8884.0847639129061</v>
      </c>
      <c r="AH360" s="168">
        <v>1339.8692220221653</v>
      </c>
      <c r="AI360" s="168">
        <v>1915.9350041593609</v>
      </c>
      <c r="AJ360" s="168">
        <v>107.72415931980481</v>
      </c>
      <c r="AK360" s="168">
        <v>620.1410043383521</v>
      </c>
      <c r="AL360" s="168">
        <v>1394.5041765755459</v>
      </c>
      <c r="AM360" s="168">
        <v>447.17264701245284</v>
      </c>
      <c r="AN360" s="168">
        <v>470.59991369180779</v>
      </c>
      <c r="AO360" s="168">
        <v>330.03951847786533</v>
      </c>
      <c r="AP360" s="168">
        <v>557.07148397667311</v>
      </c>
      <c r="AQ360" s="168">
        <v>444.99348341981568</v>
      </c>
      <c r="AR360" s="168">
        <v>497.61574035117025</v>
      </c>
      <c r="AS360" s="168">
        <v>533.69049371146377</v>
      </c>
      <c r="AT360" s="168">
        <v>1388.7099683887786</v>
      </c>
      <c r="AU360" s="168">
        <v>1947.8103640655929</v>
      </c>
      <c r="AV360" s="168">
        <v>106.12327553506461</v>
      </c>
      <c r="AW360" s="168">
        <v>609.54690854815669</v>
      </c>
      <c r="AX360" s="168">
        <v>1377.1412446258025</v>
      </c>
      <c r="AY360" s="168">
        <v>434.65509158378916</v>
      </c>
      <c r="AZ360" s="168">
        <v>472.28244941667407</v>
      </c>
      <c r="BA360" s="168">
        <v>327.02072943644254</v>
      </c>
      <c r="BB360" s="168">
        <v>556.72976398911874</v>
      </c>
      <c r="BC360" s="168">
        <v>444.8605648846883</v>
      </c>
      <c r="BD360" s="168">
        <v>498.53455761681806</v>
      </c>
      <c r="BE360" s="168">
        <v>532.89958018658876</v>
      </c>
      <c r="BF360" s="168">
        <v>1387.2329235202908</v>
      </c>
      <c r="BG360" s="168">
        <v>1970.9307511192324</v>
      </c>
      <c r="BH360" s="168">
        <v>107.71202325131857</v>
      </c>
      <c r="BI360" s="168">
        <v>616.11343444770216</v>
      </c>
      <c r="BJ360" s="168">
        <v>1387.0919595690632</v>
      </c>
      <c r="BK360" s="168">
        <v>440.48276623630693</v>
      </c>
      <c r="BL360" s="168">
        <v>475.29466772973922</v>
      </c>
      <c r="BM360" s="168">
        <v>329.50610475639292</v>
      </c>
      <c r="BN360" s="168">
        <v>558.67743508095282</v>
      </c>
      <c r="BO360" s="168">
        <v>443.65297484505675</v>
      </c>
      <c r="BP360" s="168">
        <v>499.41486254275657</v>
      </c>
      <c r="BQ360" s="168">
        <v>540.31483560701804</v>
      </c>
      <c r="BR360" s="168">
        <v>1406.1094025108321</v>
      </c>
      <c r="BS360" s="168">
        <v>1992.4112207653275</v>
      </c>
      <c r="BT360" s="168">
        <v>108.09029557781443</v>
      </c>
      <c r="BU360" s="168">
        <v>619.61419547573371</v>
      </c>
      <c r="BV360" s="168">
        <v>1386.9850405174207</v>
      </c>
      <c r="BW360" s="168">
        <v>449.00866068143239</v>
      </c>
      <c r="BX360" s="168">
        <v>483.94725031079219</v>
      </c>
      <c r="BY360" s="168">
        <v>333.98750499230772</v>
      </c>
      <c r="BZ360" s="168">
        <v>563.40900688605132</v>
      </c>
      <c r="CA360" s="168">
        <v>450.17771662557334</v>
      </c>
      <c r="CB360" s="168">
        <v>505.89132985741378</v>
      </c>
      <c r="CC360" s="168">
        <v>542.37585068216947</v>
      </c>
      <c r="CD360" s="168">
        <v>1414.3585839209964</v>
      </c>
      <c r="CE360" s="168">
        <v>1979.5665083706954</v>
      </c>
      <c r="CF360" s="168">
        <v>109.03958623690501</v>
      </c>
      <c r="CG360" s="168">
        <v>631.86188890586754</v>
      </c>
      <c r="CH360" s="168">
        <v>1405.0105447597055</v>
      </c>
      <c r="CI360" s="168">
        <v>446.5413341616736</v>
      </c>
      <c r="CJ360" s="168">
        <v>484.42544291240256</v>
      </c>
      <c r="CK360" s="168">
        <v>334.61469392568443</v>
      </c>
      <c r="CL360" s="168">
        <v>572.31716433400914</v>
      </c>
      <c r="CM360" s="168">
        <v>451.70503611695904</v>
      </c>
      <c r="CN360" s="168">
        <v>511.04774727742978</v>
      </c>
      <c r="CO360" s="168">
        <v>543.59623299058023</v>
      </c>
    </row>
    <row r="361" spans="1:93" x14ac:dyDescent="0.2">
      <c r="A361" s="118">
        <f t="shared" si="34"/>
        <v>14</v>
      </c>
      <c r="B361" s="243" t="s">
        <v>560</v>
      </c>
      <c r="C361" s="223"/>
      <c r="D361" s="172">
        <f>SUMIF($AH$8:$CP$8,1,$AH361:$CP361)+(SUM($AE$360:$AE$362)*'TOU Split'!E21)+'Unbilled to E-13c'!P78</f>
        <v>44990.984680166272</v>
      </c>
      <c r="E361" s="225" t="s">
        <v>555</v>
      </c>
      <c r="F361" s="183">
        <v>21.59</v>
      </c>
      <c r="G361" s="233" t="s">
        <v>375</v>
      </c>
      <c r="H361" s="174">
        <f>ROUND(D361*F361,2)</f>
        <v>971355.36</v>
      </c>
      <c r="I361" s="229"/>
      <c r="J361" s="172">
        <f t="shared" ref="J361:J362" si="37">D361</f>
        <v>44990.984680166272</v>
      </c>
      <c r="K361" s="225" t="s">
        <v>555</v>
      </c>
      <c r="L361" s="183">
        <f>L357</f>
        <v>22.43</v>
      </c>
      <c r="M361" s="233" t="s">
        <v>375</v>
      </c>
      <c r="N361" s="174">
        <f>ROUND(J361*L361,2)</f>
        <v>1009147.79</v>
      </c>
      <c r="O361" s="227"/>
      <c r="Q361" s="1022"/>
      <c r="S361" s="247"/>
      <c r="T361" s="306"/>
      <c r="U361" s="184" t="s">
        <v>614</v>
      </c>
      <c r="V361" s="179">
        <v>249</v>
      </c>
      <c r="W361" s="180">
        <v>223</v>
      </c>
      <c r="Y361" s="184"/>
      <c r="Z361" s="181"/>
      <c r="AB361" s="182">
        <f>SUM(AH361:AS361)</f>
        <v>45577.535062655035</v>
      </c>
      <c r="AC361" s="182">
        <f>SUM(AT361:BE361)</f>
        <v>45599.977811643374</v>
      </c>
      <c r="AD361" s="182">
        <f>SUM(BF361:BQ361)</f>
        <v>45903.407635039461</v>
      </c>
      <c r="AE361" s="182">
        <f>SUM(BR361:CC361)</f>
        <v>46365.686307126693</v>
      </c>
      <c r="AF361" s="182">
        <f>SUM(CD361:CO361)</f>
        <v>46612.832180904108</v>
      </c>
      <c r="AH361" s="168">
        <v>4473.301236272282</v>
      </c>
      <c r="AI361" s="168">
        <v>6592.2971286339525</v>
      </c>
      <c r="AJ361" s="168">
        <v>384.27452846187754</v>
      </c>
      <c r="AK361" s="168">
        <v>2436.3197014055086</v>
      </c>
      <c r="AL361" s="168">
        <v>7603.3190591099819</v>
      </c>
      <c r="AM361" s="168">
        <v>3350.1726113268646</v>
      </c>
      <c r="AN361" s="168">
        <v>3415.0779078139431</v>
      </c>
      <c r="AO361" s="168">
        <v>2746.3074026480149</v>
      </c>
      <c r="AP361" s="168">
        <v>4136.6123943584398</v>
      </c>
      <c r="AQ361" s="168">
        <v>3485.5351396097462</v>
      </c>
      <c r="AR361" s="168">
        <v>3689.8786143141488</v>
      </c>
      <c r="AS361" s="168">
        <v>3264.439338700276</v>
      </c>
      <c r="AT361" s="168">
        <v>4636.3614570097188</v>
      </c>
      <c r="AU361" s="168">
        <v>6701.9730013163999</v>
      </c>
      <c r="AV361" s="168">
        <v>378.56384234106963</v>
      </c>
      <c r="AW361" s="168">
        <v>2394.699160090443</v>
      </c>
      <c r="AX361" s="168">
        <v>7508.6503491605417</v>
      </c>
      <c r="AY361" s="168">
        <v>3256.3923418089325</v>
      </c>
      <c r="AZ361" s="168">
        <v>3427.2878347942142</v>
      </c>
      <c r="BA361" s="168">
        <v>2721.1876147822236</v>
      </c>
      <c r="BB361" s="168">
        <v>4134.074904688664</v>
      </c>
      <c r="BC361" s="168">
        <v>3484.494018240212</v>
      </c>
      <c r="BD361" s="168">
        <v>3696.6917512470445</v>
      </c>
      <c r="BE361" s="168">
        <v>3259.6015361639097</v>
      </c>
      <c r="BF361" s="168">
        <v>4631.4301797420303</v>
      </c>
      <c r="BG361" s="168">
        <v>6781.5250011784656</v>
      </c>
      <c r="BH361" s="168">
        <v>384.23123657615406</v>
      </c>
      <c r="BI361" s="168">
        <v>2420.4967711287923</v>
      </c>
      <c r="BJ361" s="168">
        <v>7562.9050884799017</v>
      </c>
      <c r="BK361" s="168">
        <v>3300.0526956767867</v>
      </c>
      <c r="BL361" s="168">
        <v>3449.1470827778371</v>
      </c>
      <c r="BM361" s="168">
        <v>2741.8687885732229</v>
      </c>
      <c r="BN361" s="168">
        <v>4148.5376094049443</v>
      </c>
      <c r="BO361" s="168">
        <v>3475.0352336192977</v>
      </c>
      <c r="BP361" s="168">
        <v>3703.2193146999284</v>
      </c>
      <c r="BQ361" s="168">
        <v>3304.9586331821051</v>
      </c>
      <c r="BR361" s="168">
        <v>4694.4513876457486</v>
      </c>
      <c r="BS361" s="168">
        <v>6855.4344177621424</v>
      </c>
      <c r="BT361" s="168">
        <v>385.58061280533241</v>
      </c>
      <c r="BU361" s="168">
        <v>2434.2500514357544</v>
      </c>
      <c r="BV361" s="168">
        <v>7562.3221288324567</v>
      </c>
      <c r="BW361" s="168">
        <v>3363.9278415470749</v>
      </c>
      <c r="BX361" s="168">
        <v>3511.9376672177686</v>
      </c>
      <c r="BY361" s="168">
        <v>2779.1591794296946</v>
      </c>
      <c r="BZ361" s="168">
        <v>4183.6725591138156</v>
      </c>
      <c r="CA361" s="168">
        <v>3526.1420870907123</v>
      </c>
      <c r="CB361" s="168">
        <v>3751.2430734013578</v>
      </c>
      <c r="CC361" s="168">
        <v>3317.5653008448353</v>
      </c>
      <c r="CD361" s="168">
        <v>4721.9921899821384</v>
      </c>
      <c r="CE361" s="168">
        <v>6811.2386801961839</v>
      </c>
      <c r="CF361" s="168">
        <v>388.96693044010129</v>
      </c>
      <c r="CG361" s="168">
        <v>2482.3670064376993</v>
      </c>
      <c r="CH361" s="168">
        <v>7660.6034120710565</v>
      </c>
      <c r="CI361" s="168">
        <v>3345.4428787817515</v>
      </c>
      <c r="CJ361" s="168">
        <v>3515.4078442023501</v>
      </c>
      <c r="CK361" s="168">
        <v>2784.3781108429234</v>
      </c>
      <c r="CL361" s="168">
        <v>4249.8213309860848</v>
      </c>
      <c r="CM361" s="168">
        <v>3538.1052415075446</v>
      </c>
      <c r="CN361" s="168">
        <v>3789.4785085408635</v>
      </c>
      <c r="CO361" s="168">
        <v>3325.0300469153995</v>
      </c>
    </row>
    <row r="362" spans="1:93" x14ac:dyDescent="0.2">
      <c r="A362" s="118">
        <f t="shared" si="34"/>
        <v>15</v>
      </c>
      <c r="B362" s="243" t="s">
        <v>561</v>
      </c>
      <c r="C362" s="223"/>
      <c r="D362" s="172">
        <f>SUMIF($AH$8:$CP$8,1,$AH362:$CP362)+(SUM($AE$360:$AE$362)*'TOU Split'!E22)+'Unbilled to E-13c'!P79</f>
        <v>13015.036578829231</v>
      </c>
      <c r="E362" s="225" t="s">
        <v>555</v>
      </c>
      <c r="F362" s="183">
        <v>16.37</v>
      </c>
      <c r="G362" s="233" t="s">
        <v>375</v>
      </c>
      <c r="H362" s="174">
        <f>ROUND(D362*F362,2)</f>
        <v>213056.15</v>
      </c>
      <c r="I362" s="229"/>
      <c r="J362" s="172">
        <f t="shared" si="37"/>
        <v>13015.036578829231</v>
      </c>
      <c r="K362" s="225" t="s">
        <v>555</v>
      </c>
      <c r="L362" s="183">
        <f>L358</f>
        <v>16.940000000000001</v>
      </c>
      <c r="M362" s="233" t="s">
        <v>375</v>
      </c>
      <c r="N362" s="174">
        <f>ROUND(J362*L362,2)</f>
        <v>220474.72</v>
      </c>
      <c r="O362" s="227"/>
      <c r="P362" s="1226"/>
      <c r="Q362" s="1022"/>
      <c r="S362" s="227"/>
      <c r="T362" s="306"/>
      <c r="U362" s="184" t="s">
        <v>614</v>
      </c>
      <c r="V362" s="179">
        <v>249</v>
      </c>
      <c r="W362" s="180">
        <v>223</v>
      </c>
      <c r="Y362" s="184"/>
      <c r="Z362" s="181"/>
      <c r="AB362" s="182">
        <f>SUM(AH362:AS362)</f>
        <v>11288.889134058874</v>
      </c>
      <c r="AC362" s="182">
        <f>SUM(AT362:BE362)</f>
        <v>11218.872165784627</v>
      </c>
      <c r="AD362" s="182">
        <f>SUM(BF362:BQ362)</f>
        <v>11287.602742571797</v>
      </c>
      <c r="AE362" s="182">
        <f>SUM(BR362:CC362)</f>
        <v>11406.69095186881</v>
      </c>
      <c r="AF362" s="182">
        <f>SUM(CD362:CO362)</f>
        <v>11480.040081302945</v>
      </c>
      <c r="AH362" s="168">
        <v>0</v>
      </c>
      <c r="AI362" s="168">
        <v>0</v>
      </c>
      <c r="AJ362" s="168">
        <v>0</v>
      </c>
      <c r="AK362" s="168">
        <v>136.42948350203011</v>
      </c>
      <c r="AL362" s="168">
        <v>2126.9896540287937</v>
      </c>
      <c r="AM362" s="168">
        <v>1295.3460720368271</v>
      </c>
      <c r="AN362" s="168">
        <v>1339.6041147686924</v>
      </c>
      <c r="AO362" s="168">
        <v>1024.9474894111806</v>
      </c>
      <c r="AP362" s="168">
        <v>1603.7506912400136</v>
      </c>
      <c r="AQ362" s="168">
        <v>1329.5779500827407</v>
      </c>
      <c r="AR362" s="168">
        <v>1390.4149525633443</v>
      </c>
      <c r="AS362" s="168">
        <v>1041.8287264252531</v>
      </c>
      <c r="AT362" s="168">
        <v>0</v>
      </c>
      <c r="AU362" s="168">
        <v>0</v>
      </c>
      <c r="AV362" s="168">
        <v>0</v>
      </c>
      <c r="AW362" s="168">
        <v>134.09880869304942</v>
      </c>
      <c r="AX362" s="168">
        <v>2100.5065661750155</v>
      </c>
      <c r="AY362" s="168">
        <v>1259.0858795488659</v>
      </c>
      <c r="AZ362" s="168">
        <v>1344.3936009430404</v>
      </c>
      <c r="BA362" s="168">
        <v>1015.5725507270555</v>
      </c>
      <c r="BB362" s="168">
        <v>1602.7669150424988</v>
      </c>
      <c r="BC362" s="168">
        <v>1329.1808081917977</v>
      </c>
      <c r="BD362" s="168">
        <v>1392.9822693928495</v>
      </c>
      <c r="BE362" s="168">
        <v>1040.2847670704543</v>
      </c>
      <c r="BF362" s="168">
        <v>0</v>
      </c>
      <c r="BG362" s="168">
        <v>0</v>
      </c>
      <c r="BH362" s="168">
        <v>0</v>
      </c>
      <c r="BI362" s="168">
        <v>135.54342811123078</v>
      </c>
      <c r="BJ362" s="168">
        <v>2115.6840522593384</v>
      </c>
      <c r="BK362" s="168">
        <v>1275.9671792452607</v>
      </c>
      <c r="BL362" s="168">
        <v>1352.9681457514064</v>
      </c>
      <c r="BM362" s="168">
        <v>1023.2909573171997</v>
      </c>
      <c r="BN362" s="168">
        <v>1608.3740569438205</v>
      </c>
      <c r="BO362" s="168">
        <v>1325.5726989738951</v>
      </c>
      <c r="BP362" s="168">
        <v>1395.4419768188573</v>
      </c>
      <c r="BQ362" s="168">
        <v>1054.7602471507878</v>
      </c>
      <c r="BR362" s="168">
        <v>0</v>
      </c>
      <c r="BS362" s="168">
        <v>0</v>
      </c>
      <c r="BT362" s="168">
        <v>0</v>
      </c>
      <c r="BU362" s="168">
        <v>136.31358685831759</v>
      </c>
      <c r="BV362" s="168">
        <v>2115.5209722768741</v>
      </c>
      <c r="BW362" s="168">
        <v>1300.6645393228018</v>
      </c>
      <c r="BX362" s="168">
        <v>1377.5984843717943</v>
      </c>
      <c r="BY362" s="168">
        <v>1037.2080783396498</v>
      </c>
      <c r="BZ362" s="168">
        <v>1621.995758594943</v>
      </c>
      <c r="CA362" s="168">
        <v>1345.0677098551539</v>
      </c>
      <c r="CB362" s="168">
        <v>1413.5382231066701</v>
      </c>
      <c r="CC362" s="168">
        <v>1058.7835991426057</v>
      </c>
      <c r="CD362" s="168">
        <v>0</v>
      </c>
      <c r="CE362" s="168">
        <v>0</v>
      </c>
      <c r="CF362" s="168">
        <v>0</v>
      </c>
      <c r="CG362" s="168">
        <v>139.0080490484886</v>
      </c>
      <c r="CH362" s="168">
        <v>2143.0146590481409</v>
      </c>
      <c r="CI362" s="168">
        <v>1293.5173183620514</v>
      </c>
      <c r="CJ362" s="168">
        <v>1378.9597017416484</v>
      </c>
      <c r="CK362" s="168">
        <v>1039.155832128698</v>
      </c>
      <c r="CL362" s="168">
        <v>1647.6414146297</v>
      </c>
      <c r="CM362" s="168">
        <v>1349.6311257121054</v>
      </c>
      <c r="CN362" s="168">
        <v>1427.9460468571581</v>
      </c>
      <c r="CO362" s="168">
        <v>1061.1659337749531</v>
      </c>
    </row>
    <row r="363" spans="1:93" x14ac:dyDescent="0.2">
      <c r="A363" s="118">
        <f t="shared" si="34"/>
        <v>16</v>
      </c>
      <c r="B363" s="234" t="s">
        <v>216</v>
      </c>
      <c r="C363" s="223"/>
      <c r="D363" s="168"/>
      <c r="E363" s="225"/>
      <c r="F363" s="183"/>
      <c r="G363" s="233"/>
      <c r="H363" s="174"/>
      <c r="I363" s="229"/>
      <c r="J363" s="168"/>
      <c r="K363" s="225"/>
      <c r="L363" s="183"/>
      <c r="M363" s="233"/>
      <c r="N363" s="174"/>
      <c r="O363" s="227"/>
      <c r="U363" s="184"/>
      <c r="V363" s="179"/>
      <c r="W363" s="180"/>
      <c r="Y363" s="184"/>
      <c r="Z363" s="181"/>
    </row>
    <row r="364" spans="1:93" x14ac:dyDescent="0.2">
      <c r="A364" s="118">
        <f t="shared" si="34"/>
        <v>17</v>
      </c>
      <c r="B364" s="243" t="s">
        <v>559</v>
      </c>
      <c r="C364" s="223"/>
      <c r="D364" s="172">
        <f>SUMIF($AH$8:$CP$8,1,$AH364:$CP364)+(SUM($AE$364:$AE$366)*'TOU Split'!E20)+'Unbilled to E-13c'!P80</f>
        <v>0</v>
      </c>
      <c r="E364" s="225" t="s">
        <v>555</v>
      </c>
      <c r="F364" s="183">
        <v>29.14</v>
      </c>
      <c r="G364" s="233" t="s">
        <v>375</v>
      </c>
      <c r="H364" s="174">
        <f>ROUND(D364*F364,2)</f>
        <v>0</v>
      </c>
      <c r="I364" s="229"/>
      <c r="J364" s="172">
        <f t="shared" ref="J364:J366" si="38">D364</f>
        <v>0</v>
      </c>
      <c r="K364" s="225" t="s">
        <v>555</v>
      </c>
      <c r="L364" s="183">
        <f>L360</f>
        <v>31.4</v>
      </c>
      <c r="M364" s="233" t="s">
        <v>375</v>
      </c>
      <c r="N364" s="174">
        <f>ROUND(J364*L364,2)</f>
        <v>0</v>
      </c>
      <c r="O364" s="227"/>
      <c r="P364" s="305"/>
      <c r="Q364" s="305"/>
      <c r="U364" s="184" t="s">
        <v>614</v>
      </c>
      <c r="V364" s="179">
        <v>249</v>
      </c>
      <c r="W364" s="180">
        <v>223</v>
      </c>
      <c r="Y364" s="184"/>
      <c r="Z364" s="181"/>
      <c r="AB364" s="182">
        <f>SUM(AH364:AS364)</f>
        <v>0</v>
      </c>
      <c r="AC364" s="182">
        <f>SUM(AT364:BE364)</f>
        <v>0</v>
      </c>
      <c r="AD364" s="182">
        <f>SUM(BF364:BQ364)</f>
        <v>0</v>
      </c>
      <c r="AE364" s="182">
        <f>SUM(BR364:CC364)</f>
        <v>0</v>
      </c>
      <c r="AF364" s="182">
        <f>SUM(CD364:CO364)</f>
        <v>0</v>
      </c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  <c r="AT364" s="168"/>
      <c r="AU364" s="168"/>
      <c r="AV364" s="168"/>
      <c r="AW364" s="168"/>
      <c r="AX364" s="168"/>
      <c r="AY364" s="168"/>
      <c r="AZ364" s="168"/>
      <c r="BA364" s="168"/>
      <c r="BB364" s="168"/>
      <c r="BC364" s="168"/>
      <c r="BD364" s="168"/>
      <c r="BE364" s="168"/>
      <c r="BF364" s="168"/>
      <c r="BG364" s="168"/>
      <c r="BH364" s="168"/>
      <c r="BI364" s="168"/>
      <c r="BJ364" s="168"/>
      <c r="BK364" s="168"/>
      <c r="BL364" s="168"/>
      <c r="BM364" s="168"/>
      <c r="BN364" s="168"/>
      <c r="BO364" s="168"/>
      <c r="BP364" s="168"/>
      <c r="BQ364" s="168"/>
      <c r="BR364" s="168"/>
      <c r="BS364" s="168"/>
      <c r="BT364" s="168"/>
      <c r="BU364" s="168"/>
      <c r="BV364" s="168"/>
      <c r="BW364" s="168"/>
      <c r="BX364" s="168"/>
      <c r="BY364" s="168"/>
      <c r="BZ364" s="168"/>
      <c r="CA364" s="168"/>
      <c r="CB364" s="168"/>
      <c r="CC364" s="168"/>
      <c r="CD364" s="168"/>
      <c r="CE364" s="168"/>
      <c r="CF364" s="168"/>
      <c r="CG364" s="168"/>
      <c r="CH364" s="168"/>
      <c r="CI364" s="168"/>
      <c r="CJ364" s="168"/>
      <c r="CK364" s="168"/>
      <c r="CL364" s="168"/>
      <c r="CM364" s="168"/>
      <c r="CN364" s="168"/>
      <c r="CO364" s="168"/>
    </row>
    <row r="365" spans="1:93" x14ac:dyDescent="0.2">
      <c r="A365" s="118">
        <f t="shared" si="34"/>
        <v>18</v>
      </c>
      <c r="B365" s="243" t="s">
        <v>560</v>
      </c>
      <c r="C365" s="223"/>
      <c r="D365" s="172">
        <f>SUMIF($AH$8:$CP$8,1,$AH365:$CP365)+(SUM($AE$364:$AE$366)*'TOU Split'!E21)+'Unbilled to E-13c'!P81</f>
        <v>0</v>
      </c>
      <c r="E365" s="225" t="s">
        <v>555</v>
      </c>
      <c r="F365" s="183">
        <v>21.59</v>
      </c>
      <c r="G365" s="233" t="s">
        <v>375</v>
      </c>
      <c r="H365" s="174">
        <f>ROUND(D365*F365,2)</f>
        <v>0</v>
      </c>
      <c r="I365" s="229"/>
      <c r="J365" s="172">
        <f t="shared" si="38"/>
        <v>0</v>
      </c>
      <c r="K365" s="225" t="s">
        <v>555</v>
      </c>
      <c r="L365" s="183">
        <f>L361</f>
        <v>22.43</v>
      </c>
      <c r="M365" s="233" t="s">
        <v>375</v>
      </c>
      <c r="N365" s="174">
        <f>ROUND(J365*L365,2)</f>
        <v>0</v>
      </c>
      <c r="O365" s="227"/>
      <c r="P365" s="305"/>
      <c r="Q365" s="305"/>
      <c r="U365" s="184" t="s">
        <v>614</v>
      </c>
      <c r="V365" s="179">
        <v>249</v>
      </c>
      <c r="W365" s="180">
        <v>223</v>
      </c>
      <c r="Y365" s="184"/>
      <c r="Z365" s="181"/>
      <c r="AB365" s="182">
        <f>SUM(AH365:AS365)</f>
        <v>0</v>
      </c>
      <c r="AC365" s="182">
        <f>SUM(AT365:BE365)</f>
        <v>0</v>
      </c>
      <c r="AD365" s="182">
        <f>SUM(BF365:BQ365)</f>
        <v>0</v>
      </c>
      <c r="AE365" s="182">
        <f>SUM(BR365:CC365)</f>
        <v>0</v>
      </c>
      <c r="AF365" s="182">
        <f>SUM(CD365:CO365)</f>
        <v>0</v>
      </c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  <c r="AT365" s="168"/>
      <c r="AU365" s="168"/>
      <c r="AV365" s="168"/>
      <c r="AW365" s="168"/>
      <c r="AX365" s="168"/>
      <c r="AY365" s="168"/>
      <c r="AZ365" s="168"/>
      <c r="BA365" s="168"/>
      <c r="BB365" s="168"/>
      <c r="BC365" s="168"/>
      <c r="BD365" s="168"/>
      <c r="BE365" s="168"/>
      <c r="BF365" s="168"/>
      <c r="BG365" s="168"/>
      <c r="BH365" s="168"/>
      <c r="BI365" s="168"/>
      <c r="BJ365" s="168"/>
      <c r="BK365" s="168"/>
      <c r="BL365" s="168"/>
      <c r="BM365" s="168"/>
      <c r="BN365" s="168"/>
      <c r="BO365" s="168"/>
      <c r="BP365" s="168"/>
      <c r="BQ365" s="168"/>
      <c r="BR365" s="168"/>
      <c r="BS365" s="168"/>
      <c r="BT365" s="168"/>
      <c r="BU365" s="168"/>
      <c r="BV365" s="168"/>
      <c r="BW365" s="168"/>
      <c r="BX365" s="168"/>
      <c r="BY365" s="168"/>
      <c r="BZ365" s="168"/>
      <c r="CA365" s="168"/>
      <c r="CB365" s="168"/>
      <c r="CC365" s="168"/>
      <c r="CD365" s="168"/>
      <c r="CE365" s="168"/>
      <c r="CF365" s="168"/>
      <c r="CG365" s="168"/>
      <c r="CH365" s="168"/>
      <c r="CI365" s="168"/>
      <c r="CJ365" s="168"/>
      <c r="CK365" s="168"/>
      <c r="CL365" s="168"/>
      <c r="CM365" s="168"/>
      <c r="CN365" s="168"/>
      <c r="CO365" s="168"/>
    </row>
    <row r="366" spans="1:93" x14ac:dyDescent="0.2">
      <c r="A366" s="118">
        <f t="shared" si="34"/>
        <v>19</v>
      </c>
      <c r="B366" s="243" t="s">
        <v>561</v>
      </c>
      <c r="C366" s="223"/>
      <c r="D366" s="172">
        <f>SUMIF($AH$8:$CP$8,1,$AH366:$CP366)+(SUM($AE$364:$AE$366)*'TOU Split'!E22)+'Unbilled to E-13c'!P82</f>
        <v>0</v>
      </c>
      <c r="E366" s="225" t="s">
        <v>555</v>
      </c>
      <c r="F366" s="183">
        <v>16.37</v>
      </c>
      <c r="G366" s="233" t="s">
        <v>375</v>
      </c>
      <c r="H366" s="174">
        <f>ROUND(D366*F366,2)</f>
        <v>0</v>
      </c>
      <c r="I366" s="229"/>
      <c r="J366" s="172">
        <f t="shared" si="38"/>
        <v>0</v>
      </c>
      <c r="K366" s="225" t="s">
        <v>555</v>
      </c>
      <c r="L366" s="183">
        <f>L362</f>
        <v>16.940000000000001</v>
      </c>
      <c r="M366" s="233" t="s">
        <v>375</v>
      </c>
      <c r="N366" s="174">
        <f>ROUND(J366*L366,2)</f>
        <v>0</v>
      </c>
      <c r="O366" s="227"/>
      <c r="P366" s="305"/>
      <c r="Q366" s="227"/>
      <c r="U366" s="184" t="s">
        <v>614</v>
      </c>
      <c r="V366" s="179">
        <v>249</v>
      </c>
      <c r="W366" s="180">
        <v>223</v>
      </c>
      <c r="Y366" s="184"/>
      <c r="Z366" s="181"/>
      <c r="AB366" s="182">
        <f>SUM(AH366:AS366)</f>
        <v>0</v>
      </c>
      <c r="AC366" s="182">
        <f>SUM(AT366:BE366)</f>
        <v>0</v>
      </c>
      <c r="AD366" s="182">
        <f>SUM(BF366:BQ366)</f>
        <v>0</v>
      </c>
      <c r="AE366" s="182">
        <f>SUM(BR366:CC366)</f>
        <v>0</v>
      </c>
      <c r="AF366" s="182">
        <f>SUM(CD366:CO366)</f>
        <v>0</v>
      </c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  <c r="AT366" s="168"/>
      <c r="AU366" s="168"/>
      <c r="AV366" s="168"/>
      <c r="AW366" s="168"/>
      <c r="AX366" s="168"/>
      <c r="AY366" s="168"/>
      <c r="AZ366" s="168"/>
      <c r="BA366" s="168"/>
      <c r="BB366" s="168"/>
      <c r="BC366" s="168"/>
      <c r="BD366" s="168"/>
      <c r="BE366" s="168"/>
      <c r="BF366" s="168"/>
      <c r="BG366" s="168"/>
      <c r="BH366" s="168"/>
      <c r="BI366" s="168"/>
      <c r="BJ366" s="168"/>
      <c r="BK366" s="168"/>
      <c r="BL366" s="168"/>
      <c r="BM366" s="168"/>
      <c r="BN366" s="168"/>
      <c r="BO366" s="168"/>
      <c r="BP366" s="168"/>
      <c r="BQ366" s="168"/>
      <c r="BR366" s="168"/>
      <c r="BS366" s="168"/>
      <c r="BT366" s="168"/>
      <c r="BU366" s="168"/>
      <c r="BV366" s="168"/>
      <c r="BW366" s="168"/>
      <c r="BX366" s="168"/>
      <c r="BY366" s="168"/>
      <c r="BZ366" s="168"/>
      <c r="CA366" s="168"/>
      <c r="CB366" s="168"/>
      <c r="CC366" s="168"/>
      <c r="CD366" s="168"/>
      <c r="CE366" s="168"/>
      <c r="CF366" s="168"/>
      <c r="CG366" s="168"/>
      <c r="CH366" s="168"/>
      <c r="CI366" s="168"/>
      <c r="CJ366" s="168"/>
      <c r="CK366" s="168"/>
      <c r="CL366" s="168"/>
      <c r="CM366" s="168"/>
      <c r="CN366" s="168"/>
      <c r="CO366" s="168"/>
    </row>
    <row r="367" spans="1:93" x14ac:dyDescent="0.2">
      <c r="A367" s="118">
        <f t="shared" si="34"/>
        <v>20</v>
      </c>
      <c r="B367" s="243"/>
      <c r="C367" s="223" t="s">
        <v>374</v>
      </c>
      <c r="D367" s="204">
        <f>SUM(D351:D366)</f>
        <v>66880.891383213864</v>
      </c>
      <c r="E367" s="225" t="s">
        <v>617</v>
      </c>
      <c r="F367" s="183"/>
      <c r="G367" s="233"/>
      <c r="H367" s="206">
        <f>SUM(H351:H366)</f>
        <v>1443032.3599999999</v>
      </c>
      <c r="I367" s="229"/>
      <c r="J367" s="204">
        <f>SUM(J351:J366)</f>
        <v>66880.891383213864</v>
      </c>
      <c r="K367" s="225" t="s">
        <v>617</v>
      </c>
      <c r="L367" s="183"/>
      <c r="M367" s="233"/>
      <c r="N367" s="206">
        <f>SUM(N351:N366)</f>
        <v>1508303.57</v>
      </c>
      <c r="O367" s="227"/>
      <c r="Q367" s="1022"/>
      <c r="U367" s="184"/>
      <c r="V367" s="179"/>
      <c r="W367" s="180"/>
      <c r="Y367" s="184" t="s">
        <v>613</v>
      </c>
      <c r="Z367" s="181" t="s">
        <v>141</v>
      </c>
      <c r="AB367" s="204">
        <f>SUM(AB351:AB365)</f>
        <v>65521.928324882771</v>
      </c>
      <c r="AC367" s="204">
        <f>SUM(AC351:AC365)</f>
        <v>65512.144853100515</v>
      </c>
      <c r="AD367" s="204">
        <f>SUM(AD351:AD365)</f>
        <v>65944.502032399352</v>
      </c>
      <c r="AE367" s="204">
        <f>SUM(AE351:AE365)</f>
        <v>66611.501383213865</v>
      </c>
      <c r="AF367" s="204">
        <f>SUM(AF351:AF365)</f>
        <v>66973.186570579986</v>
      </c>
      <c r="AH367" s="204">
        <f t="shared" ref="AH367:CO367" si="39">SUM(AH351:AH365)</f>
        <v>5813.3068697084764</v>
      </c>
      <c r="AI367" s="204">
        <f t="shared" si="39"/>
        <v>8529.3112640023901</v>
      </c>
      <c r="AJ367" s="204">
        <f t="shared" si="39"/>
        <v>515.13794946603434</v>
      </c>
      <c r="AK367" s="204">
        <f t="shared" si="39"/>
        <v>3145.043369907622</v>
      </c>
      <c r="AL367" s="204">
        <f t="shared" si="39"/>
        <v>11124.454693057833</v>
      </c>
      <c r="AM367" s="204">
        <f t="shared" si="39"/>
        <v>5092.6913303761448</v>
      </c>
      <c r="AN367" s="204">
        <f t="shared" si="39"/>
        <v>5225.2819362744431</v>
      </c>
      <c r="AO367" s="204">
        <f t="shared" si="39"/>
        <v>4101.3581342981643</v>
      </c>
      <c r="AP367" s="204">
        <f t="shared" si="39"/>
        <v>6297.3683386137036</v>
      </c>
      <c r="AQ367" s="204">
        <f t="shared" si="39"/>
        <v>5260.1065731123026</v>
      </c>
      <c r="AR367" s="204">
        <f t="shared" si="39"/>
        <v>5577.9093072286632</v>
      </c>
      <c r="AS367" s="204">
        <f t="shared" si="39"/>
        <v>4839.9585588369928</v>
      </c>
      <c r="AT367" s="204">
        <f t="shared" si="39"/>
        <v>6025.212809264438</v>
      </c>
      <c r="AU367" s="204">
        <f t="shared" si="39"/>
        <v>8671.2131895385537</v>
      </c>
      <c r="AV367" s="204">
        <f t="shared" si="39"/>
        <v>507.48250805519683</v>
      </c>
      <c r="AW367" s="204">
        <f t="shared" si="39"/>
        <v>3091.3154427232716</v>
      </c>
      <c r="AX367" s="204">
        <f t="shared" si="39"/>
        <v>10985.944423201281</v>
      </c>
      <c r="AY367" s="204">
        <f t="shared" si="39"/>
        <v>4950.133312941588</v>
      </c>
      <c r="AZ367" s="204">
        <f t="shared" si="39"/>
        <v>5243.9638851539285</v>
      </c>
      <c r="BA367" s="204">
        <f t="shared" si="39"/>
        <v>4063.8440358414982</v>
      </c>
      <c r="BB367" s="204">
        <f t="shared" si="39"/>
        <v>6293.5053933863983</v>
      </c>
      <c r="BC367" s="204">
        <f t="shared" si="39"/>
        <v>5258.5353913166982</v>
      </c>
      <c r="BD367" s="204">
        <f t="shared" si="39"/>
        <v>5588.2085782567119</v>
      </c>
      <c r="BE367" s="204">
        <f t="shared" si="39"/>
        <v>4832.7858834209528</v>
      </c>
      <c r="BF367" s="204">
        <f t="shared" si="39"/>
        <v>6018.8043367510636</v>
      </c>
      <c r="BG367" s="204">
        <f t="shared" si="39"/>
        <v>8774.1399471251079</v>
      </c>
      <c r="BH367" s="204">
        <f t="shared" si="39"/>
        <v>515.07991467166642</v>
      </c>
      <c r="BI367" s="204">
        <f t="shared" si="39"/>
        <v>3124.6175604661976</v>
      </c>
      <c r="BJ367" s="204">
        <f t="shared" si="39"/>
        <v>11065.324807576802</v>
      </c>
      <c r="BK367" s="204">
        <f t="shared" si="39"/>
        <v>5016.502641158354</v>
      </c>
      <c r="BL367" s="204">
        <f t="shared" si="39"/>
        <v>5277.4098962589824</v>
      </c>
      <c r="BM367" s="204">
        <f t="shared" si="39"/>
        <v>4094.729471416832</v>
      </c>
      <c r="BN367" s="204">
        <f t="shared" si="39"/>
        <v>6315.5226795346562</v>
      </c>
      <c r="BO367" s="204">
        <f t="shared" si="39"/>
        <v>5244.260907438249</v>
      </c>
      <c r="BP367" s="204">
        <f t="shared" si="39"/>
        <v>5598.0761540615422</v>
      </c>
      <c r="BQ367" s="204">
        <f t="shared" si="39"/>
        <v>4900.0337159399114</v>
      </c>
      <c r="BR367" s="204">
        <f t="shared" si="39"/>
        <v>6100.7039454501892</v>
      </c>
      <c r="BS367" s="204">
        <f t="shared" si="39"/>
        <v>8869.7661616421756</v>
      </c>
      <c r="BT367" s="204">
        <f t="shared" si="39"/>
        <v>516.88881651728047</v>
      </c>
      <c r="BU367" s="204">
        <f t="shared" si="39"/>
        <v>3142.3716602335385</v>
      </c>
      <c r="BV367" s="204">
        <f t="shared" si="39"/>
        <v>11064.47187635881</v>
      </c>
      <c r="BW367" s="204">
        <f t="shared" si="39"/>
        <v>5113.6010415513092</v>
      </c>
      <c r="BX367" s="204">
        <f t="shared" si="39"/>
        <v>5373.4834019003556</v>
      </c>
      <c r="BY367" s="204">
        <f t="shared" si="39"/>
        <v>4150.4192487967721</v>
      </c>
      <c r="BZ367" s="204">
        <f t="shared" si="39"/>
        <v>6369.010340156954</v>
      </c>
      <c r="CA367" s="204">
        <f t="shared" si="39"/>
        <v>5321.3875135714397</v>
      </c>
      <c r="CB367" s="204">
        <f t="shared" si="39"/>
        <v>5670.6726263654418</v>
      </c>
      <c r="CC367" s="204">
        <f t="shared" si="39"/>
        <v>4918.7247506696103</v>
      </c>
      <c r="CD367" s="204">
        <f t="shared" si="39"/>
        <v>6136.4947690417684</v>
      </c>
      <c r="CE367" s="204">
        <f t="shared" si="39"/>
        <v>8812.5843940599934</v>
      </c>
      <c r="CF367" s="204">
        <f t="shared" si="39"/>
        <v>521.42833343399582</v>
      </c>
      <c r="CG367" s="204">
        <f t="shared" si="39"/>
        <v>3204.4858032262291</v>
      </c>
      <c r="CH367" s="204">
        <f t="shared" si="39"/>
        <v>11208.267720524182</v>
      </c>
      <c r="CI367" s="204">
        <f t="shared" si="39"/>
        <v>5085.5015313054764</v>
      </c>
      <c r="CJ367" s="204">
        <f t="shared" si="39"/>
        <v>5378.7929888564013</v>
      </c>
      <c r="CK367" s="204">
        <f t="shared" si="39"/>
        <v>4158.2132440295536</v>
      </c>
      <c r="CL367" s="204">
        <f t="shared" si="39"/>
        <v>6469.7118664093823</v>
      </c>
      <c r="CM367" s="204">
        <f t="shared" si="39"/>
        <v>5339.4414033366093</v>
      </c>
      <c r="CN367" s="204">
        <f t="shared" si="39"/>
        <v>5728.4723026754509</v>
      </c>
      <c r="CO367" s="204">
        <f t="shared" si="39"/>
        <v>4929.7922136809329</v>
      </c>
    </row>
    <row r="368" spans="1:93" x14ac:dyDescent="0.2">
      <c r="A368" s="118">
        <f t="shared" si="34"/>
        <v>21</v>
      </c>
      <c r="B368" s="223"/>
      <c r="C368" s="223"/>
      <c r="D368" s="168"/>
      <c r="E368" s="225"/>
      <c r="F368" s="183"/>
      <c r="G368" s="233"/>
      <c r="H368" s="174"/>
      <c r="I368" s="229"/>
      <c r="J368" s="223"/>
      <c r="K368" s="225"/>
      <c r="L368" s="183"/>
      <c r="M368" s="233"/>
      <c r="N368" s="174"/>
      <c r="O368" s="227"/>
      <c r="Q368" s="227"/>
      <c r="U368" s="184"/>
      <c r="V368" s="179"/>
      <c r="W368" s="180"/>
      <c r="Y368" s="184"/>
      <c r="Z368" s="181"/>
      <c r="AB368" s="193">
        <f>SUM(AH368:AS368)</f>
        <v>0</v>
      </c>
      <c r="AC368" s="193">
        <f>SUM(AT368:BE368)</f>
        <v>0</v>
      </c>
      <c r="AD368" s="193">
        <f>SUM(BF368:BQ368)</f>
        <v>0</v>
      </c>
      <c r="AE368" s="193">
        <f>SUM(BR368:CC368)</f>
        <v>0</v>
      </c>
      <c r="AF368" s="193">
        <f>SUM(CD368:CO368)</f>
        <v>0</v>
      </c>
      <c r="AH368" s="294">
        <v>0</v>
      </c>
      <c r="AI368" s="294">
        <v>0</v>
      </c>
      <c r="AJ368" s="294">
        <v>0</v>
      </c>
      <c r="AK368" s="294">
        <v>0</v>
      </c>
      <c r="AL368" s="294">
        <v>0</v>
      </c>
      <c r="AM368" s="294">
        <v>0</v>
      </c>
      <c r="AN368" s="294">
        <v>0</v>
      </c>
      <c r="AO368" s="294">
        <v>0</v>
      </c>
      <c r="AP368" s="294">
        <v>0</v>
      </c>
      <c r="AQ368" s="294">
        <v>0</v>
      </c>
      <c r="AR368" s="294">
        <v>0</v>
      </c>
      <c r="AS368" s="294">
        <v>0</v>
      </c>
      <c r="AT368" s="294">
        <v>0</v>
      </c>
      <c r="AU368" s="294">
        <v>0</v>
      </c>
      <c r="AV368" s="294">
        <v>0</v>
      </c>
      <c r="AW368" s="294">
        <v>0</v>
      </c>
      <c r="AX368" s="294">
        <v>0</v>
      </c>
      <c r="AY368" s="294">
        <v>0</v>
      </c>
      <c r="AZ368" s="294">
        <v>0</v>
      </c>
      <c r="BA368" s="294">
        <v>0</v>
      </c>
      <c r="BB368" s="294">
        <v>0</v>
      </c>
      <c r="BC368" s="294">
        <v>0</v>
      </c>
      <c r="BD368" s="294">
        <v>0</v>
      </c>
      <c r="BE368" s="294">
        <v>0</v>
      </c>
      <c r="BF368" s="294">
        <v>0</v>
      </c>
      <c r="BG368" s="294">
        <v>0</v>
      </c>
      <c r="BH368" s="294">
        <v>0</v>
      </c>
      <c r="BI368" s="294">
        <v>0</v>
      </c>
      <c r="BJ368" s="294">
        <v>0</v>
      </c>
      <c r="BK368" s="294">
        <v>0</v>
      </c>
      <c r="BL368" s="294">
        <v>0</v>
      </c>
      <c r="BM368" s="294">
        <v>0</v>
      </c>
      <c r="BN368" s="294">
        <v>0</v>
      </c>
      <c r="BO368" s="294">
        <v>0</v>
      </c>
      <c r="BP368" s="294">
        <v>0</v>
      </c>
      <c r="BQ368" s="294">
        <v>0</v>
      </c>
      <c r="BR368" s="294">
        <v>0</v>
      </c>
      <c r="BS368" s="294">
        <v>0</v>
      </c>
      <c r="BT368" s="294">
        <v>0</v>
      </c>
      <c r="BU368" s="294">
        <v>0</v>
      </c>
      <c r="BV368" s="294">
        <v>0</v>
      </c>
      <c r="BW368" s="294">
        <v>0</v>
      </c>
      <c r="BX368" s="294">
        <v>0</v>
      </c>
      <c r="BY368" s="294">
        <v>0</v>
      </c>
      <c r="BZ368" s="294">
        <v>0</v>
      </c>
      <c r="CA368" s="294">
        <v>0</v>
      </c>
      <c r="CB368" s="294">
        <v>0</v>
      </c>
      <c r="CC368" s="294">
        <v>0</v>
      </c>
      <c r="CD368" s="294">
        <v>0</v>
      </c>
      <c r="CE368" s="294">
        <v>0</v>
      </c>
      <c r="CF368" s="294">
        <v>0</v>
      </c>
      <c r="CG368" s="294">
        <v>0</v>
      </c>
      <c r="CH368" s="294">
        <v>0</v>
      </c>
      <c r="CI368" s="294">
        <v>0</v>
      </c>
      <c r="CJ368" s="294">
        <v>0</v>
      </c>
      <c r="CK368" s="294">
        <v>0</v>
      </c>
      <c r="CL368" s="294">
        <v>0</v>
      </c>
      <c r="CM368" s="294">
        <v>0</v>
      </c>
      <c r="CN368" s="294">
        <v>0</v>
      </c>
      <c r="CO368" s="294">
        <v>0</v>
      </c>
    </row>
    <row r="369" spans="1:93" x14ac:dyDescent="0.2">
      <c r="A369" s="118">
        <f t="shared" si="34"/>
        <v>22</v>
      </c>
      <c r="B369" s="246" t="s">
        <v>563</v>
      </c>
      <c r="C369" s="223"/>
      <c r="D369" s="168"/>
      <c r="E369" s="225"/>
      <c r="F369" s="183"/>
      <c r="G369" s="233"/>
      <c r="H369" s="174"/>
      <c r="I369" s="229"/>
      <c r="J369" s="223"/>
      <c r="K369" s="225"/>
      <c r="L369" s="183"/>
      <c r="M369" s="233"/>
      <c r="N369" s="174"/>
      <c r="O369" s="227"/>
      <c r="Q369" s="176"/>
      <c r="U369" s="184"/>
      <c r="V369" s="179"/>
      <c r="W369" s="180"/>
      <c r="Y369" s="184"/>
      <c r="Z369" s="181"/>
    </row>
    <row r="370" spans="1:93" x14ac:dyDescent="0.2">
      <c r="A370" s="118">
        <f t="shared" si="34"/>
        <v>23</v>
      </c>
      <c r="B370" s="223"/>
      <c r="C370" s="223"/>
      <c r="E370" s="225"/>
      <c r="F370" s="183"/>
      <c r="G370" s="233"/>
      <c r="H370" s="174"/>
      <c r="I370" s="229"/>
      <c r="J370" s="223"/>
      <c r="K370" s="225"/>
      <c r="L370" s="183"/>
      <c r="M370" s="233"/>
      <c r="N370" s="174"/>
      <c r="O370" s="227"/>
      <c r="Q370" s="306"/>
      <c r="U370" s="184"/>
      <c r="V370" s="179"/>
      <c r="W370" s="180"/>
      <c r="Y370" s="184"/>
      <c r="Z370" s="181"/>
    </row>
    <row r="371" spans="1:93" x14ac:dyDescent="0.2">
      <c r="A371" s="118">
        <f t="shared" si="34"/>
        <v>24</v>
      </c>
      <c r="B371" s="234" t="s">
        <v>582</v>
      </c>
      <c r="C371" s="223"/>
      <c r="D371" s="172">
        <f>SUM(H307,H316:H319,H352,H360:H362)</f>
        <v>2669203.5599999996</v>
      </c>
      <c r="E371" s="233" t="s">
        <v>10</v>
      </c>
      <c r="F371" s="248">
        <v>0.01</v>
      </c>
      <c r="G371" s="233" t="s">
        <v>375</v>
      </c>
      <c r="H371" s="174">
        <f>ROUND(D371*-F371,2)</f>
        <v>-26692.04</v>
      </c>
      <c r="I371" s="229"/>
      <c r="J371" s="172">
        <f>SUM(N307,N316:N319,N352,N360:N362)</f>
        <v>2786023.3600000003</v>
      </c>
      <c r="K371" s="233" t="s">
        <v>10</v>
      </c>
      <c r="L371" s="248">
        <v>0.01</v>
      </c>
      <c r="M371" s="233" t="s">
        <v>375</v>
      </c>
      <c r="N371" s="174">
        <f>ROUND(L371*-J371,2)</f>
        <v>-27860.23</v>
      </c>
      <c r="O371" s="227"/>
      <c r="Q371" s="176"/>
      <c r="U371" s="184" t="s">
        <v>613</v>
      </c>
      <c r="V371" s="179">
        <v>246</v>
      </c>
      <c r="W371" s="180">
        <v>220</v>
      </c>
      <c r="Y371" s="184" t="s">
        <v>613</v>
      </c>
      <c r="Z371" s="181" t="s">
        <v>417</v>
      </c>
      <c r="AB371" s="182">
        <f>SUM(AH371:AS371)</f>
        <v>-18820.362793667868</v>
      </c>
      <c r="AC371" s="182">
        <f>SUM(AT371:BE371)</f>
        <v>-19391.64884433099</v>
      </c>
      <c r="AD371" s="182">
        <f>SUM(BF371:BQ371)</f>
        <v>-19520.017801990121</v>
      </c>
      <c r="AE371" s="182">
        <f>SUM(BR371:CC371)</f>
        <v>-19717.087456888217</v>
      </c>
      <c r="AF371" s="182">
        <f>SUM(CD371:CO371)</f>
        <v>-19823.27742615826</v>
      </c>
      <c r="AH371" s="174">
        <v>-1138.412001411195</v>
      </c>
      <c r="AI371" s="174">
        <v>-2394.046334502465</v>
      </c>
      <c r="AJ371" s="174">
        <v>399.26005024470919</v>
      </c>
      <c r="AK371" s="174">
        <v>-2236.3939446850009</v>
      </c>
      <c r="AL371" s="174">
        <v>-3270.2259764770415</v>
      </c>
      <c r="AM371" s="174">
        <v>-1416.6121910484328</v>
      </c>
      <c r="AN371" s="174">
        <v>-1451.2776286652138</v>
      </c>
      <c r="AO371" s="174">
        <v>-1142.8868987736771</v>
      </c>
      <c r="AP371" s="174">
        <v>-1752.9865952576095</v>
      </c>
      <c r="AQ371" s="174">
        <v>-1464.7644082498714</v>
      </c>
      <c r="AR371" s="174">
        <v>-1558.4647115730641</v>
      </c>
      <c r="AS371" s="174">
        <v>-1393.5521532690043</v>
      </c>
      <c r="AT371" s="174">
        <v>-1208.254837250335</v>
      </c>
      <c r="AU371" s="174">
        <v>-2366.2190335937144</v>
      </c>
      <c r="AV371" s="174">
        <v>560.19335899062082</v>
      </c>
      <c r="AW371" s="174">
        <v>-2588.7048631834768</v>
      </c>
      <c r="AX371" s="174">
        <v>-3332.068277891844</v>
      </c>
      <c r="AY371" s="174">
        <v>-1420.6524221025768</v>
      </c>
      <c r="AZ371" s="174">
        <v>-1502.6788260471203</v>
      </c>
      <c r="BA371" s="174">
        <v>-1167.9519066614916</v>
      </c>
      <c r="BB371" s="174">
        <v>-1807.9525599419981</v>
      </c>
      <c r="BC371" s="174">
        <v>-1510.8006239323836</v>
      </c>
      <c r="BD371" s="174">
        <v>-1610.8937739665184</v>
      </c>
      <c r="BE371" s="174">
        <v>-1435.665078750148</v>
      </c>
      <c r="BF371" s="174">
        <v>-1208.4549828134966</v>
      </c>
      <c r="BG371" s="174">
        <v>-2367.7351636425415</v>
      </c>
      <c r="BH371" s="174">
        <v>595.06255842128644</v>
      </c>
      <c r="BI371" s="174">
        <v>-2670.5400149365673</v>
      </c>
      <c r="BJ371" s="174">
        <v>-3354.3963772477468</v>
      </c>
      <c r="BK371" s="174">
        <v>-1438.9918862798718</v>
      </c>
      <c r="BL371" s="174">
        <v>-1511.5179160499767</v>
      </c>
      <c r="BM371" s="174">
        <v>-1176.1795216281123</v>
      </c>
      <c r="BN371" s="174">
        <v>-1813.4616998838319</v>
      </c>
      <c r="BO371" s="174">
        <v>-1505.9606144631555</v>
      </c>
      <c r="BP371" s="174">
        <v>-1612.9420098565549</v>
      </c>
      <c r="BQ371" s="174">
        <v>-1454.9001736095554</v>
      </c>
      <c r="BR371" s="174">
        <v>-1224.2083165035076</v>
      </c>
      <c r="BS371" s="174">
        <v>-2375.5281186924749</v>
      </c>
      <c r="BT371" s="174">
        <v>617.1644513391434</v>
      </c>
      <c r="BU371" s="174">
        <v>-2727.6148573421115</v>
      </c>
      <c r="BV371" s="174">
        <v>-3355.0095345242953</v>
      </c>
      <c r="BW371" s="174">
        <v>-1467.200355989502</v>
      </c>
      <c r="BX371" s="174">
        <v>-1539.4087894787899</v>
      </c>
      <c r="BY371" s="174">
        <v>-1192.406866573157</v>
      </c>
      <c r="BZ371" s="174">
        <v>-1829.321613648395</v>
      </c>
      <c r="CA371" s="174">
        <v>-1528.477433091685</v>
      </c>
      <c r="CB371" s="174">
        <v>-1634.2563963788903</v>
      </c>
      <c r="CC371" s="174">
        <v>-1460.8196260045527</v>
      </c>
      <c r="CD371" s="174">
        <v>-1231.3642339195778</v>
      </c>
      <c r="CE371" s="174">
        <v>-2529.947718995491</v>
      </c>
      <c r="CF371" s="174">
        <v>440.70362208766221</v>
      </c>
      <c r="CG371" s="174">
        <v>-2400.6735695020548</v>
      </c>
      <c r="CH371" s="174">
        <v>-3399.077423775791</v>
      </c>
      <c r="CI371" s="174">
        <v>-1459.3139293837353</v>
      </c>
      <c r="CJ371" s="174">
        <v>-1541.1172417962377</v>
      </c>
      <c r="CK371" s="174">
        <v>-1195.2892192425281</v>
      </c>
      <c r="CL371" s="174">
        <v>-1857.9400775099778</v>
      </c>
      <c r="CM371" s="174">
        <v>-1533.8457799292607</v>
      </c>
      <c r="CN371" s="174">
        <v>-1651.114068725291</v>
      </c>
      <c r="CO371" s="174">
        <v>-1464.2977854659764</v>
      </c>
    </row>
    <row r="372" spans="1:93" x14ac:dyDescent="0.2">
      <c r="A372" s="118">
        <f t="shared" si="34"/>
        <v>25</v>
      </c>
      <c r="B372" s="234" t="s">
        <v>583</v>
      </c>
      <c r="C372" s="223"/>
      <c r="D372" s="183">
        <f>SUM(H308:H309,H321:H324,H353,H364:H366)</f>
        <v>0</v>
      </c>
      <c r="E372" s="233" t="s">
        <v>10</v>
      </c>
      <c r="F372" s="248">
        <v>0.02</v>
      </c>
      <c r="G372" s="233" t="s">
        <v>375</v>
      </c>
      <c r="H372" s="174">
        <f>ROUND(D372*-F372,2)</f>
        <v>0</v>
      </c>
      <c r="I372" s="229"/>
      <c r="J372" s="183">
        <f>SUM(N308:N309,N321:N324,N353,N364:N366)</f>
        <v>0</v>
      </c>
      <c r="K372" s="233" t="s">
        <v>10</v>
      </c>
      <c r="L372" s="248">
        <v>0.02</v>
      </c>
      <c r="M372" s="233" t="s">
        <v>375</v>
      </c>
      <c r="N372" s="174">
        <f>ROUND(L372*-J372,2)</f>
        <v>0</v>
      </c>
      <c r="O372" s="227"/>
      <c r="Q372" s="176"/>
      <c r="U372" s="184" t="s">
        <v>613</v>
      </c>
      <c r="V372" s="179">
        <v>246</v>
      </c>
      <c r="W372" s="180">
        <v>220</v>
      </c>
      <c r="Y372" s="184" t="s">
        <v>613</v>
      </c>
      <c r="Z372" s="181" t="s">
        <v>417</v>
      </c>
      <c r="AB372" s="182">
        <f>SUM(AH372:AS372)</f>
        <v>0</v>
      </c>
      <c r="AC372" s="182">
        <f>SUM(AT372:BE372)</f>
        <v>0</v>
      </c>
      <c r="AD372" s="182">
        <f>SUM(BF372:BQ372)</f>
        <v>0</v>
      </c>
      <c r="AE372" s="182">
        <f>SUM(BR372:CC372)</f>
        <v>0</v>
      </c>
      <c r="AF372" s="182">
        <f>SUM(CD372:CO372)</f>
        <v>0</v>
      </c>
      <c r="AH372" s="174">
        <v>0</v>
      </c>
      <c r="AI372" s="174">
        <v>0</v>
      </c>
      <c r="AJ372" s="174">
        <v>0</v>
      </c>
      <c r="AK372" s="174">
        <v>0</v>
      </c>
      <c r="AL372" s="174">
        <v>0</v>
      </c>
      <c r="AM372" s="174">
        <v>0</v>
      </c>
      <c r="AN372" s="174">
        <v>0</v>
      </c>
      <c r="AO372" s="174">
        <v>0</v>
      </c>
      <c r="AP372" s="174">
        <v>0</v>
      </c>
      <c r="AQ372" s="174">
        <v>0</v>
      </c>
      <c r="AR372" s="174">
        <v>0</v>
      </c>
      <c r="AS372" s="174">
        <v>0</v>
      </c>
      <c r="AT372" s="174">
        <v>0</v>
      </c>
      <c r="AU372" s="174">
        <v>0</v>
      </c>
      <c r="AV372" s="174">
        <v>0</v>
      </c>
      <c r="AW372" s="174">
        <v>0</v>
      </c>
      <c r="AX372" s="174">
        <v>0</v>
      </c>
      <c r="AY372" s="174">
        <v>0</v>
      </c>
      <c r="AZ372" s="174">
        <v>0</v>
      </c>
      <c r="BA372" s="174">
        <v>0</v>
      </c>
      <c r="BB372" s="174">
        <v>0</v>
      </c>
      <c r="BC372" s="174">
        <v>0</v>
      </c>
      <c r="BD372" s="174">
        <v>0</v>
      </c>
      <c r="BE372" s="174">
        <v>0</v>
      </c>
      <c r="BF372" s="174">
        <v>0</v>
      </c>
      <c r="BG372" s="174">
        <v>0</v>
      </c>
      <c r="BH372" s="174">
        <v>0</v>
      </c>
      <c r="BI372" s="174">
        <v>0</v>
      </c>
      <c r="BJ372" s="174">
        <v>0</v>
      </c>
      <c r="BK372" s="174">
        <v>0</v>
      </c>
      <c r="BL372" s="174">
        <v>0</v>
      </c>
      <c r="BM372" s="174">
        <v>0</v>
      </c>
      <c r="BN372" s="174">
        <v>0</v>
      </c>
      <c r="BO372" s="174">
        <v>0</v>
      </c>
      <c r="BP372" s="174">
        <v>0</v>
      </c>
      <c r="BQ372" s="174">
        <v>0</v>
      </c>
      <c r="BR372" s="174">
        <v>0</v>
      </c>
      <c r="BS372" s="174">
        <v>0</v>
      </c>
      <c r="BT372" s="174">
        <v>0</v>
      </c>
      <c r="BU372" s="174">
        <v>0</v>
      </c>
      <c r="BV372" s="174">
        <v>0</v>
      </c>
      <c r="BW372" s="174">
        <v>0</v>
      </c>
      <c r="BX372" s="174">
        <v>0</v>
      </c>
      <c r="BY372" s="174">
        <v>0</v>
      </c>
      <c r="BZ372" s="174">
        <v>0</v>
      </c>
      <c r="CA372" s="174">
        <v>0</v>
      </c>
      <c r="CB372" s="174">
        <v>0</v>
      </c>
      <c r="CC372" s="174">
        <v>0</v>
      </c>
      <c r="CD372" s="174">
        <v>0</v>
      </c>
      <c r="CE372" s="174">
        <v>0</v>
      </c>
      <c r="CF372" s="174">
        <v>0</v>
      </c>
      <c r="CG372" s="174">
        <v>0</v>
      </c>
      <c r="CH372" s="174">
        <v>0</v>
      </c>
      <c r="CI372" s="174">
        <v>0</v>
      </c>
      <c r="CJ372" s="174">
        <v>0</v>
      </c>
      <c r="CK372" s="174">
        <v>0</v>
      </c>
      <c r="CL372" s="174">
        <v>0</v>
      </c>
      <c r="CM372" s="174">
        <v>0</v>
      </c>
      <c r="CN372" s="174">
        <v>0</v>
      </c>
      <c r="CO372" s="174">
        <v>0</v>
      </c>
    </row>
    <row r="373" spans="1:93" x14ac:dyDescent="0.2">
      <c r="A373" s="118">
        <f t="shared" si="34"/>
        <v>26</v>
      </c>
      <c r="B373" s="234"/>
      <c r="C373" s="223"/>
      <c r="D373" s="168"/>
      <c r="E373" s="233"/>
      <c r="F373" s="183"/>
      <c r="G373" s="223"/>
      <c r="H373" s="172"/>
      <c r="I373" s="229"/>
      <c r="J373" s="174"/>
      <c r="K373" s="233"/>
      <c r="L373" s="183"/>
      <c r="M373" s="223"/>
      <c r="N373" s="174"/>
      <c r="O373" s="227"/>
      <c r="Q373" s="176"/>
      <c r="U373" s="184" t="s">
        <v>613</v>
      </c>
      <c r="V373" s="179">
        <v>246</v>
      </c>
      <c r="W373" s="180">
        <v>220</v>
      </c>
      <c r="Y373" s="184" t="s">
        <v>613</v>
      </c>
      <c r="Z373" s="181" t="s">
        <v>608</v>
      </c>
      <c r="AB373" s="182">
        <f>SUM(AH373:AS373)</f>
        <v>0</v>
      </c>
      <c r="AC373" s="182">
        <f>SUM(AT373:BE373)</f>
        <v>0</v>
      </c>
      <c r="AD373" s="182">
        <f>SUM(BF373:BQ373)</f>
        <v>0</v>
      </c>
      <c r="AE373" s="182">
        <f>SUM(BR373:CC373)</f>
        <v>0</v>
      </c>
      <c r="AF373" s="182">
        <f>SUM(CD373:CO373)</f>
        <v>0</v>
      </c>
      <c r="AH373" s="172"/>
      <c r="AI373" s="172"/>
      <c r="AJ373" s="172"/>
      <c r="AK373" s="172"/>
      <c r="AL373" s="172"/>
      <c r="AM373" s="172"/>
      <c r="AN373" s="172"/>
      <c r="AO373" s="172"/>
      <c r="AP373" s="172"/>
      <c r="AQ373" s="172"/>
      <c r="AR373" s="172"/>
      <c r="AS373" s="172"/>
      <c r="AT373" s="172"/>
      <c r="AU373" s="172"/>
      <c r="AV373" s="172"/>
      <c r="AW373" s="172"/>
      <c r="AX373" s="172"/>
      <c r="AY373" s="172"/>
      <c r="AZ373" s="172"/>
      <c r="BA373" s="172"/>
      <c r="BB373" s="172"/>
      <c r="BC373" s="172"/>
      <c r="BD373" s="172"/>
      <c r="BE373" s="172"/>
      <c r="BF373" s="172"/>
      <c r="BG373" s="172"/>
      <c r="BH373" s="172"/>
      <c r="BI373" s="172"/>
      <c r="BJ373" s="172"/>
      <c r="BK373" s="172"/>
      <c r="BL373" s="172"/>
      <c r="BM373" s="172"/>
      <c r="BN373" s="172"/>
      <c r="BO373" s="172"/>
      <c r="BP373" s="172"/>
      <c r="BQ373" s="172"/>
      <c r="BR373" s="172"/>
      <c r="BS373" s="172"/>
      <c r="BT373" s="172"/>
      <c r="BU373" s="172"/>
      <c r="BV373" s="172"/>
      <c r="BW373" s="172"/>
      <c r="BX373" s="172"/>
      <c r="BY373" s="172"/>
      <c r="BZ373" s="172"/>
      <c r="CA373" s="172"/>
      <c r="CB373" s="172"/>
      <c r="CC373" s="172"/>
      <c r="CD373" s="172"/>
      <c r="CE373" s="172"/>
      <c r="CF373" s="172"/>
      <c r="CG373" s="172"/>
      <c r="CH373" s="172"/>
      <c r="CI373" s="172"/>
      <c r="CJ373" s="172"/>
      <c r="CK373" s="172"/>
      <c r="CL373" s="172"/>
      <c r="CM373" s="172"/>
      <c r="CN373" s="172"/>
      <c r="CO373" s="172"/>
    </row>
    <row r="374" spans="1:93" x14ac:dyDescent="0.2">
      <c r="A374" s="118">
        <f t="shared" si="34"/>
        <v>27</v>
      </c>
      <c r="B374" s="171" t="s">
        <v>564</v>
      </c>
      <c r="C374" s="223"/>
      <c r="D374" s="168"/>
      <c r="E374" s="223"/>
      <c r="F374" s="166"/>
      <c r="G374" s="223"/>
      <c r="H374" s="1225">
        <f>'MFR E-5 Yr4'!N22*1000</f>
        <v>261173.30400000003</v>
      </c>
      <c r="I374" s="162"/>
      <c r="J374" s="208"/>
      <c r="K374" s="166"/>
      <c r="L374" s="166"/>
      <c r="M374" s="143"/>
      <c r="N374" s="174">
        <f>H374</f>
        <v>261173.30400000003</v>
      </c>
      <c r="O374" s="227"/>
      <c r="Q374" s="176"/>
      <c r="U374" s="184"/>
      <c r="V374" s="179"/>
      <c r="W374" s="180"/>
      <c r="Y374" s="184" t="s">
        <v>613</v>
      </c>
      <c r="Z374" s="181" t="s">
        <v>565</v>
      </c>
      <c r="AB374" s="182"/>
      <c r="AC374" s="182"/>
      <c r="AD374" s="182"/>
      <c r="AE374" s="182"/>
      <c r="AF374" s="182"/>
      <c r="AH374" s="172"/>
      <c r="AI374" s="172"/>
      <c r="AJ374" s="172"/>
      <c r="AK374" s="172"/>
      <c r="AL374" s="172"/>
      <c r="AM374" s="172"/>
      <c r="AN374" s="172"/>
      <c r="AO374" s="172"/>
      <c r="AP374" s="172"/>
      <c r="AQ374" s="172"/>
      <c r="AR374" s="172"/>
      <c r="AS374" s="172"/>
      <c r="AT374" s="172"/>
      <c r="AU374" s="172"/>
      <c r="AV374" s="172"/>
      <c r="AW374" s="172"/>
      <c r="AX374" s="172"/>
      <c r="AY374" s="172"/>
      <c r="AZ374" s="172"/>
      <c r="BA374" s="172"/>
      <c r="BB374" s="172"/>
      <c r="BC374" s="172"/>
      <c r="BD374" s="172"/>
      <c r="BE374" s="172"/>
      <c r="BF374" s="172"/>
      <c r="BG374" s="172"/>
      <c r="BH374" s="172"/>
      <c r="BI374" s="172"/>
      <c r="BJ374" s="172"/>
      <c r="BK374" s="172"/>
      <c r="BL374" s="172"/>
      <c r="BM374" s="172"/>
      <c r="BN374" s="172"/>
      <c r="BO374" s="172"/>
      <c r="BP374" s="172"/>
      <c r="BQ374" s="172"/>
      <c r="BR374" s="172"/>
      <c r="BS374" s="172"/>
      <c r="BT374" s="172"/>
      <c r="BU374" s="172"/>
      <c r="BV374" s="172"/>
      <c r="BW374" s="172"/>
      <c r="BX374" s="172"/>
      <c r="BY374" s="172"/>
      <c r="BZ374" s="172"/>
      <c r="CA374" s="172"/>
      <c r="CB374" s="172"/>
      <c r="CC374" s="172"/>
      <c r="CD374" s="172"/>
      <c r="CE374" s="172"/>
      <c r="CF374" s="172"/>
      <c r="CG374" s="172"/>
      <c r="CH374" s="172"/>
      <c r="CI374" s="172"/>
      <c r="CJ374" s="172"/>
      <c r="CK374" s="172"/>
      <c r="CL374" s="172"/>
      <c r="CM374" s="172"/>
      <c r="CN374" s="172"/>
      <c r="CO374" s="172"/>
    </row>
    <row r="375" spans="1:93" x14ac:dyDescent="0.2">
      <c r="A375" s="118">
        <f t="shared" si="34"/>
        <v>28</v>
      </c>
      <c r="B375" s="171" t="s">
        <v>566</v>
      </c>
      <c r="C375" s="223"/>
      <c r="D375" s="168"/>
      <c r="E375" s="223"/>
      <c r="F375" s="166"/>
      <c r="G375" s="223"/>
      <c r="H375" s="1225">
        <f>'MFR E-5 Yr4'!N23*1000</f>
        <v>110998.65419999966</v>
      </c>
      <c r="I375" s="162"/>
      <c r="J375" s="208"/>
      <c r="K375" s="166"/>
      <c r="L375" s="166"/>
      <c r="M375" s="143"/>
      <c r="N375" s="174">
        <f>H375</f>
        <v>110998.65419999966</v>
      </c>
      <c r="O375" s="227"/>
      <c r="Q375" s="176"/>
      <c r="U375" s="184"/>
      <c r="V375" s="179"/>
      <c r="W375" s="180"/>
      <c r="Y375" s="184" t="s">
        <v>613</v>
      </c>
      <c r="Z375" s="181" t="s">
        <v>565</v>
      </c>
      <c r="AB375" s="182"/>
      <c r="AC375" s="182"/>
      <c r="AD375" s="182"/>
      <c r="AE375" s="182"/>
      <c r="AF375" s="182"/>
      <c r="AH375" s="172"/>
      <c r="AI375" s="172"/>
      <c r="AJ375" s="172"/>
      <c r="AK375" s="172"/>
      <c r="AL375" s="172"/>
      <c r="AM375" s="172"/>
      <c r="AN375" s="172"/>
      <c r="AO375" s="172"/>
      <c r="AP375" s="172"/>
      <c r="AQ375" s="172"/>
      <c r="AR375" s="172"/>
      <c r="AS375" s="172"/>
      <c r="AT375" s="172"/>
      <c r="AU375" s="172"/>
      <c r="AV375" s="172"/>
      <c r="AW375" s="172"/>
      <c r="AX375" s="172"/>
      <c r="AY375" s="172"/>
      <c r="AZ375" s="172"/>
      <c r="BA375" s="172"/>
      <c r="BB375" s="172"/>
      <c r="BC375" s="172"/>
      <c r="BD375" s="172"/>
      <c r="BE375" s="172"/>
      <c r="BF375" s="172"/>
      <c r="BG375" s="172"/>
      <c r="BH375" s="172"/>
      <c r="BI375" s="172"/>
      <c r="BJ375" s="172"/>
      <c r="BK375" s="172"/>
      <c r="BL375" s="172"/>
      <c r="BM375" s="172"/>
      <c r="BN375" s="172"/>
      <c r="BO375" s="172"/>
      <c r="BP375" s="172"/>
      <c r="BQ375" s="172"/>
      <c r="BR375" s="172"/>
      <c r="BS375" s="172"/>
      <c r="BT375" s="172"/>
      <c r="BU375" s="172"/>
      <c r="BV375" s="172"/>
      <c r="BW375" s="172"/>
      <c r="BX375" s="172"/>
      <c r="BY375" s="172"/>
      <c r="BZ375" s="172"/>
      <c r="CA375" s="172"/>
      <c r="CB375" s="172"/>
      <c r="CC375" s="172"/>
      <c r="CD375" s="172"/>
      <c r="CE375" s="172"/>
      <c r="CF375" s="172"/>
      <c r="CG375" s="172"/>
      <c r="CH375" s="172"/>
      <c r="CI375" s="172"/>
      <c r="CJ375" s="172"/>
      <c r="CK375" s="172"/>
      <c r="CL375" s="172"/>
      <c r="CM375" s="172"/>
      <c r="CN375" s="172"/>
      <c r="CO375" s="172"/>
    </row>
    <row r="376" spans="1:93" x14ac:dyDescent="0.2">
      <c r="A376" s="118">
        <f t="shared" si="34"/>
        <v>29</v>
      </c>
      <c r="B376" s="234"/>
      <c r="C376" s="223" t="s">
        <v>374</v>
      </c>
      <c r="E376" s="223"/>
      <c r="F376" s="183"/>
      <c r="G376" s="223"/>
      <c r="H376" s="206">
        <f>SUM(H371:H375)</f>
        <v>345479.91819999967</v>
      </c>
      <c r="I376" s="229"/>
      <c r="J376" s="249"/>
      <c r="K376" s="223"/>
      <c r="L376" s="183"/>
      <c r="M376" s="223"/>
      <c r="N376" s="206">
        <f>SUM(N371:N375)</f>
        <v>344311.72819999966</v>
      </c>
      <c r="O376" s="227"/>
      <c r="Q376" s="176"/>
      <c r="U376" s="184"/>
      <c r="V376" s="179"/>
      <c r="W376" s="180"/>
      <c r="Y376" s="184"/>
      <c r="Z376" s="181"/>
      <c r="AB376" s="182"/>
      <c r="AC376" s="182"/>
      <c r="AD376" s="182"/>
      <c r="AE376" s="182"/>
      <c r="AF376" s="182"/>
      <c r="AH376" s="182"/>
      <c r="AI376" s="182"/>
      <c r="AJ376" s="182"/>
      <c r="AK376" s="182"/>
      <c r="AL376" s="182"/>
      <c r="AM376" s="182"/>
      <c r="AN376" s="182"/>
      <c r="AO376" s="182"/>
      <c r="AP376" s="182"/>
      <c r="AQ376" s="182"/>
      <c r="AR376" s="182"/>
      <c r="AS376" s="182"/>
      <c r="AT376" s="182"/>
      <c r="AU376" s="182"/>
      <c r="AV376" s="182"/>
      <c r="AW376" s="182"/>
      <c r="AX376" s="182"/>
      <c r="AY376" s="182"/>
      <c r="AZ376" s="182"/>
      <c r="BA376" s="182"/>
      <c r="BB376" s="182"/>
      <c r="BC376" s="182"/>
      <c r="BD376" s="182"/>
      <c r="BE376" s="182"/>
      <c r="BF376" s="182"/>
      <c r="BG376" s="182"/>
      <c r="BH376" s="182"/>
      <c r="BI376" s="182"/>
      <c r="BJ376" s="182"/>
      <c r="BK376" s="182"/>
      <c r="BL376" s="182"/>
      <c r="BM376" s="182"/>
      <c r="BN376" s="182"/>
      <c r="BO376" s="182"/>
      <c r="BP376" s="182"/>
      <c r="BQ376" s="182"/>
      <c r="BR376" s="182"/>
      <c r="BS376" s="182"/>
      <c r="BT376" s="182"/>
      <c r="BU376" s="182"/>
      <c r="BV376" s="182"/>
      <c r="BW376" s="182"/>
      <c r="BX376" s="182"/>
      <c r="BY376" s="182"/>
      <c r="BZ376" s="182"/>
      <c r="CA376" s="182"/>
      <c r="CB376" s="182"/>
      <c r="CC376" s="182"/>
      <c r="CD376" s="182"/>
      <c r="CE376" s="182"/>
      <c r="CF376" s="182"/>
      <c r="CG376" s="182"/>
      <c r="CH376" s="182"/>
      <c r="CI376" s="182"/>
      <c r="CJ376" s="182"/>
      <c r="CK376" s="182"/>
      <c r="CL376" s="182"/>
      <c r="CM376" s="182"/>
      <c r="CN376" s="182"/>
      <c r="CO376" s="182"/>
    </row>
    <row r="377" spans="1:93" x14ac:dyDescent="0.2">
      <c r="A377" s="118">
        <f t="shared" si="34"/>
        <v>30</v>
      </c>
      <c r="B377" s="234"/>
      <c r="C377" s="223"/>
      <c r="E377" s="223"/>
      <c r="F377" s="183"/>
      <c r="G377" s="223"/>
      <c r="H377" s="174"/>
      <c r="I377" s="229"/>
      <c r="J377" s="249"/>
      <c r="K377" s="223"/>
      <c r="L377" s="183"/>
      <c r="M377" s="223"/>
      <c r="N377" s="174"/>
      <c r="O377" s="227"/>
      <c r="Q377" s="227"/>
      <c r="U377" s="184"/>
      <c r="V377" s="179"/>
      <c r="W377" s="180"/>
      <c r="Y377" s="184"/>
      <c r="Z377" s="181"/>
    </row>
    <row r="378" spans="1:93" ht="10.8" thickBot="1" x14ac:dyDescent="0.25">
      <c r="A378" s="118">
        <f t="shared" si="34"/>
        <v>31</v>
      </c>
      <c r="B378" s="246" t="s">
        <v>619</v>
      </c>
      <c r="C378" s="223"/>
      <c r="D378" s="168"/>
      <c r="E378" s="225"/>
      <c r="F378" s="183"/>
      <c r="G378" s="223"/>
      <c r="H378" s="210">
        <f>H302+H325+H367+H376</f>
        <v>3036772.1981999995</v>
      </c>
      <c r="I378" s="229"/>
      <c r="J378" s="168"/>
      <c r="K378" s="225"/>
      <c r="L378" s="183"/>
      <c r="M378" s="223"/>
      <c r="N378" s="210">
        <f>N302+N325+N367+N376</f>
        <v>3152898.5082</v>
      </c>
      <c r="O378" s="227"/>
      <c r="Q378" s="939">
        <f>(N378-H378)/H378</f>
        <v>3.8240046477253917E-2</v>
      </c>
      <c r="U378" s="184"/>
      <c r="V378" s="179"/>
      <c r="W378" s="180"/>
      <c r="Y378" s="184" t="s">
        <v>613</v>
      </c>
      <c r="Z378" s="181" t="s">
        <v>121</v>
      </c>
    </row>
    <row r="379" spans="1:93" ht="10.8" thickTop="1" x14ac:dyDescent="0.2">
      <c r="A379" s="118">
        <f t="shared" si="34"/>
        <v>32</v>
      </c>
      <c r="B379" s="223"/>
      <c r="C379" s="223"/>
      <c r="D379" s="168"/>
      <c r="E379" s="225"/>
      <c r="F379" s="183"/>
      <c r="G379" s="223"/>
      <c r="H379" s="174"/>
      <c r="I379" s="229"/>
      <c r="J379" s="223"/>
      <c r="K379" s="225"/>
      <c r="L379" s="183"/>
      <c r="M379" s="223"/>
      <c r="N379" s="174"/>
      <c r="O379" s="227"/>
      <c r="Q379" s="227"/>
      <c r="U379" s="184"/>
      <c r="V379" s="179"/>
      <c r="W379" s="180"/>
      <c r="Y379" s="184"/>
      <c r="Z379" s="181"/>
    </row>
    <row r="380" spans="1:93" x14ac:dyDescent="0.2">
      <c r="A380" s="118">
        <f t="shared" si="34"/>
        <v>33</v>
      </c>
      <c r="B380" s="226"/>
      <c r="C380" s="223"/>
      <c r="D380" s="168"/>
      <c r="E380" s="225"/>
      <c r="F380" s="183"/>
      <c r="G380" s="223"/>
      <c r="H380" s="174"/>
      <c r="I380" s="229"/>
      <c r="J380" s="171" t="s">
        <v>573</v>
      </c>
      <c r="K380" s="166"/>
      <c r="L380" s="166"/>
      <c r="M380" s="143"/>
      <c r="N380" s="174">
        <f>N378-H378</f>
        <v>116126.31000000052</v>
      </c>
      <c r="P380" s="182"/>
      <c r="Q380" s="227"/>
      <c r="U380" s="184"/>
      <c r="V380" s="179"/>
      <c r="W380" s="180"/>
      <c r="Y380" s="184"/>
      <c r="Z380" s="181"/>
    </row>
    <row r="381" spans="1:93" x14ac:dyDescent="0.2">
      <c r="A381" s="118">
        <f t="shared" si="34"/>
        <v>34</v>
      </c>
      <c r="B381" s="223"/>
      <c r="C381" s="223"/>
      <c r="D381" s="168"/>
      <c r="E381" s="225"/>
      <c r="F381" s="183"/>
      <c r="G381" s="223"/>
      <c r="H381" s="174"/>
      <c r="I381" s="229"/>
      <c r="J381" s="171"/>
      <c r="K381" s="166"/>
      <c r="L381" s="166"/>
      <c r="M381" s="143"/>
      <c r="N381" s="212"/>
      <c r="Q381" s="227"/>
      <c r="U381" s="184"/>
      <c r="V381" s="179"/>
      <c r="W381" s="180"/>
      <c r="Y381" s="184"/>
      <c r="Z381" s="181"/>
    </row>
    <row r="382" spans="1:93" x14ac:dyDescent="0.2">
      <c r="A382" s="118">
        <f t="shared" si="34"/>
        <v>35</v>
      </c>
      <c r="B382" s="223"/>
      <c r="C382" s="223"/>
      <c r="D382" s="168"/>
      <c r="E382" s="225"/>
      <c r="F382" s="183"/>
      <c r="G382" s="223"/>
      <c r="H382" s="174"/>
      <c r="I382" s="229"/>
      <c r="J382" s="171" t="s">
        <v>620</v>
      </c>
      <c r="N382" s="174">
        <f>-ROUND((H378-(H378*(1+'Exhibit MJC-2 - Old E-8a'!V27))),2)</f>
        <v>123060.62</v>
      </c>
      <c r="Q382" s="939">
        <f>N382/H378</f>
        <v>4.0523494015435965E-2</v>
      </c>
      <c r="U382" s="184"/>
      <c r="V382" s="179"/>
      <c r="W382" s="180"/>
      <c r="Y382" s="184"/>
      <c r="Z382" s="181"/>
    </row>
    <row r="383" spans="1:93" x14ac:dyDescent="0.2">
      <c r="A383" s="118">
        <f t="shared" si="34"/>
        <v>36</v>
      </c>
      <c r="B383" s="223"/>
      <c r="C383" s="223"/>
      <c r="D383" s="168"/>
      <c r="E383" s="225"/>
      <c r="F383" s="183"/>
      <c r="G383" s="223"/>
      <c r="H383" s="174"/>
      <c r="I383" s="229"/>
      <c r="P383" s="1284"/>
      <c r="Q383" s="227"/>
      <c r="U383" s="184"/>
      <c r="V383" s="179"/>
      <c r="W383" s="180"/>
      <c r="Y383" s="184"/>
      <c r="Z383" s="181"/>
    </row>
    <row r="384" spans="1:93" x14ac:dyDescent="0.2">
      <c r="A384" s="118">
        <f t="shared" si="34"/>
        <v>37</v>
      </c>
      <c r="B384" s="223"/>
      <c r="C384" s="223"/>
      <c r="D384" s="168"/>
      <c r="E384" s="225"/>
      <c r="F384" s="183"/>
      <c r="G384" s="223"/>
      <c r="H384" s="174"/>
      <c r="I384" s="229"/>
      <c r="J384" s="171" t="s">
        <v>575</v>
      </c>
      <c r="N384" s="214">
        <f>N380-N382</f>
        <v>-6934.3099999994738</v>
      </c>
      <c r="U384" s="184"/>
      <c r="V384" s="179"/>
      <c r="W384" s="180"/>
      <c r="Y384" s="184"/>
      <c r="Z384" s="181"/>
    </row>
    <row r="385" spans="1:93" x14ac:dyDescent="0.2">
      <c r="A385" s="118">
        <f t="shared" si="34"/>
        <v>38</v>
      </c>
      <c r="B385" s="228"/>
      <c r="C385" s="227"/>
      <c r="D385" s="227"/>
      <c r="E385" s="223"/>
      <c r="F385" s="183"/>
      <c r="G385" s="223"/>
      <c r="H385" s="174"/>
      <c r="I385" s="229"/>
      <c r="L385" s="197"/>
      <c r="P385" s="250"/>
      <c r="U385" s="184"/>
      <c r="V385" s="179"/>
      <c r="W385" s="180"/>
      <c r="Y385" s="184"/>
      <c r="Z385" s="181"/>
    </row>
    <row r="386" spans="1:93" x14ac:dyDescent="0.2">
      <c r="A386" s="118">
        <f t="shared" si="34"/>
        <v>39</v>
      </c>
      <c r="B386" s="227"/>
      <c r="C386" s="227"/>
      <c r="D386" s="227"/>
      <c r="E386" s="227"/>
      <c r="F386" s="197"/>
      <c r="G386" s="227"/>
      <c r="H386" s="203"/>
      <c r="I386" s="229"/>
      <c r="J386" s="171"/>
      <c r="L386" s="197"/>
      <c r="N386" s="214"/>
      <c r="U386" s="184"/>
      <c r="V386" s="179"/>
      <c r="W386" s="180"/>
      <c r="Y386" s="184"/>
      <c r="Z386" s="181"/>
    </row>
    <row r="387" spans="1:93" x14ac:dyDescent="0.2">
      <c r="A387" s="118">
        <f t="shared" si="34"/>
        <v>40</v>
      </c>
      <c r="B387" s="227"/>
      <c r="C387" s="227"/>
      <c r="D387" s="227"/>
      <c r="E387" s="227"/>
      <c r="F387" s="197"/>
      <c r="G387" s="227"/>
      <c r="H387" s="203"/>
      <c r="I387" s="229"/>
      <c r="J387" s="227"/>
      <c r="K387" s="227"/>
      <c r="L387" s="197"/>
      <c r="M387" s="227"/>
      <c r="N387" s="227"/>
      <c r="O387" s="227"/>
      <c r="P387" s="227"/>
      <c r="Q387" s="227"/>
      <c r="U387" s="184"/>
      <c r="V387" s="179"/>
      <c r="W387" s="180"/>
      <c r="Y387" s="184"/>
      <c r="Z387" s="181"/>
    </row>
    <row r="388" spans="1:93" x14ac:dyDescent="0.2">
      <c r="A388" s="118">
        <f t="shared" si="34"/>
        <v>41</v>
      </c>
      <c r="B388" s="223"/>
      <c r="C388" s="223"/>
      <c r="D388" s="168"/>
      <c r="E388" s="225"/>
      <c r="F388" s="183"/>
      <c r="G388" s="223"/>
      <c r="H388" s="203"/>
      <c r="I388" s="229"/>
      <c r="J388" s="223"/>
      <c r="K388" s="225"/>
      <c r="L388" s="183"/>
      <c r="M388" s="223"/>
      <c r="N388" s="223"/>
      <c r="O388" s="227"/>
      <c r="P388" s="227"/>
      <c r="Q388" s="227"/>
      <c r="U388" s="184"/>
      <c r="V388" s="179"/>
      <c r="W388" s="180"/>
      <c r="Y388" s="184"/>
      <c r="Z388" s="181"/>
    </row>
    <row r="389" spans="1:93" x14ac:dyDescent="0.2">
      <c r="A389" s="118">
        <f t="shared" si="34"/>
        <v>42</v>
      </c>
      <c r="B389" s="223"/>
      <c r="C389" s="223"/>
      <c r="D389" s="168"/>
      <c r="E389" s="225"/>
      <c r="F389" s="183"/>
      <c r="G389" s="223"/>
      <c r="H389" s="203"/>
      <c r="I389" s="229"/>
      <c r="J389" s="223"/>
      <c r="K389" s="225"/>
      <c r="L389" s="183"/>
      <c r="M389" s="223"/>
      <c r="N389" s="223"/>
      <c r="O389" s="227"/>
      <c r="P389" s="227"/>
      <c r="Q389" s="227"/>
      <c r="U389" s="184"/>
      <c r="V389" s="179"/>
      <c r="W389" s="180"/>
      <c r="Y389" s="184"/>
      <c r="Z389" s="181"/>
    </row>
    <row r="390" spans="1:93" x14ac:dyDescent="0.2">
      <c r="A390" s="118">
        <f t="shared" si="34"/>
        <v>43</v>
      </c>
      <c r="B390" s="223"/>
      <c r="C390" s="223"/>
      <c r="D390" s="168"/>
      <c r="E390" s="225"/>
      <c r="F390" s="183"/>
      <c r="G390" s="223"/>
      <c r="H390" s="203"/>
      <c r="I390" s="229"/>
      <c r="J390" s="223"/>
      <c r="K390" s="225"/>
      <c r="L390" s="183"/>
      <c r="M390" s="223"/>
      <c r="N390" s="223"/>
      <c r="O390" s="227"/>
      <c r="P390" s="227"/>
      <c r="Q390" s="227"/>
      <c r="U390" s="298"/>
      <c r="V390" s="253"/>
      <c r="W390" s="254"/>
      <c r="Y390" s="298"/>
      <c r="Z390" s="255"/>
    </row>
    <row r="391" spans="1:93" x14ac:dyDescent="0.2">
      <c r="A391" s="215"/>
      <c r="B391" s="215" t="s">
        <v>98</v>
      </c>
      <c r="C391" s="215"/>
      <c r="D391" s="215"/>
      <c r="E391" s="215"/>
      <c r="F391" s="299"/>
      <c r="G391" s="215"/>
      <c r="H391" s="300"/>
      <c r="I391" s="215"/>
      <c r="J391" s="215"/>
      <c r="K391" s="215"/>
      <c r="L391" s="299"/>
      <c r="M391" s="215"/>
      <c r="N391" s="215" t="s">
        <v>99</v>
      </c>
      <c r="O391" s="215"/>
      <c r="P391" s="215"/>
      <c r="Q391" s="215"/>
      <c r="Y391" s="101"/>
    </row>
    <row r="392" spans="1:93" x14ac:dyDescent="0.2">
      <c r="A392" s="216"/>
      <c r="B392" s="216"/>
      <c r="C392" s="216"/>
      <c r="D392" s="216"/>
      <c r="E392" s="216"/>
      <c r="F392" s="216"/>
      <c r="G392" s="216"/>
      <c r="H392" s="216"/>
      <c r="I392" s="216"/>
      <c r="J392" s="216"/>
      <c r="K392" s="216"/>
      <c r="L392" s="216"/>
      <c r="M392" s="216"/>
      <c r="N392" s="216"/>
      <c r="O392" s="216"/>
      <c r="P392" s="216"/>
      <c r="Q392" s="216"/>
      <c r="R392" s="216"/>
      <c r="S392" s="216"/>
      <c r="T392" s="216"/>
      <c r="U392" s="216"/>
      <c r="V392" s="216"/>
      <c r="W392" s="216"/>
      <c r="X392" s="216"/>
      <c r="Y392" s="216"/>
      <c r="Z392" s="217"/>
      <c r="AA392" s="216"/>
      <c r="AB392" s="216"/>
      <c r="AC392" s="216"/>
      <c r="AD392" s="216"/>
      <c r="AE392" s="216"/>
      <c r="AF392" s="216"/>
      <c r="AG392" s="216"/>
      <c r="AH392" s="216"/>
      <c r="AI392" s="216"/>
      <c r="AJ392" s="216"/>
      <c r="AK392" s="216"/>
      <c r="AL392" s="216"/>
      <c r="AM392" s="216"/>
      <c r="AN392" s="216"/>
      <c r="AO392" s="216"/>
      <c r="AP392" s="216"/>
      <c r="AQ392" s="216"/>
      <c r="AR392" s="216"/>
      <c r="AS392" s="216"/>
      <c r="AT392" s="216"/>
      <c r="AU392" s="216"/>
      <c r="AV392" s="216"/>
      <c r="AW392" s="216"/>
      <c r="AX392" s="216"/>
      <c r="AY392" s="216"/>
      <c r="AZ392" s="216"/>
      <c r="BA392" s="216"/>
      <c r="BB392" s="216"/>
      <c r="BC392" s="216"/>
      <c r="BD392" s="216"/>
      <c r="BE392" s="216"/>
      <c r="BF392" s="216"/>
      <c r="BG392" s="216"/>
      <c r="BH392" s="216"/>
      <c r="BI392" s="216"/>
      <c r="BJ392" s="216"/>
      <c r="BK392" s="216"/>
      <c r="BL392" s="216"/>
      <c r="BM392" s="216"/>
      <c r="BN392" s="216"/>
      <c r="BO392" s="216"/>
      <c r="BP392" s="216"/>
      <c r="BQ392" s="216"/>
      <c r="BR392" s="216"/>
      <c r="BS392" s="216"/>
      <c r="BT392" s="216"/>
      <c r="BU392" s="216"/>
      <c r="BV392" s="216"/>
      <c r="BW392" s="216"/>
      <c r="BX392" s="216"/>
      <c r="BY392" s="216"/>
      <c r="BZ392" s="216"/>
      <c r="CA392" s="216"/>
      <c r="CB392" s="216"/>
      <c r="CC392" s="216"/>
      <c r="CD392" s="216"/>
      <c r="CE392" s="216"/>
      <c r="CF392" s="216"/>
      <c r="CG392" s="216"/>
      <c r="CH392" s="216"/>
      <c r="CI392" s="216"/>
      <c r="CJ392" s="216"/>
      <c r="CK392" s="216"/>
      <c r="CL392" s="216"/>
      <c r="CM392" s="216"/>
      <c r="CN392" s="216"/>
      <c r="CO392" s="216"/>
    </row>
    <row r="393" spans="1:93" ht="13.8" x14ac:dyDescent="0.3">
      <c r="A393" s="12" t="s">
        <v>667</v>
      </c>
      <c r="C393" s="102"/>
      <c r="D393" s="1280"/>
      <c r="F393" s="104"/>
      <c r="G393" s="104"/>
      <c r="H393" s="361" t="s">
        <v>668</v>
      </c>
      <c r="I393" s="104"/>
      <c r="J393" s="104"/>
      <c r="K393" s="104"/>
      <c r="L393" s="104"/>
      <c r="N393" s="105"/>
      <c r="Q393" s="106" t="str">
        <f>'MFR E-13c'!Q353</f>
        <v>Page 21 of 39</v>
      </c>
      <c r="R393" s="105"/>
      <c r="S393" s="105"/>
      <c r="U393" s="114"/>
      <c r="V393" s="114"/>
      <c r="W393" s="114"/>
      <c r="Y393" s="114"/>
      <c r="Z393" s="218"/>
      <c r="AD393" s="114"/>
    </row>
    <row r="394" spans="1:93" ht="10.8" thickBot="1" x14ac:dyDescent="0.25">
      <c r="A394" s="108"/>
      <c r="B394" s="109"/>
      <c r="C394" s="109"/>
      <c r="D394" s="109"/>
      <c r="E394" s="110" t="s">
        <v>416</v>
      </c>
      <c r="F394" s="109"/>
      <c r="G394" s="109" t="s">
        <v>416</v>
      </c>
      <c r="H394" s="109" t="s">
        <v>416</v>
      </c>
      <c r="I394" s="109" t="s">
        <v>416</v>
      </c>
      <c r="J394" s="109"/>
      <c r="K394" s="109"/>
      <c r="L394" s="109"/>
      <c r="M394" s="111"/>
      <c r="N394" s="111"/>
      <c r="O394" s="109"/>
      <c r="P394" s="112"/>
      <c r="Q394" s="109"/>
      <c r="U394" s="114"/>
      <c r="V394" s="114"/>
      <c r="W394" s="114"/>
      <c r="Y394" s="114"/>
      <c r="Z394" s="218"/>
      <c r="AD394" s="114"/>
    </row>
    <row r="395" spans="1:93" x14ac:dyDescent="0.2">
      <c r="A395" s="113"/>
      <c r="M395" s="105"/>
      <c r="N395" s="105"/>
      <c r="P395" s="114"/>
      <c r="U395" s="114"/>
      <c r="V395" s="114"/>
      <c r="W395" s="114"/>
      <c r="Y395" s="114"/>
      <c r="Z395" s="218"/>
      <c r="AD395" s="114"/>
    </row>
    <row r="396" spans="1:93" ht="13.8" x14ac:dyDescent="0.2">
      <c r="A396" s="100"/>
      <c r="C396" s="1278" t="s">
        <v>4</v>
      </c>
      <c r="D396" s="1386" t="s">
        <v>669</v>
      </c>
      <c r="E396" s="1386"/>
      <c r="F396" s="1386"/>
      <c r="G396" s="1386"/>
      <c r="H396" s="1386"/>
      <c r="I396" s="1386"/>
      <c r="J396" s="1386"/>
      <c r="K396" s="1386"/>
      <c r="L396" s="1386"/>
      <c r="M396" s="1386"/>
      <c r="N396" s="1386"/>
      <c r="O396" s="1279"/>
      <c r="P396" s="1279"/>
      <c r="U396" s="114"/>
      <c r="V396" s="114"/>
      <c r="W396" s="114"/>
      <c r="Y396" s="114"/>
      <c r="Z396" s="218"/>
      <c r="AD396" s="114"/>
    </row>
    <row r="397" spans="1:93" ht="13.8" x14ac:dyDescent="0.2">
      <c r="C397" s="1279"/>
      <c r="D397" s="1386" t="s">
        <v>670</v>
      </c>
      <c r="E397" s="1386"/>
      <c r="F397" s="1386"/>
      <c r="G397" s="1386"/>
      <c r="H397" s="1386"/>
      <c r="I397" s="1386"/>
      <c r="J397" s="1386"/>
      <c r="K397" s="1386"/>
      <c r="L397" s="1386"/>
      <c r="M397" s="1386"/>
      <c r="N397" s="1386"/>
      <c r="O397" s="1279"/>
      <c r="P397" s="1279"/>
      <c r="U397" s="114"/>
      <c r="V397" s="114"/>
      <c r="W397" s="114"/>
      <c r="Y397" s="114"/>
      <c r="Z397" s="218"/>
      <c r="AD397" s="114"/>
    </row>
    <row r="398" spans="1:93" ht="13.8" x14ac:dyDescent="0.3">
      <c r="A398" s="100"/>
      <c r="C398" s="21"/>
      <c r="D398" s="1386" t="s">
        <v>671</v>
      </c>
      <c r="E398" s="1386"/>
      <c r="F398" s="1386"/>
      <c r="G398" s="1386"/>
      <c r="H398" s="1386"/>
      <c r="I398" s="1386"/>
      <c r="J398" s="1386"/>
      <c r="K398" s="1386"/>
      <c r="L398" s="1386"/>
      <c r="M398" s="1386"/>
      <c r="N398" s="1386"/>
      <c r="O398" s="107"/>
      <c r="U398" s="114"/>
      <c r="V398" s="114"/>
      <c r="W398" s="114"/>
      <c r="Y398" s="114"/>
      <c r="Z398" s="218"/>
      <c r="AD398" s="114"/>
    </row>
    <row r="399" spans="1:93" x14ac:dyDescent="0.2">
      <c r="U399" s="114"/>
      <c r="V399" s="114"/>
      <c r="W399" s="114"/>
      <c r="Y399" s="114"/>
      <c r="Z399" s="218"/>
      <c r="AD399" s="114"/>
    </row>
    <row r="400" spans="1:93" x14ac:dyDescent="0.2">
      <c r="A400" s="100"/>
      <c r="C400" s="119"/>
      <c r="O400" s="100"/>
      <c r="U400" s="114"/>
      <c r="V400" s="114"/>
      <c r="W400" s="114"/>
      <c r="Y400" s="114"/>
      <c r="Z400" s="218"/>
      <c r="AD400" s="114"/>
    </row>
    <row r="401" spans="1:93" ht="10.8" thickBot="1" x14ac:dyDescent="0.25">
      <c r="A401" s="123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23"/>
      <c r="O401" s="109"/>
      <c r="P401" s="109"/>
      <c r="Q401" s="109"/>
      <c r="U401" s="114"/>
      <c r="V401" s="114"/>
      <c r="W401" s="114"/>
      <c r="Y401" s="114"/>
      <c r="Z401" s="218"/>
      <c r="AD401" s="114"/>
    </row>
    <row r="402" spans="1:93" ht="15.6" x14ac:dyDescent="0.2">
      <c r="B402" s="1369"/>
      <c r="C402" s="125"/>
      <c r="D402" s="125"/>
      <c r="E402" s="125"/>
      <c r="F402" s="276"/>
      <c r="G402" s="125"/>
      <c r="H402" s="125"/>
      <c r="I402" s="126" t="s">
        <v>622</v>
      </c>
      <c r="J402" s="125"/>
      <c r="K402" s="125"/>
      <c r="L402" s="276"/>
      <c r="M402" s="125"/>
      <c r="N402" s="125"/>
      <c r="U402" s="127" t="s">
        <v>530</v>
      </c>
      <c r="V402" s="128"/>
      <c r="W402" s="129"/>
      <c r="Y402" s="130" t="s">
        <v>531</v>
      </c>
      <c r="Z402" s="131"/>
    </row>
    <row r="403" spans="1:93" x14ac:dyDescent="0.2">
      <c r="A403" s="101" t="s">
        <v>30</v>
      </c>
      <c r="B403" s="101" t="s">
        <v>532</v>
      </c>
      <c r="C403" s="132"/>
      <c r="D403" s="133" t="s">
        <v>533</v>
      </c>
      <c r="E403" s="134"/>
      <c r="F403" s="278"/>
      <c r="G403" s="133"/>
      <c r="H403" s="133"/>
      <c r="I403" s="135"/>
      <c r="J403" s="136" t="s">
        <v>534</v>
      </c>
      <c r="K403" s="133"/>
      <c r="L403" s="278"/>
      <c r="M403" s="134"/>
      <c r="N403" s="134"/>
      <c r="O403" s="137"/>
      <c r="Q403" s="118" t="s">
        <v>332</v>
      </c>
      <c r="U403" s="138"/>
      <c r="V403" s="139"/>
      <c r="W403" s="140"/>
      <c r="Y403" s="138"/>
      <c r="Z403" s="141"/>
    </row>
    <row r="404" spans="1:93" x14ac:dyDescent="0.2">
      <c r="A404" s="101" t="s">
        <v>39</v>
      </c>
      <c r="B404" s="102" t="s">
        <v>535</v>
      </c>
      <c r="C404" s="104"/>
      <c r="D404" s="142" t="s">
        <v>536</v>
      </c>
      <c r="E404" s="143"/>
      <c r="F404" s="281" t="s">
        <v>537</v>
      </c>
      <c r="G404" s="142"/>
      <c r="H404" s="142" t="s">
        <v>538</v>
      </c>
      <c r="I404" s="144"/>
      <c r="J404" s="142" t="s">
        <v>536</v>
      </c>
      <c r="K404" s="143"/>
      <c r="L404" s="281" t="s">
        <v>537</v>
      </c>
      <c r="M404" s="142"/>
      <c r="N404" s="142" t="s">
        <v>538</v>
      </c>
      <c r="O404" s="132"/>
      <c r="Q404" s="145" t="s">
        <v>539</v>
      </c>
      <c r="R404" s="132"/>
      <c r="S404" s="132"/>
      <c r="U404" s="138" t="s">
        <v>128</v>
      </c>
      <c r="V404" s="146" t="s">
        <v>343</v>
      </c>
      <c r="W404" s="147" t="s">
        <v>344</v>
      </c>
      <c r="X404" s="118"/>
      <c r="Y404" s="148" t="s">
        <v>128</v>
      </c>
      <c r="Z404" s="149"/>
      <c r="AA404" s="118"/>
      <c r="AB404" s="118"/>
      <c r="AH404" s="116"/>
      <c r="AI404" s="116"/>
      <c r="AJ404" s="116"/>
      <c r="AK404" s="116"/>
      <c r="AL404" s="116"/>
      <c r="AM404" s="116"/>
      <c r="AN404" s="116"/>
      <c r="AO404" s="116"/>
      <c r="AP404" s="116"/>
      <c r="AQ404" s="116"/>
      <c r="AR404" s="116"/>
      <c r="AS404" s="116"/>
      <c r="AT404" s="116"/>
      <c r="AU404" s="116"/>
      <c r="AV404" s="116"/>
      <c r="AW404" s="116"/>
      <c r="AX404" s="116"/>
      <c r="AY404" s="116"/>
      <c r="AZ404" s="116"/>
      <c r="BA404" s="116"/>
      <c r="BB404" s="116"/>
      <c r="BC404" s="116"/>
      <c r="BD404" s="116"/>
      <c r="BE404" s="116"/>
      <c r="BF404" s="116"/>
      <c r="BG404" s="116"/>
      <c r="BH404" s="116"/>
      <c r="BI404" s="116"/>
      <c r="BJ404" s="116"/>
      <c r="BK404" s="116"/>
      <c r="BL404" s="116"/>
      <c r="BM404" s="116"/>
      <c r="BN404" s="116"/>
      <c r="BO404" s="116"/>
      <c r="BP404" s="116"/>
      <c r="BQ404" s="116"/>
      <c r="BR404" s="116"/>
      <c r="BS404" s="116"/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</row>
    <row r="405" spans="1:93" ht="10.8" thickBot="1" x14ac:dyDescent="0.25">
      <c r="A405" s="109"/>
      <c r="B405" s="1370" t="s">
        <v>273</v>
      </c>
      <c r="C405" s="150"/>
      <c r="D405" s="220" t="str">
        <f>+$D$15</f>
        <v>Jan '26-Dec '26</v>
      </c>
      <c r="E405" s="221"/>
      <c r="F405" s="152">
        <f>+$L$15</f>
        <v>46023</v>
      </c>
      <c r="G405" s="153"/>
      <c r="H405" s="153"/>
      <c r="I405" s="153"/>
      <c r="J405" s="153"/>
      <c r="K405" s="151"/>
      <c r="L405" s="152">
        <f>+$L$15</f>
        <v>46023</v>
      </c>
      <c r="M405" s="154"/>
      <c r="N405" s="154"/>
      <c r="O405" s="155"/>
      <c r="P405" s="109"/>
      <c r="Q405" s="156"/>
      <c r="R405" s="132"/>
      <c r="S405" s="132"/>
      <c r="U405" s="157" t="s">
        <v>144</v>
      </c>
      <c r="V405" s="158" t="s">
        <v>540</v>
      </c>
      <c r="W405" s="159" t="s">
        <v>540</v>
      </c>
      <c r="X405" s="118"/>
      <c r="Y405" s="160" t="s">
        <v>144</v>
      </c>
      <c r="Z405" s="159" t="s">
        <v>541</v>
      </c>
      <c r="AA405" s="118"/>
      <c r="AH405" s="116"/>
      <c r="AI405" s="116"/>
      <c r="AJ405" s="116"/>
      <c r="AK405" s="116"/>
      <c r="AL405" s="116"/>
      <c r="AM405" s="116"/>
      <c r="AN405" s="116"/>
      <c r="AO405" s="116"/>
      <c r="AP405" s="116"/>
      <c r="AQ405" s="116"/>
      <c r="AR405" s="116"/>
      <c r="AS405" s="116"/>
      <c r="AT405" s="116"/>
      <c r="AU405" s="116"/>
      <c r="AV405" s="116"/>
      <c r="AW405" s="116"/>
      <c r="AX405" s="116"/>
      <c r="AY405" s="116"/>
      <c r="AZ405" s="116"/>
      <c r="BA405" s="116"/>
      <c r="BB405" s="116"/>
      <c r="BC405" s="116"/>
      <c r="BD405" s="116"/>
      <c r="BE405" s="116"/>
      <c r="BF405" s="116"/>
      <c r="BG405" s="116"/>
      <c r="BH405" s="116"/>
      <c r="BI405" s="116"/>
      <c r="BJ405" s="116"/>
      <c r="BK405" s="116"/>
      <c r="BL405" s="116"/>
      <c r="BM405" s="116"/>
      <c r="BN405" s="116"/>
      <c r="BO405" s="116"/>
      <c r="BP405" s="116"/>
      <c r="BQ405" s="116"/>
      <c r="BR405" s="116"/>
      <c r="BS405" s="116"/>
      <c r="BT405" s="116"/>
      <c r="BU405" s="116"/>
      <c r="BV405" s="116"/>
      <c r="BW405" s="116"/>
      <c r="BX405" s="116"/>
      <c r="BY405" s="116"/>
      <c r="BZ405" s="116"/>
      <c r="CA405" s="116"/>
      <c r="CB405" s="116"/>
      <c r="CC405" s="116"/>
      <c r="CD405" s="116"/>
      <c r="CE405" s="116"/>
      <c r="CF405" s="116"/>
      <c r="CG405" s="116"/>
      <c r="CH405" s="116"/>
      <c r="CI405" s="116"/>
      <c r="CJ405" s="116"/>
      <c r="CK405" s="116"/>
      <c r="CL405" s="116"/>
      <c r="CM405" s="116"/>
      <c r="CN405" s="116"/>
      <c r="CO405" s="116"/>
    </row>
    <row r="406" spans="1:93" x14ac:dyDescent="0.2">
      <c r="A406" s="118">
        <v>1</v>
      </c>
      <c r="B406" s="222" t="s">
        <v>542</v>
      </c>
      <c r="C406" s="223"/>
      <c r="E406" s="225"/>
      <c r="F406" s="284"/>
      <c r="G406" s="227"/>
      <c r="H406" s="307"/>
      <c r="I406" s="308"/>
      <c r="J406" s="226"/>
      <c r="K406" s="225"/>
      <c r="L406" s="284"/>
      <c r="M406" s="227"/>
      <c r="N406" s="307"/>
      <c r="O406" s="227"/>
      <c r="Q406" s="145"/>
      <c r="R406" s="132"/>
      <c r="S406" s="132"/>
      <c r="T406" s="118"/>
      <c r="U406" s="163"/>
      <c r="V406" s="139"/>
      <c r="W406" s="140"/>
      <c r="X406" s="118"/>
      <c r="Y406" s="163"/>
      <c r="Z406" s="141"/>
      <c r="AA406" s="118"/>
      <c r="AB406" s="118"/>
      <c r="AH406" s="116"/>
      <c r="AI406" s="116"/>
      <c r="AJ406" s="116"/>
      <c r="AK406" s="116"/>
      <c r="AL406" s="116"/>
      <c r="AM406" s="116"/>
      <c r="AN406" s="116"/>
      <c r="AO406" s="116"/>
      <c r="AP406" s="116"/>
      <c r="AQ406" s="116"/>
      <c r="AR406" s="116"/>
      <c r="AS406" s="116"/>
      <c r="AT406" s="116"/>
      <c r="AU406" s="116"/>
      <c r="AV406" s="116"/>
      <c r="AW406" s="116"/>
      <c r="AX406" s="116"/>
      <c r="AY406" s="116"/>
      <c r="AZ406" s="116"/>
      <c r="BA406" s="116"/>
      <c r="BB406" s="116"/>
      <c r="BC406" s="116"/>
      <c r="BD406" s="116"/>
      <c r="BE406" s="116"/>
      <c r="BF406" s="116"/>
      <c r="BG406" s="116"/>
      <c r="BH406" s="116"/>
      <c r="BI406" s="116"/>
      <c r="BJ406" s="116"/>
      <c r="BK406" s="116"/>
      <c r="BL406" s="116"/>
      <c r="BM406" s="116"/>
      <c r="BN406" s="116"/>
      <c r="BO406" s="116"/>
      <c r="BP406" s="116"/>
      <c r="BQ406" s="116"/>
      <c r="BR406" s="116"/>
      <c r="BS406" s="116"/>
      <c r="BT406" s="116"/>
      <c r="BU406" s="116"/>
      <c r="BV406" s="116"/>
      <c r="BW406" s="116"/>
      <c r="BX406" s="116"/>
      <c r="BY406" s="116"/>
      <c r="BZ406" s="116"/>
      <c r="CA406" s="116"/>
      <c r="CB406" s="116"/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</row>
    <row r="407" spans="1:93" x14ac:dyDescent="0.2">
      <c r="A407" s="118">
        <f t="shared" ref="A407:A450" si="40">+A406+1</f>
        <v>2</v>
      </c>
      <c r="B407" s="228" t="s">
        <v>543</v>
      </c>
      <c r="C407" s="223"/>
      <c r="D407" s="168"/>
      <c r="E407" s="225"/>
      <c r="F407" s="183"/>
      <c r="G407" s="223"/>
      <c r="H407" s="168"/>
      <c r="I407" s="308"/>
      <c r="J407" s="168"/>
      <c r="K407" s="225"/>
      <c r="L407" s="1368">
        <v>-0.24</v>
      </c>
      <c r="M407" s="223"/>
      <c r="N407" s="168"/>
      <c r="O407" s="227"/>
      <c r="P407" s="230"/>
      <c r="Q407" s="227"/>
      <c r="R407" s="227"/>
      <c r="S407" s="227"/>
      <c r="T407" s="227"/>
      <c r="U407" s="163"/>
      <c r="V407" s="139"/>
      <c r="W407" s="140"/>
      <c r="X407" s="227"/>
      <c r="Y407" s="163"/>
      <c r="Z407" s="141"/>
      <c r="AA407" s="227"/>
      <c r="AH407" s="116"/>
      <c r="AI407" s="116"/>
      <c r="AJ407" s="116"/>
      <c r="AK407" s="116"/>
      <c r="AL407" s="116"/>
      <c r="AM407" s="116"/>
      <c r="AN407" s="116"/>
      <c r="AO407" s="116"/>
      <c r="AP407" s="116"/>
      <c r="AQ407" s="116"/>
      <c r="AR407" s="116"/>
      <c r="AS407" s="116"/>
      <c r="AT407" s="116"/>
      <c r="AU407" s="116"/>
      <c r="AV407" s="116"/>
      <c r="AW407" s="116"/>
      <c r="AX407" s="116"/>
      <c r="AY407" s="116"/>
      <c r="AZ407" s="116"/>
      <c r="BA407" s="116"/>
      <c r="BB407" s="116"/>
      <c r="BC407" s="116"/>
      <c r="BD407" s="116"/>
      <c r="BE407" s="116"/>
      <c r="BF407" s="116"/>
      <c r="BG407" s="116"/>
      <c r="BH407" s="116"/>
      <c r="BI407" s="116"/>
      <c r="BJ407" s="116"/>
      <c r="BK407" s="116"/>
      <c r="BL407" s="116"/>
      <c r="BM407" s="116"/>
      <c r="BN407" s="116"/>
      <c r="BO407" s="116"/>
      <c r="BP407" s="116"/>
      <c r="BQ407" s="116"/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6"/>
      <c r="CB407" s="116"/>
      <c r="CC407" s="116"/>
      <c r="CD407" s="116"/>
      <c r="CE407" s="116"/>
      <c r="CF407" s="116"/>
      <c r="CG407" s="116"/>
      <c r="CH407" s="116"/>
      <c r="CI407" s="116"/>
      <c r="CJ407" s="116"/>
      <c r="CK407" s="116"/>
      <c r="CL407" s="116"/>
      <c r="CM407" s="116"/>
      <c r="CN407" s="116"/>
      <c r="CO407" s="116"/>
    </row>
    <row r="408" spans="1:93" x14ac:dyDescent="0.2">
      <c r="A408" s="118">
        <f t="shared" si="40"/>
        <v>3</v>
      </c>
      <c r="B408" s="234" t="s">
        <v>149</v>
      </c>
      <c r="C408" s="223"/>
      <c r="D408" s="172">
        <f>SUMIF($AH$8:$CP$8,1,$AH408:$CP408)</f>
        <v>109.92564254693612</v>
      </c>
      <c r="E408" s="225" t="s">
        <v>545</v>
      </c>
      <c r="F408" s="183">
        <v>426.3</v>
      </c>
      <c r="G408" s="233" t="s">
        <v>375</v>
      </c>
      <c r="H408" s="168">
        <f>ROUND(D408*F408,2)</f>
        <v>46861.3</v>
      </c>
      <c r="I408" s="308"/>
      <c r="J408" s="172">
        <f>SUMIF($AH$8:$CP$8,1,$AH408:$CP408)</f>
        <v>109.92564254693612</v>
      </c>
      <c r="K408" s="225" t="s">
        <v>545</v>
      </c>
      <c r="L408" s="183">
        <f>ROUND(F408*(1+'Exhibit MJC-2 - Old E-8a'!V27)+L407,2)</f>
        <v>443.34</v>
      </c>
      <c r="M408" s="233" t="s">
        <v>375</v>
      </c>
      <c r="N408" s="168">
        <f>ROUND(J408*L408,2)</f>
        <v>48734.43</v>
      </c>
      <c r="O408" s="227"/>
      <c r="P408" s="227"/>
      <c r="Q408" s="1022"/>
      <c r="R408" s="227"/>
      <c r="S408" s="227"/>
      <c r="T408" s="227"/>
      <c r="U408" s="184" t="s">
        <v>623</v>
      </c>
      <c r="V408" s="179">
        <v>252</v>
      </c>
      <c r="W408" s="180">
        <v>226</v>
      </c>
      <c r="X408" s="227"/>
      <c r="Y408" s="184"/>
      <c r="Z408" s="181"/>
      <c r="AA408" s="227"/>
      <c r="AB408" s="182">
        <f>SUM(AH408:AS408)</f>
        <v>109.73954054087882</v>
      </c>
      <c r="AC408" s="182">
        <f>SUM(AT408:BE408)</f>
        <v>110.0375734486378</v>
      </c>
      <c r="AD408" s="182">
        <f>SUM(BF408:BQ408)</f>
        <v>109.79418488469868</v>
      </c>
      <c r="AE408" s="182">
        <f>SUM(BR408:CC408)</f>
        <v>109.92564254693612</v>
      </c>
      <c r="AF408" s="182">
        <f>SUM(CD408:CO408)</f>
        <v>110.45584038130784</v>
      </c>
      <c r="AH408" s="168">
        <v>8.9219327341946446</v>
      </c>
      <c r="AI408" s="168">
        <v>9.4261380445156657</v>
      </c>
      <c r="AJ408" s="168">
        <v>9.5926758604202682</v>
      </c>
      <c r="AK408" s="168">
        <v>9.9137331844737417</v>
      </c>
      <c r="AL408" s="168">
        <v>9.3645152401676537</v>
      </c>
      <c r="AM408" s="168">
        <v>9.6361172090457945</v>
      </c>
      <c r="AN408" s="168">
        <v>9.0376388482273544</v>
      </c>
      <c r="AO408" s="168">
        <v>8.1214147480621612</v>
      </c>
      <c r="AP408" s="168">
        <v>9.3979130040405359</v>
      </c>
      <c r="AQ408" s="168">
        <v>9.1705235871183781</v>
      </c>
      <c r="AR408" s="168">
        <v>7.7252250644366356</v>
      </c>
      <c r="AS408" s="168">
        <v>9.431713016175971</v>
      </c>
      <c r="AT408" s="168">
        <v>8.9240916425814536</v>
      </c>
      <c r="AU408" s="168">
        <v>9.510477335950771</v>
      </c>
      <c r="AV408" s="168">
        <v>9.665666830182202</v>
      </c>
      <c r="AW408" s="168">
        <v>9.9733734027717347</v>
      </c>
      <c r="AX408" s="168">
        <v>9.4082711672821517</v>
      </c>
      <c r="AY408" s="168">
        <v>9.6703642935133978</v>
      </c>
      <c r="AZ408" s="168">
        <v>9.0615367937242723</v>
      </c>
      <c r="BA408" s="168">
        <v>8.1230024352388703</v>
      </c>
      <c r="BB408" s="168">
        <v>9.4064418896898498</v>
      </c>
      <c r="BC408" s="168">
        <v>9.1717293864102842</v>
      </c>
      <c r="BD408" s="168">
        <v>7.6983443909474598</v>
      </c>
      <c r="BE408" s="168">
        <v>9.4242738803453641</v>
      </c>
      <c r="BF408" s="168">
        <v>8.9111454830496619</v>
      </c>
      <c r="BG408" s="168">
        <v>9.4997331070783204</v>
      </c>
      <c r="BH408" s="168">
        <v>9.6553665222153562</v>
      </c>
      <c r="BI408" s="168">
        <v>9.9535913057860341</v>
      </c>
      <c r="BJ408" s="168">
        <v>9.3926834766444465</v>
      </c>
      <c r="BK408" s="168">
        <v>9.6538664458570835</v>
      </c>
      <c r="BL408" s="168">
        <v>9.0453019550198537</v>
      </c>
      <c r="BM408" s="168">
        <v>8.0891791194700176</v>
      </c>
      <c r="BN408" s="168">
        <v>9.3854923971637625</v>
      </c>
      <c r="BO408" s="168">
        <v>9.1496745059535236</v>
      </c>
      <c r="BP408" s="168">
        <v>7.6532636137200551</v>
      </c>
      <c r="BQ408" s="168">
        <v>9.404886952740549</v>
      </c>
      <c r="BR408" s="168">
        <v>8.8929491853603579</v>
      </c>
      <c r="BS408" s="168">
        <v>9.4903924756577993</v>
      </c>
      <c r="BT408" s="168">
        <v>9.6535936389709569</v>
      </c>
      <c r="BU408" s="168">
        <v>9.951895064121226</v>
      </c>
      <c r="BV408" s="168">
        <v>9.399969587992036</v>
      </c>
      <c r="BW408" s="168">
        <v>9.6662651688662926</v>
      </c>
      <c r="BX408" s="168">
        <v>9.0609042587161692</v>
      </c>
      <c r="BY408" s="168">
        <v>8.0951825909613504</v>
      </c>
      <c r="BZ408" s="168">
        <v>9.4128260964215666</v>
      </c>
      <c r="CA408" s="168">
        <v>9.1832274562613296</v>
      </c>
      <c r="CB408" s="168">
        <v>7.6709497690650918</v>
      </c>
      <c r="CC408" s="168">
        <v>9.4474872545419544</v>
      </c>
      <c r="CD408" s="168">
        <v>8.9293994173639497</v>
      </c>
      <c r="CE408" s="168">
        <v>9.5344584873749341</v>
      </c>
      <c r="CF408" s="168">
        <v>9.6983680124262079</v>
      </c>
      <c r="CG408" s="168">
        <v>9.9970907100388402</v>
      </c>
      <c r="CH408" s="168">
        <v>9.4459318514522845</v>
      </c>
      <c r="CI408" s="168">
        <v>9.7161523557659315</v>
      </c>
      <c r="CJ408" s="168">
        <v>9.1093816839613329</v>
      </c>
      <c r="CK408" s="168">
        <v>8.1317145787066192</v>
      </c>
      <c r="CL408" s="168">
        <v>9.4634417209448785</v>
      </c>
      <c r="CM408" s="168">
        <v>9.2319845755768366</v>
      </c>
      <c r="CN408" s="168">
        <v>7.6988495191734181</v>
      </c>
      <c r="CO408" s="168">
        <v>9.4990674685226075</v>
      </c>
    </row>
    <row r="409" spans="1:93" x14ac:dyDescent="0.2">
      <c r="A409" s="118">
        <f t="shared" si="40"/>
        <v>4</v>
      </c>
      <c r="B409" s="234" t="s">
        <v>148</v>
      </c>
      <c r="C409" s="223"/>
      <c r="D409" s="172">
        <f>SUMIF($AH$8:$CP$8,1,$AH409:$CP409)</f>
        <v>207.84260145429096</v>
      </c>
      <c r="E409" s="225" t="s">
        <v>545</v>
      </c>
      <c r="F409" s="183">
        <v>632.54999999999995</v>
      </c>
      <c r="G409" s="233" t="s">
        <v>375</v>
      </c>
      <c r="H409" s="168">
        <f>ROUND(D409*F409,2)</f>
        <v>131470.84</v>
      </c>
      <c r="I409" s="308"/>
      <c r="J409" s="172">
        <f>SUMIF($AH$8:$CP$8,1,$AH409:$CP409)</f>
        <v>207.84260145429096</v>
      </c>
      <c r="K409" s="225" t="s">
        <v>545</v>
      </c>
      <c r="L409" s="183">
        <f>ROUND(F409*(1+'Exhibit MJC-2 - Old E-8a'!V27)+(L407*(F409/F408)),2)</f>
        <v>657.83</v>
      </c>
      <c r="M409" s="233" t="s">
        <v>375</v>
      </c>
      <c r="N409" s="168">
        <f>ROUND(J409*L409,2)</f>
        <v>136725.1</v>
      </c>
      <c r="O409" s="227"/>
      <c r="P409" s="176"/>
      <c r="Q409" s="939"/>
      <c r="R409" s="227"/>
      <c r="S409" s="227"/>
      <c r="T409" s="227"/>
      <c r="U409" s="184" t="s">
        <v>623</v>
      </c>
      <c r="V409" s="179">
        <v>252</v>
      </c>
      <c r="W409" s="180">
        <v>226</v>
      </c>
      <c r="X409" s="227"/>
      <c r="Y409" s="184"/>
      <c r="Z409" s="181"/>
      <c r="AA409" s="227"/>
      <c r="AB409" s="182">
        <f>SUM(AH409:AS409)</f>
        <v>207.4907279134263</v>
      </c>
      <c r="AC409" s="182">
        <f>SUM(AT409:BE409)</f>
        <v>208.05423551213033</v>
      </c>
      <c r="AD409" s="182">
        <f>SUM(BF409:BQ409)</f>
        <v>207.59404705090083</v>
      </c>
      <c r="AE409" s="182">
        <f>SUM(BR409:CC409)</f>
        <v>207.84260145429096</v>
      </c>
      <c r="AF409" s="182">
        <f>SUM(CD409:CO409)</f>
        <v>208.84507635121233</v>
      </c>
      <c r="AH409" s="168">
        <v>16.869200547847015</v>
      </c>
      <c r="AI409" s="168">
        <v>17.822529916101047</v>
      </c>
      <c r="AJ409" s="168">
        <v>18.137412341130759</v>
      </c>
      <c r="AK409" s="168">
        <v>18.744453500055393</v>
      </c>
      <c r="AL409" s="168">
        <v>17.706016210401025</v>
      </c>
      <c r="AM409" s="168">
        <v>18.219549344834483</v>
      </c>
      <c r="AN409" s="168">
        <v>17.087972612194577</v>
      </c>
      <c r="AO409" s="168">
        <v>15.3556161202856</v>
      </c>
      <c r="AP409" s="168">
        <v>17.769163242933786</v>
      </c>
      <c r="AQ409" s="168">
        <v>17.339225269761638</v>
      </c>
      <c r="AR409" s="168">
        <v>14.606517978976832</v>
      </c>
      <c r="AS409" s="168">
        <v>17.833070828904148</v>
      </c>
      <c r="AT409" s="168">
        <v>16.87328251748594</v>
      </c>
      <c r="AU409" s="168">
        <v>17.981994962932127</v>
      </c>
      <c r="AV409" s="168">
        <v>18.275420477235258</v>
      </c>
      <c r="AW409" s="168">
        <v>18.857218618686055</v>
      </c>
      <c r="AX409" s="168">
        <v>17.788748005365413</v>
      </c>
      <c r="AY409" s="168">
        <v>18.284302235634573</v>
      </c>
      <c r="AZ409" s="168">
        <v>17.133157803260175</v>
      </c>
      <c r="BA409" s="168">
        <v>15.358618049821391</v>
      </c>
      <c r="BB409" s="168">
        <v>17.785289287228707</v>
      </c>
      <c r="BC409" s="168">
        <v>17.341505142372387</v>
      </c>
      <c r="BD409" s="168">
        <v>14.555693176161162</v>
      </c>
      <c r="BE409" s="168">
        <v>17.81900523594712</v>
      </c>
      <c r="BF409" s="168">
        <v>16.84880448475776</v>
      </c>
      <c r="BG409" s="168">
        <v>17.961680244475819</v>
      </c>
      <c r="BH409" s="168">
        <v>18.255945105029035</v>
      </c>
      <c r="BI409" s="168">
        <v>18.819815494133255</v>
      </c>
      <c r="BJ409" s="168">
        <v>17.759275481050423</v>
      </c>
      <c r="BK409" s="168">
        <v>18.253108826200368</v>
      </c>
      <c r="BL409" s="168">
        <v>17.102461679659385</v>
      </c>
      <c r="BM409" s="168">
        <v>15.29466640235928</v>
      </c>
      <c r="BN409" s="168">
        <v>17.745678902200389</v>
      </c>
      <c r="BO409" s="168">
        <v>17.299804738147415</v>
      </c>
      <c r="BP409" s="168">
        <v>14.470456412495903</v>
      </c>
      <c r="BQ409" s="168">
        <v>17.782349280391792</v>
      </c>
      <c r="BR409" s="168">
        <v>16.814399720219164</v>
      </c>
      <c r="BS409" s="168">
        <v>17.944019386747939</v>
      </c>
      <c r="BT409" s="168">
        <v>18.252593014861048</v>
      </c>
      <c r="BU409" s="168">
        <v>18.816608314514923</v>
      </c>
      <c r="BV409" s="168">
        <v>17.773051742001748</v>
      </c>
      <c r="BW409" s="168">
        <v>18.276551789873242</v>
      </c>
      <c r="BX409" s="168">
        <v>17.131961833707042</v>
      </c>
      <c r="BY409" s="168">
        <v>15.306017503918518</v>
      </c>
      <c r="BZ409" s="168">
        <v>17.797360266343297</v>
      </c>
      <c r="CA409" s="168">
        <v>17.363245190410076</v>
      </c>
      <c r="CB409" s="168">
        <v>14.503896622181895</v>
      </c>
      <c r="CC409" s="168">
        <v>17.862896069512097</v>
      </c>
      <c r="CD409" s="168">
        <v>16.883318226108308</v>
      </c>
      <c r="CE409" s="168">
        <v>18.027337476129077</v>
      </c>
      <c r="CF409" s="168">
        <v>18.337250443662999</v>
      </c>
      <c r="CG409" s="168">
        <v>18.902062266880158</v>
      </c>
      <c r="CH409" s="168">
        <v>17.859955181317346</v>
      </c>
      <c r="CI409" s="168">
        <v>18.370876302918781</v>
      </c>
      <c r="CJ409" s="168">
        <v>17.223620831019325</v>
      </c>
      <c r="CK409" s="168">
        <v>15.375090589991508</v>
      </c>
      <c r="CL409" s="168">
        <v>17.893062077416786</v>
      </c>
      <c r="CM409" s="168">
        <v>17.455433021048641</v>
      </c>
      <c r="CN409" s="168">
        <v>14.556648250537975</v>
      </c>
      <c r="CO409" s="168">
        <v>17.960421684181398</v>
      </c>
    </row>
    <row r="410" spans="1:93" x14ac:dyDescent="0.2">
      <c r="A410" s="118">
        <f t="shared" si="40"/>
        <v>5</v>
      </c>
      <c r="B410" s="234" t="s">
        <v>216</v>
      </c>
      <c r="C410" s="223"/>
      <c r="D410" s="172">
        <f>SUMIF($AH$8:$CP$8,1,$AH410:$CP410)</f>
        <v>0</v>
      </c>
      <c r="E410" s="225" t="s">
        <v>545</v>
      </c>
      <c r="F410" s="183">
        <v>1513.3</v>
      </c>
      <c r="G410" s="233" t="s">
        <v>375</v>
      </c>
      <c r="H410" s="168">
        <f>ROUND(D410*F410,2)</f>
        <v>0</v>
      </c>
      <c r="I410" s="308"/>
      <c r="J410" s="172">
        <f>SUMIF($AH$8:$CP$8,1,$AH410:$CP410)</f>
        <v>0</v>
      </c>
      <c r="K410" s="225" t="s">
        <v>545</v>
      </c>
      <c r="L410" s="183">
        <f>ROUND(F410*(1+'Exhibit MJC-2 - Old E-8a'!V27)+(L407*(F410/F408)),2)</f>
        <v>1573.77</v>
      </c>
      <c r="M410" s="233" t="s">
        <v>375</v>
      </c>
      <c r="N410" s="168">
        <f>ROUND(J410*L410,2)</f>
        <v>0</v>
      </c>
      <c r="O410" s="227"/>
      <c r="P410" s="176"/>
      <c r="Q410" s="227"/>
      <c r="R410" s="227"/>
      <c r="S410" s="227"/>
      <c r="T410" s="227"/>
      <c r="U410" s="184" t="s">
        <v>623</v>
      </c>
      <c r="V410" s="179">
        <v>252</v>
      </c>
      <c r="W410" s="180">
        <v>226</v>
      </c>
      <c r="X410" s="227"/>
      <c r="Y410" s="184"/>
      <c r="Z410" s="181"/>
      <c r="AA410" s="227"/>
      <c r="AB410" s="182">
        <f>SUM(AH410:AS410)</f>
        <v>0</v>
      </c>
      <c r="AC410" s="182">
        <f>SUM(AT410:BE410)</f>
        <v>0</v>
      </c>
      <c r="AD410" s="182">
        <f>SUM(BF410:BQ410)</f>
        <v>0</v>
      </c>
      <c r="AE410" s="182">
        <f>SUM(BR410:CC410)</f>
        <v>0</v>
      </c>
      <c r="AF410" s="182">
        <f>SUM(CD410:CO410)</f>
        <v>0</v>
      </c>
      <c r="AH410" s="168">
        <v>0</v>
      </c>
      <c r="AI410" s="168">
        <v>0</v>
      </c>
      <c r="AJ410" s="168">
        <v>0</v>
      </c>
      <c r="AK410" s="168">
        <v>0</v>
      </c>
      <c r="AL410" s="168">
        <v>0</v>
      </c>
      <c r="AM410" s="168">
        <v>0</v>
      </c>
      <c r="AN410" s="168">
        <v>0</v>
      </c>
      <c r="AO410" s="168">
        <v>0</v>
      </c>
      <c r="AP410" s="168">
        <v>0</v>
      </c>
      <c r="AQ410" s="168">
        <v>0</v>
      </c>
      <c r="AR410" s="168">
        <v>0</v>
      </c>
      <c r="AS410" s="168">
        <v>0</v>
      </c>
      <c r="AT410" s="168">
        <v>0</v>
      </c>
      <c r="AU410" s="168">
        <v>0</v>
      </c>
      <c r="AV410" s="168">
        <v>0</v>
      </c>
      <c r="AW410" s="168">
        <v>0</v>
      </c>
      <c r="AX410" s="168">
        <v>0</v>
      </c>
      <c r="AY410" s="168">
        <v>0</v>
      </c>
      <c r="AZ410" s="168">
        <v>0</v>
      </c>
      <c r="BA410" s="168">
        <v>0</v>
      </c>
      <c r="BB410" s="168">
        <v>0</v>
      </c>
      <c r="BC410" s="168">
        <v>0</v>
      </c>
      <c r="BD410" s="168">
        <v>0</v>
      </c>
      <c r="BE410" s="168">
        <v>0</v>
      </c>
      <c r="BF410" s="168">
        <v>0</v>
      </c>
      <c r="BG410" s="168">
        <v>0</v>
      </c>
      <c r="BH410" s="168">
        <v>0</v>
      </c>
      <c r="BI410" s="168">
        <v>0</v>
      </c>
      <c r="BJ410" s="168">
        <v>0</v>
      </c>
      <c r="BK410" s="168">
        <v>0</v>
      </c>
      <c r="BL410" s="168">
        <v>0</v>
      </c>
      <c r="BM410" s="168">
        <v>0</v>
      </c>
      <c r="BN410" s="168">
        <v>0</v>
      </c>
      <c r="BO410" s="168">
        <v>0</v>
      </c>
      <c r="BP410" s="168">
        <v>0</v>
      </c>
      <c r="BQ410" s="168">
        <v>0</v>
      </c>
      <c r="BR410" s="168">
        <v>0</v>
      </c>
      <c r="BS410" s="168">
        <v>0</v>
      </c>
      <c r="BT410" s="168">
        <v>0</v>
      </c>
      <c r="BU410" s="168">
        <v>0</v>
      </c>
      <c r="BV410" s="168">
        <v>0</v>
      </c>
      <c r="BW410" s="168">
        <v>0</v>
      </c>
      <c r="BX410" s="168">
        <v>0</v>
      </c>
      <c r="BY410" s="168">
        <v>0</v>
      </c>
      <c r="BZ410" s="168">
        <v>0</v>
      </c>
      <c r="CA410" s="168">
        <v>0</v>
      </c>
      <c r="CB410" s="168">
        <v>0</v>
      </c>
      <c r="CC410" s="168">
        <v>0</v>
      </c>
      <c r="CD410" s="168">
        <v>0</v>
      </c>
      <c r="CE410" s="168">
        <v>0</v>
      </c>
      <c r="CF410" s="168">
        <v>0</v>
      </c>
      <c r="CG410" s="168">
        <v>0</v>
      </c>
      <c r="CH410" s="168">
        <v>0</v>
      </c>
      <c r="CI410" s="168">
        <v>0</v>
      </c>
      <c r="CJ410" s="168">
        <v>0</v>
      </c>
      <c r="CK410" s="168">
        <v>0</v>
      </c>
      <c r="CL410" s="168">
        <v>0</v>
      </c>
      <c r="CM410" s="168">
        <v>0</v>
      </c>
      <c r="CN410" s="168">
        <v>0</v>
      </c>
      <c r="CO410" s="168">
        <v>0</v>
      </c>
    </row>
    <row r="411" spans="1:93" x14ac:dyDescent="0.2">
      <c r="A411" s="118">
        <f t="shared" si="40"/>
        <v>6</v>
      </c>
      <c r="B411" s="226" t="s">
        <v>546</v>
      </c>
      <c r="C411" s="223"/>
      <c r="D411" s="168"/>
      <c r="E411" s="225"/>
      <c r="F411" s="183"/>
      <c r="G411" s="233"/>
      <c r="H411" s="168"/>
      <c r="I411" s="308"/>
      <c r="J411" s="168"/>
      <c r="K411" s="225"/>
      <c r="L411" s="183"/>
      <c r="M411" s="233"/>
      <c r="N411" s="168"/>
      <c r="O411" s="227"/>
      <c r="P411" s="227"/>
      <c r="Q411" s="227"/>
      <c r="R411" s="227"/>
      <c r="S411" s="227"/>
      <c r="T411" s="227"/>
      <c r="U411" s="178"/>
      <c r="V411" s="179"/>
      <c r="W411" s="180"/>
      <c r="X411" s="227"/>
      <c r="Y411" s="178"/>
      <c r="Z411" s="181"/>
      <c r="AA411" s="227"/>
      <c r="AB411" s="227"/>
    </row>
    <row r="412" spans="1:93" x14ac:dyDescent="0.2">
      <c r="A412" s="118">
        <f t="shared" si="40"/>
        <v>7</v>
      </c>
      <c r="B412" s="234" t="s">
        <v>149</v>
      </c>
      <c r="C412" s="223"/>
      <c r="D412" s="172">
        <f>SUMIF($AH$8:$CP$8,1,$AH412:$CP412)</f>
        <v>705.74110004923693</v>
      </c>
      <c r="E412" s="225" t="s">
        <v>545</v>
      </c>
      <c r="F412" s="183">
        <v>426.3</v>
      </c>
      <c r="G412" s="233" t="s">
        <v>375</v>
      </c>
      <c r="H412" s="168">
        <f>ROUND(D412*F412,2)</f>
        <v>300857.43</v>
      </c>
      <c r="I412" s="308"/>
      <c r="J412" s="172">
        <f>SUMIF($AH$8:$CP$8,1,$AH412:$CP412)</f>
        <v>705.74110004923693</v>
      </c>
      <c r="K412" s="225" t="s">
        <v>545</v>
      </c>
      <c r="L412" s="183">
        <f>L408</f>
        <v>443.34</v>
      </c>
      <c r="M412" s="233" t="s">
        <v>375</v>
      </c>
      <c r="N412" s="168">
        <f>ROUND(J412*L412,2)</f>
        <v>312883.26</v>
      </c>
      <c r="O412" s="227"/>
      <c r="P412" s="227"/>
      <c r="Q412" s="939"/>
      <c r="R412" s="227"/>
      <c r="S412" s="227"/>
      <c r="T412" s="227"/>
      <c r="U412" s="178" t="s">
        <v>624</v>
      </c>
      <c r="V412" s="179">
        <v>254</v>
      </c>
      <c r="W412" s="180">
        <v>228</v>
      </c>
      <c r="X412" s="227"/>
      <c r="Y412" s="178"/>
      <c r="Z412" s="181"/>
      <c r="AA412" s="227"/>
      <c r="AB412" s="182">
        <f>SUM(AH412:AS412)</f>
        <v>704.54629389270076</v>
      </c>
      <c r="AC412" s="182">
        <f>SUM(AT412:BE412)</f>
        <v>706.45971525007815</v>
      </c>
      <c r="AD412" s="182">
        <f>SUM(BF412:BQ412)</f>
        <v>704.89711976394767</v>
      </c>
      <c r="AE412" s="182">
        <f>SUM(BR412:CC412)</f>
        <v>705.74110004923693</v>
      </c>
      <c r="AF412" s="182">
        <f>SUM(CD412:CO412)</f>
        <v>709.14505925478306</v>
      </c>
      <c r="AH412" s="168">
        <v>57.280307638022755</v>
      </c>
      <c r="AI412" s="168">
        <v>60.517390470671998</v>
      </c>
      <c r="AJ412" s="168">
        <v>61.586591238328438</v>
      </c>
      <c r="AK412" s="168">
        <v>63.647833217965861</v>
      </c>
      <c r="AL412" s="168">
        <v>60.121761709983929</v>
      </c>
      <c r="AM412" s="168">
        <v>61.865491997571311</v>
      </c>
      <c r="AN412" s="168">
        <v>58.023160336518472</v>
      </c>
      <c r="AO412" s="168">
        <v>52.140847626214217</v>
      </c>
      <c r="AP412" s="168">
        <v>60.336180967117379</v>
      </c>
      <c r="AQ412" s="168">
        <v>58.876302693768409</v>
      </c>
      <c r="AR412" s="168">
        <v>49.597243270836884</v>
      </c>
      <c r="AS412" s="168">
        <v>60.553182725701191</v>
      </c>
      <c r="AT412" s="168">
        <v>57.294168192707815</v>
      </c>
      <c r="AU412" s="168">
        <v>61.058862896356203</v>
      </c>
      <c r="AV412" s="168">
        <v>62.055205531589934</v>
      </c>
      <c r="AW412" s="168">
        <v>64.03073344300509</v>
      </c>
      <c r="AX412" s="168">
        <v>60.402682115996335</v>
      </c>
      <c r="AY412" s="168">
        <v>62.085364035665833</v>
      </c>
      <c r="AZ412" s="168">
        <v>58.176589163070112</v>
      </c>
      <c r="BA412" s="168">
        <v>52.15104084472685</v>
      </c>
      <c r="BB412" s="168">
        <v>60.390937846412143</v>
      </c>
      <c r="BC412" s="168">
        <v>58.884044127877786</v>
      </c>
      <c r="BD412" s="168">
        <v>49.424664829276125</v>
      </c>
      <c r="BE412" s="168">
        <v>60.505422223393772</v>
      </c>
      <c r="BF412" s="168">
        <v>57.211051672688576</v>
      </c>
      <c r="BG412" s="168">
        <v>60.989883141242331</v>
      </c>
      <c r="BH412" s="168">
        <v>61.989075823298585</v>
      </c>
      <c r="BI412" s="168">
        <v>63.903729055634699</v>
      </c>
      <c r="BJ412" s="168">
        <v>60.302606522322328</v>
      </c>
      <c r="BK412" s="168">
        <v>61.979445080964801</v>
      </c>
      <c r="BL412" s="168">
        <v>58.072358770043429</v>
      </c>
      <c r="BM412" s="168">
        <v>51.933889472899949</v>
      </c>
      <c r="BN412" s="168">
        <v>60.256438583471549</v>
      </c>
      <c r="BO412" s="168">
        <v>58.742448088642789</v>
      </c>
      <c r="BP412" s="168">
        <v>49.135238662874968</v>
      </c>
      <c r="BQ412" s="168">
        <v>60.380954889863688</v>
      </c>
      <c r="BR412" s="168">
        <v>57.094228383321962</v>
      </c>
      <c r="BS412" s="168">
        <v>60.929914717668566</v>
      </c>
      <c r="BT412" s="168">
        <v>61.977693614905967</v>
      </c>
      <c r="BU412" s="168">
        <v>63.892838899064003</v>
      </c>
      <c r="BV412" s="168">
        <v>60.349384581730376</v>
      </c>
      <c r="BW412" s="168">
        <v>62.059046966502919</v>
      </c>
      <c r="BX412" s="168">
        <v>58.172528182009692</v>
      </c>
      <c r="BY412" s="168">
        <v>51.972432768861104</v>
      </c>
      <c r="BZ412" s="168">
        <v>60.431925526605681</v>
      </c>
      <c r="CA412" s="168">
        <v>58.957863668770209</v>
      </c>
      <c r="CB412" s="168">
        <v>49.248786752653189</v>
      </c>
      <c r="CC412" s="168">
        <v>60.654455987143301</v>
      </c>
      <c r="CD412" s="168">
        <v>57.328244998874425</v>
      </c>
      <c r="CE412" s="168">
        <v>61.212825918944958</v>
      </c>
      <c r="CF412" s="168">
        <v>62.265152617593472</v>
      </c>
      <c r="CG412" s="168">
        <v>64.183002541761965</v>
      </c>
      <c r="CH412" s="168">
        <v>60.644470037895331</v>
      </c>
      <c r="CI412" s="168">
        <v>62.379331090799759</v>
      </c>
      <c r="CJ412" s="168">
        <v>58.483761399550062</v>
      </c>
      <c r="CK412" s="168">
        <v>52.206974270015607</v>
      </c>
      <c r="CL412" s="168">
        <v>60.756886342872995</v>
      </c>
      <c r="CM412" s="168">
        <v>59.270892569249604</v>
      </c>
      <c r="CN412" s="168">
        <v>49.427907837382278</v>
      </c>
      <c r="CO412" s="168">
        <v>60.985609629842614</v>
      </c>
    </row>
    <row r="413" spans="1:93" x14ac:dyDescent="0.2">
      <c r="A413" s="118">
        <f t="shared" si="40"/>
        <v>8</v>
      </c>
      <c r="B413" s="234" t="s">
        <v>148</v>
      </c>
      <c r="C413" s="223"/>
      <c r="D413" s="172">
        <f>SUMIF($AH$8:$CP$8,1,$AH413:$CP413)</f>
        <v>630.91776352569207</v>
      </c>
      <c r="E413" s="225" t="s">
        <v>545</v>
      </c>
      <c r="F413" s="183">
        <v>632.54999999999995</v>
      </c>
      <c r="G413" s="233" t="s">
        <v>375</v>
      </c>
      <c r="H413" s="168">
        <f>ROUND(D413*F413,2)</f>
        <v>399087.03</v>
      </c>
      <c r="I413" s="308"/>
      <c r="J413" s="172">
        <f>SUMIF($AH$8:$CP$8,1,$AH413:$CP413)</f>
        <v>630.91776352569207</v>
      </c>
      <c r="K413" s="225" t="s">
        <v>545</v>
      </c>
      <c r="L413" s="183">
        <f>L409</f>
        <v>657.83</v>
      </c>
      <c r="M413" s="233" t="s">
        <v>375</v>
      </c>
      <c r="N413" s="168">
        <f>ROUND(J413*L413,2)</f>
        <v>415036.63</v>
      </c>
      <c r="O413" s="227"/>
      <c r="Q413" s="939"/>
      <c r="R413" s="230"/>
      <c r="S413" s="227"/>
      <c r="T413" s="227"/>
      <c r="U413" s="178" t="s">
        <v>624</v>
      </c>
      <c r="V413" s="179">
        <v>254</v>
      </c>
      <c r="W413" s="180">
        <v>228</v>
      </c>
      <c r="X413" s="227"/>
      <c r="Y413" s="178"/>
      <c r="Z413" s="181"/>
      <c r="AA413" s="227"/>
      <c r="AB413" s="182">
        <f>SUM(AH413:AS413)</f>
        <v>629.84963184386731</v>
      </c>
      <c r="AC413" s="182">
        <f>SUM(AT413:BE413)</f>
        <v>631.560190465711</v>
      </c>
      <c r="AD413" s="182">
        <f>SUM(BF413:BQ413)</f>
        <v>630.16326282562341</v>
      </c>
      <c r="AE413" s="182">
        <f>SUM(BR413:CC413)</f>
        <v>630.91776352569207</v>
      </c>
      <c r="AF413" s="182">
        <f>SUM(CD413:CO413)</f>
        <v>633.96083176834668</v>
      </c>
      <c r="AH413" s="168">
        <v>51.207395440797832</v>
      </c>
      <c r="AI413" s="168">
        <v>54.101279700875615</v>
      </c>
      <c r="AJ413" s="168">
        <v>55.057122795521359</v>
      </c>
      <c r="AK413" s="168">
        <v>56.899829957945926</v>
      </c>
      <c r="AL413" s="168">
        <v>53.747595874239551</v>
      </c>
      <c r="AM413" s="168">
        <v>55.306454233430891</v>
      </c>
      <c r="AN413" s="168">
        <v>51.871490196128413</v>
      </c>
      <c r="AO413" s="168">
        <v>46.612825822911397</v>
      </c>
      <c r="AP413" s="168">
        <v>53.939282199661214</v>
      </c>
      <c r="AQ413" s="168">
        <v>52.634181596654216</v>
      </c>
      <c r="AR413" s="168">
        <v>44.338896798405223</v>
      </c>
      <c r="AS413" s="168">
        <v>54.1332772272957</v>
      </c>
      <c r="AT413" s="168">
        <v>51.219786486412879</v>
      </c>
      <c r="AU413" s="168">
        <v>54.585344709700642</v>
      </c>
      <c r="AV413" s="168">
        <v>55.476054159785242</v>
      </c>
      <c r="AW413" s="168">
        <v>57.242134740278111</v>
      </c>
      <c r="AX413" s="168">
        <v>53.998732834064782</v>
      </c>
      <c r="AY413" s="168">
        <v>55.503015230837384</v>
      </c>
      <c r="AZ413" s="168">
        <v>52.008652353896437</v>
      </c>
      <c r="BA413" s="168">
        <v>46.621938346791154</v>
      </c>
      <c r="BB413" s="168">
        <v>53.988233703009804</v>
      </c>
      <c r="BC413" s="168">
        <v>52.641102276623727</v>
      </c>
      <c r="BD413" s="168">
        <v>44.184615285858101</v>
      </c>
      <c r="BE413" s="168">
        <v>54.09058033845281</v>
      </c>
      <c r="BF413" s="168">
        <v>51.14548205817578</v>
      </c>
      <c r="BG413" s="168">
        <v>54.523678253231033</v>
      </c>
      <c r="BH413" s="168">
        <v>55.416935585488133</v>
      </c>
      <c r="BI413" s="168">
        <v>57.128595477746714</v>
      </c>
      <c r="BJ413" s="168">
        <v>53.909267349144173</v>
      </c>
      <c r="BK413" s="168">
        <v>55.408325903532663</v>
      </c>
      <c r="BL413" s="168">
        <v>51.915472565366045</v>
      </c>
      <c r="BM413" s="168">
        <v>46.427809568050606</v>
      </c>
      <c r="BN413" s="168">
        <v>53.86799417867941</v>
      </c>
      <c r="BO413" s="168">
        <v>52.514518382909714</v>
      </c>
      <c r="BP413" s="168">
        <v>43.925874354376447</v>
      </c>
      <c r="BQ413" s="168">
        <v>53.979309148922638</v>
      </c>
      <c r="BR413" s="168">
        <v>51.041044484043056</v>
      </c>
      <c r="BS413" s="168">
        <v>54.470067738439298</v>
      </c>
      <c r="BT413" s="168">
        <v>55.406760129555991</v>
      </c>
      <c r="BU413" s="168">
        <v>57.118859905838626</v>
      </c>
      <c r="BV413" s="168">
        <v>53.951085954609745</v>
      </c>
      <c r="BW413" s="168">
        <v>55.479488322148548</v>
      </c>
      <c r="BX413" s="168">
        <v>52.005021921875148</v>
      </c>
      <c r="BY413" s="168">
        <v>46.462266467450434</v>
      </c>
      <c r="BZ413" s="168">
        <v>54.024875830722095</v>
      </c>
      <c r="CA413" s="168">
        <v>52.707095400222585</v>
      </c>
      <c r="CB413" s="168">
        <v>44.027383968667706</v>
      </c>
      <c r="CC413" s="168">
        <v>54.223813402118942</v>
      </c>
      <c r="CD413" s="168">
        <v>51.250250437475437</v>
      </c>
      <c r="CE413" s="168">
        <v>54.722984427538485</v>
      </c>
      <c r="CF413" s="168">
        <v>55.66374245787479</v>
      </c>
      <c r="CG413" s="168">
        <v>57.378260125685102</v>
      </c>
      <c r="CH413" s="168">
        <v>54.214886172621085</v>
      </c>
      <c r="CI413" s="168">
        <v>55.765815621749006</v>
      </c>
      <c r="CJ413" s="168">
        <v>52.283257900383099</v>
      </c>
      <c r="CK413" s="168">
        <v>46.67194165761866</v>
      </c>
      <c r="CL413" s="168">
        <v>54.315383995002946</v>
      </c>
      <c r="CM413" s="168">
        <v>52.986936681672091</v>
      </c>
      <c r="CN413" s="168">
        <v>44.187514467188606</v>
      </c>
      <c r="CO413" s="168">
        <v>54.519857823537308</v>
      </c>
    </row>
    <row r="414" spans="1:93" x14ac:dyDescent="0.2">
      <c r="A414" s="118">
        <f t="shared" si="40"/>
        <v>9</v>
      </c>
      <c r="B414" s="234" t="s">
        <v>216</v>
      </c>
      <c r="C414" s="223"/>
      <c r="D414" s="172">
        <f>SUMIF($AH$8:$CP$8,1,$AH414:$CP414)</f>
        <v>89.603254849183244</v>
      </c>
      <c r="E414" s="225" t="s">
        <v>545</v>
      </c>
      <c r="F414" s="183">
        <v>1513.3</v>
      </c>
      <c r="G414" s="233" t="s">
        <v>375</v>
      </c>
      <c r="H414" s="257">
        <f>ROUND(D414*F414,2)</f>
        <v>135596.60999999999</v>
      </c>
      <c r="I414" s="308"/>
      <c r="J414" s="172">
        <f>SUMIF($AH$8:$CP$8,1,$AH414:$CP414)</f>
        <v>89.603254849183244</v>
      </c>
      <c r="K414" s="225" t="s">
        <v>545</v>
      </c>
      <c r="L414" s="183">
        <f>L410</f>
        <v>1573.77</v>
      </c>
      <c r="M414" s="233" t="s">
        <v>375</v>
      </c>
      <c r="N414" s="257">
        <f>ROUND(J414*L414,2)</f>
        <v>141014.91</v>
      </c>
      <c r="O414" s="227"/>
      <c r="Q414" s="939"/>
      <c r="R414" s="259"/>
      <c r="S414" s="176"/>
      <c r="T414" s="227"/>
      <c r="U414" s="178" t="s">
        <v>624</v>
      </c>
      <c r="V414" s="179">
        <v>254</v>
      </c>
      <c r="W414" s="180">
        <v>228</v>
      </c>
      <c r="X414" s="227"/>
      <c r="Y414" s="178"/>
      <c r="Z414" s="181"/>
      <c r="AA414" s="227"/>
      <c r="AB414" s="182">
        <f>SUM(AH414:AS414)</f>
        <v>89.451558256010443</v>
      </c>
      <c r="AC414" s="182">
        <f>SUM(AT414:BE414)</f>
        <v>89.694492643007308</v>
      </c>
      <c r="AD414" s="182">
        <f>SUM(BF414:BQ414)</f>
        <v>89.496100284166147</v>
      </c>
      <c r="AE414" s="182">
        <f>SUM(BR414:CC414)</f>
        <v>89.603254849183244</v>
      </c>
      <c r="AF414" s="182">
        <f>SUM(CD414:CO414)</f>
        <v>90.035432915855949</v>
      </c>
      <c r="AH414" s="168">
        <v>7.2724997917384924</v>
      </c>
      <c r="AI414" s="168">
        <v>7.683490674941341</v>
      </c>
      <c r="AJ414" s="168">
        <v>7.8192399870652594</v>
      </c>
      <c r="AK414" s="168">
        <v>8.0809421755794357</v>
      </c>
      <c r="AL414" s="168">
        <v>7.6332603218173301</v>
      </c>
      <c r="AM414" s="168">
        <v>7.8546501619953117</v>
      </c>
      <c r="AN414" s="168">
        <v>7.3668148594794403</v>
      </c>
      <c r="AO414" s="168">
        <v>6.6199767274120145</v>
      </c>
      <c r="AP414" s="168">
        <v>7.6604837091758977</v>
      </c>
      <c r="AQ414" s="168">
        <v>7.4751326718527951</v>
      </c>
      <c r="AR414" s="168">
        <v>6.2970321953811235</v>
      </c>
      <c r="AS414" s="168">
        <v>7.6880349795720102</v>
      </c>
      <c r="AT414" s="168">
        <v>7.2742595742050504</v>
      </c>
      <c r="AU414" s="168">
        <v>7.7522378284640743</v>
      </c>
      <c r="AV414" s="168">
        <v>7.8787368279636443</v>
      </c>
      <c r="AW414" s="168">
        <v>8.1295564711668771</v>
      </c>
      <c r="AX414" s="168">
        <v>7.6689269178686441</v>
      </c>
      <c r="AY414" s="168">
        <v>7.8825658526957945</v>
      </c>
      <c r="AZ414" s="168">
        <v>7.386294697405499</v>
      </c>
      <c r="BA414" s="168">
        <v>6.6212708925896671</v>
      </c>
      <c r="BB414" s="168">
        <v>7.6674358260497097</v>
      </c>
      <c r="BC414" s="168">
        <v>7.4761155502672061</v>
      </c>
      <c r="BD414" s="168">
        <v>6.2751210581672563</v>
      </c>
      <c r="BE414" s="168">
        <v>7.6819711461638693</v>
      </c>
      <c r="BF414" s="168">
        <v>7.2637068223177907</v>
      </c>
      <c r="BG414" s="168">
        <v>7.7434799276184636</v>
      </c>
      <c r="BH414" s="168">
        <v>7.8703407786125172</v>
      </c>
      <c r="BI414" s="168">
        <v>8.1134315685818912</v>
      </c>
      <c r="BJ414" s="168">
        <v>7.6562209851639613</v>
      </c>
      <c r="BK414" s="168">
        <v>7.8691180272952694</v>
      </c>
      <c r="BL414" s="168">
        <v>7.3730612574531582</v>
      </c>
      <c r="BM414" s="168">
        <v>6.593700626794889</v>
      </c>
      <c r="BN414" s="168">
        <v>7.6503593489486139</v>
      </c>
      <c r="BO414" s="168">
        <v>7.458138042667998</v>
      </c>
      <c r="BP414" s="168">
        <v>6.2383745422760111</v>
      </c>
      <c r="BQ414" s="168">
        <v>7.6661683564355734</v>
      </c>
      <c r="BR414" s="168">
        <v>7.2488745460500397</v>
      </c>
      <c r="BS414" s="168">
        <v>7.7358661356202232</v>
      </c>
      <c r="BT414" s="168">
        <v>7.8688956552956535</v>
      </c>
      <c r="BU414" s="168">
        <v>8.1120489178130999</v>
      </c>
      <c r="BV414" s="168">
        <v>7.662160084329642</v>
      </c>
      <c r="BW414" s="168">
        <v>7.8792245494120197</v>
      </c>
      <c r="BX414" s="168">
        <v>7.3857791016425924</v>
      </c>
      <c r="BY414" s="168">
        <v>6.5985942128004282</v>
      </c>
      <c r="BZ414" s="168">
        <v>7.6726397592679998</v>
      </c>
      <c r="CA414" s="168">
        <v>7.4854879265323433</v>
      </c>
      <c r="CB414" s="168">
        <v>6.2527909882295285</v>
      </c>
      <c r="CC414" s="168">
        <v>7.7008929721896608</v>
      </c>
      <c r="CD414" s="168">
        <v>7.278586079700025</v>
      </c>
      <c r="CE414" s="168">
        <v>7.7717854897089804</v>
      </c>
      <c r="CF414" s="168">
        <v>7.9053924134902713</v>
      </c>
      <c r="CG414" s="168">
        <v>8.1488890661661131</v>
      </c>
      <c r="CH414" s="168">
        <v>7.6996251226123666</v>
      </c>
      <c r="CI414" s="168">
        <v>7.9198888950360962</v>
      </c>
      <c r="CJ414" s="168">
        <v>7.4252943138172212</v>
      </c>
      <c r="CK414" s="168">
        <v>6.6283723876852285</v>
      </c>
      <c r="CL414" s="168">
        <v>7.7138978733752364</v>
      </c>
      <c r="CM414" s="168">
        <v>7.5252311246298582</v>
      </c>
      <c r="CN414" s="168">
        <v>6.2755328013430383</v>
      </c>
      <c r="CO414" s="168">
        <v>7.7429373482915356</v>
      </c>
    </row>
    <row r="415" spans="1:93" x14ac:dyDescent="0.2">
      <c r="A415" s="118">
        <f t="shared" si="40"/>
        <v>10</v>
      </c>
      <c r="B415" s="226"/>
      <c r="C415" s="223" t="s">
        <v>374</v>
      </c>
      <c r="D415" s="204">
        <f>SUM(D408:D414)</f>
        <v>1744.0303624253395</v>
      </c>
      <c r="E415" s="225" t="s">
        <v>625</v>
      </c>
      <c r="F415" s="183"/>
      <c r="G415" s="233"/>
      <c r="H415" s="204">
        <f>SUM(H408:H410)+SUM(H412:H414)</f>
        <v>1013873.21</v>
      </c>
      <c r="I415" s="308"/>
      <c r="J415" s="204">
        <f>SUM(J408:J414)</f>
        <v>1744.0303624253395</v>
      </c>
      <c r="K415" s="225" t="s">
        <v>625</v>
      </c>
      <c r="L415" s="183"/>
      <c r="M415" s="233"/>
      <c r="N415" s="204">
        <f>SUM(N408:N410)+SUM(N412:N414)</f>
        <v>1054394.33</v>
      </c>
      <c r="O415" s="227"/>
      <c r="Q415" s="1022"/>
      <c r="R415" s="227"/>
      <c r="S415" s="263"/>
      <c r="T415" s="197"/>
      <c r="U415" s="178"/>
      <c r="V415" s="179"/>
      <c r="W415" s="180"/>
      <c r="X415" s="227"/>
      <c r="Y415" s="178" t="s">
        <v>623</v>
      </c>
      <c r="Z415" s="181" t="s">
        <v>451</v>
      </c>
      <c r="AA415" s="227"/>
      <c r="AB415" s="309">
        <f>SUM(AB408:AB414)</f>
        <v>1741.0777524468838</v>
      </c>
      <c r="AC415" s="309">
        <f>SUM(AC408:AC414)</f>
        <v>1745.8062073195647</v>
      </c>
      <c r="AD415" s="309">
        <f>SUM(AD408:AD414)</f>
        <v>1741.9447148093368</v>
      </c>
      <c r="AE415" s="309">
        <f>SUM(AE408:AE414)</f>
        <v>1744.0303624253395</v>
      </c>
      <c r="AF415" s="309">
        <f>SUM(AF408:AF414)</f>
        <v>1752.4422406715057</v>
      </c>
      <c r="AH415" s="309">
        <f t="shared" ref="AH415:CO415" si="41">SUM(AH408:AH414)</f>
        <v>141.55133615260073</v>
      </c>
      <c r="AI415" s="309">
        <f t="shared" si="41"/>
        <v>149.55082880710566</v>
      </c>
      <c r="AJ415" s="309">
        <f t="shared" si="41"/>
        <v>152.19304222246609</v>
      </c>
      <c r="AK415" s="309">
        <f t="shared" si="41"/>
        <v>157.28679203602036</v>
      </c>
      <c r="AL415" s="309">
        <f t="shared" si="41"/>
        <v>148.57314935660946</v>
      </c>
      <c r="AM415" s="309">
        <f t="shared" si="41"/>
        <v>152.8822629468778</v>
      </c>
      <c r="AN415" s="309">
        <f t="shared" si="41"/>
        <v>143.38707685254823</v>
      </c>
      <c r="AO415" s="309">
        <f t="shared" si="41"/>
        <v>128.85068104488539</v>
      </c>
      <c r="AP415" s="309">
        <f t="shared" si="41"/>
        <v>149.10302312292882</v>
      </c>
      <c r="AQ415" s="309">
        <f t="shared" si="41"/>
        <v>145.49536581915544</v>
      </c>
      <c r="AR415" s="309">
        <f t="shared" si="41"/>
        <v>122.56491530803669</v>
      </c>
      <c r="AS415" s="309">
        <f t="shared" si="41"/>
        <v>149.63927877764903</v>
      </c>
      <c r="AT415" s="309">
        <f t="shared" si="41"/>
        <v>141.58558841339314</v>
      </c>
      <c r="AU415" s="309">
        <f t="shared" si="41"/>
        <v>150.88891773340382</v>
      </c>
      <c r="AV415" s="309">
        <f t="shared" si="41"/>
        <v>153.35108382675628</v>
      </c>
      <c r="AW415" s="309">
        <f t="shared" si="41"/>
        <v>158.23301667590786</v>
      </c>
      <c r="AX415" s="309">
        <f t="shared" si="41"/>
        <v>149.26736104057733</v>
      </c>
      <c r="AY415" s="309">
        <f t="shared" si="41"/>
        <v>153.42561164834697</v>
      </c>
      <c r="AZ415" s="309">
        <f t="shared" si="41"/>
        <v>143.76623081135648</v>
      </c>
      <c r="BA415" s="309">
        <f t="shared" si="41"/>
        <v>128.87587056916794</v>
      </c>
      <c r="BB415" s="309">
        <f t="shared" si="41"/>
        <v>149.23833855239022</v>
      </c>
      <c r="BC415" s="309">
        <f t="shared" si="41"/>
        <v>145.5144964835514</v>
      </c>
      <c r="BD415" s="309">
        <f t="shared" si="41"/>
        <v>122.13843874041011</v>
      </c>
      <c r="BE415" s="309">
        <f t="shared" si="41"/>
        <v>149.52125282430293</v>
      </c>
      <c r="BF415" s="309">
        <f t="shared" si="41"/>
        <v>141.38019052098957</v>
      </c>
      <c r="BG415" s="309">
        <f t="shared" si="41"/>
        <v>150.71845467364597</v>
      </c>
      <c r="BH415" s="309">
        <f t="shared" si="41"/>
        <v>153.18766381464363</v>
      </c>
      <c r="BI415" s="309">
        <f t="shared" si="41"/>
        <v>157.91916290188257</v>
      </c>
      <c r="BJ415" s="309">
        <f t="shared" si="41"/>
        <v>149.02005381432534</v>
      </c>
      <c r="BK415" s="309">
        <f t="shared" si="41"/>
        <v>153.16386428385019</v>
      </c>
      <c r="BL415" s="309">
        <f t="shared" si="41"/>
        <v>143.50865622754188</v>
      </c>
      <c r="BM415" s="309">
        <f t="shared" si="41"/>
        <v>128.33924518957474</v>
      </c>
      <c r="BN415" s="309">
        <f t="shared" si="41"/>
        <v>148.90596341046373</v>
      </c>
      <c r="BO415" s="309">
        <f t="shared" si="41"/>
        <v>145.16458375832144</v>
      </c>
      <c r="BP415" s="309">
        <f t="shared" si="41"/>
        <v>121.42320758574337</v>
      </c>
      <c r="BQ415" s="309">
        <f t="shared" si="41"/>
        <v>149.21366862835424</v>
      </c>
      <c r="BR415" s="309">
        <f t="shared" si="41"/>
        <v>141.09149631899459</v>
      </c>
      <c r="BS415" s="309">
        <f t="shared" si="41"/>
        <v>150.57026045413383</v>
      </c>
      <c r="BT415" s="309">
        <f t="shared" si="41"/>
        <v>153.15953605358962</v>
      </c>
      <c r="BU415" s="309">
        <f t="shared" si="41"/>
        <v>157.89225110135189</v>
      </c>
      <c r="BV415" s="309">
        <f t="shared" si="41"/>
        <v>149.13565195066354</v>
      </c>
      <c r="BW415" s="309">
        <f t="shared" si="41"/>
        <v>153.360576796803</v>
      </c>
      <c r="BX415" s="309">
        <f t="shared" si="41"/>
        <v>143.75619529795063</v>
      </c>
      <c r="BY415" s="309">
        <f t="shared" si="41"/>
        <v>128.43449354399183</v>
      </c>
      <c r="BZ415" s="309">
        <f t="shared" si="41"/>
        <v>149.33962747936064</v>
      </c>
      <c r="CA415" s="309">
        <f t="shared" si="41"/>
        <v>145.69691964219652</v>
      </c>
      <c r="CB415" s="309">
        <f t="shared" si="41"/>
        <v>121.70380810079742</v>
      </c>
      <c r="CC415" s="309">
        <f t="shared" si="41"/>
        <v>149.88954568550594</v>
      </c>
      <c r="CD415" s="309">
        <f t="shared" si="41"/>
        <v>141.66979915952214</v>
      </c>
      <c r="CE415" s="309">
        <f t="shared" si="41"/>
        <v>151.26939179969642</v>
      </c>
      <c r="CF415" s="309">
        <f t="shared" si="41"/>
        <v>153.86990594504775</v>
      </c>
      <c r="CG415" s="309">
        <f t="shared" si="41"/>
        <v>158.60930471053217</v>
      </c>
      <c r="CH415" s="309">
        <f t="shared" si="41"/>
        <v>149.86486836589842</v>
      </c>
      <c r="CI415" s="309">
        <f t="shared" si="41"/>
        <v>154.15206426626958</v>
      </c>
      <c r="CJ415" s="309">
        <f t="shared" si="41"/>
        <v>144.52531612873105</v>
      </c>
      <c r="CK415" s="309">
        <f t="shared" si="41"/>
        <v>129.01409348401762</v>
      </c>
      <c r="CL415" s="309">
        <f t="shared" si="41"/>
        <v>150.14267200961285</v>
      </c>
      <c r="CM415" s="309">
        <f t="shared" si="41"/>
        <v>146.47047797217704</v>
      </c>
      <c r="CN415" s="309">
        <f t="shared" si="41"/>
        <v>122.14645287562531</v>
      </c>
      <c r="CO415" s="309">
        <f t="shared" si="41"/>
        <v>150.70789395437549</v>
      </c>
    </row>
    <row r="416" spans="1:93" x14ac:dyDescent="0.2">
      <c r="A416" s="118">
        <f t="shared" si="40"/>
        <v>11</v>
      </c>
      <c r="B416" s="226"/>
      <c r="C416" s="223"/>
      <c r="D416" s="168"/>
      <c r="E416" s="237"/>
      <c r="F416" s="183"/>
      <c r="G416" s="233"/>
      <c r="H416" s="103"/>
      <c r="I416" s="308"/>
      <c r="J416" s="168"/>
      <c r="K416" s="237"/>
      <c r="L416" s="183"/>
      <c r="M416" s="233"/>
      <c r="N416" s="103"/>
      <c r="O416" s="227"/>
      <c r="R416" s="227"/>
      <c r="S416" s="263"/>
      <c r="T416" s="197"/>
      <c r="U416" s="178"/>
      <c r="V416" s="179"/>
      <c r="W416" s="180"/>
      <c r="X416" s="227"/>
      <c r="Y416" s="178"/>
      <c r="Z416" s="181"/>
      <c r="AA416" s="227"/>
      <c r="AB416" s="193">
        <f>SUM(AH416:AS416)</f>
        <v>0</v>
      </c>
      <c r="AC416" s="193">
        <f>SUM(AT416:BE416)</f>
        <v>0</v>
      </c>
      <c r="AD416" s="193">
        <f>SUM(BF416:BQ416)</f>
        <v>0</v>
      </c>
      <c r="AE416" s="193">
        <f>SUM(BR416:CC416)</f>
        <v>0</v>
      </c>
      <c r="AF416" s="193">
        <f>SUM(CD416:CO416)</f>
        <v>0</v>
      </c>
      <c r="AH416" s="193">
        <v>0</v>
      </c>
      <c r="AI416" s="193">
        <v>0</v>
      </c>
      <c r="AJ416" s="193">
        <v>0</v>
      </c>
      <c r="AK416" s="193">
        <v>0</v>
      </c>
      <c r="AL416" s="193">
        <v>0</v>
      </c>
      <c r="AM416" s="193">
        <v>0</v>
      </c>
      <c r="AN416" s="193">
        <v>0</v>
      </c>
      <c r="AO416" s="193">
        <v>0</v>
      </c>
      <c r="AP416" s="193">
        <v>0</v>
      </c>
      <c r="AQ416" s="193">
        <v>0</v>
      </c>
      <c r="AR416" s="193">
        <v>0</v>
      </c>
      <c r="AS416" s="193">
        <v>0</v>
      </c>
      <c r="AT416" s="193">
        <v>0</v>
      </c>
      <c r="AU416" s="193">
        <v>0</v>
      </c>
      <c r="AV416" s="193">
        <v>0</v>
      </c>
      <c r="AW416" s="193">
        <v>0</v>
      </c>
      <c r="AX416" s="193">
        <v>0</v>
      </c>
      <c r="AY416" s="193">
        <v>0</v>
      </c>
      <c r="AZ416" s="193">
        <v>0</v>
      </c>
      <c r="BA416" s="193">
        <v>0</v>
      </c>
      <c r="BB416" s="193">
        <v>0</v>
      </c>
      <c r="BC416" s="193">
        <v>0</v>
      </c>
      <c r="BD416" s="193">
        <v>0</v>
      </c>
      <c r="BE416" s="193">
        <v>0</v>
      </c>
      <c r="BF416" s="193">
        <v>0</v>
      </c>
      <c r="BG416" s="193">
        <v>0</v>
      </c>
      <c r="BH416" s="193">
        <v>0</v>
      </c>
      <c r="BI416" s="193">
        <v>0</v>
      </c>
      <c r="BJ416" s="193">
        <v>0</v>
      </c>
      <c r="BK416" s="193">
        <v>0</v>
      </c>
      <c r="BL416" s="193">
        <v>0</v>
      </c>
      <c r="BM416" s="193">
        <v>0</v>
      </c>
      <c r="BN416" s="193">
        <v>0</v>
      </c>
      <c r="BO416" s="193">
        <v>0</v>
      </c>
      <c r="BP416" s="193">
        <v>0</v>
      </c>
      <c r="BQ416" s="193">
        <v>0</v>
      </c>
      <c r="BR416" s="193">
        <v>0</v>
      </c>
      <c r="BS416" s="193">
        <v>0</v>
      </c>
      <c r="BT416" s="193">
        <v>0</v>
      </c>
      <c r="BU416" s="193">
        <v>0</v>
      </c>
      <c r="BV416" s="193">
        <v>0</v>
      </c>
      <c r="BW416" s="193">
        <v>0</v>
      </c>
      <c r="BX416" s="193">
        <v>0</v>
      </c>
      <c r="BY416" s="193">
        <v>0</v>
      </c>
      <c r="BZ416" s="193">
        <v>0</v>
      </c>
      <c r="CA416" s="193">
        <v>0</v>
      </c>
      <c r="CB416" s="193">
        <v>0</v>
      </c>
      <c r="CC416" s="193">
        <v>0</v>
      </c>
      <c r="CD416" s="193">
        <v>0</v>
      </c>
      <c r="CE416" s="193">
        <v>0</v>
      </c>
      <c r="CF416" s="193">
        <v>0</v>
      </c>
      <c r="CG416" s="193">
        <v>0</v>
      </c>
      <c r="CH416" s="193">
        <v>0</v>
      </c>
      <c r="CI416" s="193">
        <v>0</v>
      </c>
      <c r="CJ416" s="193">
        <v>0</v>
      </c>
      <c r="CK416" s="193">
        <v>0</v>
      </c>
      <c r="CL416" s="193">
        <v>0</v>
      </c>
      <c r="CM416" s="193">
        <v>0</v>
      </c>
      <c r="CN416" s="193">
        <v>0</v>
      </c>
      <c r="CO416" s="193">
        <v>0</v>
      </c>
    </row>
    <row r="417" spans="1:93" x14ac:dyDescent="0.2">
      <c r="A417" s="118">
        <f t="shared" si="40"/>
        <v>12</v>
      </c>
      <c r="B417" s="239" t="s">
        <v>594</v>
      </c>
      <c r="C417" s="223"/>
      <c r="D417" s="168"/>
      <c r="E417" s="225"/>
      <c r="F417" s="183"/>
      <c r="G417" s="233"/>
      <c r="H417" s="168"/>
      <c r="I417" s="308"/>
      <c r="J417" s="168"/>
      <c r="K417" s="225"/>
      <c r="L417" s="183"/>
      <c r="M417" s="233"/>
      <c r="N417" s="168"/>
      <c r="O417" s="227"/>
      <c r="R417" s="227"/>
      <c r="S417" s="263"/>
      <c r="T417" s="927"/>
      <c r="U417" s="178"/>
      <c r="V417" s="179"/>
      <c r="W417" s="180"/>
      <c r="X417" s="227"/>
      <c r="Y417" s="178"/>
      <c r="Z417" s="181"/>
      <c r="AA417" s="227"/>
      <c r="AB417" s="227"/>
      <c r="AD417" s="260"/>
      <c r="AE417" s="260"/>
      <c r="AF417" s="260"/>
      <c r="AG417" s="114"/>
    </row>
    <row r="418" spans="1:93" x14ac:dyDescent="0.2">
      <c r="A418" s="118">
        <f t="shared" si="40"/>
        <v>13</v>
      </c>
      <c r="B418" s="228" t="s">
        <v>543</v>
      </c>
      <c r="C418" s="223"/>
      <c r="D418" s="168"/>
      <c r="E418" s="225"/>
      <c r="F418" s="183"/>
      <c r="G418" s="233"/>
      <c r="H418" s="168"/>
      <c r="I418" s="308"/>
      <c r="J418" s="168"/>
      <c r="K418" s="225"/>
      <c r="L418" s="1368">
        <v>0.06</v>
      </c>
      <c r="M418" s="233"/>
      <c r="N418" s="168"/>
      <c r="O418" s="227"/>
      <c r="R418" s="227"/>
      <c r="S418" s="263"/>
      <c r="T418" s="227"/>
      <c r="U418" s="178"/>
      <c r="V418" s="179"/>
      <c r="W418" s="180"/>
      <c r="X418" s="227"/>
      <c r="Y418" s="178"/>
      <c r="Z418" s="181"/>
      <c r="AA418" s="227"/>
      <c r="AB418" s="227"/>
      <c r="AD418" s="114"/>
      <c r="AE418" s="260"/>
      <c r="AF418" s="114"/>
      <c r="AG418" s="114"/>
    </row>
    <row r="419" spans="1:93" x14ac:dyDescent="0.2">
      <c r="A419" s="118">
        <f t="shared" si="40"/>
        <v>14</v>
      </c>
      <c r="B419" s="234" t="s">
        <v>149</v>
      </c>
      <c r="C419" s="223"/>
      <c r="D419" s="172">
        <f>SUMIF($AH$8:$CP$8,1,$AH419:$CP419)</f>
        <v>67319.505608535808</v>
      </c>
      <c r="E419" s="225" t="s">
        <v>596</v>
      </c>
      <c r="F419" s="183">
        <v>12.16</v>
      </c>
      <c r="G419" s="233" t="s">
        <v>375</v>
      </c>
      <c r="H419" s="168">
        <f>ROUND(D419*F419,2)</f>
        <v>818605.19</v>
      </c>
      <c r="I419" s="308"/>
      <c r="J419" s="172">
        <f>SUMIF($AH$8:$CP$8,1,$AH419:$CP419)</f>
        <v>67319.505608535808</v>
      </c>
      <c r="K419" s="225" t="s">
        <v>596</v>
      </c>
      <c r="L419" s="310">
        <f>ROUND(F419*(1+'Exhibit MJC-2 - Old E-8a'!V27)+L418,2)</f>
        <v>12.71</v>
      </c>
      <c r="M419" s="233" t="s">
        <v>375</v>
      </c>
      <c r="N419" s="168">
        <f>ROUND(J419*L419,2)</f>
        <v>855630.92</v>
      </c>
      <c r="O419" s="227"/>
      <c r="Q419" s="1022"/>
      <c r="R419" s="227"/>
      <c r="S419" s="263"/>
      <c r="T419" s="197"/>
      <c r="U419" s="184" t="s">
        <v>623</v>
      </c>
      <c r="V419" s="179">
        <v>252</v>
      </c>
      <c r="W419" s="180">
        <v>226</v>
      </c>
      <c r="X419" s="227"/>
      <c r="Y419" s="184"/>
      <c r="Z419" s="181"/>
      <c r="AA419" s="227"/>
      <c r="AB419" s="182">
        <f>SUM(AH419:AS419)</f>
        <v>66067.988057592578</v>
      </c>
      <c r="AC419" s="182">
        <f>SUM(AT419:BE419)</f>
        <v>66023.050726794012</v>
      </c>
      <c r="AD419" s="182">
        <f>SUM(BF419:BQ419)</f>
        <v>66448.765308056085</v>
      </c>
      <c r="AE419" s="182">
        <f>SUM(BR419:CC419)</f>
        <v>67319.505608535808</v>
      </c>
      <c r="AF419" s="182">
        <f>SUM(CD419:CO419)</f>
        <v>67433.229393219066</v>
      </c>
      <c r="AH419" s="168">
        <v>10354.339623920152</v>
      </c>
      <c r="AI419" s="168">
        <v>7482.879664034449</v>
      </c>
      <c r="AJ419" s="168">
        <v>3827.493208503608</v>
      </c>
      <c r="AK419" s="168">
        <v>4994.5551275759954</v>
      </c>
      <c r="AL419" s="168">
        <v>4495.9251715177925</v>
      </c>
      <c r="AM419" s="168">
        <v>5865.8366927331253</v>
      </c>
      <c r="AN419" s="168">
        <v>5791.4759792706072</v>
      </c>
      <c r="AO419" s="168">
        <v>5015.1688448984096</v>
      </c>
      <c r="AP419" s="168">
        <v>4609.3299841421758</v>
      </c>
      <c r="AQ419" s="168">
        <v>4630.2071660816337</v>
      </c>
      <c r="AR419" s="168">
        <v>5677.3636012417628</v>
      </c>
      <c r="AS419" s="168">
        <v>3323.4129936728605</v>
      </c>
      <c r="AT419" s="168">
        <v>10559.64808609638</v>
      </c>
      <c r="AU419" s="168">
        <v>7538.7112621790511</v>
      </c>
      <c r="AV419" s="168">
        <v>3771.8776824274432</v>
      </c>
      <c r="AW419" s="168">
        <v>5034.5577895486413</v>
      </c>
      <c r="AX419" s="168">
        <v>4460.6407896918499</v>
      </c>
      <c r="AY419" s="168">
        <v>5717.7730392035728</v>
      </c>
      <c r="AZ419" s="168">
        <v>5832.1984416920404</v>
      </c>
      <c r="BA419" s="168">
        <v>4950.8614896882527</v>
      </c>
      <c r="BB419" s="168">
        <v>4588.7233817711785</v>
      </c>
      <c r="BC419" s="168">
        <v>4643.1968809597965</v>
      </c>
      <c r="BD419" s="168">
        <v>5632.997217938344</v>
      </c>
      <c r="BE419" s="168">
        <v>3291.8646655974762</v>
      </c>
      <c r="BF419" s="168">
        <v>10544.538169705589</v>
      </c>
      <c r="BG419" s="168">
        <v>7638.8451345854764</v>
      </c>
      <c r="BH419" s="168">
        <v>3836.145416650168</v>
      </c>
      <c r="BI419" s="168">
        <v>5017.9969103449193</v>
      </c>
      <c r="BJ419" s="168">
        <v>4495.8878835851938</v>
      </c>
      <c r="BK419" s="168">
        <v>5807.2656074045672</v>
      </c>
      <c r="BL419" s="168">
        <v>5876.3160209640891</v>
      </c>
      <c r="BM419" s="168">
        <v>4994.1959574183002</v>
      </c>
      <c r="BN419" s="168">
        <v>4610.9274542960993</v>
      </c>
      <c r="BO419" s="168">
        <v>4625.2124773865944</v>
      </c>
      <c r="BP419" s="168">
        <v>5642.7281749608201</v>
      </c>
      <c r="BQ419" s="168">
        <v>3358.7061007542725</v>
      </c>
      <c r="BR419" s="168">
        <v>10673.224239835999</v>
      </c>
      <c r="BS419" s="168">
        <v>7688.371190482585</v>
      </c>
      <c r="BT419" s="168">
        <v>3923.6834280824937</v>
      </c>
      <c r="BU419" s="168">
        <v>5141.0250583487414</v>
      </c>
      <c r="BV419" s="168">
        <v>4481.2318022424988</v>
      </c>
      <c r="BW419" s="168">
        <v>5936.2105018138718</v>
      </c>
      <c r="BX419" s="168">
        <v>5995.6456662428627</v>
      </c>
      <c r="BY419" s="168">
        <v>5064.1827364413239</v>
      </c>
      <c r="BZ419" s="168">
        <v>4656.9776752942571</v>
      </c>
      <c r="CA419" s="168">
        <v>4693.8532756922923</v>
      </c>
      <c r="CB419" s="168">
        <v>5712.861778599794</v>
      </c>
      <c r="CC419" s="168">
        <v>3352.2382554590899</v>
      </c>
      <c r="CD419" s="168">
        <v>10733.31190606874</v>
      </c>
      <c r="CE419" s="168">
        <v>7635.158483904871</v>
      </c>
      <c r="CF419" s="168">
        <v>3858.0509948479753</v>
      </c>
      <c r="CG419" s="168">
        <v>5197.561188128283</v>
      </c>
      <c r="CH419" s="168">
        <v>4538.6948504641896</v>
      </c>
      <c r="CI419" s="168">
        <v>5870.092711610554</v>
      </c>
      <c r="CJ419" s="168">
        <v>5981.9365182393603</v>
      </c>
      <c r="CK419" s="168">
        <v>5064.1176335183591</v>
      </c>
      <c r="CL419" s="168">
        <v>4722.9434887056459</v>
      </c>
      <c r="CM419" s="168">
        <v>4704.7241680243214</v>
      </c>
      <c r="CN419" s="168">
        <v>5774.5750042702057</v>
      </c>
      <c r="CO419" s="168">
        <v>3352.0624454365543</v>
      </c>
    </row>
    <row r="420" spans="1:93" x14ac:dyDescent="0.2">
      <c r="A420" s="118">
        <f t="shared" si="40"/>
        <v>15</v>
      </c>
      <c r="B420" s="234" t="s">
        <v>148</v>
      </c>
      <c r="C420" s="223"/>
      <c r="D420" s="172">
        <f>SUMIF($AH$8:$CP$8,1,$AH420:$CP420)</f>
        <v>346466.63298563985</v>
      </c>
      <c r="E420" s="225" t="s">
        <v>596</v>
      </c>
      <c r="F420" s="310">
        <v>10.86</v>
      </c>
      <c r="G420" s="233" t="s">
        <v>375</v>
      </c>
      <c r="H420" s="168">
        <f>ROUND(D420*F420,2)</f>
        <v>3762627.63</v>
      </c>
      <c r="I420" s="308"/>
      <c r="J420" s="172">
        <f>SUMIF($AH$8:$CP$8,1,$AH420:$CP420)</f>
        <v>346466.63298563985</v>
      </c>
      <c r="K420" s="225" t="s">
        <v>596</v>
      </c>
      <c r="L420" s="310">
        <f>ROUND(L419-DVC!G29,2)</f>
        <v>11.37</v>
      </c>
      <c r="M420" s="233" t="s">
        <v>375</v>
      </c>
      <c r="N420" s="168">
        <f>ROUND(J420*L420,2)</f>
        <v>3939325.62</v>
      </c>
      <c r="O420" s="227"/>
      <c r="Q420" s="1022"/>
      <c r="R420" s="227"/>
      <c r="S420" s="263"/>
      <c r="T420" s="197"/>
      <c r="U420" s="184" t="s">
        <v>623</v>
      </c>
      <c r="V420" s="179">
        <v>252</v>
      </c>
      <c r="W420" s="180">
        <v>226</v>
      </c>
      <c r="X420" s="227"/>
      <c r="Y420" s="184"/>
      <c r="Z420" s="181"/>
      <c r="AA420" s="227"/>
      <c r="AB420" s="182">
        <f>SUM(AH420:AS420)</f>
        <v>340025.57154173707</v>
      </c>
      <c r="AC420" s="182">
        <f>SUM(AT420:BE420)</f>
        <v>339794.29703137936</v>
      </c>
      <c r="AD420" s="182">
        <f>SUM(BF420:BQ420)</f>
        <v>341985.28010900994</v>
      </c>
      <c r="AE420" s="182">
        <f>SUM(BR420:CC420)</f>
        <v>346466.63298563985</v>
      </c>
      <c r="AF420" s="182">
        <f>SUM(CD420:CO420)</f>
        <v>347051.92392640689</v>
      </c>
      <c r="AH420" s="168">
        <v>30599.827686544009</v>
      </c>
      <c r="AI420" s="168">
        <v>47451.807734447255</v>
      </c>
      <c r="AJ420" s="168">
        <v>24722.948452015808</v>
      </c>
      <c r="AK420" s="168">
        <v>25028.799307011224</v>
      </c>
      <c r="AL420" s="168">
        <v>22414.855254012127</v>
      </c>
      <c r="AM420" s="168">
        <v>27424.167216350717</v>
      </c>
      <c r="AN420" s="168">
        <v>26551.885193867016</v>
      </c>
      <c r="AO420" s="168">
        <v>25661.295173046285</v>
      </c>
      <c r="AP420" s="168">
        <v>26411.473752739163</v>
      </c>
      <c r="AQ420" s="168">
        <v>30187.533444545865</v>
      </c>
      <c r="AR420" s="168">
        <v>30662.96247566738</v>
      </c>
      <c r="AS420" s="168">
        <v>22908.015851490287</v>
      </c>
      <c r="AT420" s="168">
        <v>31520.365134683194</v>
      </c>
      <c r="AU420" s="168">
        <v>47939.084659722663</v>
      </c>
      <c r="AV420" s="168">
        <v>24498.933554299445</v>
      </c>
      <c r="AW420" s="168">
        <v>25205.967329127623</v>
      </c>
      <c r="AX420" s="168">
        <v>22294.833849784376</v>
      </c>
      <c r="AY420" s="168">
        <v>26794.068700729869</v>
      </c>
      <c r="AZ420" s="168">
        <v>26757.809611739747</v>
      </c>
      <c r="BA420" s="168">
        <v>25291.926713013141</v>
      </c>
      <c r="BB420" s="168">
        <v>26243.218899136427</v>
      </c>
      <c r="BC420" s="168">
        <v>30224.908136023838</v>
      </c>
      <c r="BD420" s="168">
        <v>30369.439472014816</v>
      </c>
      <c r="BE420" s="168">
        <v>22653.740971104184</v>
      </c>
      <c r="BF420" s="168">
        <v>31403.078119196893</v>
      </c>
      <c r="BG420" s="168">
        <v>48519.69351990494</v>
      </c>
      <c r="BH420" s="168">
        <v>24869.860178628649</v>
      </c>
      <c r="BI420" s="168">
        <v>25114.241649634183</v>
      </c>
      <c r="BJ420" s="168">
        <v>22445.610515815624</v>
      </c>
      <c r="BK420" s="168">
        <v>27184.485645496898</v>
      </c>
      <c r="BL420" s="168">
        <v>26942.147519922786</v>
      </c>
      <c r="BM420" s="168">
        <v>25508.543096872359</v>
      </c>
      <c r="BN420" s="168">
        <v>26368.021453287551</v>
      </c>
      <c r="BO420" s="168">
        <v>30101.93444968147</v>
      </c>
      <c r="BP420" s="168">
        <v>30418.01960927355</v>
      </c>
      <c r="BQ420" s="168">
        <v>23109.644351295108</v>
      </c>
      <c r="BR420" s="168">
        <v>31792.757113262618</v>
      </c>
      <c r="BS420" s="168">
        <v>48849.235306147937</v>
      </c>
      <c r="BT420" s="168">
        <v>25442.802637659395</v>
      </c>
      <c r="BU420" s="168">
        <v>25740.341256102212</v>
      </c>
      <c r="BV420" s="168">
        <v>22379.312846388664</v>
      </c>
      <c r="BW420" s="168">
        <v>27796.897055917289</v>
      </c>
      <c r="BX420" s="168">
        <v>27499.352424356774</v>
      </c>
      <c r="BY420" s="168">
        <v>25876.971735187995</v>
      </c>
      <c r="BZ420" s="168">
        <v>26643.046385452515</v>
      </c>
      <c r="CA420" s="168">
        <v>30561.568853838482</v>
      </c>
      <c r="CB420" s="168">
        <v>30809.397347636539</v>
      </c>
      <c r="CC420" s="168">
        <v>23074.950023689446</v>
      </c>
      <c r="CD420" s="168">
        <v>31940.429445505782</v>
      </c>
      <c r="CE420" s="168">
        <v>48536.306840528494</v>
      </c>
      <c r="CF420" s="168">
        <v>25029.52862255149</v>
      </c>
      <c r="CG420" s="168">
        <v>26045.423989005289</v>
      </c>
      <c r="CH420" s="168">
        <v>22680.057052341246</v>
      </c>
      <c r="CI420" s="168">
        <v>27503.121160450246</v>
      </c>
      <c r="CJ420" s="168">
        <v>27453.754338481333</v>
      </c>
      <c r="CK420" s="168">
        <v>25899.115827595906</v>
      </c>
      <c r="CL420" s="168">
        <v>27042.85390126628</v>
      </c>
      <c r="CM420" s="168">
        <v>30659.066162077273</v>
      </c>
      <c r="CN420" s="168">
        <v>31168.572202291674</v>
      </c>
      <c r="CO420" s="168">
        <v>23093.694384311908</v>
      </c>
    </row>
    <row r="421" spans="1:93" x14ac:dyDescent="0.2">
      <c r="A421" s="118">
        <f t="shared" si="40"/>
        <v>16</v>
      </c>
      <c r="B421" s="234" t="s">
        <v>597</v>
      </c>
      <c r="C421" s="223"/>
      <c r="D421" s="172">
        <f>SUMIF($AH$8:$CP$8,1,$AH421:$CP421)</f>
        <v>0</v>
      </c>
      <c r="E421" s="225" t="s">
        <v>596</v>
      </c>
      <c r="F421" s="183">
        <v>5.98</v>
      </c>
      <c r="G421" s="233" t="s">
        <v>375</v>
      </c>
      <c r="H421" s="174">
        <f>ROUND(D421*F421,2)</f>
        <v>0</v>
      </c>
      <c r="I421" s="229"/>
      <c r="J421" s="172">
        <f>SUMIF($AH$8:$CP$8,1,$AH421:$CP421)</f>
        <v>0</v>
      </c>
      <c r="K421" s="225" t="s">
        <v>596</v>
      </c>
      <c r="L421" s="310">
        <f>ROUND(L419-DVC!G30,2)</f>
        <v>6.24</v>
      </c>
      <c r="M421" s="233" t="s">
        <v>375</v>
      </c>
      <c r="N421" s="174">
        <f>ROUND(J421*L421,2)</f>
        <v>0</v>
      </c>
      <c r="O421" s="227"/>
      <c r="R421" s="227"/>
      <c r="S421" s="227"/>
      <c r="T421" s="927"/>
      <c r="U421" s="184" t="s">
        <v>623</v>
      </c>
      <c r="V421" s="179">
        <v>252</v>
      </c>
      <c r="W421" s="180">
        <v>226</v>
      </c>
      <c r="X421" s="227"/>
      <c r="Y421" s="184"/>
      <c r="Z421" s="181"/>
      <c r="AA421" s="227"/>
      <c r="AB421" s="182">
        <f>SUM(AH421:AS421)</f>
        <v>0</v>
      </c>
      <c r="AC421" s="182">
        <f>SUM(AT421:BE421)</f>
        <v>0</v>
      </c>
      <c r="AD421" s="182">
        <f>SUM(BF421:BQ421)</f>
        <v>0</v>
      </c>
      <c r="AE421" s="182">
        <f>SUM(BR421:CC421)</f>
        <v>0</v>
      </c>
      <c r="AF421" s="182">
        <f>SUM(CD421:CO421)</f>
        <v>0</v>
      </c>
      <c r="AH421" s="168"/>
      <c r="AI421" s="168"/>
      <c r="AJ421" s="168"/>
      <c r="AK421" s="168"/>
      <c r="AL421" s="168"/>
      <c r="AM421" s="168"/>
      <c r="AN421" s="168"/>
      <c r="AO421" s="168"/>
      <c r="AP421" s="168"/>
      <c r="AQ421" s="168"/>
      <c r="AR421" s="168"/>
      <c r="AS421" s="168"/>
      <c r="AT421" s="168"/>
      <c r="AU421" s="168"/>
      <c r="AV421" s="168"/>
      <c r="AW421" s="168"/>
      <c r="AX421" s="168"/>
      <c r="AY421" s="168"/>
      <c r="AZ421" s="168"/>
      <c r="BA421" s="168"/>
      <c r="BB421" s="168"/>
      <c r="BC421" s="168"/>
      <c r="BD421" s="168"/>
      <c r="BE421" s="168"/>
      <c r="BF421" s="168"/>
      <c r="BG421" s="168"/>
      <c r="BH421" s="168"/>
      <c r="BI421" s="168"/>
      <c r="BJ421" s="168"/>
      <c r="BK421" s="168"/>
      <c r="BL421" s="168"/>
      <c r="BM421" s="168"/>
      <c r="BN421" s="168"/>
      <c r="BO421" s="168"/>
      <c r="BP421" s="168"/>
      <c r="BQ421" s="168"/>
      <c r="BR421" s="168"/>
      <c r="BS421" s="168"/>
      <c r="BT421" s="168"/>
      <c r="BU421" s="168"/>
      <c r="BV421" s="168"/>
      <c r="BW421" s="168"/>
      <c r="BX421" s="168"/>
      <c r="BY421" s="168"/>
      <c r="BZ421" s="168"/>
      <c r="CA421" s="168"/>
      <c r="CB421" s="168"/>
      <c r="CC421" s="168"/>
      <c r="CD421" s="168"/>
      <c r="CE421" s="168"/>
      <c r="CF421" s="168"/>
      <c r="CG421" s="168"/>
      <c r="CH421" s="168"/>
      <c r="CI421" s="168"/>
      <c r="CJ421" s="168"/>
      <c r="CK421" s="168"/>
      <c r="CL421" s="168"/>
      <c r="CM421" s="168"/>
      <c r="CN421" s="168"/>
      <c r="CO421" s="168"/>
    </row>
    <row r="422" spans="1:93" x14ac:dyDescent="0.2">
      <c r="A422" s="118">
        <f t="shared" si="40"/>
        <v>17</v>
      </c>
      <c r="B422" s="234" t="s">
        <v>598</v>
      </c>
      <c r="C422" s="223"/>
      <c r="D422" s="172">
        <f>SUMIF($AH$8:$CP$8,1,$AH422:$CP422)</f>
        <v>0</v>
      </c>
      <c r="E422" s="225" t="s">
        <v>596</v>
      </c>
      <c r="F422" s="183">
        <v>3.55</v>
      </c>
      <c r="G422" s="233" t="s">
        <v>375</v>
      </c>
      <c r="H422" s="174">
        <f>ROUND(D422*F422,2)</f>
        <v>0</v>
      </c>
      <c r="I422" s="229"/>
      <c r="J422" s="172">
        <f>SUMIF($AH$8:$CP$8,1,$AH422:$CP422)</f>
        <v>0</v>
      </c>
      <c r="K422" s="225" t="s">
        <v>596</v>
      </c>
      <c r="L422" s="310">
        <f>ROUND(L419-DVC!G31,2)</f>
        <v>3.67</v>
      </c>
      <c r="M422" s="233" t="s">
        <v>375</v>
      </c>
      <c r="N422" s="174">
        <f>ROUND(J422*L422,2)</f>
        <v>0</v>
      </c>
      <c r="O422" s="227"/>
      <c r="R422" s="227"/>
      <c r="S422" s="262"/>
      <c r="T422" s="247"/>
      <c r="U422" s="184" t="s">
        <v>623</v>
      </c>
      <c r="V422" s="179">
        <v>252</v>
      </c>
      <c r="W422" s="180">
        <v>226</v>
      </c>
      <c r="X422" s="227"/>
      <c r="Y422" s="184"/>
      <c r="Z422" s="181"/>
      <c r="AA422" s="227"/>
      <c r="AB422" s="182">
        <f>SUM(AH422:AS422)</f>
        <v>0</v>
      </c>
      <c r="AC422" s="182">
        <f>SUM(AT422:BE422)</f>
        <v>0</v>
      </c>
      <c r="AD422" s="182">
        <f>SUM(BF422:BQ422)</f>
        <v>0</v>
      </c>
      <c r="AE422" s="182">
        <f>SUM(BR422:CC422)</f>
        <v>0</v>
      </c>
      <c r="AF422" s="182">
        <f>SUM(CD422:CO422)</f>
        <v>0</v>
      </c>
      <c r="AH422" s="168"/>
      <c r="AI422" s="168"/>
      <c r="AJ422" s="168"/>
      <c r="AK422" s="168"/>
      <c r="AL422" s="168"/>
      <c r="AM422" s="168"/>
      <c r="AN422" s="168"/>
      <c r="AO422" s="168"/>
      <c r="AP422" s="168"/>
      <c r="AQ422" s="168"/>
      <c r="AR422" s="168"/>
      <c r="AS422" s="168"/>
      <c r="AT422" s="168"/>
      <c r="AU422" s="168"/>
      <c r="AV422" s="168"/>
      <c r="AW422" s="168"/>
      <c r="AX422" s="168"/>
      <c r="AY422" s="168"/>
      <c r="AZ422" s="168"/>
      <c r="BA422" s="168"/>
      <c r="BB422" s="168"/>
      <c r="BC422" s="168"/>
      <c r="BD422" s="168"/>
      <c r="BE422" s="168"/>
      <c r="BF422" s="168"/>
      <c r="BG422" s="168"/>
      <c r="BH422" s="168"/>
      <c r="BI422" s="168"/>
      <c r="BJ422" s="168"/>
      <c r="BK422" s="168"/>
      <c r="BL422" s="168"/>
      <c r="BM422" s="168"/>
      <c r="BN422" s="168"/>
      <c r="BO422" s="168"/>
      <c r="BP422" s="168"/>
      <c r="BQ422" s="168"/>
      <c r="BR422" s="168"/>
      <c r="BS422" s="168"/>
      <c r="BT422" s="168"/>
      <c r="BU422" s="168"/>
      <c r="BV422" s="168"/>
      <c r="BW422" s="168"/>
      <c r="BX422" s="168"/>
      <c r="BY422" s="168"/>
      <c r="BZ422" s="168"/>
      <c r="CA422" s="168"/>
      <c r="CB422" s="168"/>
      <c r="CC422" s="168"/>
      <c r="CD422" s="168"/>
      <c r="CE422" s="168"/>
      <c r="CF422" s="168"/>
      <c r="CG422" s="168"/>
      <c r="CH422" s="168"/>
      <c r="CI422" s="168"/>
      <c r="CJ422" s="168"/>
      <c r="CK422" s="168"/>
      <c r="CL422" s="168"/>
      <c r="CM422" s="168"/>
      <c r="CN422" s="168"/>
      <c r="CO422" s="168"/>
    </row>
    <row r="423" spans="1:93" x14ac:dyDescent="0.2">
      <c r="A423" s="118">
        <f t="shared" si="40"/>
        <v>18</v>
      </c>
      <c r="B423" s="226" t="s">
        <v>546</v>
      </c>
      <c r="C423" s="223"/>
      <c r="D423" s="168"/>
      <c r="E423" s="225"/>
      <c r="F423" s="183"/>
      <c r="G423" s="233"/>
      <c r="H423" s="168"/>
      <c r="I423" s="308"/>
      <c r="J423" s="168"/>
      <c r="K423" s="225"/>
      <c r="L423" s="183"/>
      <c r="M423" s="233"/>
      <c r="N423" s="168"/>
      <c r="O423" s="227"/>
      <c r="R423" s="227"/>
      <c r="S423" s="262"/>
      <c r="T423" s="247"/>
      <c r="U423" s="178"/>
      <c r="V423" s="179"/>
      <c r="W423" s="180"/>
      <c r="X423" s="227"/>
      <c r="Y423" s="178"/>
      <c r="Z423" s="181"/>
      <c r="AA423" s="227"/>
      <c r="AB423" s="227"/>
      <c r="AE423" s="260"/>
      <c r="AF423" s="241"/>
      <c r="AG423" s="114"/>
    </row>
    <row r="424" spans="1:93" x14ac:dyDescent="0.2">
      <c r="A424" s="118">
        <f t="shared" si="40"/>
        <v>19</v>
      </c>
      <c r="B424" s="234" t="s">
        <v>149</v>
      </c>
      <c r="C424" s="223"/>
      <c r="D424" s="168"/>
      <c r="E424" s="225"/>
      <c r="F424" s="183"/>
      <c r="G424" s="233"/>
      <c r="H424" s="168"/>
      <c r="I424" s="308"/>
      <c r="J424" s="168"/>
      <c r="K424" s="225"/>
      <c r="L424" s="1368">
        <v>0.05</v>
      </c>
      <c r="M424" s="233"/>
      <c r="N424" s="168"/>
      <c r="O424" s="227"/>
      <c r="R424" s="227"/>
      <c r="S424" s="262"/>
      <c r="T424" s="858" t="s">
        <v>558</v>
      </c>
      <c r="U424" s="178" t="s">
        <v>624</v>
      </c>
      <c r="V424" s="179">
        <v>254</v>
      </c>
      <c r="W424" s="180">
        <v>228</v>
      </c>
      <c r="X424" s="227"/>
      <c r="Y424" s="178"/>
      <c r="Z424" s="181"/>
      <c r="AA424" s="227"/>
      <c r="AB424" s="182">
        <f>SUM(AH424:AS424)</f>
        <v>0</v>
      </c>
      <c r="AC424" s="182">
        <f>SUM(AT424:BE424)</f>
        <v>0</v>
      </c>
      <c r="AD424" s="182">
        <f>SUM(BF424:BQ424)</f>
        <v>0</v>
      </c>
      <c r="AE424" s="182">
        <f>SUM(BR424:CC424)</f>
        <v>0</v>
      </c>
      <c r="AF424" s="182">
        <f>SUM(CD424:CO424)</f>
        <v>0</v>
      </c>
      <c r="AG424" s="114"/>
    </row>
    <row r="425" spans="1:93" x14ac:dyDescent="0.2">
      <c r="A425" s="118">
        <f t="shared" si="40"/>
        <v>20</v>
      </c>
      <c r="B425" s="243" t="s">
        <v>559</v>
      </c>
      <c r="C425" s="223"/>
      <c r="D425" s="172">
        <f>SUMIF($AH$8:$CP$8,1,$AH425:$CP425)</f>
        <v>608723.28058436874</v>
      </c>
      <c r="E425" s="225" t="s">
        <v>596</v>
      </c>
      <c r="F425" s="183">
        <v>2.75</v>
      </c>
      <c r="G425" s="233" t="s">
        <v>375</v>
      </c>
      <c r="H425" s="168">
        <f>ROUND(D425*F425,2)</f>
        <v>1673989.02</v>
      </c>
      <c r="I425" s="308"/>
      <c r="J425" s="172">
        <f>SUMIF($AH$8:$CP$8,1,$AH425:$CP425)</f>
        <v>608723.28058436874</v>
      </c>
      <c r="K425" s="225" t="s">
        <v>596</v>
      </c>
      <c r="L425" s="310">
        <f>ROUND('MFR E-14A'!I149+(L424*T425),2)</f>
        <v>2.86</v>
      </c>
      <c r="M425" s="233" t="s">
        <v>375</v>
      </c>
      <c r="N425" s="168">
        <f>ROUND(J425*L425,2)</f>
        <v>1740948.58</v>
      </c>
      <c r="O425" s="227"/>
      <c r="Q425" s="1022"/>
      <c r="R425" s="182"/>
      <c r="S425" s="262"/>
      <c r="T425" s="859">
        <f>'MFR E-14C'!X277</f>
        <v>0.27689624131691365</v>
      </c>
      <c r="U425" s="178" t="s">
        <v>624</v>
      </c>
      <c r="V425" s="179">
        <v>254</v>
      </c>
      <c r="W425" s="180">
        <v>228</v>
      </c>
      <c r="X425" s="227"/>
      <c r="Y425" s="178"/>
      <c r="Z425" s="181"/>
      <c r="AA425" s="227"/>
      <c r="AB425" s="182">
        <f>SUM(AH425:AS425)</f>
        <v>597406.68129516556</v>
      </c>
      <c r="AC425" s="182">
        <f>SUM(AT425:BE425)</f>
        <v>597000.34439210687</v>
      </c>
      <c r="AD425" s="182">
        <f>SUM(BF425:BQ425)</f>
        <v>600849.78407761746</v>
      </c>
      <c r="AE425" s="182">
        <f>SUM(BR425:CC425)</f>
        <v>608723.28058436874</v>
      </c>
      <c r="AF425" s="182">
        <f>SUM(CD425:CO425)</f>
        <v>609751.60535691574</v>
      </c>
      <c r="AH425" s="168">
        <v>85730.427988201336</v>
      </c>
      <c r="AI425" s="168">
        <v>92449.622590966479</v>
      </c>
      <c r="AJ425" s="168">
        <v>56724.34341466138</v>
      </c>
      <c r="AK425" s="168">
        <v>31021.702776679154</v>
      </c>
      <c r="AL425" s="168">
        <v>36457.808167038733</v>
      </c>
      <c r="AM425" s="168">
        <v>41924.282904508822</v>
      </c>
      <c r="AN425" s="168">
        <v>39349.549744849537</v>
      </c>
      <c r="AO425" s="168">
        <v>29779.545839687886</v>
      </c>
      <c r="AP425" s="168">
        <v>45017.905057061515</v>
      </c>
      <c r="AQ425" s="168">
        <v>44973.730388447068</v>
      </c>
      <c r="AR425" s="168">
        <v>24216.379769657648</v>
      </c>
      <c r="AS425" s="168">
        <v>69761.382653405977</v>
      </c>
      <c r="AT425" s="168">
        <v>88541.843992941809</v>
      </c>
      <c r="AU425" s="168">
        <v>93170.16516110189</v>
      </c>
      <c r="AV425" s="168">
        <v>56028.945493357569</v>
      </c>
      <c r="AW425" s="168">
        <v>31152.973950061525</v>
      </c>
      <c r="AX425" s="168">
        <v>36157.923891884864</v>
      </c>
      <c r="AY425" s="168">
        <v>40855.039078919515</v>
      </c>
      <c r="AZ425" s="168">
        <v>39564.807033961333</v>
      </c>
      <c r="BA425" s="168">
        <v>29266.837074669744</v>
      </c>
      <c r="BB425" s="168">
        <v>44630.252402570593</v>
      </c>
      <c r="BC425" s="168">
        <v>44905.820823110684</v>
      </c>
      <c r="BD425" s="168">
        <v>23919.301610135317</v>
      </c>
      <c r="BE425" s="168">
        <v>68806.43387939212</v>
      </c>
      <c r="BF425" s="168">
        <v>88011.433036293121</v>
      </c>
      <c r="BG425" s="168">
        <v>94237.562491708639</v>
      </c>
      <c r="BH425" s="168">
        <v>56854.456484605173</v>
      </c>
      <c r="BI425" s="168">
        <v>31023.223909728214</v>
      </c>
      <c r="BJ425" s="168">
        <v>36384.529772382193</v>
      </c>
      <c r="BK425" s="168">
        <v>41425.405899880854</v>
      </c>
      <c r="BL425" s="168">
        <v>39808.979428851395</v>
      </c>
      <c r="BM425" s="168">
        <v>29503.036631266077</v>
      </c>
      <c r="BN425" s="168">
        <v>44809.378391764258</v>
      </c>
      <c r="BO425" s="168">
        <v>44698.348206003851</v>
      </c>
      <c r="BP425" s="168">
        <v>23944.851244482459</v>
      </c>
      <c r="BQ425" s="168">
        <v>70148.578580651287</v>
      </c>
      <c r="BR425" s="168">
        <v>89175.843997527089</v>
      </c>
      <c r="BS425" s="168">
        <v>94978.579583724684</v>
      </c>
      <c r="BT425" s="168">
        <v>58228.490253368516</v>
      </c>
      <c r="BU425" s="168">
        <v>31831.094884135378</v>
      </c>
      <c r="BV425" s="168">
        <v>36316.234691101679</v>
      </c>
      <c r="BW425" s="168">
        <v>42403.979251358774</v>
      </c>
      <c r="BX425" s="168">
        <v>40675.280609232439</v>
      </c>
      <c r="BY425" s="168">
        <v>29961.322243961986</v>
      </c>
      <c r="BZ425" s="168">
        <v>45325.042701564184</v>
      </c>
      <c r="CA425" s="168">
        <v>45429.846174137805</v>
      </c>
      <c r="CB425" s="168">
        <v>24278.777990974842</v>
      </c>
      <c r="CC425" s="168">
        <v>70118.788203281423</v>
      </c>
      <c r="CD425" s="168">
        <v>89732.01366024217</v>
      </c>
      <c r="CE425" s="168">
        <v>94460.776459374567</v>
      </c>
      <c r="CF425" s="168">
        <v>57332.235487117265</v>
      </c>
      <c r="CG425" s="168">
        <v>32237.814614208921</v>
      </c>
      <c r="CH425" s="168">
        <v>36837.557168220788</v>
      </c>
      <c r="CI425" s="168">
        <v>41995.399631477238</v>
      </c>
      <c r="CJ425" s="168">
        <v>40647.788106201704</v>
      </c>
      <c r="CK425" s="168">
        <v>30014.120096337065</v>
      </c>
      <c r="CL425" s="168">
        <v>46050.684079898019</v>
      </c>
      <c r="CM425" s="168">
        <v>45616.902337773085</v>
      </c>
      <c r="CN425" s="168">
        <v>24584.476152863976</v>
      </c>
      <c r="CO425" s="168">
        <v>70241.837563200941</v>
      </c>
    </row>
    <row r="426" spans="1:93" x14ac:dyDescent="0.2">
      <c r="A426" s="118">
        <f t="shared" si="40"/>
        <v>21</v>
      </c>
      <c r="B426" s="243" t="s">
        <v>599</v>
      </c>
      <c r="C426" s="223"/>
      <c r="D426" s="172">
        <f>SUMIF($AH$8:$CP$8,1,$AH426:$CP426)</f>
        <v>634911.21995928185</v>
      </c>
      <c r="E426" s="225" t="s">
        <v>596</v>
      </c>
      <c r="F426" s="183">
        <v>5.28</v>
      </c>
      <c r="G426" s="233" t="s">
        <v>375</v>
      </c>
      <c r="H426" s="168">
        <f>ROUND(D426*F426,2)</f>
        <v>3352331.24</v>
      </c>
      <c r="I426" s="308"/>
      <c r="J426" s="172">
        <f>SUMIF($AH$8:$CP$8,1,$AH426:$CP426)</f>
        <v>634911.21995928185</v>
      </c>
      <c r="K426" s="225" t="s">
        <v>596</v>
      </c>
      <c r="L426" s="310">
        <f>ROUND('MFR E-14A'!I150+(L424*T426),2)</f>
        <v>5.52</v>
      </c>
      <c r="M426" s="233" t="s">
        <v>375</v>
      </c>
      <c r="N426" s="168">
        <f>ROUND(J426*L426,2)</f>
        <v>3504709.93</v>
      </c>
      <c r="O426" s="227"/>
      <c r="Q426" s="1022"/>
      <c r="R426" s="182"/>
      <c r="S426" s="262"/>
      <c r="T426" s="859">
        <f>'MFR E-14C'!X278</f>
        <v>0.53364843567677722</v>
      </c>
      <c r="U426" s="178" t="s">
        <v>624</v>
      </c>
      <c r="V426" s="179">
        <v>254</v>
      </c>
      <c r="W426" s="180">
        <v>228</v>
      </c>
      <c r="X426" s="227"/>
      <c r="Y426" s="178"/>
      <c r="Z426" s="181"/>
      <c r="AA426" s="227"/>
      <c r="AB426" s="182"/>
      <c r="AC426" s="182"/>
      <c r="AD426" s="182"/>
      <c r="AE426" s="182"/>
      <c r="AF426" s="182"/>
      <c r="AH426" s="168">
        <v>54142.36299810229</v>
      </c>
      <c r="AI426" s="168">
        <v>53412.307063689317</v>
      </c>
      <c r="AJ426" s="168">
        <v>44657.114687118905</v>
      </c>
      <c r="AK426" s="168">
        <v>43935.356419880227</v>
      </c>
      <c r="AL426" s="168">
        <v>42237.379697433127</v>
      </c>
      <c r="AM426" s="168">
        <v>58048.31075581981</v>
      </c>
      <c r="AN426" s="168">
        <v>55466.225094739391</v>
      </c>
      <c r="AO426" s="168">
        <v>38978.463045210738</v>
      </c>
      <c r="AP426" s="168">
        <v>64698.573469317831</v>
      </c>
      <c r="AQ426" s="168">
        <v>63348.213767468791</v>
      </c>
      <c r="AR426" s="168">
        <v>31612.063237253285</v>
      </c>
      <c r="AS426" s="168">
        <v>72571.397991287289</v>
      </c>
      <c r="AT426" s="168">
        <v>56107.017636352335</v>
      </c>
      <c r="AU426" s="168">
        <v>53999.856063528146</v>
      </c>
      <c r="AV426" s="168">
        <v>44247.648340432759</v>
      </c>
      <c r="AW426" s="168">
        <v>44260.477555527788</v>
      </c>
      <c r="AX426" s="168">
        <v>42026.131779289179</v>
      </c>
      <c r="AY426" s="168">
        <v>56747.956210271353</v>
      </c>
      <c r="AZ426" s="168">
        <v>55945.10938541231</v>
      </c>
      <c r="BA426" s="168">
        <v>38434.182909574745</v>
      </c>
      <c r="BB426" s="168">
        <v>64334.881826224177</v>
      </c>
      <c r="BC426" s="168">
        <v>63452.50538320122</v>
      </c>
      <c r="BD426" s="168">
        <v>31328.773617043604</v>
      </c>
      <c r="BE426" s="168">
        <v>71799.40956070392</v>
      </c>
      <c r="BF426" s="168">
        <v>55779.197037035985</v>
      </c>
      <c r="BG426" s="168">
        <v>54632.016200114376</v>
      </c>
      <c r="BH426" s="168">
        <v>44911.861246715314</v>
      </c>
      <c r="BI426" s="168">
        <v>44087.617295677337</v>
      </c>
      <c r="BJ426" s="168">
        <v>42298.536381527214</v>
      </c>
      <c r="BK426" s="168">
        <v>57554.364992966184</v>
      </c>
      <c r="BL426" s="168">
        <v>56305.280658330426</v>
      </c>
      <c r="BM426" s="168">
        <v>38751.500913275195</v>
      </c>
      <c r="BN426" s="168">
        <v>64614.351754081494</v>
      </c>
      <c r="BO426" s="168">
        <v>63175.609003229372</v>
      </c>
      <c r="BP426" s="168">
        <v>31367.43887845166</v>
      </c>
      <c r="BQ426" s="168">
        <v>73221.222684950961</v>
      </c>
      <c r="BR426" s="168">
        <v>56474.730914039297</v>
      </c>
      <c r="BS426" s="168">
        <v>55020.002784469798</v>
      </c>
      <c r="BT426" s="168">
        <v>45962.462622844272</v>
      </c>
      <c r="BU426" s="168">
        <v>45201.491369891766</v>
      </c>
      <c r="BV426" s="168">
        <v>42187.310475943683</v>
      </c>
      <c r="BW426" s="168">
        <v>58869.43759255013</v>
      </c>
      <c r="BX426" s="168">
        <v>57487.05204581072</v>
      </c>
      <c r="BY426" s="168">
        <v>39323.832294336498</v>
      </c>
      <c r="BZ426" s="168">
        <v>65308.299506938347</v>
      </c>
      <c r="CA426" s="168">
        <v>64160.948567697589</v>
      </c>
      <c r="CB426" s="168">
        <v>31780.971201337048</v>
      </c>
      <c r="CC426" s="168">
        <v>73134.680583422713</v>
      </c>
      <c r="CD426" s="168">
        <v>56761.093346166403</v>
      </c>
      <c r="CE426" s="168">
        <v>54654.995933854771</v>
      </c>
      <c r="CF426" s="168">
        <v>45200.851896340464</v>
      </c>
      <c r="CG426" s="168">
        <v>45724.449205062781</v>
      </c>
      <c r="CH426" s="168">
        <v>42742.482689704128</v>
      </c>
      <c r="CI426" s="168">
        <v>58232.9210025254</v>
      </c>
      <c r="CJ426" s="168">
        <v>57379.60164216972</v>
      </c>
      <c r="CK426" s="168">
        <v>39347.053211854138</v>
      </c>
      <c r="CL426" s="168">
        <v>66273.350832278244</v>
      </c>
      <c r="CM426" s="168">
        <v>64348.346680745519</v>
      </c>
      <c r="CN426" s="168">
        <v>32143.668119111258</v>
      </c>
      <c r="CO426" s="168">
        <v>73174.969825171938</v>
      </c>
    </row>
    <row r="427" spans="1:93" x14ac:dyDescent="0.2">
      <c r="A427" s="118">
        <f t="shared" si="40"/>
        <v>22</v>
      </c>
      <c r="B427" s="243" t="s">
        <v>145</v>
      </c>
      <c r="C427" s="223"/>
      <c r="D427" s="172">
        <f>SUMIF($AH$8:$CP$8,1,$AH427:$CP427)</f>
        <v>745317.10733794118</v>
      </c>
      <c r="E427" s="225" t="s">
        <v>596</v>
      </c>
      <c r="F427" s="183">
        <v>1.86</v>
      </c>
      <c r="G427" s="233" t="s">
        <v>375</v>
      </c>
      <c r="H427" s="168">
        <f>ROUND(D427*F427,2)</f>
        <v>1386289.82</v>
      </c>
      <c r="I427" s="308"/>
      <c r="J427" s="172">
        <f>SUMIF($AH$8:$CP$8,1,$AH427:$CP427)</f>
        <v>745317.10733794118</v>
      </c>
      <c r="K427" s="225" t="s">
        <v>596</v>
      </c>
      <c r="L427" s="310">
        <f>ROUND('MFR E-14A'!I148+(L424*T427),2)</f>
        <v>1.96</v>
      </c>
      <c r="M427" s="233" t="s">
        <v>375</v>
      </c>
      <c r="N427" s="168">
        <f>ROUND(J427*L427,2)</f>
        <v>1460821.53</v>
      </c>
      <c r="O427" s="227"/>
      <c r="Q427" s="1022"/>
      <c r="R427" s="182"/>
      <c r="S427" s="262"/>
      <c r="T427" s="859">
        <f>'MFR E-14C'!X279</f>
        <v>0.18945532300630932</v>
      </c>
      <c r="U427" s="178" t="s">
        <v>624</v>
      </c>
      <c r="V427" s="179">
        <v>254</v>
      </c>
      <c r="W427" s="180">
        <v>228</v>
      </c>
      <c r="X427" s="227"/>
      <c r="Y427" s="178"/>
      <c r="Z427" s="181"/>
      <c r="AA427" s="227"/>
      <c r="AB427" s="182">
        <f>SUM(AH427:AS427)</f>
        <v>731461.1315339033</v>
      </c>
      <c r="AC427" s="182">
        <f>SUM(AT427:BE427)</f>
        <v>730963.61508455453</v>
      </c>
      <c r="AD427" s="182">
        <f>SUM(BF427:BQ427)</f>
        <v>735676.84578031872</v>
      </c>
      <c r="AE427" s="182">
        <f>SUM(BR427:CC427)</f>
        <v>745317.10733794118</v>
      </c>
      <c r="AF427" s="182">
        <f>SUM(CD427:CO427)</f>
        <v>746576.18197714817</v>
      </c>
      <c r="AH427" s="168">
        <v>67688.971356012509</v>
      </c>
      <c r="AI427" s="168">
        <v>64012.979195914028</v>
      </c>
      <c r="AJ427" s="168">
        <v>52257.912213313408</v>
      </c>
      <c r="AK427" s="168">
        <v>51081.401039316617</v>
      </c>
      <c r="AL427" s="168">
        <v>49725.627890479685</v>
      </c>
      <c r="AM427" s="168">
        <v>67713.78825457317</v>
      </c>
      <c r="AN427" s="168">
        <v>64381.076434498325</v>
      </c>
      <c r="AO427" s="168">
        <v>46068.479012547177</v>
      </c>
      <c r="AP427" s="168">
        <v>73906.459706747453</v>
      </c>
      <c r="AQ427" s="168">
        <v>73378.963832222289</v>
      </c>
      <c r="AR427" s="168">
        <v>37283.877016058264</v>
      </c>
      <c r="AS427" s="168">
        <v>83961.59558222034</v>
      </c>
      <c r="AT427" s="168">
        <v>70089.721941105265</v>
      </c>
      <c r="AU427" s="168">
        <v>64689.35397384211</v>
      </c>
      <c r="AV427" s="168">
        <v>51767.447318422375</v>
      </c>
      <c r="AW427" s="168">
        <v>51451.157572183256</v>
      </c>
      <c r="AX427" s="168">
        <v>49463.460677335155</v>
      </c>
      <c r="AY427" s="168">
        <v>66184.33699655869</v>
      </c>
      <c r="AZ427" s="168">
        <v>64927.493791237786</v>
      </c>
      <c r="BA427" s="168">
        <v>45411.258190067245</v>
      </c>
      <c r="BB427" s="168">
        <v>73491.007551859861</v>
      </c>
      <c r="BC427" s="168">
        <v>73490.452518762133</v>
      </c>
      <c r="BD427" s="168">
        <v>36939.109099545334</v>
      </c>
      <c r="BE427" s="168">
        <v>83058.815453635369</v>
      </c>
      <c r="BF427" s="168">
        <v>69694.20438265914</v>
      </c>
      <c r="BG427" s="168">
        <v>65453.789832146664</v>
      </c>
      <c r="BH427" s="168">
        <v>52547.455522812386</v>
      </c>
      <c r="BI427" s="168">
        <v>51252.299233253791</v>
      </c>
      <c r="BJ427" s="168">
        <v>49787.513961220691</v>
      </c>
      <c r="BK427" s="168">
        <v>67128.079033506059</v>
      </c>
      <c r="BL427" s="168">
        <v>65347.904319928595</v>
      </c>
      <c r="BM427" s="168">
        <v>45789.748072291208</v>
      </c>
      <c r="BN427" s="168">
        <v>73810.251576184877</v>
      </c>
      <c r="BO427" s="168">
        <v>73172.107367078686</v>
      </c>
      <c r="BP427" s="168">
        <v>36987.406034429318</v>
      </c>
      <c r="BQ427" s="168">
        <v>84706.086444807399</v>
      </c>
      <c r="BR427" s="168">
        <v>70566.284506994547</v>
      </c>
      <c r="BS427" s="168">
        <v>65920.16920225801</v>
      </c>
      <c r="BT427" s="168">
        <v>53777.310910775501</v>
      </c>
      <c r="BU427" s="168">
        <v>52547.64669968783</v>
      </c>
      <c r="BV427" s="168">
        <v>49657.330166904845</v>
      </c>
      <c r="BW427" s="168">
        <v>68662.612706806642</v>
      </c>
      <c r="BX427" s="168">
        <v>66719.995053706501</v>
      </c>
      <c r="BY427" s="168">
        <v>46466.804278097785</v>
      </c>
      <c r="BZ427" s="168">
        <v>74602.961815142859</v>
      </c>
      <c r="CA427" s="168">
        <v>74313.872664735914</v>
      </c>
      <c r="CB427" s="168">
        <v>37475.616329546523</v>
      </c>
      <c r="CC427" s="168">
        <v>84606.503003284262</v>
      </c>
      <c r="CD427" s="168">
        <v>70928.402188021719</v>
      </c>
      <c r="CE427" s="168">
        <v>65485.005859361911</v>
      </c>
      <c r="CF427" s="168">
        <v>52887.091471373074</v>
      </c>
      <c r="CG427" s="168">
        <v>53156.248808591969</v>
      </c>
      <c r="CH427" s="168">
        <v>50311.855691136821</v>
      </c>
      <c r="CI427" s="168">
        <v>67921.198513854266</v>
      </c>
      <c r="CJ427" s="168">
        <v>66596.029133618329</v>
      </c>
      <c r="CK427" s="168">
        <v>46495.337182393763</v>
      </c>
      <c r="CL427" s="168">
        <v>75705.359025260666</v>
      </c>
      <c r="CM427" s="168">
        <v>74531.649325732229</v>
      </c>
      <c r="CN427" s="168">
        <v>37904.140587169808</v>
      </c>
      <c r="CO427" s="168">
        <v>84653.864190633496</v>
      </c>
    </row>
    <row r="428" spans="1:93" x14ac:dyDescent="0.2">
      <c r="A428" s="118">
        <f t="shared" si="40"/>
        <v>23</v>
      </c>
      <c r="B428" s="234" t="s">
        <v>148</v>
      </c>
      <c r="C428" s="223"/>
      <c r="D428" s="168"/>
      <c r="E428" s="225"/>
      <c r="F428" s="183"/>
      <c r="G428" s="233"/>
      <c r="H428" s="168"/>
      <c r="I428" s="308"/>
      <c r="J428" s="168"/>
      <c r="K428" s="225"/>
      <c r="L428" s="183"/>
      <c r="M428" s="233"/>
      <c r="N428" s="168"/>
      <c r="O428" s="227"/>
      <c r="S428" s="262"/>
      <c r="T428" s="247"/>
      <c r="U428" s="178"/>
      <c r="V428" s="179"/>
      <c r="W428" s="180"/>
      <c r="X428" s="264"/>
      <c r="Y428" s="178"/>
      <c r="Z428" s="181"/>
      <c r="AA428" s="264"/>
      <c r="AB428" s="264"/>
      <c r="AD428" s="242"/>
      <c r="AE428" s="260"/>
    </row>
    <row r="429" spans="1:93" x14ac:dyDescent="0.2">
      <c r="A429" s="118">
        <f t="shared" si="40"/>
        <v>24</v>
      </c>
      <c r="B429" s="243" t="s">
        <v>559</v>
      </c>
      <c r="C429" s="223"/>
      <c r="D429" s="172">
        <f>SUMIF($AH$8:$CP$8,1,$AH429:$CP429)</f>
        <v>2436268.8402590877</v>
      </c>
      <c r="E429" s="225" t="s">
        <v>596</v>
      </c>
      <c r="F429" s="183">
        <v>2.75</v>
      </c>
      <c r="G429" s="233" t="s">
        <v>375</v>
      </c>
      <c r="H429" s="168">
        <f>ROUND(D429*F429,2)</f>
        <v>6699739.3099999996</v>
      </c>
      <c r="I429" s="308"/>
      <c r="J429" s="172">
        <f>SUMIF($AH$8:$CP$8,1,$AH429:$CP429)</f>
        <v>2436268.8402590877</v>
      </c>
      <c r="K429" s="225" t="s">
        <v>596</v>
      </c>
      <c r="L429" s="183">
        <f>L425</f>
        <v>2.86</v>
      </c>
      <c r="M429" s="233" t="s">
        <v>375</v>
      </c>
      <c r="N429" s="168">
        <f>ROUND(J429*L429,2)</f>
        <v>6967728.8799999999</v>
      </c>
      <c r="O429" s="227"/>
      <c r="P429" s="262"/>
      <c r="Q429" s="247"/>
      <c r="R429" s="182"/>
      <c r="S429" s="106"/>
      <c r="T429" s="264"/>
      <c r="U429" s="178" t="s">
        <v>624</v>
      </c>
      <c r="V429" s="179">
        <v>254</v>
      </c>
      <c r="W429" s="180">
        <v>228</v>
      </c>
      <c r="X429" s="264"/>
      <c r="Y429" s="178"/>
      <c r="Z429" s="181"/>
      <c r="AA429" s="264"/>
      <c r="AB429" s="182">
        <f>SUM(AH429:AS429)</f>
        <v>2390976.867526392</v>
      </c>
      <c r="AC429" s="182">
        <f>SUM(AT429:BE429)</f>
        <v>2389350.6015905496</v>
      </c>
      <c r="AD429" s="182">
        <f>SUM(BF429:BQ429)</f>
        <v>2404757.0600871961</v>
      </c>
      <c r="AE429" s="182">
        <f>SUM(BR429:CC429)</f>
        <v>2436268.8402590877</v>
      </c>
      <c r="AF429" s="182">
        <f>SUM(CD429:CO429)</f>
        <v>2440384.463368847</v>
      </c>
      <c r="AH429" s="168">
        <v>172276.57617891137</v>
      </c>
      <c r="AI429" s="168">
        <v>469619.60686862009</v>
      </c>
      <c r="AJ429" s="168">
        <v>276438.80231457239</v>
      </c>
      <c r="AK429" s="168">
        <v>218053.59909574583</v>
      </c>
      <c r="AL429" s="168">
        <v>137146.86562351498</v>
      </c>
      <c r="AM429" s="168">
        <v>148656.14534509153</v>
      </c>
      <c r="AN429" s="168">
        <v>141948.93394372653</v>
      </c>
      <c r="AO429" s="168">
        <v>168959.483654696</v>
      </c>
      <c r="AP429" s="168">
        <v>160262.22857456378</v>
      </c>
      <c r="AQ429" s="168">
        <v>155063.76946910017</v>
      </c>
      <c r="AR429" s="168">
        <v>127312.80266265423</v>
      </c>
      <c r="AS429" s="168">
        <v>215238.05379519466</v>
      </c>
      <c r="AT429" s="168">
        <v>176850.86869297017</v>
      </c>
      <c r="AU429" s="168">
        <v>473039.5565193721</v>
      </c>
      <c r="AV429" s="168">
        <v>273543.76106173999</v>
      </c>
      <c r="AW429" s="168">
        <v>219721.06026869506</v>
      </c>
      <c r="AX429" s="168">
        <v>136253.59033823991</v>
      </c>
      <c r="AY429" s="168">
        <v>144997.44067931353</v>
      </c>
      <c r="AZ429" s="168">
        <v>142896.52377767902</v>
      </c>
      <c r="BA429" s="168">
        <v>168207.68381441748</v>
      </c>
      <c r="BB429" s="168">
        <v>159360.98673132528</v>
      </c>
      <c r="BC429" s="168">
        <v>155311.93263631294</v>
      </c>
      <c r="BD429" s="168">
        <v>126149.45874854608</v>
      </c>
      <c r="BE429" s="168">
        <v>213017.7383219375</v>
      </c>
      <c r="BF429" s="168">
        <v>175899.37288991912</v>
      </c>
      <c r="BG429" s="168">
        <v>478250.05722477462</v>
      </c>
      <c r="BH429" s="168">
        <v>277448.51435252005</v>
      </c>
      <c r="BI429" s="168">
        <v>218621.75059656939</v>
      </c>
      <c r="BJ429" s="168">
        <v>137040.03153297381</v>
      </c>
      <c r="BK429" s="168">
        <v>146966.86548867112</v>
      </c>
      <c r="BL429" s="168">
        <v>143712.41969185226</v>
      </c>
      <c r="BM429" s="168">
        <v>169219.30602236543</v>
      </c>
      <c r="BN429" s="168">
        <v>159899.36044330621</v>
      </c>
      <c r="BO429" s="168">
        <v>154485.01875929741</v>
      </c>
      <c r="BP429" s="168">
        <v>126182.13124821289</v>
      </c>
      <c r="BQ429" s="168">
        <v>217032.23183673396</v>
      </c>
      <c r="BR429" s="168">
        <v>178189.741128903</v>
      </c>
      <c r="BS429" s="168">
        <v>481764.97845548869</v>
      </c>
      <c r="BT429" s="168">
        <v>283913.24917953805</v>
      </c>
      <c r="BU429" s="168">
        <v>224114.3882386823</v>
      </c>
      <c r="BV429" s="168">
        <v>136670.22779458293</v>
      </c>
      <c r="BW429" s="168">
        <v>150324.92561799649</v>
      </c>
      <c r="BX429" s="168">
        <v>146729.2673064502</v>
      </c>
      <c r="BY429" s="168">
        <v>171550.16038707798</v>
      </c>
      <c r="BZ429" s="168">
        <v>161589.14455014013</v>
      </c>
      <c r="CA429" s="168">
        <v>156869.0606920484</v>
      </c>
      <c r="CB429" s="168">
        <v>127828.05809708001</v>
      </c>
      <c r="CC429" s="168">
        <v>216725.63881109908</v>
      </c>
      <c r="CD429" s="168">
        <v>179563.8782545373</v>
      </c>
      <c r="CE429" s="168">
        <v>479580.21987987659</v>
      </c>
      <c r="CF429" s="168">
        <v>279668.10018758423</v>
      </c>
      <c r="CG429" s="168">
        <v>227057.69120361062</v>
      </c>
      <c r="CH429" s="168">
        <v>138700.78036536142</v>
      </c>
      <c r="CI429" s="168">
        <v>148964.04863612732</v>
      </c>
      <c r="CJ429" s="168">
        <v>146714.8917750456</v>
      </c>
      <c r="CK429" s="168">
        <v>171699.30964345211</v>
      </c>
      <c r="CL429" s="168">
        <v>164225.02713916978</v>
      </c>
      <c r="CM429" s="168">
        <v>157566.9964519832</v>
      </c>
      <c r="CN429" s="168">
        <v>129488.18380529352</v>
      </c>
      <c r="CO429" s="168">
        <v>217155.3360268056</v>
      </c>
    </row>
    <row r="430" spans="1:93" x14ac:dyDescent="0.2">
      <c r="A430" s="118">
        <f t="shared" si="40"/>
        <v>25</v>
      </c>
      <c r="B430" s="243" t="s">
        <v>599</v>
      </c>
      <c r="C430" s="223"/>
      <c r="D430" s="172">
        <f>SUMIF($AH$8:$CP$8,1,$AH430:$CP430)</f>
        <v>2638947.7404091447</v>
      </c>
      <c r="E430" s="225" t="s">
        <v>596</v>
      </c>
      <c r="F430" s="183">
        <v>5.28</v>
      </c>
      <c r="G430" s="233" t="s">
        <v>375</v>
      </c>
      <c r="H430" s="168">
        <f>ROUND(D430*F430,2)</f>
        <v>13933644.07</v>
      </c>
      <c r="I430" s="308"/>
      <c r="J430" s="172">
        <f>SUMIF($AH$8:$CP$8,1,$AH430:$CP430)</f>
        <v>2638947.7404091447</v>
      </c>
      <c r="K430" s="225" t="s">
        <v>596</v>
      </c>
      <c r="L430" s="183">
        <f>L426</f>
        <v>5.52</v>
      </c>
      <c r="M430" s="233" t="s">
        <v>375</v>
      </c>
      <c r="N430" s="168">
        <f>ROUND(J430*L430,2)</f>
        <v>14566991.529999999</v>
      </c>
      <c r="O430" s="227"/>
      <c r="P430" s="262"/>
      <c r="Q430" s="247"/>
      <c r="R430" s="182"/>
      <c r="S430" s="263"/>
      <c r="T430" s="197"/>
      <c r="U430" s="178" t="s">
        <v>624</v>
      </c>
      <c r="V430" s="179">
        <v>254</v>
      </c>
      <c r="W430" s="180">
        <v>228</v>
      </c>
      <c r="X430" s="264"/>
      <c r="Y430" s="178"/>
      <c r="Z430" s="181"/>
      <c r="AA430" s="264"/>
      <c r="AB430" s="182"/>
      <c r="AC430" s="182"/>
      <c r="AD430" s="182"/>
      <c r="AE430" s="182"/>
      <c r="AF430" s="182"/>
      <c r="AH430" s="168">
        <v>79310.168622866331</v>
      </c>
      <c r="AI430" s="168">
        <v>298295.9509542617</v>
      </c>
      <c r="AJ430" s="168">
        <v>188860.05894889944</v>
      </c>
      <c r="AK430" s="168">
        <v>255525.84673765476</v>
      </c>
      <c r="AL430" s="168">
        <v>166327.79098509165</v>
      </c>
      <c r="AM430" s="168">
        <v>211500.08668180631</v>
      </c>
      <c r="AN430" s="168">
        <v>203136.87944794865</v>
      </c>
      <c r="AO430" s="168">
        <v>299256.59455226001</v>
      </c>
      <c r="AP430" s="168">
        <v>244602.69921756265</v>
      </c>
      <c r="AQ430" s="168">
        <v>236567.07421643165</v>
      </c>
      <c r="AR430" s="168">
        <v>192050.77961942207</v>
      </c>
      <c r="AS430" s="168">
        <v>214453.89260039065</v>
      </c>
      <c r="AT430" s="168">
        <v>82402.051562663983</v>
      </c>
      <c r="AU430" s="168">
        <v>301858.3518948222</v>
      </c>
      <c r="AV430" s="168">
        <v>187546.08934642334</v>
      </c>
      <c r="AW430" s="168">
        <v>257854.01477969915</v>
      </c>
      <c r="AX430" s="168">
        <v>165847.79051739234</v>
      </c>
      <c r="AY430" s="168">
        <v>207194.90602440183</v>
      </c>
      <c r="AZ430" s="168">
        <v>205276.43644192486</v>
      </c>
      <c r="BA430" s="168">
        <v>295702.25911331852</v>
      </c>
      <c r="BB430" s="168">
        <v>243720.12819499665</v>
      </c>
      <c r="BC430" s="168">
        <v>237413.3204826354</v>
      </c>
      <c r="BD430" s="168">
        <v>190678.70845469661</v>
      </c>
      <c r="BE430" s="168">
        <v>212632.20697081069</v>
      </c>
      <c r="BF430" s="168">
        <v>81908.057283109389</v>
      </c>
      <c r="BG430" s="168">
        <v>305338.54722999956</v>
      </c>
      <c r="BH430" s="168">
        <v>190331.31358658019</v>
      </c>
      <c r="BI430" s="168">
        <v>256804.54347043793</v>
      </c>
      <c r="BJ430" s="168">
        <v>166896.16946727017</v>
      </c>
      <c r="BK430" s="168">
        <v>210105.62403119617</v>
      </c>
      <c r="BL430" s="168">
        <v>206564.38352485228</v>
      </c>
      <c r="BM430" s="168">
        <v>298096.04577415599</v>
      </c>
      <c r="BN430" s="168">
        <v>244739.48852168833</v>
      </c>
      <c r="BO430" s="168">
        <v>236338.97531332562</v>
      </c>
      <c r="BP430" s="168">
        <v>190882.85587451421</v>
      </c>
      <c r="BQ430" s="168">
        <v>216808.41750171717</v>
      </c>
      <c r="BR430" s="168">
        <v>82867.840308849074</v>
      </c>
      <c r="BS430" s="168">
        <v>307358.38183084922</v>
      </c>
      <c r="BT430" s="168">
        <v>194650.2347879289</v>
      </c>
      <c r="BU430" s="168">
        <v>263134.14414493635</v>
      </c>
      <c r="BV430" s="168">
        <v>166346.03460498404</v>
      </c>
      <c r="BW430" s="168">
        <v>214763.82958086571</v>
      </c>
      <c r="BX430" s="168">
        <v>210766.867040015</v>
      </c>
      <c r="BY430" s="168">
        <v>302296.97251039237</v>
      </c>
      <c r="BZ430" s="168">
        <v>247206.48585986305</v>
      </c>
      <c r="CA430" s="168">
        <v>239872.04307532558</v>
      </c>
      <c r="CB430" s="168">
        <v>193278.84164858246</v>
      </c>
      <c r="CC430" s="168">
        <v>216406.06501655284</v>
      </c>
      <c r="CD430" s="168">
        <v>83273.269928232025</v>
      </c>
      <c r="CE430" s="168">
        <v>305373.87923047098</v>
      </c>
      <c r="CF430" s="168">
        <v>191406.00885452243</v>
      </c>
      <c r="CG430" s="168">
        <v>266182.52810311236</v>
      </c>
      <c r="CH430" s="168">
        <v>168522.33161789572</v>
      </c>
      <c r="CI430" s="168">
        <v>212427.1531363767</v>
      </c>
      <c r="CJ430" s="168">
        <v>210367.89227740152</v>
      </c>
      <c r="CK430" s="168">
        <v>302453.22895516839</v>
      </c>
      <c r="CL430" s="168">
        <v>250845.84644694539</v>
      </c>
      <c r="CM430" s="168">
        <v>240564.5897995636</v>
      </c>
      <c r="CN430" s="168">
        <v>195481.98405089934</v>
      </c>
      <c r="CO430" s="168">
        <v>216507.03942601662</v>
      </c>
    </row>
    <row r="431" spans="1:93" x14ac:dyDescent="0.2">
      <c r="A431" s="118">
        <f t="shared" si="40"/>
        <v>26</v>
      </c>
      <c r="B431" s="243" t="s">
        <v>145</v>
      </c>
      <c r="C431" s="223"/>
      <c r="D431" s="172">
        <f>SUMIF($AH$8:$CP$8,1,$AH431:$CP431)</f>
        <v>3405348.5014528972</v>
      </c>
      <c r="E431" s="225" t="s">
        <v>596</v>
      </c>
      <c r="F431" s="183">
        <v>1.86</v>
      </c>
      <c r="G431" s="233" t="s">
        <v>375</v>
      </c>
      <c r="H431" s="168">
        <f>ROUND(D431*F431,2)</f>
        <v>6333948.21</v>
      </c>
      <c r="I431" s="308"/>
      <c r="J431" s="172">
        <f>SUMIF($AH$8:$CP$8,1,$AH431:$CP431)</f>
        <v>3405348.5014528972</v>
      </c>
      <c r="K431" s="225" t="s">
        <v>596</v>
      </c>
      <c r="L431" s="183">
        <f>L427</f>
        <v>1.96</v>
      </c>
      <c r="M431" s="233" t="s">
        <v>375</v>
      </c>
      <c r="N431" s="168">
        <f>ROUND(J431*L431,2)</f>
        <v>6674483.0599999996</v>
      </c>
      <c r="O431" s="227"/>
      <c r="P431" s="262"/>
      <c r="Q431" s="247"/>
      <c r="R431" s="182"/>
      <c r="S431" s="263"/>
      <c r="T431" s="197"/>
      <c r="U431" s="178" t="s">
        <v>624</v>
      </c>
      <c r="V431" s="179">
        <v>254</v>
      </c>
      <c r="W431" s="180">
        <v>228</v>
      </c>
      <c r="X431" s="227"/>
      <c r="Y431" s="178"/>
      <c r="Z431" s="181"/>
      <c r="AA431" s="227"/>
      <c r="AB431" s="182">
        <f>SUM(AH431:AS431)</f>
        <v>3342040.647687166</v>
      </c>
      <c r="AC431" s="182">
        <f>SUM(AT431:BE431)</f>
        <v>3339767.4986093319</v>
      </c>
      <c r="AD431" s="182">
        <f>SUM(BF431:BQ431)</f>
        <v>3361302.2157502687</v>
      </c>
      <c r="AE431" s="182">
        <f>SUM(BR431:CC431)</f>
        <v>3405348.5014528972</v>
      </c>
      <c r="AF431" s="182">
        <f>SUM(CD431:CO431)</f>
        <v>3411101.204421374</v>
      </c>
      <c r="AH431" s="168">
        <v>149332.70818353374</v>
      </c>
      <c r="AI431" s="168">
        <v>423286.66406212829</v>
      </c>
      <c r="AJ431" s="168">
        <v>252545.90920232626</v>
      </c>
      <c r="AK431" s="168">
        <v>317748.79873009434</v>
      </c>
      <c r="AL431" s="168">
        <v>216005.64844217111</v>
      </c>
      <c r="AM431" s="168">
        <v>275712.87802972202</v>
      </c>
      <c r="AN431" s="168">
        <v>264248.18537934561</v>
      </c>
      <c r="AO431" s="168">
        <v>325469.67481702403</v>
      </c>
      <c r="AP431" s="168">
        <v>307815.95500077069</v>
      </c>
      <c r="AQ431" s="168">
        <v>298183.54784165777</v>
      </c>
      <c r="AR431" s="168">
        <v>242451.27522687096</v>
      </c>
      <c r="AS431" s="168">
        <v>269239.40277152124</v>
      </c>
      <c r="AT431" s="168">
        <v>153243.13385506696</v>
      </c>
      <c r="AU431" s="168">
        <v>426876.58790292568</v>
      </c>
      <c r="AV431" s="168">
        <v>250222.03578951766</v>
      </c>
      <c r="AW431" s="168">
        <v>320831.45089913975</v>
      </c>
      <c r="AX431" s="168">
        <v>215124.7229212393</v>
      </c>
      <c r="AY431" s="168">
        <v>269747.28639650164</v>
      </c>
      <c r="AZ431" s="168">
        <v>266733.98485647369</v>
      </c>
      <c r="BA431" s="168">
        <v>323391.96476938005</v>
      </c>
      <c r="BB431" s="168">
        <v>306697.14662908774</v>
      </c>
      <c r="BC431" s="168">
        <v>299241.26228547859</v>
      </c>
      <c r="BD431" s="168">
        <v>240711.22937784041</v>
      </c>
      <c r="BE431" s="168">
        <v>266946.69292668113</v>
      </c>
      <c r="BF431" s="168">
        <v>152490.43799893878</v>
      </c>
      <c r="BG431" s="168">
        <v>431932.88117957744</v>
      </c>
      <c r="BH431" s="168">
        <v>253988.45674982769</v>
      </c>
      <c r="BI431" s="168">
        <v>319507.64040064241</v>
      </c>
      <c r="BJ431" s="168">
        <v>216507.10008619679</v>
      </c>
      <c r="BK431" s="168">
        <v>273567.91798880126</v>
      </c>
      <c r="BL431" s="168">
        <v>268433.44301693887</v>
      </c>
      <c r="BM431" s="168">
        <v>325849.09687490726</v>
      </c>
      <c r="BN431" s="168">
        <v>307979.79883345379</v>
      </c>
      <c r="BO431" s="168">
        <v>297887.01330630429</v>
      </c>
      <c r="BP431" s="168">
        <v>240968.83740301678</v>
      </c>
      <c r="BQ431" s="168">
        <v>272189.5919116633</v>
      </c>
      <c r="BR431" s="168">
        <v>154459.75555053388</v>
      </c>
      <c r="BS431" s="168">
        <v>434928.91141788202</v>
      </c>
      <c r="BT431" s="168">
        <v>259807.64399739681</v>
      </c>
      <c r="BU431" s="168">
        <v>327365.5706547841</v>
      </c>
      <c r="BV431" s="168">
        <v>215818.05827982261</v>
      </c>
      <c r="BW431" s="168">
        <v>279668.00728776329</v>
      </c>
      <c r="BX431" s="168">
        <v>273923.79108592548</v>
      </c>
      <c r="BY431" s="168">
        <v>330269.53034526453</v>
      </c>
      <c r="BZ431" s="168">
        <v>311085.54879349697</v>
      </c>
      <c r="CA431" s="168">
        <v>302341.57607630757</v>
      </c>
      <c r="CB431" s="168">
        <v>243994.75229109605</v>
      </c>
      <c r="CC431" s="168">
        <v>271685.35567262385</v>
      </c>
      <c r="CD431" s="168">
        <v>155576.84168463229</v>
      </c>
      <c r="CE431" s="168">
        <v>432396.9721619701</v>
      </c>
      <c r="CF431" s="168">
        <v>255585.66617916478</v>
      </c>
      <c r="CG431" s="168">
        <v>331122.28129101964</v>
      </c>
      <c r="CH431" s="168">
        <v>218690.61473341801</v>
      </c>
      <c r="CI431" s="168">
        <v>276692.99583705963</v>
      </c>
      <c r="CJ431" s="168">
        <v>273462.37673227739</v>
      </c>
      <c r="CK431" s="168">
        <v>330098.84755192976</v>
      </c>
      <c r="CL431" s="168">
        <v>315667.12295509002</v>
      </c>
      <c r="CM431" s="168">
        <v>303216.41500063473</v>
      </c>
      <c r="CN431" s="168">
        <v>246777.72092812663</v>
      </c>
      <c r="CO431" s="168">
        <v>271813.34936605184</v>
      </c>
    </row>
    <row r="432" spans="1:93" x14ac:dyDescent="0.2">
      <c r="A432" s="118">
        <f t="shared" si="40"/>
        <v>27</v>
      </c>
      <c r="B432" s="847" t="s">
        <v>600</v>
      </c>
      <c r="C432" s="848"/>
      <c r="D432" s="185">
        <f>'MFR E-13c'!D392</f>
        <v>2083353.5792699324</v>
      </c>
      <c r="E432" s="849" t="s">
        <v>596</v>
      </c>
      <c r="F432" s="183">
        <v>-1.3</v>
      </c>
      <c r="G432" s="850" t="s">
        <v>375</v>
      </c>
      <c r="H432" s="174">
        <f>ROUND(D432*F432,0)</f>
        <v>-2708360</v>
      </c>
      <c r="I432" s="851"/>
      <c r="J432" s="185">
        <f>+D432</f>
        <v>2083353.5792699324</v>
      </c>
      <c r="K432" s="849" t="s">
        <v>596</v>
      </c>
      <c r="L432" s="310">
        <f>ROUND(-DVC!G29,2)</f>
        <v>-1.34</v>
      </c>
      <c r="M432" s="850" t="s">
        <v>375</v>
      </c>
      <c r="N432" s="174">
        <f>ROUND(J432*L432,0)</f>
        <v>-2791694</v>
      </c>
      <c r="O432" s="852"/>
      <c r="P432" s="1155"/>
      <c r="Q432" s="854"/>
      <c r="T432" s="927"/>
      <c r="U432" s="178"/>
      <c r="V432" s="179"/>
      <c r="W432" s="180"/>
      <c r="X432" s="852"/>
      <c r="Y432" s="178"/>
      <c r="Z432" s="181"/>
      <c r="AA432" s="852"/>
      <c r="AB432" s="182"/>
      <c r="AC432" s="182"/>
      <c r="AD432" s="182"/>
      <c r="AE432" s="182"/>
      <c r="AF432" s="182"/>
      <c r="AH432" s="168"/>
      <c r="AI432" s="168"/>
      <c r="AJ432" s="168"/>
      <c r="AK432" s="168"/>
      <c r="AL432" s="168"/>
      <c r="AM432" s="168"/>
      <c r="AN432" s="168"/>
      <c r="AO432" s="168"/>
      <c r="AP432" s="168"/>
      <c r="AQ432" s="168"/>
      <c r="AR432" s="168"/>
      <c r="AS432" s="168"/>
      <c r="AT432" s="168"/>
      <c r="AU432" s="168"/>
      <c r="AV432" s="168"/>
      <c r="AW432" s="168"/>
      <c r="AX432" s="168"/>
      <c r="AY432" s="168"/>
      <c r="AZ432" s="168"/>
      <c r="BA432" s="168"/>
      <c r="BB432" s="168"/>
      <c r="BC432" s="168"/>
      <c r="BD432" s="168"/>
      <c r="BE432" s="168"/>
      <c r="BF432" s="168"/>
      <c r="BG432" s="168"/>
      <c r="BH432" s="168"/>
      <c r="BI432" s="168"/>
      <c r="BJ432" s="168"/>
      <c r="BK432" s="168"/>
      <c r="BL432" s="168"/>
      <c r="BM432" s="168"/>
      <c r="BN432" s="168"/>
      <c r="BO432" s="168"/>
      <c r="BP432" s="168"/>
      <c r="BQ432" s="168"/>
      <c r="BR432" s="168"/>
      <c r="BS432" s="168"/>
      <c r="BT432" s="168"/>
      <c r="BU432" s="168"/>
      <c r="BV432" s="168"/>
      <c r="BW432" s="168"/>
      <c r="BX432" s="168"/>
      <c r="BY432" s="168"/>
      <c r="BZ432" s="168"/>
      <c r="CA432" s="168"/>
      <c r="CB432" s="168"/>
      <c r="CC432" s="168"/>
      <c r="CD432" s="168"/>
      <c r="CE432" s="168"/>
      <c r="CF432" s="168"/>
      <c r="CG432" s="168"/>
      <c r="CH432" s="168"/>
      <c r="CI432" s="168"/>
      <c r="CJ432" s="168"/>
      <c r="CK432" s="168"/>
      <c r="CL432" s="168"/>
      <c r="CM432" s="168"/>
      <c r="CN432" s="168"/>
      <c r="CO432" s="168"/>
    </row>
    <row r="433" spans="1:93" x14ac:dyDescent="0.2">
      <c r="A433" s="118">
        <f t="shared" si="40"/>
        <v>28</v>
      </c>
      <c r="B433" s="847" t="s">
        <v>626</v>
      </c>
      <c r="C433" s="848"/>
      <c r="D433" s="185">
        <f>'MFR E-13c'!D393</f>
        <v>555594.16113921197</v>
      </c>
      <c r="E433" s="849" t="s">
        <v>596</v>
      </c>
      <c r="F433" s="183">
        <v>-6.18</v>
      </c>
      <c r="G433" s="850" t="s">
        <v>375</v>
      </c>
      <c r="H433" s="174">
        <f>ROUND(D433*F433,0)</f>
        <v>-3433572</v>
      </c>
      <c r="I433" s="851"/>
      <c r="J433" s="185">
        <f>+D433</f>
        <v>555594.16113921197</v>
      </c>
      <c r="K433" s="849" t="s">
        <v>596</v>
      </c>
      <c r="L433" s="310">
        <f>ROUND(-DVC!G30,2)</f>
        <v>-6.47</v>
      </c>
      <c r="M433" s="850" t="s">
        <v>375</v>
      </c>
      <c r="N433" s="174">
        <f>ROUND(J433*L433,0)</f>
        <v>-3594694</v>
      </c>
      <c r="O433" s="852"/>
      <c r="P433" s="853"/>
      <c r="Q433" s="854"/>
      <c r="T433" s="852"/>
      <c r="U433" s="178" t="s">
        <v>624</v>
      </c>
      <c r="V433" s="179">
        <v>228</v>
      </c>
      <c r="W433" s="180">
        <v>228</v>
      </c>
      <c r="X433" s="852"/>
      <c r="Y433" s="178"/>
      <c r="Z433" s="181"/>
      <c r="AA433" s="852"/>
      <c r="AB433" s="182"/>
      <c r="AC433" s="182"/>
      <c r="AD433" s="182"/>
      <c r="AE433" s="182"/>
      <c r="AF433" s="182"/>
      <c r="AH433" s="168"/>
      <c r="AI433" s="168"/>
      <c r="AJ433" s="168"/>
      <c r="AK433" s="168"/>
      <c r="AL433" s="168"/>
      <c r="AM433" s="168"/>
      <c r="AN433" s="168"/>
      <c r="AO433" s="168"/>
      <c r="AP433" s="168"/>
      <c r="AQ433" s="168"/>
      <c r="AR433" s="168"/>
      <c r="AS433" s="168"/>
      <c r="AT433" s="168"/>
      <c r="AU433" s="168"/>
      <c r="AV433" s="168"/>
      <c r="AW433" s="168"/>
      <c r="AX433" s="168"/>
      <c r="AY433" s="168"/>
      <c r="AZ433" s="168"/>
      <c r="BA433" s="168"/>
      <c r="BB433" s="168"/>
      <c r="BC433" s="168"/>
      <c r="BD433" s="168"/>
      <c r="BE433" s="168"/>
      <c r="BF433" s="168"/>
      <c r="BG433" s="168"/>
      <c r="BH433" s="168"/>
      <c r="BI433" s="168"/>
      <c r="BJ433" s="168"/>
      <c r="BK433" s="168"/>
      <c r="BL433" s="168"/>
      <c r="BM433" s="168"/>
      <c r="BN433" s="168"/>
      <c r="BO433" s="168"/>
      <c r="BP433" s="168"/>
      <c r="BQ433" s="168"/>
      <c r="BR433" s="168"/>
      <c r="BS433" s="168"/>
      <c r="BT433" s="168"/>
      <c r="BU433" s="168"/>
      <c r="BV433" s="168"/>
      <c r="BW433" s="168"/>
      <c r="BX433" s="168"/>
      <c r="BY433" s="168"/>
      <c r="BZ433" s="168"/>
      <c r="CA433" s="168"/>
      <c r="CB433" s="168"/>
      <c r="CC433" s="168"/>
      <c r="CD433" s="168"/>
      <c r="CE433" s="168"/>
      <c r="CF433" s="168"/>
      <c r="CG433" s="168"/>
      <c r="CH433" s="168"/>
      <c r="CI433" s="168"/>
      <c r="CJ433" s="168"/>
      <c r="CK433" s="168"/>
      <c r="CL433" s="168"/>
      <c r="CM433" s="168"/>
      <c r="CN433" s="168"/>
      <c r="CO433" s="168"/>
    </row>
    <row r="434" spans="1:93" x14ac:dyDescent="0.2">
      <c r="A434" s="118">
        <f t="shared" si="40"/>
        <v>29</v>
      </c>
      <c r="B434" s="234" t="s">
        <v>216</v>
      </c>
      <c r="C434" s="223"/>
      <c r="D434" s="168"/>
      <c r="E434" s="225"/>
      <c r="F434" s="183"/>
      <c r="G434" s="233"/>
      <c r="H434" s="168"/>
      <c r="I434" s="308"/>
      <c r="J434" s="168"/>
      <c r="K434" s="225"/>
      <c r="L434" s="183"/>
      <c r="M434" s="233"/>
      <c r="N434" s="168"/>
      <c r="O434" s="227"/>
      <c r="P434" s="262"/>
      <c r="Q434" s="247"/>
      <c r="S434" s="263"/>
      <c r="T434" s="227"/>
      <c r="U434" s="178"/>
      <c r="V434" s="179"/>
      <c r="W434" s="180"/>
      <c r="X434" s="264"/>
      <c r="Y434" s="178"/>
      <c r="Z434" s="181"/>
      <c r="AA434" s="264"/>
      <c r="AB434" s="264"/>
      <c r="AC434" s="264"/>
      <c r="AE434" s="244"/>
    </row>
    <row r="435" spans="1:93" x14ac:dyDescent="0.2">
      <c r="A435" s="118">
        <f t="shared" si="40"/>
        <v>30</v>
      </c>
      <c r="B435" s="243" t="s">
        <v>559</v>
      </c>
      <c r="C435" s="223"/>
      <c r="D435" s="172">
        <f>SUMIF($AH$8:$CP$8,1,$AH435:$CP435)</f>
        <v>2481812.8883460429</v>
      </c>
      <c r="E435" s="225" t="s">
        <v>596</v>
      </c>
      <c r="F435" s="183">
        <v>2.75</v>
      </c>
      <c r="G435" s="233" t="s">
        <v>375</v>
      </c>
      <c r="H435" s="168">
        <f>ROUND(D435*F435,2)</f>
        <v>6824985.4400000004</v>
      </c>
      <c r="I435" s="308"/>
      <c r="J435" s="172">
        <f>SUMIF($AH$8:$CP$8,1,$AH435:$CP435)</f>
        <v>2481812.8883460429</v>
      </c>
      <c r="K435" s="225" t="s">
        <v>596</v>
      </c>
      <c r="L435" s="183">
        <f>L429</f>
        <v>2.86</v>
      </c>
      <c r="M435" s="233" t="s">
        <v>375</v>
      </c>
      <c r="N435" s="168">
        <f>ROUND(J435*L435,2)</f>
        <v>7097984.8600000003</v>
      </c>
      <c r="O435" s="227"/>
      <c r="P435" s="262"/>
      <c r="Q435" s="247"/>
      <c r="R435" s="182"/>
      <c r="S435" s="263"/>
      <c r="T435" s="197"/>
      <c r="U435" s="178" t="s">
        <v>624</v>
      </c>
      <c r="V435" s="179">
        <v>254</v>
      </c>
      <c r="W435" s="180">
        <v>228</v>
      </c>
      <c r="X435" s="264"/>
      <c r="Y435" s="178"/>
      <c r="Z435" s="181"/>
      <c r="AA435" s="264"/>
      <c r="AB435" s="182">
        <f>SUM(AH435:AS435)</f>
        <v>2435674.2193251527</v>
      </c>
      <c r="AC435" s="182">
        <f>SUM(AT435:BE435)</f>
        <v>2434017.5516812722</v>
      </c>
      <c r="AD435" s="182">
        <f>SUM(BF435:BQ435)</f>
        <v>2449712.0212853253</v>
      </c>
      <c r="AE435" s="182">
        <f>SUM(BR435:CC435)</f>
        <v>2481812.8883460429</v>
      </c>
      <c r="AF435" s="182">
        <f>SUM(CD435:CO435)</f>
        <v>2486005.449654791</v>
      </c>
      <c r="AH435" s="168">
        <v>149988.30016128521</v>
      </c>
      <c r="AI435" s="168">
        <v>95093.61424954822</v>
      </c>
      <c r="AJ435" s="168">
        <v>472894.88311307022</v>
      </c>
      <c r="AK435" s="168">
        <v>285840.0631283035</v>
      </c>
      <c r="AL435" s="168">
        <v>236629.27895375638</v>
      </c>
      <c r="AM435" s="168">
        <v>166351.4821022441</v>
      </c>
      <c r="AN435" s="168">
        <v>170906.89598975328</v>
      </c>
      <c r="AO435" s="168">
        <v>177900.02282411745</v>
      </c>
      <c r="AP435" s="168">
        <v>160600.83692535042</v>
      </c>
      <c r="AQ435" s="168">
        <v>131529.91433722302</v>
      </c>
      <c r="AR435" s="168">
        <v>108052.70890254337</v>
      </c>
      <c r="AS435" s="168">
        <v>279886.2186379577</v>
      </c>
      <c r="AT435" s="168">
        <v>151012.16368664475</v>
      </c>
      <c r="AU435" s="168">
        <v>95558.90146764474</v>
      </c>
      <c r="AV435" s="168">
        <v>470604.45563152415</v>
      </c>
      <c r="AW435" s="168">
        <v>289168.97164592642</v>
      </c>
      <c r="AX435" s="168">
        <v>236402.7717860234</v>
      </c>
      <c r="AY435" s="168">
        <v>163343.88932739323</v>
      </c>
      <c r="AZ435" s="168">
        <v>173135.84778226246</v>
      </c>
      <c r="BA435" s="168">
        <v>176412.22238308433</v>
      </c>
      <c r="BB435" s="168">
        <v>160404.87249325815</v>
      </c>
      <c r="BC435" s="168">
        <v>132334.1144131168</v>
      </c>
      <c r="BD435" s="168">
        <v>107570.8252986867</v>
      </c>
      <c r="BE435" s="168">
        <v>278068.5157657073</v>
      </c>
      <c r="BF435" s="168">
        <v>151376.13462948837</v>
      </c>
      <c r="BG435" s="168">
        <v>96782.308926627156</v>
      </c>
      <c r="BH435" s="168">
        <v>476810.32204671873</v>
      </c>
      <c r="BI435" s="168">
        <v>287529.14110373391</v>
      </c>
      <c r="BJ435" s="168">
        <v>237524.36698436717</v>
      </c>
      <c r="BK435" s="168">
        <v>165364.47668744792</v>
      </c>
      <c r="BL435" s="168">
        <v>173936.23749142</v>
      </c>
      <c r="BM435" s="168">
        <v>177483.63597373365</v>
      </c>
      <c r="BN435" s="168">
        <v>160809.1156735952</v>
      </c>
      <c r="BO435" s="168">
        <v>131516.38496853015</v>
      </c>
      <c r="BP435" s="168">
        <v>107505.29848863088</v>
      </c>
      <c r="BQ435" s="168">
        <v>283074.59831103199</v>
      </c>
      <c r="BR435" s="168">
        <v>153452.81431537023</v>
      </c>
      <c r="BS435" s="168">
        <v>97445.016460536674</v>
      </c>
      <c r="BT435" s="168">
        <v>487169.02592099452</v>
      </c>
      <c r="BU435" s="168">
        <v>294405.79423077602</v>
      </c>
      <c r="BV435" s="168">
        <v>236575.75252601132</v>
      </c>
      <c r="BW435" s="168">
        <v>168880.95614256684</v>
      </c>
      <c r="BX435" s="168">
        <v>177320.12320963759</v>
      </c>
      <c r="BY435" s="168">
        <v>179813.30313180189</v>
      </c>
      <c r="BZ435" s="168">
        <v>162284.38545986946</v>
      </c>
      <c r="CA435" s="168">
        <v>133356.18286842993</v>
      </c>
      <c r="CB435" s="168">
        <v>108741.41400646532</v>
      </c>
      <c r="CC435" s="168">
        <v>282368.12007358356</v>
      </c>
      <c r="CD435" s="168">
        <v>154054.70289074682</v>
      </c>
      <c r="CE435" s="168">
        <v>96865.815475422132</v>
      </c>
      <c r="CF435" s="168">
        <v>479946.4443430145</v>
      </c>
      <c r="CG435" s="168">
        <v>298230.76380448346</v>
      </c>
      <c r="CH435" s="168">
        <v>240042.71954098978</v>
      </c>
      <c r="CI435" s="168">
        <v>167333.8820595154</v>
      </c>
      <c r="CJ435" s="168">
        <v>177275.01120465368</v>
      </c>
      <c r="CK435" s="168">
        <v>180223.05630652959</v>
      </c>
      <c r="CL435" s="168">
        <v>164957.4222236436</v>
      </c>
      <c r="CM435" s="168">
        <v>133974.08744112434</v>
      </c>
      <c r="CN435" s="168">
        <v>110180.14386566594</v>
      </c>
      <c r="CO435" s="168">
        <v>282921.40049900179</v>
      </c>
    </row>
    <row r="436" spans="1:93" x14ac:dyDescent="0.2">
      <c r="A436" s="118">
        <f t="shared" si="40"/>
        <v>31</v>
      </c>
      <c r="B436" s="243" t="s">
        <v>599</v>
      </c>
      <c r="C436" s="223"/>
      <c r="D436" s="172">
        <f>SUMIF($AH$8:$CP$8,1,$AH436:$CP436)</f>
        <v>2442122.169550058</v>
      </c>
      <c r="E436" s="225" t="s">
        <v>596</v>
      </c>
      <c r="F436" s="183">
        <v>5.28</v>
      </c>
      <c r="G436" s="233" t="s">
        <v>375</v>
      </c>
      <c r="H436" s="168">
        <f>ROUND(D436*F436,2)</f>
        <v>12894405.060000001</v>
      </c>
      <c r="I436" s="308"/>
      <c r="J436" s="172">
        <f>SUMIF($AH$8:$CP$8,1,$AH436:$CP436)</f>
        <v>2442122.169550058</v>
      </c>
      <c r="K436" s="225" t="s">
        <v>596</v>
      </c>
      <c r="L436" s="183">
        <f>L430</f>
        <v>5.52</v>
      </c>
      <c r="M436" s="233" t="s">
        <v>375</v>
      </c>
      <c r="N436" s="168">
        <f>ROUND(J436*L436,2)</f>
        <v>13480514.380000001</v>
      </c>
      <c r="O436" s="227"/>
      <c r="P436" s="262"/>
      <c r="Q436" s="247"/>
      <c r="R436" s="182"/>
      <c r="S436" s="263"/>
      <c r="T436" s="197"/>
      <c r="U436" s="178" t="s">
        <v>624</v>
      </c>
      <c r="V436" s="179">
        <v>254</v>
      </c>
      <c r="W436" s="180">
        <v>228</v>
      </c>
      <c r="X436" s="264"/>
      <c r="Y436" s="178"/>
      <c r="Z436" s="181"/>
      <c r="AA436" s="264"/>
      <c r="AB436" s="182"/>
      <c r="AC436" s="182"/>
      <c r="AD436" s="182"/>
      <c r="AE436" s="182"/>
      <c r="AF436" s="182"/>
      <c r="AH436" s="168">
        <v>11969.975508594302</v>
      </c>
      <c r="AI436" s="168">
        <v>43098.441851172181</v>
      </c>
      <c r="AJ436" s="168">
        <v>285955.70622411784</v>
      </c>
      <c r="AK436" s="168">
        <v>263690.72901575139</v>
      </c>
      <c r="AL436" s="168">
        <v>260900.28768540753</v>
      </c>
      <c r="AM436" s="168">
        <v>230641.03008703914</v>
      </c>
      <c r="AN436" s="168">
        <v>222040.10148790217</v>
      </c>
      <c r="AO436" s="168">
        <v>224176.46266355042</v>
      </c>
      <c r="AP436" s="168">
        <v>220204.13228890981</v>
      </c>
      <c r="AQ436" s="168">
        <v>186586.96493347175</v>
      </c>
      <c r="AR436" s="168">
        <v>146083.98967636874</v>
      </c>
      <c r="AS436" s="168">
        <v>301373.55783510144</v>
      </c>
      <c r="AT436" s="168">
        <v>12461.886631801357</v>
      </c>
      <c r="AU436" s="168">
        <v>43774.721379423863</v>
      </c>
      <c r="AV436" s="168">
        <v>284681.19270868931</v>
      </c>
      <c r="AW436" s="168">
        <v>266894.09458205278</v>
      </c>
      <c r="AX436" s="168">
        <v>260815.46891867759</v>
      </c>
      <c r="AY436" s="168">
        <v>226539.09821960886</v>
      </c>
      <c r="AZ436" s="168">
        <v>225018.24792156427</v>
      </c>
      <c r="BA436" s="168">
        <v>222089.82319820669</v>
      </c>
      <c r="BB436" s="168">
        <v>220002.84023154082</v>
      </c>
      <c r="BC436" s="168">
        <v>187780.67010752327</v>
      </c>
      <c r="BD436" s="168">
        <v>145463.4603639539</v>
      </c>
      <c r="BE436" s="168">
        <v>299569.7018254901</v>
      </c>
      <c r="BF436" s="168">
        <v>12374.545858836147</v>
      </c>
      <c r="BG436" s="168">
        <v>44235.242911966452</v>
      </c>
      <c r="BH436" s="168">
        <v>288642.44228017476</v>
      </c>
      <c r="BI436" s="168">
        <v>265555.51262300473</v>
      </c>
      <c r="BJ436" s="168">
        <v>262210.6982655293</v>
      </c>
      <c r="BK436" s="168">
        <v>229503.90940328129</v>
      </c>
      <c r="BL436" s="168">
        <v>226219.02340495458</v>
      </c>
      <c r="BM436" s="168">
        <v>223675.39207617988</v>
      </c>
      <c r="BN436" s="168">
        <v>220715.95137816487</v>
      </c>
      <c r="BO436" s="168">
        <v>186757.41099261635</v>
      </c>
      <c r="BP436" s="168">
        <v>145485.71351963605</v>
      </c>
      <c r="BQ436" s="168">
        <v>305158.83711040905</v>
      </c>
      <c r="BR436" s="168">
        <v>12523.760424812132</v>
      </c>
      <c r="BS436" s="168">
        <v>44531.299166349476</v>
      </c>
      <c r="BT436" s="168">
        <v>295142.89535329811</v>
      </c>
      <c r="BU436" s="168">
        <v>272077.36562861135</v>
      </c>
      <c r="BV436" s="168">
        <v>261354.78691463117</v>
      </c>
      <c r="BW436" s="168">
        <v>234578.35262157879</v>
      </c>
      <c r="BX436" s="168">
        <v>230786.12914604048</v>
      </c>
      <c r="BY436" s="168">
        <v>226815.49939687434</v>
      </c>
      <c r="BZ436" s="168">
        <v>222915.20569333064</v>
      </c>
      <c r="CA436" s="168">
        <v>189517.63260809414</v>
      </c>
      <c r="CB436" s="168">
        <v>147277.81381001795</v>
      </c>
      <c r="CC436" s="168">
        <v>304601.42878641968</v>
      </c>
      <c r="CD436" s="168">
        <v>12584.007913987956</v>
      </c>
      <c r="CE436" s="168">
        <v>44224.432984695646</v>
      </c>
      <c r="CF436" s="168">
        <v>290247.27499543864</v>
      </c>
      <c r="CG436" s="168">
        <v>275196.02405130141</v>
      </c>
      <c r="CH436" s="168">
        <v>264758.64779868396</v>
      </c>
      <c r="CI436" s="168">
        <v>232021.70750550224</v>
      </c>
      <c r="CJ436" s="168">
        <v>230342.23039700175</v>
      </c>
      <c r="CK436" s="168">
        <v>226929.29721422846</v>
      </c>
      <c r="CL436" s="168">
        <v>226194.93498652824</v>
      </c>
      <c r="CM436" s="168">
        <v>190063.01351627085</v>
      </c>
      <c r="CN436" s="168">
        <v>148956.2206420688</v>
      </c>
      <c r="CO436" s="168">
        <v>304729.88876534876</v>
      </c>
    </row>
    <row r="437" spans="1:93" x14ac:dyDescent="0.2">
      <c r="A437" s="118">
        <f t="shared" si="40"/>
        <v>32</v>
      </c>
      <c r="B437" s="243" t="s">
        <v>145</v>
      </c>
      <c r="C437" s="223"/>
      <c r="D437" s="172">
        <f>SUMIF($AH$8:$CP$8,1,$AH437:$CP437)</f>
        <v>2948056.3210333781</v>
      </c>
      <c r="E437" s="225" t="s">
        <v>596</v>
      </c>
      <c r="F437" s="183">
        <v>1.86</v>
      </c>
      <c r="G437" s="233" t="s">
        <v>375</v>
      </c>
      <c r="H437" s="168">
        <f>ROUND(D437*F437,2)</f>
        <v>5483384.7599999998</v>
      </c>
      <c r="I437" s="308"/>
      <c r="J437" s="172">
        <f>SUMIF($AH$8:$CP$8,1,$AH437:$CP437)</f>
        <v>2948056.3210333781</v>
      </c>
      <c r="K437" s="225" t="s">
        <v>596</v>
      </c>
      <c r="L437" s="183">
        <f>L431</f>
        <v>1.96</v>
      </c>
      <c r="M437" s="233" t="s">
        <v>375</v>
      </c>
      <c r="N437" s="168">
        <f>ROUND(J437*L437,2)</f>
        <v>5778190.3899999997</v>
      </c>
      <c r="O437" s="227"/>
      <c r="P437" s="1287"/>
      <c r="Q437" s="247"/>
      <c r="R437" s="182"/>
      <c r="S437" s="227"/>
      <c r="T437" s="927"/>
      <c r="U437" s="178" t="s">
        <v>624</v>
      </c>
      <c r="V437" s="179">
        <v>254</v>
      </c>
      <c r="W437" s="180">
        <v>228</v>
      </c>
      <c r="X437" s="227"/>
      <c r="Y437" s="178"/>
      <c r="Z437" s="181"/>
      <c r="AA437" s="227"/>
      <c r="AB437" s="182">
        <f>SUM(AH437:AS437)</f>
        <v>2893249.854562914</v>
      </c>
      <c r="AC437" s="182">
        <f>SUM(AT437:BE437)</f>
        <v>2891281.9586178456</v>
      </c>
      <c r="AD437" s="182">
        <f>SUM(BF437:BQ437)</f>
        <v>2909924.8549210923</v>
      </c>
      <c r="AE437" s="182">
        <f>SUM(BR437:CC437)</f>
        <v>2948056.3210333781</v>
      </c>
      <c r="AF437" s="182">
        <f>SUM(CD437:CO437)</f>
        <v>2953036.513909969</v>
      </c>
      <c r="AH437" s="168">
        <v>157623.42717958579</v>
      </c>
      <c r="AI437" s="168">
        <v>80480.122255470691</v>
      </c>
      <c r="AJ437" s="168">
        <v>325742.72593685857</v>
      </c>
      <c r="AK437" s="168">
        <v>299930.403250031</v>
      </c>
      <c r="AL437" s="168">
        <v>299383.63487059606</v>
      </c>
      <c r="AM437" s="168">
        <v>262071.40319659421</v>
      </c>
      <c r="AN437" s="168">
        <v>251411.20736537001</v>
      </c>
      <c r="AO437" s="168">
        <v>247474.08823952556</v>
      </c>
      <c r="AP437" s="168">
        <v>249522.59685174871</v>
      </c>
      <c r="AQ437" s="168">
        <v>210965.48368850027</v>
      </c>
      <c r="AR437" s="168">
        <v>164685.45577733431</v>
      </c>
      <c r="AS437" s="168">
        <v>343959.30595129885</v>
      </c>
      <c r="AT437" s="168">
        <v>158566.65393169946</v>
      </c>
      <c r="AU437" s="168">
        <v>80629.82101266025</v>
      </c>
      <c r="AV437" s="168">
        <v>324167.94220292679</v>
      </c>
      <c r="AW437" s="168">
        <v>303581.67161920527</v>
      </c>
      <c r="AX437" s="168">
        <v>299232.43079240795</v>
      </c>
      <c r="AY437" s="168">
        <v>257407.79891365435</v>
      </c>
      <c r="AZ437" s="168">
        <v>254779.61069292808</v>
      </c>
      <c r="BA437" s="168">
        <v>245427.04505221537</v>
      </c>
      <c r="BB437" s="168">
        <v>249292.55686061943</v>
      </c>
      <c r="BC437" s="168">
        <v>212313.36717811346</v>
      </c>
      <c r="BD437" s="168">
        <v>163984.41263860432</v>
      </c>
      <c r="BE437" s="168">
        <v>341898.64772281109</v>
      </c>
      <c r="BF437" s="168">
        <v>158985.01988700274</v>
      </c>
      <c r="BG437" s="168">
        <v>81768.697292800571</v>
      </c>
      <c r="BH437" s="168">
        <v>328707.88853107166</v>
      </c>
      <c r="BI437" s="168">
        <v>302055.07857032737</v>
      </c>
      <c r="BJ437" s="168">
        <v>300845.35772509163</v>
      </c>
      <c r="BK437" s="168">
        <v>260775.35340521223</v>
      </c>
      <c r="BL437" s="168">
        <v>256137.95940843213</v>
      </c>
      <c r="BM437" s="168">
        <v>247111.21567311732</v>
      </c>
      <c r="BN437" s="168">
        <v>250099.03538634151</v>
      </c>
      <c r="BO437" s="168">
        <v>211154.99579765354</v>
      </c>
      <c r="BP437" s="168">
        <v>164008.29305364471</v>
      </c>
      <c r="BQ437" s="168">
        <v>348275.96019039629</v>
      </c>
      <c r="BR437" s="168">
        <v>161186.19353978377</v>
      </c>
      <c r="BS437" s="168">
        <v>82387.505657054135</v>
      </c>
      <c r="BT437" s="168">
        <v>336131.36840475362</v>
      </c>
      <c r="BU437" s="168">
        <v>309480.34711826028</v>
      </c>
      <c r="BV437" s="168">
        <v>299873.21312560752</v>
      </c>
      <c r="BW437" s="168">
        <v>266548.56123532302</v>
      </c>
      <c r="BX437" s="168">
        <v>261317.39961203554</v>
      </c>
      <c r="BY437" s="168">
        <v>250568.44887175941</v>
      </c>
      <c r="BZ437" s="168">
        <v>252598.72376621253</v>
      </c>
      <c r="CA437" s="168">
        <v>214282.79711310222</v>
      </c>
      <c r="CB437" s="168">
        <v>166034.44503250797</v>
      </c>
      <c r="CC437" s="168">
        <v>347647.31755697762</v>
      </c>
      <c r="CD437" s="168">
        <v>161814.34268525511</v>
      </c>
      <c r="CE437" s="168">
        <v>81813.377589968732</v>
      </c>
      <c r="CF437" s="168">
        <v>330547.48665937106</v>
      </c>
      <c r="CG437" s="168">
        <v>313023.61177027528</v>
      </c>
      <c r="CH437" s="168">
        <v>303774.82771204313</v>
      </c>
      <c r="CI437" s="168">
        <v>263639.57253748272</v>
      </c>
      <c r="CJ437" s="168">
        <v>260810.33634439565</v>
      </c>
      <c r="CK437" s="168">
        <v>250693.09267625041</v>
      </c>
      <c r="CL437" s="168">
        <v>256310.97816868703</v>
      </c>
      <c r="CM437" s="168">
        <v>214895.65017914859</v>
      </c>
      <c r="CN437" s="168">
        <v>167923.38114070817</v>
      </c>
      <c r="CO437" s="168">
        <v>347789.85644638317</v>
      </c>
    </row>
    <row r="438" spans="1:93" x14ac:dyDescent="0.2">
      <c r="A438" s="118">
        <f t="shared" si="40"/>
        <v>33</v>
      </c>
      <c r="B438" s="847" t="s">
        <v>627</v>
      </c>
      <c r="C438" s="848"/>
      <c r="D438" s="172">
        <f t="shared" ref="D438:D439" si="42">SUMIF($AH$8:$CP$8,1,$AH438:$CP438)</f>
        <v>1995648.1351424274</v>
      </c>
      <c r="E438" s="849" t="s">
        <v>596</v>
      </c>
      <c r="F438" s="183">
        <v>-6.18</v>
      </c>
      <c r="G438" s="850" t="s">
        <v>375</v>
      </c>
      <c r="H438" s="174">
        <f>ROUND(D438*F438,2)</f>
        <v>-12333105.48</v>
      </c>
      <c r="I438" s="851"/>
      <c r="J438" s="172">
        <f t="shared" ref="J438:J439" si="43">SUMIF($AH$8:$CP$8,1,$AH438:$CP438)</f>
        <v>1995648.1351424274</v>
      </c>
      <c r="K438" s="849" t="s">
        <v>596</v>
      </c>
      <c r="L438" s="310">
        <f>ROUND(-DVC!G30,2)</f>
        <v>-6.47</v>
      </c>
      <c r="M438" s="850" t="s">
        <v>375</v>
      </c>
      <c r="N438" s="174">
        <f>ROUND(J438*L438,2)</f>
        <v>-12911843.43</v>
      </c>
      <c r="O438" s="852"/>
      <c r="P438" s="853"/>
      <c r="Q438" s="854"/>
      <c r="T438" s="852"/>
      <c r="U438" s="178" t="s">
        <v>624</v>
      </c>
      <c r="V438" s="179">
        <v>254</v>
      </c>
      <c r="W438" s="180">
        <v>228</v>
      </c>
      <c r="X438" s="852"/>
      <c r="Y438" s="178"/>
      <c r="Z438" s="181"/>
      <c r="AA438" s="852"/>
      <c r="AB438" s="182"/>
      <c r="AC438" s="182"/>
      <c r="AD438" s="182"/>
      <c r="AE438" s="182"/>
      <c r="AF438" s="182"/>
      <c r="AH438" s="168">
        <f>AH436-AH439</f>
        <v>11969.975508594302</v>
      </c>
      <c r="AI438" s="168">
        <f t="shared" ref="AI438:CO438" si="44">AI436-AI439</f>
        <v>43098.441851172181</v>
      </c>
      <c r="AJ438" s="168">
        <f t="shared" si="44"/>
        <v>214395.37063045707</v>
      </c>
      <c r="AK438" s="168">
        <f t="shared" si="44"/>
        <v>221911.47737202872</v>
      </c>
      <c r="AL438" s="168">
        <f t="shared" si="44"/>
        <v>227181.0843517794</v>
      </c>
      <c r="AM438" s="168">
        <f t="shared" si="44"/>
        <v>189707.41670967219</v>
      </c>
      <c r="AN438" s="168">
        <f t="shared" si="44"/>
        <v>175013.86823880597</v>
      </c>
      <c r="AO438" s="168">
        <f t="shared" si="44"/>
        <v>184676.99642611467</v>
      </c>
      <c r="AP438" s="168">
        <f t="shared" si="44"/>
        <v>175535.67270910391</v>
      </c>
      <c r="AQ438" s="168">
        <f t="shared" si="44"/>
        <v>144844.05785474391</v>
      </c>
      <c r="AR438" s="168">
        <f t="shared" si="44"/>
        <v>109331.98723643474</v>
      </c>
      <c r="AS438" s="168">
        <f t="shared" si="44"/>
        <v>260881.26621759785</v>
      </c>
      <c r="AT438" s="168">
        <f t="shared" si="44"/>
        <v>12461.886631801357</v>
      </c>
      <c r="AU438" s="168">
        <f t="shared" si="44"/>
        <v>43774.721379423863</v>
      </c>
      <c r="AV438" s="168">
        <f t="shared" si="44"/>
        <v>213415.27176221035</v>
      </c>
      <c r="AW438" s="168">
        <f t="shared" si="44"/>
        <v>224590.95530794523</v>
      </c>
      <c r="AX438" s="168">
        <f t="shared" si="44"/>
        <v>227093.74609590392</v>
      </c>
      <c r="AY438" s="168">
        <f t="shared" si="44"/>
        <v>186318.29667842115</v>
      </c>
      <c r="AZ438" s="168">
        <f t="shared" si="44"/>
        <v>177344.01542225326</v>
      </c>
      <c r="BA438" s="168">
        <f t="shared" si="44"/>
        <v>182943.21239770073</v>
      </c>
      <c r="BB438" s="168">
        <f t="shared" si="44"/>
        <v>175358.87335170514</v>
      </c>
      <c r="BC438" s="168">
        <f t="shared" si="44"/>
        <v>145755.73116412666</v>
      </c>
      <c r="BD438" s="168">
        <f t="shared" si="44"/>
        <v>108854.99208390978</v>
      </c>
      <c r="BE438" s="168">
        <f t="shared" si="44"/>
        <v>259303.77143173123</v>
      </c>
      <c r="BF438" s="168">
        <f t="shared" si="44"/>
        <v>12374.545858836147</v>
      </c>
      <c r="BG438" s="168">
        <f t="shared" si="44"/>
        <v>44235.242911966452</v>
      </c>
      <c r="BH438" s="168">
        <f t="shared" si="44"/>
        <v>216364.87252080531</v>
      </c>
      <c r="BI438" s="168">
        <f t="shared" si="44"/>
        <v>223451.45902325262</v>
      </c>
      <c r="BJ438" s="168">
        <f t="shared" si="44"/>
        <v>228297.67899656316</v>
      </c>
      <c r="BK438" s="168">
        <f t="shared" si="44"/>
        <v>188744.34415921022</v>
      </c>
      <c r="BL438" s="168">
        <f t="shared" si="44"/>
        <v>178276.43359047227</v>
      </c>
      <c r="BM438" s="168">
        <f t="shared" si="44"/>
        <v>184237.30661953875</v>
      </c>
      <c r="BN438" s="168">
        <f t="shared" si="44"/>
        <v>175914.0917034781</v>
      </c>
      <c r="BO438" s="168">
        <f t="shared" si="44"/>
        <v>144949.49364596899</v>
      </c>
      <c r="BP438" s="168">
        <f t="shared" si="44"/>
        <v>108861.52556220924</v>
      </c>
      <c r="BQ438" s="168">
        <f t="shared" si="44"/>
        <v>264128.54372342874</v>
      </c>
      <c r="BR438" s="168">
        <f t="shared" si="44"/>
        <v>12523.760424812132</v>
      </c>
      <c r="BS438" s="168">
        <f t="shared" si="44"/>
        <v>44531.299166349476</v>
      </c>
      <c r="BT438" s="168">
        <f t="shared" si="44"/>
        <v>221336.2557009756</v>
      </c>
      <c r="BU438" s="168">
        <f t="shared" si="44"/>
        <v>229003.91140239217</v>
      </c>
      <c r="BV438" s="168">
        <f t="shared" si="44"/>
        <v>227604.87756177981</v>
      </c>
      <c r="BW438" s="168">
        <f t="shared" si="44"/>
        <v>192978.59327382644</v>
      </c>
      <c r="BX438" s="168">
        <f t="shared" si="44"/>
        <v>181944.28466289863</v>
      </c>
      <c r="BY438" s="168">
        <f t="shared" si="44"/>
        <v>186882.42144572915</v>
      </c>
      <c r="BZ438" s="168">
        <f t="shared" si="44"/>
        <v>177731.16348952867</v>
      </c>
      <c r="CA438" s="168">
        <f t="shared" si="44"/>
        <v>147150.45555173222</v>
      </c>
      <c r="CB438" s="168">
        <f t="shared" si="44"/>
        <v>110251.90189707502</v>
      </c>
      <c r="CC438" s="168">
        <f t="shared" si="44"/>
        <v>263709.21056532807</v>
      </c>
      <c r="CD438" s="168">
        <f t="shared" si="44"/>
        <v>12584.007913987956</v>
      </c>
      <c r="CE438" s="168">
        <f t="shared" si="44"/>
        <v>44224.432984695646</v>
      </c>
      <c r="CF438" s="168">
        <f t="shared" si="44"/>
        <v>217612.34986780473</v>
      </c>
      <c r="CG438" s="168">
        <f t="shared" si="44"/>
        <v>231593.44785916558</v>
      </c>
      <c r="CH438" s="168">
        <f t="shared" si="44"/>
        <v>230540.44103439077</v>
      </c>
      <c r="CI438" s="168">
        <f t="shared" si="44"/>
        <v>190842.66570468424</v>
      </c>
      <c r="CJ438" s="168">
        <f t="shared" si="44"/>
        <v>181557.23403101962</v>
      </c>
      <c r="CK438" s="168">
        <f t="shared" si="44"/>
        <v>186944.40833521995</v>
      </c>
      <c r="CL438" s="168">
        <f t="shared" si="44"/>
        <v>180310.81946898549</v>
      </c>
      <c r="CM438" s="168">
        <f t="shared" si="44"/>
        <v>147542.07175343292</v>
      </c>
      <c r="CN438" s="168">
        <f t="shared" si="44"/>
        <v>111481.29633397641</v>
      </c>
      <c r="CO438" s="168">
        <f t="shared" si="44"/>
        <v>263786.23622991133</v>
      </c>
    </row>
    <row r="439" spans="1:93" x14ac:dyDescent="0.2">
      <c r="A439" s="118">
        <f t="shared" si="40"/>
        <v>34</v>
      </c>
      <c r="B439" s="847" t="s">
        <v>628</v>
      </c>
      <c r="C439" s="848"/>
      <c r="D439" s="172">
        <f t="shared" si="42"/>
        <v>446474.03440763085</v>
      </c>
      <c r="E439" s="849" t="s">
        <v>596</v>
      </c>
      <c r="F439" s="183">
        <v>-8.61</v>
      </c>
      <c r="G439" s="850" t="s">
        <v>375</v>
      </c>
      <c r="H439" s="174">
        <f>ROUND(D439*F439,2)</f>
        <v>-3844141.44</v>
      </c>
      <c r="I439" s="851"/>
      <c r="J439" s="172">
        <f t="shared" si="43"/>
        <v>446474.03440763085</v>
      </c>
      <c r="K439" s="849" t="s">
        <v>596</v>
      </c>
      <c r="L439" s="310">
        <f>ROUND(-DVC!G31,2)</f>
        <v>-9.0399999999999991</v>
      </c>
      <c r="M439" s="850" t="s">
        <v>375</v>
      </c>
      <c r="N439" s="174">
        <f>ROUND(J439*L439,2)</f>
        <v>-4036125.27</v>
      </c>
      <c r="O439" s="852"/>
      <c r="P439" s="853"/>
      <c r="Q439" s="854"/>
      <c r="T439" s="852"/>
      <c r="U439" s="178" t="s">
        <v>624</v>
      </c>
      <c r="V439" s="179">
        <v>254</v>
      </c>
      <c r="W439" s="180">
        <v>228</v>
      </c>
      <c r="X439" s="852"/>
      <c r="Y439" s="178"/>
      <c r="Z439" s="181"/>
      <c r="AA439" s="852"/>
      <c r="AB439" s="182"/>
      <c r="AC439" s="182"/>
      <c r="AD439" s="182"/>
      <c r="AE439" s="182"/>
      <c r="AF439" s="182"/>
      <c r="AH439" s="168">
        <v>0</v>
      </c>
      <c r="AI439" s="168">
        <v>0</v>
      </c>
      <c r="AJ439" s="168">
        <v>71560.33559366077</v>
      </c>
      <c r="AK439" s="168">
        <v>41779.251643722666</v>
      </c>
      <c r="AL439" s="168">
        <v>33719.203333628131</v>
      </c>
      <c r="AM439" s="168">
        <v>40933.613377366935</v>
      </c>
      <c r="AN439" s="168">
        <v>47026.233249096185</v>
      </c>
      <c r="AO439" s="168">
        <v>39499.46623743575</v>
      </c>
      <c r="AP439" s="168">
        <v>44668.459579805894</v>
      </c>
      <c r="AQ439" s="168">
        <v>41742.907078727862</v>
      </c>
      <c r="AR439" s="168">
        <v>36752.002439933996</v>
      </c>
      <c r="AS439" s="168">
        <v>40492.291617503586</v>
      </c>
      <c r="AT439" s="168">
        <v>0</v>
      </c>
      <c r="AU439" s="168">
        <v>0</v>
      </c>
      <c r="AV439" s="168">
        <v>71265.920946478946</v>
      </c>
      <c r="AW439" s="168">
        <v>42303.139274107562</v>
      </c>
      <c r="AX439" s="168">
        <v>33721.722822773692</v>
      </c>
      <c r="AY439" s="168">
        <v>40220.80154118772</v>
      </c>
      <c r="AZ439" s="168">
        <v>47674.232499311009</v>
      </c>
      <c r="BA439" s="168">
        <v>39146.610800505965</v>
      </c>
      <c r="BB439" s="168">
        <v>44643.966879835672</v>
      </c>
      <c r="BC439" s="168">
        <v>42024.938943396599</v>
      </c>
      <c r="BD439" s="168">
        <v>36608.468280044115</v>
      </c>
      <c r="BE439" s="168">
        <v>40265.930393758856</v>
      </c>
      <c r="BF439" s="168">
        <v>0</v>
      </c>
      <c r="BG439" s="168">
        <v>0</v>
      </c>
      <c r="BH439" s="168">
        <v>72277.569759369449</v>
      </c>
      <c r="BI439" s="168">
        <v>42104.053599752107</v>
      </c>
      <c r="BJ439" s="168">
        <v>33913.019268966134</v>
      </c>
      <c r="BK439" s="168">
        <v>40759.565244071055</v>
      </c>
      <c r="BL439" s="168">
        <v>47942.5898144823</v>
      </c>
      <c r="BM439" s="168">
        <v>39438.085456641129</v>
      </c>
      <c r="BN439" s="168">
        <v>44801.859674686762</v>
      </c>
      <c r="BO439" s="168">
        <v>41807.917346647366</v>
      </c>
      <c r="BP439" s="168">
        <v>36624.18795742681</v>
      </c>
      <c r="BQ439" s="168">
        <v>41030.293386980338</v>
      </c>
      <c r="BR439" s="168">
        <v>0</v>
      </c>
      <c r="BS439" s="168">
        <v>0</v>
      </c>
      <c r="BT439" s="168">
        <v>73806.639652322527</v>
      </c>
      <c r="BU439" s="168">
        <v>43073.454226219175</v>
      </c>
      <c r="BV439" s="168">
        <v>33749.909352851362</v>
      </c>
      <c r="BW439" s="168">
        <v>41599.759347752341</v>
      </c>
      <c r="BX439" s="168">
        <v>48841.844483141853</v>
      </c>
      <c r="BY439" s="168">
        <v>39933.077951145176</v>
      </c>
      <c r="BZ439" s="168">
        <v>45184.042203801982</v>
      </c>
      <c r="CA439" s="168">
        <v>42367.177056361921</v>
      </c>
      <c r="CB439" s="168">
        <v>37025.911912942931</v>
      </c>
      <c r="CC439" s="168">
        <v>40892.2182210916</v>
      </c>
      <c r="CD439" s="168">
        <v>0</v>
      </c>
      <c r="CE439" s="168">
        <v>0</v>
      </c>
      <c r="CF439" s="168">
        <v>72634.92512763392</v>
      </c>
      <c r="CG439" s="168">
        <v>43602.576192135843</v>
      </c>
      <c r="CH439" s="168">
        <v>34218.206764293194</v>
      </c>
      <c r="CI439" s="168">
        <v>41179.041800817991</v>
      </c>
      <c r="CJ439" s="168">
        <v>48784.996365982144</v>
      </c>
      <c r="CK439" s="168">
        <v>39984.888879008504</v>
      </c>
      <c r="CL439" s="168">
        <v>45884.115517542741</v>
      </c>
      <c r="CM439" s="168">
        <v>42520.941762837938</v>
      </c>
      <c r="CN439" s="168">
        <v>37474.924308092384</v>
      </c>
      <c r="CO439" s="168">
        <v>40943.652535437417</v>
      </c>
    </row>
    <row r="440" spans="1:93" x14ac:dyDescent="0.2">
      <c r="A440" s="118">
        <f t="shared" si="40"/>
        <v>35</v>
      </c>
      <c r="B440" s="243"/>
      <c r="C440" s="225" t="s">
        <v>603</v>
      </c>
      <c r="D440" s="204">
        <f>SUM(D419:D422,D427,D431,D437)</f>
        <v>7512508.068418392</v>
      </c>
      <c r="E440" s="233" t="s">
        <v>629</v>
      </c>
      <c r="F440" s="205" t="s">
        <v>374</v>
      </c>
      <c r="G440" s="233"/>
      <c r="H440" s="204">
        <f>SUM(H417:H439)</f>
        <v>40844770.829999998</v>
      </c>
      <c r="I440" s="308"/>
      <c r="J440" s="204">
        <f>SUM(J419:J422,J427,J431,J437)</f>
        <v>7512508.068418392</v>
      </c>
      <c r="K440" s="233" t="s">
        <v>629</v>
      </c>
      <c r="L440" s="205" t="s">
        <v>374</v>
      </c>
      <c r="M440" s="233"/>
      <c r="N440" s="204">
        <f>SUM(N417:N439)</f>
        <v>42732972.980000004</v>
      </c>
      <c r="O440" s="227"/>
      <c r="P440" s="312"/>
      <c r="Q440" s="1022"/>
      <c r="U440" s="184"/>
      <c r="V440" s="179"/>
      <c r="W440" s="180"/>
      <c r="Y440" s="184" t="s">
        <v>623</v>
      </c>
      <c r="Z440" s="181" t="s">
        <v>146</v>
      </c>
      <c r="AB440" s="204">
        <f>SUM(AB419:AB422,AB427,AB431,AB437)</f>
        <v>7372845.1933833128</v>
      </c>
      <c r="AC440" s="204">
        <f>SUM(AC419:AC422,AC427,AC431,AC437)</f>
        <v>7367830.420069905</v>
      </c>
      <c r="AD440" s="204">
        <f>SUM(AD419:AD422,AD427,AD431,AD437)</f>
        <v>7415337.9618687453</v>
      </c>
      <c r="AE440" s="204">
        <f>SUM(AE419:AE422,AE427,AE431,AE437)</f>
        <v>7512508.068418392</v>
      </c>
      <c r="AF440" s="204">
        <f>SUM(AF419:AF422,AF427,AF431,AF437)</f>
        <v>7525199.0536281168</v>
      </c>
      <c r="AH440" s="204">
        <f t="shared" ref="AH440:CO440" si="45">SUM(AH419:AH422,AH427,AH431,AH437)</f>
        <v>415599.27402959624</v>
      </c>
      <c r="AI440" s="204">
        <f t="shared" si="45"/>
        <v>622714.45291199477</v>
      </c>
      <c r="AJ440" s="204">
        <f t="shared" si="45"/>
        <v>659096.98901301762</v>
      </c>
      <c r="AK440" s="204">
        <f t="shared" si="45"/>
        <v>698783.95745402924</v>
      </c>
      <c r="AL440" s="204">
        <f t="shared" si="45"/>
        <v>592025.69162877672</v>
      </c>
      <c r="AM440" s="204">
        <f t="shared" si="45"/>
        <v>638788.07338997326</v>
      </c>
      <c r="AN440" s="204">
        <f t="shared" si="45"/>
        <v>612383.83035235154</v>
      </c>
      <c r="AO440" s="204">
        <f t="shared" si="45"/>
        <v>649688.70608704141</v>
      </c>
      <c r="AP440" s="204">
        <f t="shared" si="45"/>
        <v>662265.81529614818</v>
      </c>
      <c r="AQ440" s="204">
        <f t="shared" si="45"/>
        <v>617345.73597300786</v>
      </c>
      <c r="AR440" s="204">
        <f t="shared" si="45"/>
        <v>480760.93409717269</v>
      </c>
      <c r="AS440" s="204">
        <f t="shared" si="45"/>
        <v>723391.7331502036</v>
      </c>
      <c r="AT440" s="204">
        <f t="shared" si="45"/>
        <v>423979.52294865123</v>
      </c>
      <c r="AU440" s="204">
        <f t="shared" si="45"/>
        <v>627673.55881132977</v>
      </c>
      <c r="AV440" s="204">
        <f t="shared" si="45"/>
        <v>654428.23654759373</v>
      </c>
      <c r="AW440" s="204">
        <f t="shared" si="45"/>
        <v>706104.80520920455</v>
      </c>
      <c r="AX440" s="204">
        <f t="shared" si="45"/>
        <v>590576.08903045859</v>
      </c>
      <c r="AY440" s="204">
        <f t="shared" si="45"/>
        <v>625851.26404664805</v>
      </c>
      <c r="AZ440" s="204">
        <f t="shared" si="45"/>
        <v>619031.09739407129</v>
      </c>
      <c r="BA440" s="204">
        <f t="shared" si="45"/>
        <v>644473.05621436401</v>
      </c>
      <c r="BB440" s="204">
        <f t="shared" si="45"/>
        <v>660312.65332247468</v>
      </c>
      <c r="BC440" s="204">
        <f t="shared" si="45"/>
        <v>619913.18699933786</v>
      </c>
      <c r="BD440" s="204">
        <f t="shared" si="45"/>
        <v>477637.18780594319</v>
      </c>
      <c r="BE440" s="204">
        <f t="shared" si="45"/>
        <v>717849.76173982932</v>
      </c>
      <c r="BF440" s="204">
        <f t="shared" si="45"/>
        <v>423117.27855750313</v>
      </c>
      <c r="BG440" s="204">
        <f t="shared" si="45"/>
        <v>635313.90695901506</v>
      </c>
      <c r="BH440" s="204">
        <f t="shared" si="45"/>
        <v>663949.80639899056</v>
      </c>
      <c r="BI440" s="204">
        <f t="shared" si="45"/>
        <v>702947.25676420261</v>
      </c>
      <c r="BJ440" s="204">
        <f t="shared" si="45"/>
        <v>594081.4701719099</v>
      </c>
      <c r="BK440" s="204">
        <f t="shared" si="45"/>
        <v>634463.10168042104</v>
      </c>
      <c r="BL440" s="204">
        <f t="shared" si="45"/>
        <v>622737.77028618648</v>
      </c>
      <c r="BM440" s="204">
        <f t="shared" si="45"/>
        <v>649252.79967460642</v>
      </c>
      <c r="BN440" s="204">
        <f t="shared" si="45"/>
        <v>662868.0347035639</v>
      </c>
      <c r="BO440" s="204">
        <f t="shared" si="45"/>
        <v>616941.26339810458</v>
      </c>
      <c r="BP440" s="204">
        <f t="shared" si="45"/>
        <v>478025.28427532519</v>
      </c>
      <c r="BQ440" s="204">
        <f t="shared" si="45"/>
        <v>731639.98899891635</v>
      </c>
      <c r="BR440" s="204">
        <f t="shared" si="45"/>
        <v>428678.21495041082</v>
      </c>
      <c r="BS440" s="204">
        <f t="shared" si="45"/>
        <v>639774.19277382467</v>
      </c>
      <c r="BT440" s="204">
        <f t="shared" si="45"/>
        <v>679082.80937866785</v>
      </c>
      <c r="BU440" s="204">
        <f t="shared" si="45"/>
        <v>720274.93078718311</v>
      </c>
      <c r="BV440" s="204">
        <f t="shared" si="45"/>
        <v>592209.14622096613</v>
      </c>
      <c r="BW440" s="204">
        <f t="shared" si="45"/>
        <v>648612.2887876241</v>
      </c>
      <c r="BX440" s="204">
        <f t="shared" si="45"/>
        <v>635456.18384226714</v>
      </c>
      <c r="BY440" s="204">
        <f t="shared" si="45"/>
        <v>658245.93796675105</v>
      </c>
      <c r="BZ440" s="204">
        <f t="shared" si="45"/>
        <v>669587.25843559904</v>
      </c>
      <c r="CA440" s="204">
        <f t="shared" si="45"/>
        <v>626193.66798367654</v>
      </c>
      <c r="CB440" s="204">
        <f t="shared" si="45"/>
        <v>484027.07277938689</v>
      </c>
      <c r="CC440" s="204">
        <f t="shared" si="45"/>
        <v>730366.36451203423</v>
      </c>
      <c r="CD440" s="204">
        <f t="shared" si="45"/>
        <v>430993.32790948363</v>
      </c>
      <c r="CE440" s="204">
        <f t="shared" si="45"/>
        <v>635866.82093573408</v>
      </c>
      <c r="CF440" s="204">
        <f t="shared" si="45"/>
        <v>667907.82392730843</v>
      </c>
      <c r="CG440" s="204">
        <f t="shared" si="45"/>
        <v>728545.12704702048</v>
      </c>
      <c r="CH440" s="204">
        <f t="shared" si="45"/>
        <v>599996.05003940337</v>
      </c>
      <c r="CI440" s="204">
        <f t="shared" si="45"/>
        <v>641626.98076045746</v>
      </c>
      <c r="CJ440" s="204">
        <f t="shared" si="45"/>
        <v>634304.43306701211</v>
      </c>
      <c r="CK440" s="204">
        <f t="shared" si="45"/>
        <v>658250.51087168814</v>
      </c>
      <c r="CL440" s="204">
        <f t="shared" si="45"/>
        <v>679449.25753900968</v>
      </c>
      <c r="CM440" s="204">
        <f t="shared" si="45"/>
        <v>628007.50483561715</v>
      </c>
      <c r="CN440" s="204">
        <f t="shared" si="45"/>
        <v>489548.38986256649</v>
      </c>
      <c r="CO440" s="204">
        <f t="shared" si="45"/>
        <v>730702.82683281694</v>
      </c>
    </row>
    <row r="441" spans="1:93" x14ac:dyDescent="0.2">
      <c r="A441" s="118">
        <f t="shared" si="40"/>
        <v>36</v>
      </c>
      <c r="B441" s="243"/>
      <c r="C441" s="225"/>
      <c r="D441" s="313"/>
      <c r="E441" s="233"/>
      <c r="F441" s="205"/>
      <c r="G441" s="233"/>
      <c r="H441" s="313"/>
      <c r="I441" s="308"/>
      <c r="J441" s="313"/>
      <c r="K441" s="233"/>
      <c r="L441" s="205"/>
      <c r="M441" s="233"/>
      <c r="N441" s="313"/>
      <c r="O441" s="227"/>
      <c r="P441" s="312"/>
      <c r="Q441" s="247"/>
      <c r="U441" s="184"/>
      <c r="V441" s="179"/>
      <c r="W441" s="180"/>
      <c r="Y441" s="184"/>
      <c r="Z441" s="181"/>
      <c r="AB441" s="313"/>
      <c r="AC441" s="313"/>
      <c r="AD441" s="313"/>
      <c r="AE441" s="313"/>
      <c r="AF441" s="313"/>
      <c r="AH441" s="313"/>
      <c r="AI441" s="313"/>
      <c r="AJ441" s="313"/>
      <c r="AK441" s="313"/>
      <c r="AL441" s="313"/>
      <c r="AM441" s="313"/>
      <c r="AN441" s="313"/>
      <c r="AO441" s="313"/>
      <c r="AP441" s="313"/>
      <c r="AQ441" s="313"/>
      <c r="AR441" s="313"/>
      <c r="AS441" s="313"/>
      <c r="AT441" s="313"/>
      <c r="AU441" s="313"/>
      <c r="AV441" s="313"/>
      <c r="AW441" s="313"/>
      <c r="AX441" s="313"/>
      <c r="AY441" s="313"/>
      <c r="AZ441" s="313"/>
      <c r="BA441" s="313"/>
      <c r="BB441" s="313"/>
      <c r="BC441" s="313"/>
      <c r="BD441" s="313"/>
      <c r="BE441" s="313"/>
      <c r="BF441" s="313"/>
      <c r="BG441" s="313"/>
      <c r="BH441" s="313"/>
      <c r="BI441" s="313"/>
      <c r="BJ441" s="313"/>
      <c r="BK441" s="313"/>
      <c r="BL441" s="313"/>
      <c r="BM441" s="313"/>
      <c r="BN441" s="313"/>
      <c r="BO441" s="313"/>
      <c r="BP441" s="313"/>
      <c r="BQ441" s="313"/>
      <c r="BR441" s="313"/>
      <c r="BS441" s="313"/>
      <c r="BT441" s="313"/>
      <c r="BU441" s="313"/>
      <c r="BV441" s="313"/>
      <c r="BW441" s="313"/>
      <c r="BX441" s="313"/>
      <c r="BY441" s="313"/>
      <c r="BZ441" s="313"/>
      <c r="CA441" s="313"/>
      <c r="CB441" s="313"/>
      <c r="CC441" s="313"/>
      <c r="CD441" s="313"/>
      <c r="CE441" s="313"/>
      <c r="CF441" s="313"/>
      <c r="CG441" s="313"/>
      <c r="CH441" s="313"/>
      <c r="CI441" s="313"/>
      <c r="CJ441" s="313"/>
      <c r="CK441" s="313"/>
      <c r="CL441" s="313"/>
      <c r="CM441" s="313"/>
      <c r="CN441" s="313"/>
      <c r="CO441" s="313"/>
    </row>
    <row r="442" spans="1:93" x14ac:dyDescent="0.2">
      <c r="A442" s="118">
        <f t="shared" si="40"/>
        <v>37</v>
      </c>
      <c r="B442" s="243"/>
      <c r="C442" s="225"/>
      <c r="D442" s="313"/>
      <c r="E442" s="233"/>
      <c r="F442" s="205"/>
      <c r="G442" s="233"/>
      <c r="H442" s="940"/>
      <c r="I442" s="297"/>
      <c r="J442" s="168"/>
      <c r="K442" s="233"/>
      <c r="L442" s="205"/>
      <c r="M442" s="233"/>
      <c r="N442" s="940"/>
      <c r="O442" s="941"/>
      <c r="P442" s="941"/>
      <c r="Q442" s="247"/>
      <c r="U442" s="184"/>
      <c r="V442" s="179"/>
      <c r="W442" s="180"/>
      <c r="Y442" s="184"/>
      <c r="Z442" s="181"/>
      <c r="AB442" s="313"/>
      <c r="AC442" s="313"/>
      <c r="AD442" s="313"/>
      <c r="AE442" s="313"/>
      <c r="AF442" s="313"/>
      <c r="AH442" s="313"/>
      <c r="AI442" s="313"/>
      <c r="AJ442" s="313"/>
      <c r="AK442" s="313"/>
      <c r="AL442" s="313"/>
      <c r="AM442" s="313"/>
      <c r="AN442" s="313"/>
      <c r="AO442" s="313"/>
      <c r="AP442" s="313"/>
      <c r="AQ442" s="313"/>
      <c r="AR442" s="313"/>
      <c r="AS442" s="313"/>
      <c r="AT442" s="313"/>
      <c r="AU442" s="313"/>
      <c r="AV442" s="313"/>
      <c r="AW442" s="313"/>
      <c r="AX442" s="313"/>
      <c r="AY442" s="313"/>
      <c r="AZ442" s="313"/>
      <c r="BA442" s="313"/>
      <c r="BB442" s="313"/>
      <c r="BC442" s="313"/>
      <c r="BD442" s="313"/>
      <c r="BE442" s="313"/>
      <c r="BF442" s="313"/>
      <c r="BG442" s="313"/>
      <c r="BH442" s="313"/>
      <c r="BI442" s="313"/>
      <c r="BJ442" s="313"/>
      <c r="BK442" s="313"/>
      <c r="BL442" s="313"/>
      <c r="BM442" s="313"/>
      <c r="BN442" s="313"/>
      <c r="BO442" s="313"/>
      <c r="BP442" s="313"/>
      <c r="BQ442" s="313"/>
      <c r="BR442" s="313"/>
      <c r="BS442" s="313"/>
      <c r="BT442" s="313"/>
      <c r="BU442" s="313"/>
      <c r="BV442" s="313"/>
      <c r="BW442" s="313"/>
      <c r="BX442" s="313"/>
      <c r="BY442" s="313"/>
      <c r="BZ442" s="313"/>
      <c r="CA442" s="313"/>
      <c r="CB442" s="313"/>
      <c r="CC442" s="313"/>
      <c r="CD442" s="313"/>
      <c r="CE442" s="313"/>
      <c r="CF442" s="313"/>
      <c r="CG442" s="313"/>
      <c r="CH442" s="313"/>
      <c r="CI442" s="313"/>
      <c r="CJ442" s="313"/>
      <c r="CK442" s="313"/>
      <c r="CL442" s="313"/>
      <c r="CM442" s="313"/>
      <c r="CN442" s="313"/>
      <c r="CO442" s="313"/>
    </row>
    <row r="443" spans="1:93" x14ac:dyDescent="0.2">
      <c r="A443" s="118">
        <f t="shared" si="40"/>
        <v>38</v>
      </c>
      <c r="B443" s="243"/>
      <c r="C443" s="225"/>
      <c r="D443" s="313"/>
      <c r="E443" s="233"/>
      <c r="F443" s="205"/>
      <c r="G443" s="233"/>
      <c r="H443" s="313"/>
      <c r="I443" s="308"/>
      <c r="J443" s="313"/>
      <c r="K443" s="233"/>
      <c r="L443" s="205"/>
      <c r="M443" s="233"/>
      <c r="N443" s="313"/>
      <c r="O443" s="227"/>
      <c r="P443" s="312"/>
      <c r="Q443" s="247"/>
      <c r="U443" s="184"/>
      <c r="V443" s="179"/>
      <c r="W443" s="180"/>
      <c r="Y443" s="184"/>
      <c r="Z443" s="181"/>
      <c r="AB443" s="313"/>
      <c r="AC443" s="313"/>
      <c r="AD443" s="313"/>
      <c r="AE443" s="313"/>
      <c r="AF443" s="313"/>
      <c r="AH443" s="313"/>
      <c r="AI443" s="313"/>
      <c r="AJ443" s="313"/>
      <c r="AK443" s="313"/>
      <c r="AL443" s="313"/>
      <c r="AM443" s="313"/>
      <c r="AN443" s="313"/>
      <c r="AO443" s="313"/>
      <c r="AP443" s="313"/>
      <c r="AQ443" s="313"/>
      <c r="AR443" s="313"/>
      <c r="AS443" s="313"/>
      <c r="AT443" s="313"/>
      <c r="AU443" s="313"/>
      <c r="AV443" s="313"/>
      <c r="AW443" s="313"/>
      <c r="AX443" s="313"/>
      <c r="AY443" s="313"/>
      <c r="AZ443" s="313"/>
      <c r="BA443" s="313"/>
      <c r="BB443" s="313"/>
      <c r="BC443" s="313"/>
      <c r="BD443" s="313"/>
      <c r="BE443" s="313"/>
      <c r="BF443" s="313"/>
      <c r="BG443" s="313"/>
      <c r="BH443" s="313"/>
      <c r="BI443" s="313"/>
      <c r="BJ443" s="313"/>
      <c r="BK443" s="313"/>
      <c r="BL443" s="313"/>
      <c r="BM443" s="313"/>
      <c r="BN443" s="313"/>
      <c r="BO443" s="313"/>
      <c r="BP443" s="313"/>
      <c r="BQ443" s="313"/>
      <c r="BR443" s="313"/>
      <c r="BS443" s="313"/>
      <c r="BT443" s="313"/>
      <c r="BU443" s="313"/>
      <c r="BV443" s="313"/>
      <c r="BW443" s="313"/>
      <c r="BX443" s="313"/>
      <c r="BY443" s="313"/>
      <c r="BZ443" s="313"/>
      <c r="CA443" s="313"/>
      <c r="CB443" s="313"/>
      <c r="CC443" s="313"/>
      <c r="CD443" s="313"/>
      <c r="CE443" s="313"/>
      <c r="CF443" s="313"/>
      <c r="CG443" s="313"/>
      <c r="CH443" s="313"/>
      <c r="CI443" s="313"/>
      <c r="CJ443" s="313"/>
      <c r="CK443" s="313"/>
      <c r="CL443" s="313"/>
      <c r="CM443" s="313"/>
      <c r="CN443" s="313"/>
      <c r="CO443" s="313"/>
    </row>
    <row r="444" spans="1:93" x14ac:dyDescent="0.2">
      <c r="A444" s="118">
        <f t="shared" si="40"/>
        <v>39</v>
      </c>
      <c r="B444" s="243"/>
      <c r="C444" s="225"/>
      <c r="D444" s="313"/>
      <c r="E444" s="233"/>
      <c r="F444" s="205"/>
      <c r="G444" s="233"/>
      <c r="H444" s="313"/>
      <c r="I444" s="308"/>
      <c r="J444" s="313"/>
      <c r="K444" s="233"/>
      <c r="L444" s="205"/>
      <c r="M444" s="233"/>
      <c r="N444" s="313"/>
      <c r="O444" s="227"/>
      <c r="P444" s="312"/>
      <c r="Q444" s="247"/>
      <c r="U444" s="184"/>
      <c r="V444" s="179"/>
      <c r="W444" s="180"/>
      <c r="Y444" s="184"/>
      <c r="Z444" s="181"/>
      <c r="AB444" s="313"/>
      <c r="AC444" s="313"/>
      <c r="AD444" s="313"/>
      <c r="AE444" s="313"/>
      <c r="AF444" s="313"/>
      <c r="AH444" s="313"/>
      <c r="AI444" s="313"/>
      <c r="AJ444" s="313"/>
      <c r="AK444" s="313"/>
      <c r="AL444" s="313"/>
      <c r="AM444" s="313"/>
      <c r="AN444" s="313"/>
      <c r="AO444" s="313"/>
      <c r="AP444" s="313"/>
      <c r="AQ444" s="313"/>
      <c r="AR444" s="313"/>
      <c r="AS444" s="313"/>
      <c r="AT444" s="313"/>
      <c r="AU444" s="313"/>
      <c r="AV444" s="313"/>
      <c r="AW444" s="313"/>
      <c r="AX444" s="313"/>
      <c r="AY444" s="313"/>
      <c r="AZ444" s="313"/>
      <c r="BA444" s="313"/>
      <c r="BB444" s="313"/>
      <c r="BC444" s="313"/>
      <c r="BD444" s="313"/>
      <c r="BE444" s="313"/>
      <c r="BF444" s="313"/>
      <c r="BG444" s="313"/>
      <c r="BH444" s="313"/>
      <c r="BI444" s="313"/>
      <c r="BJ444" s="313"/>
      <c r="BK444" s="313"/>
      <c r="BL444" s="313"/>
      <c r="BM444" s="313"/>
      <c r="BN444" s="313"/>
      <c r="BO444" s="313"/>
      <c r="BP444" s="313"/>
      <c r="BQ444" s="313"/>
      <c r="BR444" s="313"/>
      <c r="BS444" s="313"/>
      <c r="BT444" s="313"/>
      <c r="BU444" s="313"/>
      <c r="BV444" s="313"/>
      <c r="BW444" s="313"/>
      <c r="BX444" s="313"/>
      <c r="BY444" s="313"/>
      <c r="BZ444" s="313"/>
      <c r="CA444" s="313"/>
      <c r="CB444" s="313"/>
      <c r="CC444" s="313"/>
      <c r="CD444" s="313"/>
      <c r="CE444" s="313"/>
      <c r="CF444" s="313"/>
      <c r="CG444" s="313"/>
      <c r="CH444" s="313"/>
      <c r="CI444" s="313"/>
      <c r="CJ444" s="313"/>
      <c r="CK444" s="313"/>
      <c r="CL444" s="313"/>
      <c r="CM444" s="313"/>
      <c r="CN444" s="313"/>
      <c r="CO444" s="313"/>
    </row>
    <row r="445" spans="1:93" x14ac:dyDescent="0.2">
      <c r="A445" s="118">
        <f t="shared" si="40"/>
        <v>40</v>
      </c>
      <c r="B445" s="243"/>
      <c r="C445" s="225"/>
      <c r="D445" s="313"/>
      <c r="E445" s="233"/>
      <c r="F445" s="205"/>
      <c r="G445" s="233"/>
      <c r="H445" s="313"/>
      <c r="I445" s="308"/>
      <c r="J445" s="1285"/>
      <c r="K445" s="233"/>
      <c r="L445" s="205"/>
      <c r="M445" s="233"/>
      <c r="N445" s="313"/>
      <c r="O445" s="227"/>
      <c r="P445" s="312"/>
      <c r="Q445" s="247"/>
      <c r="U445" s="184"/>
      <c r="V445" s="179"/>
      <c r="W445" s="180"/>
      <c r="Y445" s="184"/>
      <c r="Z445" s="181"/>
      <c r="AB445" s="313"/>
      <c r="AC445" s="313"/>
      <c r="AD445" s="313"/>
      <c r="AE445" s="313"/>
      <c r="AF445" s="313"/>
      <c r="AH445" s="313"/>
      <c r="AI445" s="313"/>
      <c r="AJ445" s="313"/>
      <c r="AK445" s="313"/>
      <c r="AL445" s="313"/>
      <c r="AM445" s="313"/>
      <c r="AN445" s="313"/>
      <c r="AO445" s="313"/>
      <c r="AP445" s="313"/>
      <c r="AQ445" s="313"/>
      <c r="AR445" s="313"/>
      <c r="AS445" s="313"/>
      <c r="AT445" s="313"/>
      <c r="AU445" s="313"/>
      <c r="AV445" s="313"/>
      <c r="AW445" s="313"/>
      <c r="AX445" s="313"/>
      <c r="AY445" s="313"/>
      <c r="AZ445" s="313"/>
      <c r="BA445" s="313"/>
      <c r="BB445" s="313"/>
      <c r="BC445" s="313"/>
      <c r="BD445" s="313"/>
      <c r="BE445" s="313"/>
      <c r="BF445" s="313"/>
      <c r="BG445" s="313"/>
      <c r="BH445" s="313"/>
      <c r="BI445" s="313"/>
      <c r="BJ445" s="313"/>
      <c r="BK445" s="313"/>
      <c r="BL445" s="313"/>
      <c r="BM445" s="313"/>
      <c r="BN445" s="313"/>
      <c r="BO445" s="313"/>
      <c r="BP445" s="313"/>
      <c r="BQ445" s="313"/>
      <c r="BR445" s="313"/>
      <c r="BS445" s="313"/>
      <c r="BT445" s="313"/>
      <c r="BU445" s="313"/>
      <c r="BV445" s="313"/>
      <c r="BW445" s="313"/>
      <c r="BX445" s="313"/>
      <c r="BY445" s="313"/>
      <c r="BZ445" s="313"/>
      <c r="CA445" s="313"/>
      <c r="CB445" s="313"/>
      <c r="CC445" s="313"/>
      <c r="CD445" s="313"/>
      <c r="CE445" s="313"/>
      <c r="CF445" s="313"/>
      <c r="CG445" s="313"/>
      <c r="CH445" s="313"/>
      <c r="CI445" s="313"/>
      <c r="CJ445" s="313"/>
      <c r="CK445" s="313"/>
      <c r="CL445" s="313"/>
      <c r="CM445" s="313"/>
      <c r="CN445" s="313"/>
      <c r="CO445" s="313"/>
    </row>
    <row r="446" spans="1:93" x14ac:dyDescent="0.2">
      <c r="A446" s="118">
        <f t="shared" si="40"/>
        <v>41</v>
      </c>
      <c r="B446" s="243"/>
      <c r="C446" s="225"/>
      <c r="D446" s="313"/>
      <c r="E446" s="233"/>
      <c r="F446" s="205"/>
      <c r="G446" s="233"/>
      <c r="H446" s="313"/>
      <c r="I446" s="308"/>
      <c r="J446" s="1285"/>
      <c r="K446" s="233"/>
      <c r="L446" s="205"/>
      <c r="M446" s="233"/>
      <c r="N446" s="313"/>
      <c r="O446" s="227"/>
      <c r="P446" s="312"/>
      <c r="Q446" s="247"/>
      <c r="U446" s="184"/>
      <c r="V446" s="179"/>
      <c r="W446" s="180"/>
      <c r="Y446" s="184"/>
      <c r="Z446" s="181"/>
      <c r="AB446" s="313"/>
      <c r="AC446" s="313"/>
      <c r="AD446" s="313"/>
      <c r="AE446" s="313"/>
      <c r="AF446" s="313"/>
      <c r="AH446" s="313"/>
      <c r="AI446" s="313"/>
      <c r="AJ446" s="313"/>
      <c r="AK446" s="313"/>
      <c r="AL446" s="313"/>
      <c r="AM446" s="313"/>
      <c r="AN446" s="313"/>
      <c r="AO446" s="313"/>
      <c r="AP446" s="313"/>
      <c r="AQ446" s="313"/>
      <c r="AR446" s="313"/>
      <c r="AS446" s="313"/>
      <c r="AT446" s="313"/>
      <c r="AU446" s="313"/>
      <c r="AV446" s="313"/>
      <c r="AW446" s="313"/>
      <c r="AX446" s="313"/>
      <c r="AY446" s="313"/>
      <c r="AZ446" s="313"/>
      <c r="BA446" s="313"/>
      <c r="BB446" s="313"/>
      <c r="BC446" s="313"/>
      <c r="BD446" s="313"/>
      <c r="BE446" s="313"/>
      <c r="BF446" s="313"/>
      <c r="BG446" s="313"/>
      <c r="BH446" s="313"/>
      <c r="BI446" s="313"/>
      <c r="BJ446" s="313"/>
      <c r="BK446" s="313"/>
      <c r="BL446" s="313"/>
      <c r="BM446" s="313"/>
      <c r="BN446" s="313"/>
      <c r="BO446" s="313"/>
      <c r="BP446" s="313"/>
      <c r="BQ446" s="313"/>
      <c r="BR446" s="313"/>
      <c r="BS446" s="313"/>
      <c r="BT446" s="313"/>
      <c r="BU446" s="313"/>
      <c r="BV446" s="313"/>
      <c r="BW446" s="313"/>
      <c r="BX446" s="313"/>
      <c r="BY446" s="313"/>
      <c r="BZ446" s="313"/>
      <c r="CA446" s="313"/>
      <c r="CB446" s="313"/>
      <c r="CC446" s="313"/>
      <c r="CD446" s="313"/>
      <c r="CE446" s="313"/>
      <c r="CF446" s="313"/>
      <c r="CG446" s="313"/>
      <c r="CH446" s="313"/>
      <c r="CI446" s="313"/>
      <c r="CJ446" s="313"/>
      <c r="CK446" s="313"/>
      <c r="CL446" s="313"/>
      <c r="CM446" s="313"/>
      <c r="CN446" s="313"/>
      <c r="CO446" s="313"/>
    </row>
    <row r="447" spans="1:93" x14ac:dyDescent="0.2">
      <c r="A447" s="118">
        <f t="shared" si="40"/>
        <v>42</v>
      </c>
      <c r="B447" s="243"/>
      <c r="C447" s="225"/>
      <c r="D447" s="313"/>
      <c r="E447" s="233"/>
      <c r="F447" s="205"/>
      <c r="G447" s="233"/>
      <c r="H447" s="313"/>
      <c r="I447" s="308"/>
      <c r="J447" s="1285"/>
      <c r="K447" s="233"/>
      <c r="L447" s="205"/>
      <c r="M447" s="233"/>
      <c r="N447" s="313"/>
      <c r="O447" s="227"/>
      <c r="P447" s="312"/>
      <c r="Q447" s="247"/>
      <c r="U447" s="184"/>
      <c r="V447" s="179"/>
      <c r="W447" s="180"/>
      <c r="Y447" s="184"/>
      <c r="Z447" s="181"/>
      <c r="AB447" s="313"/>
      <c r="AC447" s="313"/>
      <c r="AD447" s="313"/>
      <c r="AE447" s="313"/>
      <c r="AF447" s="313"/>
      <c r="AH447" s="313"/>
      <c r="AI447" s="313"/>
      <c r="AJ447" s="313"/>
      <c r="AK447" s="313"/>
      <c r="AL447" s="313"/>
      <c r="AM447" s="313"/>
      <c r="AN447" s="313"/>
      <c r="AO447" s="313"/>
      <c r="AP447" s="313"/>
      <c r="AQ447" s="313"/>
      <c r="AR447" s="313"/>
      <c r="AS447" s="313"/>
      <c r="AT447" s="313"/>
      <c r="AU447" s="313"/>
      <c r="AV447" s="313"/>
      <c r="AW447" s="313"/>
      <c r="AX447" s="313"/>
      <c r="AY447" s="313"/>
      <c r="AZ447" s="313"/>
      <c r="BA447" s="313"/>
      <c r="BB447" s="313"/>
      <c r="BC447" s="313"/>
      <c r="BD447" s="313"/>
      <c r="BE447" s="313"/>
      <c r="BF447" s="313"/>
      <c r="BG447" s="313"/>
      <c r="BH447" s="313"/>
      <c r="BI447" s="313"/>
      <c r="BJ447" s="313"/>
      <c r="BK447" s="313"/>
      <c r="BL447" s="313"/>
      <c r="BM447" s="313"/>
      <c r="BN447" s="313"/>
      <c r="BO447" s="313"/>
      <c r="BP447" s="313"/>
      <c r="BQ447" s="313"/>
      <c r="BR447" s="313"/>
      <c r="BS447" s="313"/>
      <c r="BT447" s="313"/>
      <c r="BU447" s="313"/>
      <c r="BV447" s="313"/>
      <c r="BW447" s="313"/>
      <c r="BX447" s="313"/>
      <c r="BY447" s="313"/>
      <c r="BZ447" s="313"/>
      <c r="CA447" s="313"/>
      <c r="CB447" s="313"/>
      <c r="CC447" s="313"/>
      <c r="CD447" s="313"/>
      <c r="CE447" s="313"/>
      <c r="CF447" s="313"/>
      <c r="CG447" s="313"/>
      <c r="CH447" s="313"/>
      <c r="CI447" s="313"/>
      <c r="CJ447" s="313"/>
      <c r="CK447" s="313"/>
      <c r="CL447" s="313"/>
      <c r="CM447" s="313"/>
      <c r="CN447" s="313"/>
      <c r="CO447" s="313"/>
    </row>
    <row r="448" spans="1:93" x14ac:dyDescent="0.2">
      <c r="A448" s="118">
        <f t="shared" si="40"/>
        <v>43</v>
      </c>
      <c r="B448" s="243"/>
      <c r="C448" s="225"/>
      <c r="D448" s="313"/>
      <c r="E448" s="233"/>
      <c r="F448" s="205"/>
      <c r="G448" s="233"/>
      <c r="H448" s="313"/>
      <c r="I448" s="308"/>
      <c r="J448" s="313"/>
      <c r="K448" s="233"/>
      <c r="L448" s="205"/>
      <c r="M448" s="233"/>
      <c r="N448" s="313"/>
      <c r="O448" s="227"/>
      <c r="P448" s="312"/>
      <c r="Q448" s="247"/>
      <c r="U448" s="184"/>
      <c r="V448" s="179"/>
      <c r="W448" s="180"/>
      <c r="Y448" s="184"/>
      <c r="Z448" s="181"/>
      <c r="AB448" s="313"/>
      <c r="AC448" s="313"/>
      <c r="AD448" s="313"/>
      <c r="AE448" s="313"/>
      <c r="AF448" s="313"/>
      <c r="AH448" s="313"/>
      <c r="AI448" s="313"/>
      <c r="AJ448" s="313"/>
      <c r="AK448" s="313"/>
      <c r="AL448" s="313"/>
      <c r="AM448" s="313"/>
      <c r="AN448" s="313"/>
      <c r="AO448" s="313"/>
      <c r="AP448" s="313"/>
      <c r="AQ448" s="313"/>
      <c r="AR448" s="313"/>
      <c r="AS448" s="313"/>
      <c r="AT448" s="313"/>
      <c r="AU448" s="313"/>
      <c r="AV448" s="313"/>
      <c r="AW448" s="313"/>
      <c r="AX448" s="313"/>
      <c r="AY448" s="313"/>
      <c r="AZ448" s="313"/>
      <c r="BA448" s="313"/>
      <c r="BB448" s="313"/>
      <c r="BC448" s="313"/>
      <c r="BD448" s="313"/>
      <c r="BE448" s="313"/>
      <c r="BF448" s="313"/>
      <c r="BG448" s="313"/>
      <c r="BH448" s="313"/>
      <c r="BI448" s="313"/>
      <c r="BJ448" s="313"/>
      <c r="BK448" s="313"/>
      <c r="BL448" s="313"/>
      <c r="BM448" s="313"/>
      <c r="BN448" s="313"/>
      <c r="BO448" s="313"/>
      <c r="BP448" s="313"/>
      <c r="BQ448" s="313"/>
      <c r="BR448" s="313"/>
      <c r="BS448" s="313"/>
      <c r="BT448" s="313"/>
      <c r="BU448" s="313"/>
      <c r="BV448" s="313"/>
      <c r="BW448" s="313"/>
      <c r="BX448" s="313"/>
      <c r="BY448" s="313"/>
      <c r="BZ448" s="313"/>
      <c r="CA448" s="313"/>
      <c r="CB448" s="313"/>
      <c r="CC448" s="313"/>
      <c r="CD448" s="313"/>
      <c r="CE448" s="313"/>
      <c r="CF448" s="313"/>
      <c r="CG448" s="313"/>
      <c r="CH448" s="313"/>
      <c r="CI448" s="313"/>
      <c r="CJ448" s="313"/>
      <c r="CK448" s="313"/>
      <c r="CL448" s="313"/>
      <c r="CM448" s="313"/>
      <c r="CN448" s="313"/>
      <c r="CO448" s="313"/>
    </row>
    <row r="449" spans="1:93" x14ac:dyDescent="0.2">
      <c r="A449" s="118">
        <f t="shared" si="40"/>
        <v>44</v>
      </c>
      <c r="B449" s="243"/>
      <c r="C449" s="225"/>
      <c r="D449" s="313"/>
      <c r="E449" s="233"/>
      <c r="F449" s="205"/>
      <c r="G449" s="233"/>
      <c r="H449" s="313"/>
      <c r="I449" s="308"/>
      <c r="J449" s="313"/>
      <c r="K449" s="233"/>
      <c r="L449" s="205"/>
      <c r="M449" s="233"/>
      <c r="N449" s="313"/>
      <c r="O449" s="227"/>
      <c r="P449" s="312"/>
      <c r="Q449" s="247"/>
      <c r="U449" s="184"/>
      <c r="V449" s="179"/>
      <c r="W449" s="180"/>
      <c r="Y449" s="184"/>
      <c r="Z449" s="181"/>
      <c r="AB449" s="313"/>
      <c r="AC449" s="313"/>
      <c r="AD449" s="313"/>
      <c r="AE449" s="313"/>
      <c r="AF449" s="313"/>
      <c r="AH449" s="313"/>
      <c r="AI449" s="313"/>
      <c r="AJ449" s="313"/>
      <c r="AK449" s="313"/>
      <c r="AL449" s="313"/>
      <c r="AM449" s="313"/>
      <c r="AN449" s="313"/>
      <c r="AO449" s="313"/>
      <c r="AP449" s="313"/>
      <c r="AQ449" s="313"/>
      <c r="AR449" s="313"/>
      <c r="AS449" s="313"/>
      <c r="AT449" s="313"/>
      <c r="AU449" s="313"/>
      <c r="AV449" s="313"/>
      <c r="AW449" s="313"/>
      <c r="AX449" s="313"/>
      <c r="AY449" s="313"/>
      <c r="AZ449" s="313"/>
      <c r="BA449" s="313"/>
      <c r="BB449" s="313"/>
      <c r="BC449" s="313"/>
      <c r="BD449" s="313"/>
      <c r="BE449" s="313"/>
      <c r="BF449" s="313"/>
      <c r="BG449" s="313"/>
      <c r="BH449" s="313"/>
      <c r="BI449" s="313"/>
      <c r="BJ449" s="313"/>
      <c r="BK449" s="313"/>
      <c r="BL449" s="313"/>
      <c r="BM449" s="313"/>
      <c r="BN449" s="313"/>
      <c r="BO449" s="313"/>
      <c r="BP449" s="313"/>
      <c r="BQ449" s="313"/>
      <c r="BR449" s="313"/>
      <c r="BS449" s="313"/>
      <c r="BT449" s="313"/>
      <c r="BU449" s="313"/>
      <c r="BV449" s="313"/>
      <c r="BW449" s="313"/>
      <c r="BX449" s="313"/>
      <c r="BY449" s="313"/>
      <c r="BZ449" s="313"/>
      <c r="CA449" s="313"/>
      <c r="CB449" s="313"/>
      <c r="CC449" s="313"/>
      <c r="CD449" s="313"/>
      <c r="CE449" s="313"/>
      <c r="CF449" s="313"/>
      <c r="CG449" s="313"/>
      <c r="CH449" s="313"/>
      <c r="CI449" s="313"/>
      <c r="CJ449" s="313"/>
      <c r="CK449" s="313"/>
      <c r="CL449" s="313"/>
      <c r="CM449" s="313"/>
      <c r="CN449" s="313"/>
      <c r="CO449" s="313"/>
    </row>
    <row r="450" spans="1:93" x14ac:dyDescent="0.2">
      <c r="A450" s="118">
        <f t="shared" si="40"/>
        <v>45</v>
      </c>
      <c r="B450" s="314"/>
      <c r="C450" s="223" t="s">
        <v>416</v>
      </c>
      <c r="D450" s="168" t="s">
        <v>416</v>
      </c>
      <c r="E450" s="233" t="s">
        <v>416</v>
      </c>
      <c r="F450" s="205"/>
      <c r="G450" s="233" t="s">
        <v>416</v>
      </c>
      <c r="H450" s="168" t="s">
        <v>416</v>
      </c>
      <c r="I450" s="308"/>
      <c r="J450" s="168" t="s">
        <v>416</v>
      </c>
      <c r="K450" s="233" t="s">
        <v>416</v>
      </c>
      <c r="L450" s="205"/>
      <c r="M450" s="233" t="s">
        <v>416</v>
      </c>
      <c r="N450" s="248"/>
      <c r="O450" s="227"/>
      <c r="P450" s="227"/>
      <c r="Q450" s="227"/>
      <c r="U450" s="184"/>
      <c r="V450" s="179"/>
      <c r="W450" s="180"/>
      <c r="Y450" s="184"/>
      <c r="Z450" s="181"/>
      <c r="AB450" s="193">
        <f>SUM(AH450:AS450)</f>
        <v>0</v>
      </c>
      <c r="AC450" s="193">
        <f>SUM(AT450:BE450)</f>
        <v>0</v>
      </c>
      <c r="AD450" s="193">
        <f>SUM(BF450:BQ450)</f>
        <v>0</v>
      </c>
      <c r="AE450" s="193">
        <f>SUM(BR450:CC450)</f>
        <v>0</v>
      </c>
      <c r="AF450" s="193">
        <f>SUM(CD450:CO450)</f>
        <v>0</v>
      </c>
      <c r="AH450" s="294">
        <v>0</v>
      </c>
      <c r="AI450" s="294">
        <v>0</v>
      </c>
      <c r="AJ450" s="294">
        <v>0</v>
      </c>
      <c r="AK450" s="294">
        <v>0</v>
      </c>
      <c r="AL450" s="294">
        <v>0</v>
      </c>
      <c r="AM450" s="294">
        <v>0</v>
      </c>
      <c r="AN450" s="294">
        <v>0</v>
      </c>
      <c r="AO450" s="294">
        <v>0</v>
      </c>
      <c r="AP450" s="294">
        <v>0</v>
      </c>
      <c r="AQ450" s="294">
        <v>0</v>
      </c>
      <c r="AR450" s="294">
        <v>0</v>
      </c>
      <c r="AS450" s="294">
        <v>0</v>
      </c>
      <c r="AT450" s="294">
        <v>0</v>
      </c>
      <c r="AU450" s="294">
        <v>0</v>
      </c>
      <c r="AV450" s="294">
        <v>0</v>
      </c>
      <c r="AW450" s="294">
        <v>0</v>
      </c>
      <c r="AX450" s="294">
        <v>0</v>
      </c>
      <c r="AY450" s="294">
        <v>0</v>
      </c>
      <c r="AZ450" s="294">
        <v>0</v>
      </c>
      <c r="BA450" s="294">
        <v>0</v>
      </c>
      <c r="BB450" s="294">
        <v>0</v>
      </c>
      <c r="BC450" s="294">
        <v>0</v>
      </c>
      <c r="BD450" s="294">
        <v>0</v>
      </c>
      <c r="BE450" s="294">
        <v>0</v>
      </c>
      <c r="BF450" s="294">
        <v>0</v>
      </c>
      <c r="BG450" s="294">
        <v>0</v>
      </c>
      <c r="BH450" s="294">
        <v>0</v>
      </c>
      <c r="BI450" s="294">
        <v>0</v>
      </c>
      <c r="BJ450" s="294">
        <v>0</v>
      </c>
      <c r="BK450" s="294">
        <v>0</v>
      </c>
      <c r="BL450" s="294">
        <v>0</v>
      </c>
      <c r="BM450" s="294">
        <v>0</v>
      </c>
      <c r="BN450" s="294">
        <v>0</v>
      </c>
      <c r="BO450" s="294">
        <v>0</v>
      </c>
      <c r="BP450" s="294">
        <v>0</v>
      </c>
      <c r="BQ450" s="294">
        <v>0</v>
      </c>
      <c r="BR450" s="294">
        <v>0</v>
      </c>
      <c r="BS450" s="294">
        <v>0</v>
      </c>
      <c r="BT450" s="294">
        <v>0</v>
      </c>
      <c r="BU450" s="294">
        <v>0</v>
      </c>
      <c r="BV450" s="294">
        <v>0</v>
      </c>
      <c r="BW450" s="294">
        <v>0</v>
      </c>
      <c r="BX450" s="294">
        <v>0</v>
      </c>
      <c r="BY450" s="294">
        <v>0</v>
      </c>
      <c r="BZ450" s="294">
        <v>0</v>
      </c>
      <c r="CA450" s="294">
        <v>0</v>
      </c>
      <c r="CB450" s="294">
        <v>0</v>
      </c>
      <c r="CC450" s="294">
        <v>0</v>
      </c>
      <c r="CD450" s="294">
        <v>0</v>
      </c>
      <c r="CE450" s="294">
        <v>0</v>
      </c>
      <c r="CF450" s="294">
        <v>0</v>
      </c>
      <c r="CG450" s="294">
        <v>0</v>
      </c>
      <c r="CH450" s="294">
        <v>0</v>
      </c>
      <c r="CI450" s="294">
        <v>0</v>
      </c>
      <c r="CJ450" s="294">
        <v>0</v>
      </c>
      <c r="CK450" s="294">
        <v>0</v>
      </c>
      <c r="CL450" s="294">
        <v>0</v>
      </c>
      <c r="CM450" s="294">
        <v>0</v>
      </c>
      <c r="CN450" s="294">
        <v>0</v>
      </c>
      <c r="CO450" s="294">
        <v>0</v>
      </c>
    </row>
    <row r="451" spans="1:93" x14ac:dyDescent="0.2">
      <c r="A451" s="215"/>
      <c r="B451" s="215" t="s">
        <v>98</v>
      </c>
      <c r="C451" s="215"/>
      <c r="D451" s="215"/>
      <c r="E451" s="215"/>
      <c r="F451" s="299"/>
      <c r="G451" s="215"/>
      <c r="H451" s="215"/>
      <c r="I451" s="215"/>
      <c r="J451" s="215"/>
      <c r="K451" s="215"/>
      <c r="L451" s="299"/>
      <c r="M451" s="215"/>
      <c r="N451" s="215" t="s">
        <v>99</v>
      </c>
      <c r="O451" s="215"/>
      <c r="P451" s="215"/>
      <c r="Q451" s="215"/>
      <c r="U451" s="215"/>
      <c r="V451" s="215"/>
      <c r="W451" s="215"/>
      <c r="Y451" s="215"/>
      <c r="Z451" s="315"/>
      <c r="AB451" s="193">
        <f>SUM(AH451:AS451)</f>
        <v>-4.7293724492192268E-11</v>
      </c>
      <c r="AC451" s="193">
        <f>SUM(AT451:BE451)</f>
        <v>1.4551915228366852E-10</v>
      </c>
      <c r="AD451" s="193">
        <f>SUM(BF451:BQ451)</f>
        <v>-3.637978807091713E-11</v>
      </c>
      <c r="AE451" s="193">
        <f>SUM(BR451:CC451)</f>
        <v>3.2741809263825417E-11</v>
      </c>
      <c r="AF451" s="193">
        <f>SUM(CD451:CO451)</f>
        <v>-4.0017766878008842E-11</v>
      </c>
      <c r="AH451" s="193">
        <v>0</v>
      </c>
      <c r="AI451" s="193">
        <v>0</v>
      </c>
      <c r="AJ451" s="193">
        <v>-8.0035533756017685E-11</v>
      </c>
      <c r="AK451" s="193">
        <v>3.2741809263825417E-11</v>
      </c>
      <c r="AL451" s="193">
        <v>0</v>
      </c>
      <c r="AM451" s="193">
        <v>0</v>
      </c>
      <c r="AN451" s="193">
        <v>0</v>
      </c>
      <c r="AO451" s="193">
        <v>0</v>
      </c>
      <c r="AP451" s="193">
        <v>0</v>
      </c>
      <c r="AQ451" s="193">
        <v>0</v>
      </c>
      <c r="AR451" s="193">
        <v>0</v>
      </c>
      <c r="AS451" s="193">
        <v>0</v>
      </c>
      <c r="AT451" s="193">
        <v>0</v>
      </c>
      <c r="AU451" s="193">
        <v>0</v>
      </c>
      <c r="AV451" s="193">
        <v>0</v>
      </c>
      <c r="AW451" s="193">
        <v>7.2759576141834259E-11</v>
      </c>
      <c r="AX451" s="193">
        <v>0</v>
      </c>
      <c r="AY451" s="193">
        <v>0</v>
      </c>
      <c r="AZ451" s="193">
        <v>0</v>
      </c>
      <c r="BA451" s="193">
        <v>3.2741809263825417E-11</v>
      </c>
      <c r="BB451" s="193">
        <v>0</v>
      </c>
      <c r="BC451" s="193">
        <v>0</v>
      </c>
      <c r="BD451" s="193">
        <v>4.0017766878008842E-11</v>
      </c>
      <c r="BE451" s="193">
        <v>0</v>
      </c>
      <c r="BF451" s="193">
        <v>0</v>
      </c>
      <c r="BG451" s="193">
        <v>0</v>
      </c>
      <c r="BH451" s="193">
        <v>-8.0035533756017685E-11</v>
      </c>
      <c r="BI451" s="193">
        <v>0</v>
      </c>
      <c r="BJ451" s="193">
        <v>0</v>
      </c>
      <c r="BK451" s="193">
        <v>0</v>
      </c>
      <c r="BL451" s="193">
        <v>0</v>
      </c>
      <c r="BM451" s="193">
        <v>4.3655745685100555E-11</v>
      </c>
      <c r="BN451" s="193">
        <v>0</v>
      </c>
      <c r="BO451" s="193">
        <v>0</v>
      </c>
      <c r="BP451" s="193">
        <v>0</v>
      </c>
      <c r="BQ451" s="193">
        <v>0</v>
      </c>
      <c r="BR451" s="193">
        <v>0</v>
      </c>
      <c r="BS451" s="193">
        <v>0</v>
      </c>
      <c r="BT451" s="193">
        <v>0</v>
      </c>
      <c r="BU451" s="193">
        <v>3.2741809263825417E-11</v>
      </c>
      <c r="BV451" s="193">
        <v>0</v>
      </c>
      <c r="BW451" s="193">
        <v>0</v>
      </c>
      <c r="BX451" s="193">
        <v>0</v>
      </c>
      <c r="BY451" s="193">
        <v>0</v>
      </c>
      <c r="BZ451" s="193">
        <v>0</v>
      </c>
      <c r="CA451" s="193">
        <v>0</v>
      </c>
      <c r="CB451" s="193">
        <v>0</v>
      </c>
      <c r="CC451" s="193">
        <v>0</v>
      </c>
      <c r="CD451" s="193">
        <v>0</v>
      </c>
      <c r="CE451" s="193">
        <v>0</v>
      </c>
      <c r="CF451" s="193">
        <v>0</v>
      </c>
      <c r="CG451" s="193">
        <v>-4.0017766878008842E-11</v>
      </c>
      <c r="CH451" s="193">
        <v>0</v>
      </c>
      <c r="CI451" s="193">
        <v>0</v>
      </c>
      <c r="CJ451" s="193">
        <v>0</v>
      </c>
      <c r="CK451" s="193">
        <v>0</v>
      </c>
      <c r="CL451" s="193">
        <v>0</v>
      </c>
      <c r="CM451" s="193">
        <v>0</v>
      </c>
      <c r="CN451" s="193">
        <v>0</v>
      </c>
      <c r="CO451" s="193">
        <v>0</v>
      </c>
    </row>
    <row r="452" spans="1:93" x14ac:dyDescent="0.2">
      <c r="A452" s="216"/>
      <c r="B452" s="216"/>
      <c r="C452" s="216"/>
      <c r="D452" s="216"/>
      <c r="E452" s="216"/>
      <c r="F452" s="216"/>
      <c r="G452" s="216"/>
      <c r="H452" s="216"/>
      <c r="I452" s="216"/>
      <c r="J452" s="216"/>
      <c r="K452" s="216"/>
      <c r="L452" s="216"/>
      <c r="M452" s="216"/>
      <c r="N452" s="216"/>
      <c r="O452" s="216"/>
      <c r="P452" s="216"/>
      <c r="Q452" s="216"/>
      <c r="R452" s="216"/>
      <c r="S452" s="216"/>
      <c r="T452" s="216"/>
      <c r="U452" s="216"/>
      <c r="V452" s="216"/>
      <c r="W452" s="216"/>
      <c r="X452" s="216"/>
      <c r="Y452" s="216"/>
      <c r="Z452" s="217"/>
      <c r="AA452" s="216"/>
      <c r="AB452" s="216"/>
      <c r="AC452" s="216"/>
      <c r="AD452" s="216"/>
      <c r="AE452" s="216"/>
      <c r="AF452" s="216"/>
      <c r="AG452" s="216"/>
      <c r="AH452" s="216"/>
      <c r="AI452" s="216"/>
      <c r="AJ452" s="216"/>
      <c r="AK452" s="216"/>
      <c r="AL452" s="216"/>
      <c r="AM452" s="216"/>
      <c r="AN452" s="216"/>
      <c r="AO452" s="216"/>
      <c r="AP452" s="216"/>
      <c r="AQ452" s="216"/>
      <c r="AR452" s="216"/>
      <c r="AS452" s="216"/>
      <c r="AT452" s="216"/>
      <c r="AU452" s="216"/>
      <c r="AV452" s="216"/>
      <c r="AW452" s="216"/>
      <c r="AX452" s="216"/>
      <c r="AY452" s="216"/>
      <c r="AZ452" s="216"/>
      <c r="BA452" s="216"/>
      <c r="BB452" s="216"/>
      <c r="BC452" s="216"/>
      <c r="BD452" s="216"/>
      <c r="BE452" s="216"/>
      <c r="BF452" s="216"/>
      <c r="BG452" s="216"/>
      <c r="BH452" s="216"/>
      <c r="BI452" s="216"/>
      <c r="BJ452" s="216"/>
      <c r="BK452" s="216"/>
      <c r="BL452" s="216"/>
      <c r="BM452" s="216"/>
      <c r="BN452" s="216"/>
      <c r="BO452" s="216"/>
      <c r="BP452" s="216"/>
      <c r="BQ452" s="216"/>
      <c r="BR452" s="216"/>
      <c r="BS452" s="216"/>
      <c r="BT452" s="216"/>
      <c r="BU452" s="216"/>
      <c r="BV452" s="216"/>
      <c r="BW452" s="216"/>
      <c r="BX452" s="216"/>
      <c r="BY452" s="216"/>
      <c r="BZ452" s="216"/>
      <c r="CA452" s="216"/>
      <c r="CB452" s="216"/>
      <c r="CC452" s="216"/>
      <c r="CD452" s="216"/>
      <c r="CE452" s="216"/>
      <c r="CF452" s="216"/>
      <c r="CG452" s="216"/>
      <c r="CH452" s="216"/>
      <c r="CI452" s="216"/>
      <c r="CJ452" s="216"/>
      <c r="CK452" s="216"/>
      <c r="CL452" s="216"/>
      <c r="CM452" s="216"/>
      <c r="CN452" s="216"/>
      <c r="CO452" s="216"/>
    </row>
    <row r="453" spans="1:93" ht="13.8" x14ac:dyDescent="0.3">
      <c r="A453" s="12" t="s">
        <v>667</v>
      </c>
      <c r="C453" s="102"/>
      <c r="D453" s="1280"/>
      <c r="F453" s="104"/>
      <c r="G453" s="104"/>
      <c r="H453" s="361" t="s">
        <v>668</v>
      </c>
      <c r="I453" s="104"/>
      <c r="J453" s="104"/>
      <c r="K453" s="104"/>
      <c r="L453" s="104"/>
      <c r="N453" s="105"/>
      <c r="Q453" s="106" t="str">
        <f>'MFR E-13c'!Q405</f>
        <v>Page 22 of 39</v>
      </c>
      <c r="R453" s="105"/>
      <c r="S453" s="105"/>
      <c r="U453" s="114"/>
      <c r="V453" s="114"/>
      <c r="W453" s="114"/>
      <c r="Y453" s="114"/>
      <c r="Z453" s="218"/>
      <c r="AD453" s="114"/>
    </row>
    <row r="454" spans="1:93" ht="10.8" thickBot="1" x14ac:dyDescent="0.25">
      <c r="A454" s="108"/>
      <c r="B454" s="109"/>
      <c r="C454" s="109"/>
      <c r="D454" s="109"/>
      <c r="E454" s="110" t="s">
        <v>416</v>
      </c>
      <c r="F454" s="109"/>
      <c r="G454" s="109" t="s">
        <v>416</v>
      </c>
      <c r="H454" s="109" t="s">
        <v>416</v>
      </c>
      <c r="I454" s="109" t="s">
        <v>416</v>
      </c>
      <c r="J454" s="109"/>
      <c r="K454" s="109"/>
      <c r="L454" s="109"/>
      <c r="M454" s="111"/>
      <c r="N454" s="111"/>
      <c r="O454" s="109"/>
      <c r="P454" s="112"/>
      <c r="Q454" s="109"/>
      <c r="U454" s="114"/>
      <c r="V454" s="114"/>
      <c r="W454" s="114"/>
      <c r="Y454" s="114"/>
      <c r="Z454" s="218"/>
      <c r="AD454" s="114"/>
    </row>
    <row r="455" spans="1:93" x14ac:dyDescent="0.2">
      <c r="A455" s="113"/>
      <c r="M455" s="105"/>
      <c r="N455" s="105"/>
      <c r="P455" s="114"/>
      <c r="U455" s="114"/>
      <c r="V455" s="114"/>
      <c r="W455" s="114"/>
      <c r="Y455" s="114"/>
      <c r="Z455" s="218"/>
      <c r="AD455" s="114"/>
    </row>
    <row r="456" spans="1:93" ht="13.8" x14ac:dyDescent="0.2">
      <c r="A456" s="100"/>
      <c r="C456" s="1278" t="s">
        <v>4</v>
      </c>
      <c r="D456" s="1386" t="s">
        <v>669</v>
      </c>
      <c r="E456" s="1386"/>
      <c r="F456" s="1386"/>
      <c r="G456" s="1386"/>
      <c r="H456" s="1386"/>
      <c r="I456" s="1386"/>
      <c r="J456" s="1386"/>
      <c r="K456" s="1386"/>
      <c r="L456" s="1386"/>
      <c r="M456" s="1386"/>
      <c r="N456" s="1386"/>
      <c r="O456" s="1279"/>
      <c r="P456" s="1279"/>
      <c r="U456" s="114"/>
      <c r="V456" s="114"/>
      <c r="W456" s="114"/>
      <c r="Y456" s="114"/>
      <c r="Z456" s="218"/>
      <c r="AD456" s="114"/>
    </row>
    <row r="457" spans="1:93" ht="13.8" x14ac:dyDescent="0.2">
      <c r="C457" s="1279"/>
      <c r="D457" s="1386" t="s">
        <v>670</v>
      </c>
      <c r="E457" s="1386"/>
      <c r="F457" s="1386"/>
      <c r="G457" s="1386"/>
      <c r="H457" s="1386"/>
      <c r="I457" s="1386"/>
      <c r="J457" s="1386"/>
      <c r="K457" s="1386"/>
      <c r="L457" s="1386"/>
      <c r="M457" s="1386"/>
      <c r="N457" s="1386"/>
      <c r="O457" s="1279"/>
      <c r="P457" s="1279"/>
      <c r="U457" s="114"/>
      <c r="V457" s="114"/>
      <c r="W457" s="114"/>
      <c r="Y457" s="114"/>
      <c r="Z457" s="218"/>
      <c r="AD457" s="114"/>
    </row>
    <row r="458" spans="1:93" ht="13.8" x14ac:dyDescent="0.3">
      <c r="A458" s="100"/>
      <c r="C458" s="21"/>
      <c r="D458" s="1386" t="s">
        <v>671</v>
      </c>
      <c r="E458" s="1386"/>
      <c r="F458" s="1386"/>
      <c r="G458" s="1386"/>
      <c r="H458" s="1386"/>
      <c r="I458" s="1386"/>
      <c r="J458" s="1386"/>
      <c r="K458" s="1386"/>
      <c r="L458" s="1386"/>
      <c r="M458" s="1386"/>
      <c r="N458" s="1386"/>
      <c r="O458" s="107"/>
      <c r="U458" s="114"/>
      <c r="V458" s="114"/>
      <c r="W458" s="114"/>
      <c r="Y458" s="114"/>
      <c r="Z458" s="218"/>
      <c r="AD458" s="114"/>
    </row>
    <row r="459" spans="1:93" x14ac:dyDescent="0.2">
      <c r="U459" s="114"/>
      <c r="V459" s="114"/>
      <c r="W459" s="114"/>
      <c r="Y459" s="114"/>
      <c r="Z459" s="218"/>
      <c r="AD459" s="114"/>
    </row>
    <row r="460" spans="1:93" x14ac:dyDescent="0.2">
      <c r="A460" s="100"/>
      <c r="C460" s="119"/>
      <c r="O460" s="100"/>
      <c r="U460" s="114"/>
      <c r="V460" s="114"/>
      <c r="W460" s="114"/>
      <c r="Y460" s="114"/>
      <c r="Z460" s="218"/>
      <c r="AD460" s="114"/>
    </row>
    <row r="461" spans="1:93" ht="10.8" thickBot="1" x14ac:dyDescent="0.25">
      <c r="A461" s="123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23"/>
      <c r="O461" s="109"/>
      <c r="P461" s="109"/>
      <c r="Q461" s="109"/>
      <c r="U461" s="114"/>
      <c r="V461" s="114"/>
      <c r="W461" s="114"/>
      <c r="Y461" s="114"/>
      <c r="Z461" s="218"/>
      <c r="AD461" s="114"/>
    </row>
    <row r="462" spans="1:93" ht="15.6" x14ac:dyDescent="0.2">
      <c r="B462" s="1369"/>
      <c r="C462" s="125"/>
      <c r="D462" s="125"/>
      <c r="E462" s="125"/>
      <c r="F462" s="276"/>
      <c r="G462" s="125"/>
      <c r="H462" s="125"/>
      <c r="I462" s="126" t="s">
        <v>622</v>
      </c>
      <c r="J462" s="125"/>
      <c r="K462" s="125"/>
      <c r="L462" s="276"/>
      <c r="M462" s="125"/>
      <c r="N462" s="125"/>
      <c r="U462" s="127" t="s">
        <v>530</v>
      </c>
      <c r="V462" s="128"/>
      <c r="W462" s="129"/>
      <c r="Y462" s="130" t="s">
        <v>531</v>
      </c>
      <c r="Z462" s="131"/>
    </row>
    <row r="463" spans="1:93" x14ac:dyDescent="0.2">
      <c r="A463" s="101" t="s">
        <v>30</v>
      </c>
      <c r="B463" s="101" t="s">
        <v>532</v>
      </c>
      <c r="C463" s="132"/>
      <c r="D463" s="133" t="s">
        <v>533</v>
      </c>
      <c r="E463" s="134"/>
      <c r="F463" s="278"/>
      <c r="G463" s="133"/>
      <c r="H463" s="133"/>
      <c r="I463" s="135"/>
      <c r="J463" s="136" t="s">
        <v>534</v>
      </c>
      <c r="K463" s="133"/>
      <c r="L463" s="278"/>
      <c r="M463" s="134"/>
      <c r="N463" s="134"/>
      <c r="O463" s="137"/>
      <c r="Q463" s="118" t="s">
        <v>332</v>
      </c>
      <c r="U463" s="138"/>
      <c r="V463" s="139"/>
      <c r="W463" s="140"/>
      <c r="Y463" s="138"/>
      <c r="Z463" s="141"/>
    </row>
    <row r="464" spans="1:93" x14ac:dyDescent="0.2">
      <c r="A464" s="101" t="s">
        <v>39</v>
      </c>
      <c r="B464" s="102" t="s">
        <v>535</v>
      </c>
      <c r="C464" s="104"/>
      <c r="D464" s="142" t="s">
        <v>536</v>
      </c>
      <c r="E464" s="143"/>
      <c r="F464" s="281" t="s">
        <v>537</v>
      </c>
      <c r="G464" s="142"/>
      <c r="H464" s="142" t="s">
        <v>538</v>
      </c>
      <c r="I464" s="144"/>
      <c r="J464" s="142" t="s">
        <v>536</v>
      </c>
      <c r="K464" s="143"/>
      <c r="L464" s="281" t="s">
        <v>537</v>
      </c>
      <c r="M464" s="142"/>
      <c r="N464" s="142" t="s">
        <v>538</v>
      </c>
      <c r="O464" s="132"/>
      <c r="Q464" s="145" t="s">
        <v>539</v>
      </c>
      <c r="R464" s="132"/>
      <c r="S464" s="132"/>
      <c r="U464" s="138" t="s">
        <v>128</v>
      </c>
      <c r="V464" s="146" t="s">
        <v>343</v>
      </c>
      <c r="W464" s="147" t="s">
        <v>344</v>
      </c>
      <c r="X464" s="118"/>
      <c r="Y464" s="148" t="s">
        <v>128</v>
      </c>
      <c r="Z464" s="149"/>
      <c r="AA464" s="118"/>
      <c r="AH464" s="116"/>
      <c r="AI464" s="116"/>
      <c r="AJ464" s="116"/>
      <c r="AK464" s="116"/>
      <c r="AL464" s="116"/>
      <c r="AM464" s="116"/>
      <c r="AN464" s="116"/>
      <c r="AO464" s="116"/>
      <c r="AP464" s="116"/>
      <c r="AQ464" s="116"/>
      <c r="AR464" s="116"/>
      <c r="AS464" s="116"/>
      <c r="AT464" s="116"/>
      <c r="AU464" s="116"/>
      <c r="AV464" s="116"/>
      <c r="AW464" s="116"/>
      <c r="AX464" s="116"/>
      <c r="AY464" s="116"/>
      <c r="AZ464" s="116"/>
      <c r="BA464" s="116"/>
      <c r="BB464" s="116"/>
      <c r="BC464" s="116"/>
      <c r="BD464" s="116"/>
      <c r="BE464" s="116"/>
      <c r="BF464" s="116"/>
      <c r="BG464" s="116"/>
      <c r="BH464" s="116"/>
      <c r="BI464" s="116"/>
      <c r="BJ464" s="116"/>
      <c r="BK464" s="116"/>
      <c r="BL464" s="116"/>
      <c r="BM464" s="116"/>
      <c r="BN464" s="116"/>
      <c r="BO464" s="116"/>
      <c r="BP464" s="116"/>
      <c r="BQ464" s="116"/>
      <c r="BR464" s="116"/>
      <c r="BS464" s="116"/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</row>
    <row r="465" spans="1:93" ht="10.8" thickBot="1" x14ac:dyDescent="0.25">
      <c r="A465" s="109"/>
      <c r="B465" s="1370" t="s">
        <v>273</v>
      </c>
      <c r="C465" s="150"/>
      <c r="D465" s="220" t="str">
        <f>+$D$15</f>
        <v>Jan '26-Dec '26</v>
      </c>
      <c r="E465" s="221"/>
      <c r="F465" s="152">
        <f>+$L$15</f>
        <v>46023</v>
      </c>
      <c r="G465" s="153"/>
      <c r="H465" s="153"/>
      <c r="I465" s="153"/>
      <c r="J465" s="153"/>
      <c r="K465" s="151"/>
      <c r="L465" s="152">
        <f>+$L$15</f>
        <v>46023</v>
      </c>
      <c r="M465" s="154"/>
      <c r="N465" s="154"/>
      <c r="O465" s="155"/>
      <c r="P465" s="109"/>
      <c r="Q465" s="156"/>
      <c r="R465" s="132"/>
      <c r="S465" s="132"/>
      <c r="U465" s="157" t="s">
        <v>144</v>
      </c>
      <c r="V465" s="158" t="s">
        <v>540</v>
      </c>
      <c r="W465" s="159" t="s">
        <v>540</v>
      </c>
      <c r="X465" s="118"/>
      <c r="Y465" s="160" t="s">
        <v>144</v>
      </c>
      <c r="Z465" s="159" t="s">
        <v>541</v>
      </c>
      <c r="AA465" s="118"/>
      <c r="AH465" s="116"/>
      <c r="AI465" s="116"/>
      <c r="AJ465" s="116"/>
      <c r="AK465" s="116"/>
      <c r="AL465" s="116"/>
      <c r="AM465" s="116"/>
      <c r="AN465" s="116"/>
      <c r="AO465" s="116"/>
      <c r="AP465" s="116"/>
      <c r="AQ465" s="116"/>
      <c r="AR465" s="116"/>
      <c r="AS465" s="116"/>
      <c r="AT465" s="116"/>
      <c r="AU465" s="116"/>
      <c r="AV465" s="116"/>
      <c r="AW465" s="116"/>
      <c r="AX465" s="116"/>
      <c r="AY465" s="116"/>
      <c r="AZ465" s="116"/>
      <c r="BA465" s="116"/>
      <c r="BB465" s="116"/>
      <c r="BC465" s="116"/>
      <c r="BD465" s="116"/>
      <c r="BE465" s="116"/>
      <c r="BF465" s="116"/>
      <c r="BG465" s="116"/>
      <c r="BH465" s="116"/>
      <c r="BI465" s="116"/>
      <c r="BJ465" s="116"/>
      <c r="BK465" s="116"/>
      <c r="BL465" s="116"/>
      <c r="BM465" s="116"/>
      <c r="BN465" s="116"/>
      <c r="BO465" s="116"/>
      <c r="BP465" s="116"/>
      <c r="BQ465" s="116"/>
      <c r="BR465" s="116"/>
      <c r="BS465" s="116"/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</row>
    <row r="466" spans="1:93" x14ac:dyDescent="0.2">
      <c r="A466" s="118">
        <v>1</v>
      </c>
      <c r="B466" s="239" t="s">
        <v>551</v>
      </c>
      <c r="C466" s="223"/>
      <c r="D466" s="168"/>
      <c r="E466" s="225"/>
      <c r="F466" s="183"/>
      <c r="G466" s="233"/>
      <c r="H466" s="223"/>
      <c r="I466" s="229"/>
      <c r="J466" s="168"/>
      <c r="K466" s="225"/>
      <c r="L466" s="183"/>
      <c r="M466" s="233"/>
      <c r="N466" s="223"/>
      <c r="O466" s="227"/>
      <c r="P466" s="230"/>
      <c r="Q466" s="230"/>
      <c r="U466" s="184"/>
      <c r="V466" s="179"/>
      <c r="W466" s="180"/>
      <c r="Y466" s="184"/>
      <c r="Z466" s="181"/>
      <c r="AH466" s="116"/>
      <c r="AI466" s="116"/>
      <c r="AJ466" s="116"/>
      <c r="AK466" s="116"/>
      <c r="AL466" s="116"/>
      <c r="AM466" s="116"/>
      <c r="AN466" s="116"/>
      <c r="AO466" s="116"/>
      <c r="AP466" s="116"/>
      <c r="AQ466" s="116"/>
      <c r="AR466" s="116"/>
      <c r="AS466" s="116"/>
      <c r="AT466" s="116"/>
      <c r="AU466" s="116"/>
      <c r="AV466" s="116"/>
      <c r="AW466" s="116"/>
      <c r="AX466" s="116"/>
      <c r="AY466" s="116"/>
      <c r="AZ466" s="116"/>
      <c r="BA466" s="116"/>
      <c r="BB466" s="116"/>
      <c r="BC466" s="116"/>
      <c r="BD466" s="116"/>
      <c r="BE466" s="116"/>
      <c r="BF466" s="116"/>
      <c r="BG466" s="116"/>
      <c r="BH466" s="116"/>
      <c r="BI466" s="116"/>
      <c r="BJ466" s="116"/>
      <c r="BK466" s="116"/>
      <c r="BL466" s="116"/>
      <c r="BM466" s="116"/>
      <c r="BN466" s="116"/>
      <c r="BO466" s="116"/>
      <c r="BP466" s="116"/>
      <c r="BQ466" s="116"/>
      <c r="BR466" s="116"/>
      <c r="BS466" s="116"/>
      <c r="BT466" s="116"/>
      <c r="BU466" s="116"/>
      <c r="BV466" s="116"/>
      <c r="BW466" s="116"/>
      <c r="BX466" s="116"/>
      <c r="BY466" s="116"/>
      <c r="BZ466" s="116"/>
      <c r="CA466" s="116"/>
      <c r="CB466" s="116"/>
      <c r="CC466" s="116"/>
      <c r="CD466" s="116"/>
      <c r="CE466" s="116"/>
      <c r="CF466" s="116"/>
      <c r="CG466" s="116"/>
      <c r="CH466" s="116"/>
      <c r="CI466" s="116"/>
      <c r="CJ466" s="116"/>
      <c r="CK466" s="116"/>
      <c r="CL466" s="116"/>
      <c r="CM466" s="116"/>
      <c r="CN466" s="116"/>
      <c r="CO466" s="116"/>
    </row>
    <row r="467" spans="1:93" x14ac:dyDescent="0.2">
      <c r="A467" s="118">
        <f t="shared" ref="A467:A510" si="46">+A466+1</f>
        <v>2</v>
      </c>
      <c r="B467" s="228" t="s">
        <v>543</v>
      </c>
      <c r="C467" s="223"/>
      <c r="D467" s="168"/>
      <c r="E467" s="225"/>
      <c r="F467" s="183"/>
      <c r="G467" s="233"/>
      <c r="H467" s="223"/>
      <c r="I467" s="229"/>
      <c r="J467" s="168"/>
      <c r="K467" s="225"/>
      <c r="L467" s="1368">
        <v>-0.04</v>
      </c>
      <c r="M467" s="233"/>
      <c r="N467" s="223"/>
      <c r="O467" s="227"/>
      <c r="P467" s="227"/>
      <c r="Q467" s="227"/>
      <c r="U467" s="184"/>
      <c r="V467" s="179"/>
      <c r="W467" s="180"/>
      <c r="Y467" s="184"/>
      <c r="Z467" s="181"/>
      <c r="AH467" s="116"/>
      <c r="AI467" s="116"/>
      <c r="AJ467" s="116"/>
      <c r="AK467" s="116"/>
      <c r="AL467" s="116"/>
      <c r="AM467" s="116"/>
      <c r="AN467" s="116"/>
      <c r="AO467" s="116"/>
      <c r="AP467" s="116"/>
      <c r="AQ467" s="116"/>
      <c r="AR467" s="116"/>
      <c r="AS467" s="116"/>
      <c r="AT467" s="116"/>
      <c r="AU467" s="116"/>
      <c r="AV467" s="116"/>
      <c r="AW467" s="116"/>
      <c r="AX467" s="116"/>
      <c r="AY467" s="116"/>
      <c r="AZ467" s="116"/>
      <c r="BA467" s="116"/>
      <c r="BB467" s="116"/>
      <c r="BC467" s="116"/>
      <c r="BD467" s="116"/>
      <c r="BE467" s="116"/>
      <c r="BF467" s="116"/>
      <c r="BG467" s="116"/>
      <c r="BH467" s="116"/>
      <c r="BI467" s="116"/>
      <c r="BJ467" s="116"/>
      <c r="BK467" s="116"/>
      <c r="BL467" s="116"/>
      <c r="BM467" s="116"/>
      <c r="BN467" s="116"/>
      <c r="BO467" s="116"/>
      <c r="BP467" s="116"/>
      <c r="BQ467" s="116"/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6"/>
      <c r="CB467" s="116"/>
      <c r="CC467" s="116"/>
      <c r="CD467" s="116"/>
      <c r="CE467" s="116"/>
      <c r="CF467" s="116"/>
      <c r="CG467" s="116"/>
      <c r="CH467" s="116"/>
      <c r="CI467" s="116"/>
      <c r="CJ467" s="116"/>
      <c r="CK467" s="116"/>
      <c r="CL467" s="116"/>
      <c r="CM467" s="116"/>
      <c r="CN467" s="116"/>
      <c r="CO467" s="116"/>
    </row>
    <row r="468" spans="1:93" x14ac:dyDescent="0.2">
      <c r="A468" s="118">
        <f t="shared" si="46"/>
        <v>3</v>
      </c>
      <c r="B468" s="234" t="s">
        <v>149</v>
      </c>
      <c r="C468" s="223"/>
      <c r="D468" s="172">
        <f>SUMIF($AH$8:$CP$8,1,$AH468:$CP468)+'Unbilled to E-13c'!P84</f>
        <v>19498.688774819202</v>
      </c>
      <c r="E468" s="225" t="s">
        <v>555</v>
      </c>
      <c r="F468" s="183">
        <v>17.45</v>
      </c>
      <c r="G468" s="233" t="s">
        <v>375</v>
      </c>
      <c r="H468" s="174">
        <f>ROUND(D468*F468,2)</f>
        <v>340252.12</v>
      </c>
      <c r="I468" s="229"/>
      <c r="J468" s="168">
        <f>D468</f>
        <v>19498.688774819202</v>
      </c>
      <c r="K468" s="225" t="s">
        <v>555</v>
      </c>
      <c r="L468" s="183">
        <f>ROUND(F468*(1+'Exhibit MJC-2 - Old E-8a'!V27)+L467,2)</f>
        <v>18.12</v>
      </c>
      <c r="M468" s="233" t="s">
        <v>375</v>
      </c>
      <c r="N468" s="174">
        <f>ROUND(J468*L468,2)</f>
        <v>353316.24</v>
      </c>
      <c r="O468" s="227"/>
      <c r="P468" s="227"/>
      <c r="Q468" s="1022"/>
      <c r="U468" s="184" t="s">
        <v>623</v>
      </c>
      <c r="V468" s="179">
        <v>252</v>
      </c>
      <c r="W468" s="180">
        <v>226</v>
      </c>
      <c r="Y468" s="184"/>
      <c r="Z468" s="181"/>
      <c r="AB468" s="182">
        <f>SUM(AH468:AS468)</f>
        <v>19025.986688695313</v>
      </c>
      <c r="AC468" s="182">
        <f>SUM(AT468:BE468)</f>
        <v>19113.90827504675</v>
      </c>
      <c r="AD468" s="182">
        <f>SUM(BF468:BQ468)</f>
        <v>19203.587968939046</v>
      </c>
      <c r="AE468" s="182">
        <f>SUM(BR468:CC468)</f>
        <v>19461.100774819202</v>
      </c>
      <c r="AF468" s="182">
        <f>SUM(CD468:CO468)</f>
        <v>19494.318989978008</v>
      </c>
      <c r="AH468" s="168">
        <v>3396.9397269427259</v>
      </c>
      <c r="AI468" s="168">
        <v>2158.7772820232472</v>
      </c>
      <c r="AJ468" s="168">
        <v>1127.5864419775153</v>
      </c>
      <c r="AK468" s="168">
        <v>1375.3730389863711</v>
      </c>
      <c r="AL468" s="168">
        <v>1287.8641084981077</v>
      </c>
      <c r="AM468" s="168">
        <v>1681.1131662572584</v>
      </c>
      <c r="AN468" s="168">
        <v>1635.4256637415592</v>
      </c>
      <c r="AO468" s="168">
        <v>1372.1948848461225</v>
      </c>
      <c r="AP468" s="168">
        <v>1261.1537562173291</v>
      </c>
      <c r="AQ468" s="168">
        <v>1266.8659392271727</v>
      </c>
      <c r="AR468" s="168">
        <v>1553.3772708291172</v>
      </c>
      <c r="AS468" s="168">
        <v>909.31540914878519</v>
      </c>
      <c r="AT468" s="168">
        <v>3523.671498889541</v>
      </c>
      <c r="AU468" s="168">
        <v>2184.6742944304738</v>
      </c>
      <c r="AV468" s="168">
        <v>1118.3480218805084</v>
      </c>
      <c r="AW468" s="168">
        <v>1386.9156307802746</v>
      </c>
      <c r="AX468" s="168">
        <v>1282.6852025024027</v>
      </c>
      <c r="AY468" s="168">
        <v>1645.0730316457084</v>
      </c>
      <c r="AZ468" s="168">
        <v>1651.170498790344</v>
      </c>
      <c r="BA468" s="168">
        <v>1354.3669040441764</v>
      </c>
      <c r="BB468" s="168">
        <v>1255.2997277400887</v>
      </c>
      <c r="BC468" s="168">
        <v>1270.2015997884598</v>
      </c>
      <c r="BD468" s="168">
        <v>1540.9732262634977</v>
      </c>
      <c r="BE468" s="168">
        <v>900.52863829127421</v>
      </c>
      <c r="BF468" s="168">
        <v>3503.1151105183467</v>
      </c>
      <c r="BG468" s="168">
        <v>2210.2695762959625</v>
      </c>
      <c r="BH468" s="168">
        <v>1135.1460817687046</v>
      </c>
      <c r="BI468" s="168">
        <v>1381.5114739107471</v>
      </c>
      <c r="BJ468" s="168">
        <v>1291.0109552028071</v>
      </c>
      <c r="BK468" s="168">
        <v>1668.4651716179796</v>
      </c>
      <c r="BL468" s="168">
        <v>1661.8156388039192</v>
      </c>
      <c r="BM468" s="168">
        <v>1365.5610754823288</v>
      </c>
      <c r="BN468" s="168">
        <v>1260.7641164153461</v>
      </c>
      <c r="BO468" s="168">
        <v>1264.6700647724126</v>
      </c>
      <c r="BP468" s="168">
        <v>1542.8889897298325</v>
      </c>
      <c r="BQ468" s="168">
        <v>918.36971442066078</v>
      </c>
      <c r="BR468" s="168">
        <v>3545.7729188146645</v>
      </c>
      <c r="BS468" s="168">
        <v>2225.3238557726886</v>
      </c>
      <c r="BT468" s="168">
        <v>1161.3646130333557</v>
      </c>
      <c r="BU468" s="168">
        <v>1416.0064464300369</v>
      </c>
      <c r="BV468" s="168">
        <v>1287.2444407926359</v>
      </c>
      <c r="BW468" s="168">
        <v>1706.0956037855872</v>
      </c>
      <c r="BX468" s="168">
        <v>1696.2050459715522</v>
      </c>
      <c r="BY468" s="168">
        <v>1385.3293468488289</v>
      </c>
      <c r="BZ468" s="168">
        <v>1273.9366205688102</v>
      </c>
      <c r="CA468" s="168">
        <v>1284.0241024139</v>
      </c>
      <c r="CB468" s="168">
        <v>1562.7783372498745</v>
      </c>
      <c r="CC468" s="168">
        <v>917.01944313726995</v>
      </c>
      <c r="CD468" s="168">
        <v>3562.9860020357269</v>
      </c>
      <c r="CE468" s="168">
        <v>2210.0856122512014</v>
      </c>
      <c r="CF468" s="168">
        <v>1141.8749206898253</v>
      </c>
      <c r="CG468" s="168">
        <v>1432.0809394989019</v>
      </c>
      <c r="CH468" s="168">
        <v>1303.903783857595</v>
      </c>
      <c r="CI468" s="168">
        <v>1687.2858623473387</v>
      </c>
      <c r="CJ468" s="168">
        <v>1692.6706216995954</v>
      </c>
      <c r="CK468" s="168">
        <v>1385.8493648952256</v>
      </c>
      <c r="CL468" s="168">
        <v>1292.4834508062836</v>
      </c>
      <c r="CM468" s="168">
        <v>1287.4975409553915</v>
      </c>
      <c r="CN468" s="168">
        <v>1580.2735404958864</v>
      </c>
      <c r="CO468" s="168">
        <v>917.32735044503659</v>
      </c>
    </row>
    <row r="469" spans="1:93" x14ac:dyDescent="0.2">
      <c r="A469" s="118">
        <f t="shared" si="46"/>
        <v>4</v>
      </c>
      <c r="B469" s="234" t="s">
        <v>148</v>
      </c>
      <c r="C469" s="223"/>
      <c r="D469" s="172">
        <f>SUMIF($AH$8:$CP$8,1,$AH469:$CP469)+'Unbilled to E-13c'!P85</f>
        <v>138554.76881359771</v>
      </c>
      <c r="E469" s="225" t="s">
        <v>555</v>
      </c>
      <c r="F469" s="183">
        <v>17.45</v>
      </c>
      <c r="G469" s="233" t="s">
        <v>375</v>
      </c>
      <c r="H469" s="174">
        <f>ROUND(D469*F469,2)</f>
        <v>2417780.7200000002</v>
      </c>
      <c r="I469" s="229"/>
      <c r="J469" s="168">
        <f>D469</f>
        <v>138554.76881359771</v>
      </c>
      <c r="K469" s="225" t="s">
        <v>555</v>
      </c>
      <c r="L469" s="183">
        <f>L468</f>
        <v>18.12</v>
      </c>
      <c r="M469" s="233" t="s">
        <v>375</v>
      </c>
      <c r="N469" s="174">
        <f>ROUND(J469*L469,2)</f>
        <v>2510612.41</v>
      </c>
      <c r="O469" s="227"/>
      <c r="P469" s="227"/>
      <c r="Q469" s="227"/>
      <c r="U469" s="184" t="s">
        <v>623</v>
      </c>
      <c r="V469" s="179">
        <v>252</v>
      </c>
      <c r="W469" s="180">
        <v>226</v>
      </c>
      <c r="Y469" s="184"/>
      <c r="Z469" s="181"/>
      <c r="AB469" s="182">
        <f>SUM(AH469:AS469)</f>
        <v>135483.5903309088</v>
      </c>
      <c r="AC469" s="182">
        <f>SUM(AT469:BE469)</f>
        <v>135707.10686640406</v>
      </c>
      <c r="AD469" s="182">
        <f>SUM(BF469:BQ469)</f>
        <v>136500.41655268756</v>
      </c>
      <c r="AE469" s="182">
        <f>SUM(BR469:CC469)</f>
        <v>138287.6718135977</v>
      </c>
      <c r="AF469" s="182">
        <f>SUM(CD469:CO469)</f>
        <v>138470.46043210541</v>
      </c>
      <c r="AH469" s="168">
        <v>13237.042299701687</v>
      </c>
      <c r="AI469" s="168">
        <v>18814.370686628114</v>
      </c>
      <c r="AJ469" s="168">
        <v>9661.3650854604603</v>
      </c>
      <c r="AK469" s="168">
        <v>9854.3750262305293</v>
      </c>
      <c r="AL469" s="168">
        <v>8830.7145063449334</v>
      </c>
      <c r="AM469" s="168">
        <v>10848.050721995678</v>
      </c>
      <c r="AN469" s="168">
        <v>10554.493941638406</v>
      </c>
      <c r="AO469" s="168">
        <v>10124.063442266286</v>
      </c>
      <c r="AP469" s="168">
        <v>10477.43468494188</v>
      </c>
      <c r="AQ469" s="168">
        <v>11903.801074900097</v>
      </c>
      <c r="AR469" s="168">
        <v>12135.238411234885</v>
      </c>
      <c r="AS469" s="168">
        <v>9042.6404495658589</v>
      </c>
      <c r="AT469" s="168">
        <v>13730.884981887264</v>
      </c>
      <c r="AU469" s="168">
        <v>19040.070667428874</v>
      </c>
      <c r="AV469" s="168">
        <v>9582.2086269866377</v>
      </c>
      <c r="AW469" s="168">
        <v>9937.0762462541825</v>
      </c>
      <c r="AX469" s="168">
        <v>8795.2034302915745</v>
      </c>
      <c r="AY469" s="168">
        <v>10615.487432301106</v>
      </c>
      <c r="AZ469" s="168">
        <v>10656.105876573016</v>
      </c>
      <c r="BA469" s="168">
        <v>9992.5284754188851</v>
      </c>
      <c r="BB469" s="168">
        <v>10428.800487317916</v>
      </c>
      <c r="BC469" s="168">
        <v>11935.143807027833</v>
      </c>
      <c r="BD469" s="168">
        <v>12038.335977489971</v>
      </c>
      <c r="BE469" s="168">
        <v>8955.2608574267852</v>
      </c>
      <c r="BF469" s="168">
        <v>13650.781770093306</v>
      </c>
      <c r="BG469" s="168">
        <v>19263.14097896871</v>
      </c>
      <c r="BH469" s="168">
        <v>9726.137449882619</v>
      </c>
      <c r="BI469" s="168">
        <v>9898.3561412475065</v>
      </c>
      <c r="BJ469" s="168">
        <v>8852.2920195787156</v>
      </c>
      <c r="BK469" s="168">
        <v>10766.434510706407</v>
      </c>
      <c r="BL469" s="168">
        <v>10724.806073880745</v>
      </c>
      <c r="BM469" s="168">
        <v>10075.119150457123</v>
      </c>
      <c r="BN469" s="168">
        <v>10474.197628749638</v>
      </c>
      <c r="BO469" s="168">
        <v>11883.168068766188</v>
      </c>
      <c r="BP469" s="168">
        <v>12053.302236389265</v>
      </c>
      <c r="BQ469" s="168">
        <v>9132.6805239673522</v>
      </c>
      <c r="BR469" s="168">
        <v>13817.008803311568</v>
      </c>
      <c r="BS469" s="168">
        <v>19394.34339473147</v>
      </c>
      <c r="BT469" s="168">
        <v>9950.7825796237285</v>
      </c>
      <c r="BU469" s="168">
        <v>10145.508285494221</v>
      </c>
      <c r="BV469" s="168">
        <v>8826.465526534319</v>
      </c>
      <c r="BW469" s="168">
        <v>11009.259827311154</v>
      </c>
      <c r="BX469" s="168">
        <v>10946.743883500856</v>
      </c>
      <c r="BY469" s="168">
        <v>10220.96959463862</v>
      </c>
      <c r="BZ469" s="168">
        <v>10583.632383413498</v>
      </c>
      <c r="CA469" s="168">
        <v>12065.023628179941</v>
      </c>
      <c r="CB469" s="168">
        <v>12208.681086416334</v>
      </c>
      <c r="CC469" s="168">
        <v>9119.2528204420069</v>
      </c>
      <c r="CD469" s="168">
        <v>13884.083973618035</v>
      </c>
      <c r="CE469" s="168">
        <v>19261.537678915491</v>
      </c>
      <c r="CF469" s="168">
        <v>9783.7913618117054</v>
      </c>
      <c r="CG469" s="168">
        <v>10260.680008777292</v>
      </c>
      <c r="CH469" s="168">
        <v>8940.6964469390132</v>
      </c>
      <c r="CI469" s="168">
        <v>10887.882496334665</v>
      </c>
      <c r="CJ469" s="168">
        <v>10923.933883393483</v>
      </c>
      <c r="CK469" s="168">
        <v>10224.806291416155</v>
      </c>
      <c r="CL469" s="168">
        <v>10737.716055977486</v>
      </c>
      <c r="CM469" s="168">
        <v>12097.660957958522</v>
      </c>
      <c r="CN469" s="168">
        <v>12345.35648809132</v>
      </c>
      <c r="CO469" s="168">
        <v>9122.3147888722269</v>
      </c>
    </row>
    <row r="470" spans="1:93" x14ac:dyDescent="0.2">
      <c r="A470" s="118">
        <f t="shared" si="46"/>
        <v>5</v>
      </c>
      <c r="B470" s="234" t="s">
        <v>216</v>
      </c>
      <c r="C470" s="223"/>
      <c r="D470" s="172">
        <f>SUMIF($AH$8:$CP$8,1,$AH470:$CP470)+'Unbilled to E-13c'!P86</f>
        <v>0</v>
      </c>
      <c r="E470" s="225" t="s">
        <v>555</v>
      </c>
      <c r="F470" s="183">
        <v>17.45</v>
      </c>
      <c r="G470" s="233" t="s">
        <v>375</v>
      </c>
      <c r="H470" s="174">
        <f>ROUND(D470*F470,2)</f>
        <v>0</v>
      </c>
      <c r="I470" s="229"/>
      <c r="J470" s="168">
        <f>D470</f>
        <v>0</v>
      </c>
      <c r="K470" s="225" t="s">
        <v>555</v>
      </c>
      <c r="L470" s="183">
        <f>L468</f>
        <v>18.12</v>
      </c>
      <c r="M470" s="233" t="s">
        <v>375</v>
      </c>
      <c r="N470" s="174">
        <f>ROUND(J470*L470,2)</f>
        <v>0</v>
      </c>
      <c r="O470" s="227"/>
      <c r="S470" s="247"/>
      <c r="T470" s="227"/>
      <c r="U470" s="184" t="s">
        <v>623</v>
      </c>
      <c r="V470" s="179">
        <v>252</v>
      </c>
      <c r="W470" s="180">
        <v>226</v>
      </c>
      <c r="Y470" s="184"/>
      <c r="Z470" s="181"/>
      <c r="AB470" s="182">
        <f>SUM(AH470:AS470)</f>
        <v>0</v>
      </c>
      <c r="AC470" s="182">
        <f>SUM(AT470:BE470)</f>
        <v>0</v>
      </c>
      <c r="AD470" s="182">
        <f>SUM(BF470:BQ470)</f>
        <v>0</v>
      </c>
      <c r="AE470" s="182">
        <f>SUM(BR470:CC470)</f>
        <v>0</v>
      </c>
      <c r="AF470" s="182">
        <f>SUM(CD470:CO470)</f>
        <v>0</v>
      </c>
      <c r="AH470" s="168"/>
      <c r="AI470" s="168"/>
      <c r="AJ470" s="168"/>
      <c r="AK470" s="168"/>
      <c r="AL470" s="168"/>
      <c r="AM470" s="168"/>
      <c r="AN470" s="168"/>
      <c r="AO470" s="168"/>
      <c r="AP470" s="168"/>
      <c r="AQ470" s="168"/>
      <c r="AR470" s="168"/>
      <c r="AS470" s="168"/>
      <c r="AT470" s="168"/>
      <c r="AU470" s="168"/>
      <c r="AV470" s="168"/>
      <c r="AW470" s="168"/>
      <c r="AX470" s="168"/>
      <c r="AY470" s="168"/>
      <c r="AZ470" s="168"/>
      <c r="BA470" s="168"/>
      <c r="BB470" s="168"/>
      <c r="BC470" s="168"/>
      <c r="BD470" s="168"/>
      <c r="BE470" s="168"/>
      <c r="BF470" s="168"/>
      <c r="BG470" s="168"/>
      <c r="BH470" s="168"/>
      <c r="BI470" s="168"/>
      <c r="BJ470" s="168"/>
      <c r="BK470" s="168"/>
      <c r="BL470" s="168"/>
      <c r="BM470" s="168"/>
      <c r="BN470" s="168"/>
      <c r="BO470" s="168"/>
      <c r="BP470" s="168"/>
      <c r="BQ470" s="168"/>
      <c r="BR470" s="168"/>
      <c r="BS470" s="168"/>
      <c r="BT470" s="168"/>
      <c r="BU470" s="168"/>
      <c r="BV470" s="168"/>
      <c r="BW470" s="168"/>
      <c r="BX470" s="168"/>
      <c r="BY470" s="168"/>
      <c r="BZ470" s="168"/>
      <c r="CA470" s="168"/>
      <c r="CB470" s="168"/>
      <c r="CC470" s="168"/>
      <c r="CD470" s="168"/>
      <c r="CE470" s="168"/>
      <c r="CF470" s="168"/>
      <c r="CG470" s="168"/>
      <c r="CH470" s="168"/>
      <c r="CI470" s="168"/>
      <c r="CJ470" s="168"/>
      <c r="CK470" s="168"/>
      <c r="CL470" s="168"/>
      <c r="CM470" s="168"/>
      <c r="CN470" s="168"/>
      <c r="CO470" s="168"/>
    </row>
    <row r="471" spans="1:93" x14ac:dyDescent="0.2">
      <c r="A471" s="118">
        <f t="shared" si="46"/>
        <v>6</v>
      </c>
      <c r="B471" s="226" t="s">
        <v>546</v>
      </c>
      <c r="C471" s="223"/>
      <c r="D471" s="168"/>
      <c r="E471" s="225"/>
      <c r="F471" s="183"/>
      <c r="G471" s="233"/>
      <c r="H471" s="174"/>
      <c r="I471" s="229"/>
      <c r="J471" s="168"/>
      <c r="K471" s="225"/>
      <c r="L471" s="183"/>
      <c r="M471" s="233"/>
      <c r="N471" s="174"/>
      <c r="O471" s="227"/>
      <c r="S471" s="227"/>
      <c r="T471" s="227"/>
      <c r="U471" s="184"/>
      <c r="V471" s="179"/>
      <c r="W471" s="180"/>
      <c r="Y471" s="184"/>
      <c r="Z471" s="181"/>
    </row>
    <row r="472" spans="1:93" x14ac:dyDescent="0.2">
      <c r="A472" s="118">
        <f t="shared" si="46"/>
        <v>7</v>
      </c>
      <c r="B472" s="234" t="s">
        <v>149</v>
      </c>
      <c r="C472" s="223"/>
      <c r="D472" s="168"/>
      <c r="E472" s="225"/>
      <c r="F472" s="183"/>
      <c r="G472" s="233"/>
      <c r="H472" s="174"/>
      <c r="I472" s="229"/>
      <c r="J472" s="168"/>
      <c r="K472" s="225"/>
      <c r="L472" s="1368">
        <v>-0.01</v>
      </c>
      <c r="M472" s="233"/>
      <c r="N472" s="174"/>
      <c r="O472" s="227"/>
      <c r="S472" s="227"/>
      <c r="T472" s="858" t="s">
        <v>558</v>
      </c>
      <c r="U472" s="184"/>
      <c r="V472" s="179"/>
      <c r="W472" s="180"/>
      <c r="Y472" s="184"/>
      <c r="Z472" s="181"/>
    </row>
    <row r="473" spans="1:93" x14ac:dyDescent="0.2">
      <c r="A473" s="118">
        <f t="shared" si="46"/>
        <v>8</v>
      </c>
      <c r="B473" s="243" t="s">
        <v>559</v>
      </c>
      <c r="C473" s="223"/>
      <c r="D473" s="172">
        <f>SUMIF($AH$8:$CP$8,1,$AH473:$CP473)+(SUM($AE$473:$AE$475)*'TOU Split'!E20)+'Unbilled to E-13c'!P87</f>
        <v>45177.517942644758</v>
      </c>
      <c r="E473" s="225" t="s">
        <v>555</v>
      </c>
      <c r="F473" s="183">
        <v>27.03</v>
      </c>
      <c r="G473" s="233" t="s">
        <v>375</v>
      </c>
      <c r="H473" s="174">
        <f>ROUND(D473*F473,2)</f>
        <v>1221148.31</v>
      </c>
      <c r="I473" s="229"/>
      <c r="J473" s="172">
        <f>D473</f>
        <v>45177.517942644758</v>
      </c>
      <c r="K473" s="225" t="s">
        <v>555</v>
      </c>
      <c r="L473" s="1102">
        <f>ROUND(('MFR E-14A'!I162*10)+(L472*T473),2)</f>
        <v>29.05</v>
      </c>
      <c r="M473" s="233" t="s">
        <v>375</v>
      </c>
      <c r="N473" s="174">
        <f>ROUND(J473*L473,2)</f>
        <v>1312406.8999999999</v>
      </c>
      <c r="O473" s="227"/>
      <c r="Q473" s="1022"/>
      <c r="S473" s="227"/>
      <c r="T473" s="859">
        <f>'MFR E-14C'!Z265</f>
        <v>1.4000000000000001</v>
      </c>
      <c r="U473" s="184" t="s">
        <v>624</v>
      </c>
      <c r="V473" s="179">
        <v>254</v>
      </c>
      <c r="W473" s="180">
        <v>228</v>
      </c>
      <c r="Y473" s="184"/>
      <c r="Z473" s="181"/>
      <c r="AB473" s="182">
        <f>SUM(AH473:AS473)</f>
        <v>44099.30529877029</v>
      </c>
      <c r="AC473" s="182">
        <f>SUM(AT473:BE473)</f>
        <v>44260.405791627054</v>
      </c>
      <c r="AD473" s="182">
        <f>SUM(BF473:BQ473)</f>
        <v>44553.551214092397</v>
      </c>
      <c r="AE473" s="182">
        <f>SUM(BR473:CC473)</f>
        <v>45090.427942644761</v>
      </c>
      <c r="AF473" s="182">
        <f>SUM(CD473:CO473)</f>
        <v>45104.327666104989</v>
      </c>
      <c r="AG473" s="241"/>
      <c r="AH473" s="168">
        <v>6503.4381613955811</v>
      </c>
      <c r="AI473" s="168">
        <v>6811.091774675634</v>
      </c>
      <c r="AJ473" s="168">
        <v>4146.2825336975793</v>
      </c>
      <c r="AK473" s="168">
        <v>2276.5172051284326</v>
      </c>
      <c r="AL473" s="168">
        <v>2713.476166308737</v>
      </c>
      <c r="AM473" s="168">
        <v>3089.8809244986264</v>
      </c>
      <c r="AN473" s="168">
        <v>2883.8617723005987</v>
      </c>
      <c r="AO473" s="168">
        <v>2235.6863223711744</v>
      </c>
      <c r="AP473" s="168">
        <v>3235.2844235316793</v>
      </c>
      <c r="AQ473" s="168">
        <v>3303.3378367941482</v>
      </c>
      <c r="AR473" s="168">
        <v>1827.815293777629</v>
      </c>
      <c r="AS473" s="168">
        <v>5072.6328842904677</v>
      </c>
      <c r="AT473" s="168">
        <v>6746.0660288855861</v>
      </c>
      <c r="AU473" s="168">
        <v>6892.7986416435015</v>
      </c>
      <c r="AV473" s="168">
        <v>4112.3116570878865</v>
      </c>
      <c r="AW473" s="168">
        <v>2295.6225009759955</v>
      </c>
      <c r="AX473" s="168">
        <v>2702.5644265574933</v>
      </c>
      <c r="AY473" s="168">
        <v>3023.6392658835093</v>
      </c>
      <c r="AZ473" s="168">
        <v>2911.6257538223799</v>
      </c>
      <c r="BA473" s="168">
        <v>2206.6395934592852</v>
      </c>
      <c r="BB473" s="168">
        <v>3220.2668675406217</v>
      </c>
      <c r="BC473" s="168">
        <v>3312.0355319500554</v>
      </c>
      <c r="BD473" s="168">
        <v>1813.2198038168181</v>
      </c>
      <c r="BE473" s="168">
        <v>5023.6157200039197</v>
      </c>
      <c r="BF473" s="168">
        <v>6706.7108411754953</v>
      </c>
      <c r="BG473" s="168">
        <v>6973.5535278637017</v>
      </c>
      <c r="BH473" s="168">
        <v>4174.080315987585</v>
      </c>
      <c r="BI473" s="168">
        <v>2286.6775415039392</v>
      </c>
      <c r="BJ473" s="168">
        <v>2720.1064415651736</v>
      </c>
      <c r="BK473" s="168">
        <v>3066.6339485344338</v>
      </c>
      <c r="BL473" s="168">
        <v>2930.3970823067957</v>
      </c>
      <c r="BM473" s="168">
        <v>2224.878005692809</v>
      </c>
      <c r="BN473" s="168">
        <v>3234.2848661217063</v>
      </c>
      <c r="BO473" s="168">
        <v>3297.6121203259295</v>
      </c>
      <c r="BP473" s="168">
        <v>1815.4740287425875</v>
      </c>
      <c r="BQ473" s="168">
        <v>5123.1424942722415</v>
      </c>
      <c r="BR473" s="168">
        <v>6788.3791781658192</v>
      </c>
      <c r="BS473" s="168">
        <v>7021.0508218047853</v>
      </c>
      <c r="BT473" s="168">
        <v>4270.4892778150943</v>
      </c>
      <c r="BU473" s="168">
        <v>2343.7736137727907</v>
      </c>
      <c r="BV473" s="168">
        <v>2712.1705522002812</v>
      </c>
      <c r="BW473" s="168">
        <v>3135.798569256664</v>
      </c>
      <c r="BX473" s="168">
        <v>2991.038356870095</v>
      </c>
      <c r="BY473" s="168">
        <v>2257.0860064652074</v>
      </c>
      <c r="BZ473" s="168">
        <v>3268.0767787227778</v>
      </c>
      <c r="CA473" s="168">
        <v>3348.0775427958579</v>
      </c>
      <c r="CB473" s="168">
        <v>1838.8772639148053</v>
      </c>
      <c r="CC473" s="168">
        <v>5115.6099808605813</v>
      </c>
      <c r="CD473" s="168">
        <v>6821.3336110653054</v>
      </c>
      <c r="CE473" s="168">
        <v>6972.9731085668409</v>
      </c>
      <c r="CF473" s="168">
        <v>4198.8231350319311</v>
      </c>
      <c r="CG473" s="168">
        <v>2370.3801117901994</v>
      </c>
      <c r="CH473" s="168">
        <v>2747.2710958483553</v>
      </c>
      <c r="CI473" s="168">
        <v>3101.2263212775529</v>
      </c>
      <c r="CJ473" s="168">
        <v>2984.8058565058359</v>
      </c>
      <c r="CK473" s="168">
        <v>2257.9332601946548</v>
      </c>
      <c r="CL473" s="168">
        <v>3315.6556490051448</v>
      </c>
      <c r="CM473" s="168">
        <v>3357.1344923929782</v>
      </c>
      <c r="CN473" s="168">
        <v>1859.4633769353331</v>
      </c>
      <c r="CO473" s="168">
        <v>5117.3276474908553</v>
      </c>
    </row>
    <row r="474" spans="1:93" x14ac:dyDescent="0.2">
      <c r="A474" s="118">
        <f t="shared" si="46"/>
        <v>9</v>
      </c>
      <c r="B474" s="243" t="s">
        <v>560</v>
      </c>
      <c r="C474" s="223"/>
      <c r="D474" s="172">
        <f>SUMIF($AH$8:$CP$8,1,$AH474:$CP474)+(SUM($AE$473:$AE$475)*'TOU Split'!E21)+'Unbilled to E-13c'!P88</f>
        <v>242795.16190325303</v>
      </c>
      <c r="E474" s="225" t="s">
        <v>555</v>
      </c>
      <c r="F474" s="183">
        <v>20.02</v>
      </c>
      <c r="G474" s="233" t="s">
        <v>375</v>
      </c>
      <c r="H474" s="174">
        <f>ROUND(D474*F474,2)</f>
        <v>4860759.1399999997</v>
      </c>
      <c r="I474" s="229"/>
      <c r="J474" s="172">
        <f t="shared" ref="J474:J475" si="47">D474</f>
        <v>242795.16190325303</v>
      </c>
      <c r="K474" s="225" t="s">
        <v>555</v>
      </c>
      <c r="L474" s="1102">
        <f>ROUND(('MFR E-14A'!I163*10)+(L472*T474),2)</f>
        <v>20.75</v>
      </c>
      <c r="M474" s="233" t="s">
        <v>375</v>
      </c>
      <c r="N474" s="174">
        <f>ROUND(J474*L474,2)</f>
        <v>5037999.6100000003</v>
      </c>
      <c r="O474" s="227"/>
      <c r="Q474" s="1022"/>
      <c r="S474" s="227"/>
      <c r="T474" s="859">
        <f>'MFR E-14C'!Z266</f>
        <v>1</v>
      </c>
      <c r="U474" s="184" t="s">
        <v>624</v>
      </c>
      <c r="V474" s="179">
        <v>254</v>
      </c>
      <c r="W474" s="180">
        <v>228</v>
      </c>
      <c r="Y474" s="184"/>
      <c r="Z474" s="181"/>
      <c r="AB474" s="182">
        <f>SUM(AH474:AS474)</f>
        <v>245713.19607383202</v>
      </c>
      <c r="AC474" s="182">
        <f>SUM(AT474:BE474)</f>
        <v>245860.20023268461</v>
      </c>
      <c r="AD474" s="182">
        <f>SUM(BF474:BQ474)</f>
        <v>247429.14256408371</v>
      </c>
      <c r="AE474" s="182">
        <f>SUM(BR474:CC474)</f>
        <v>250595.04865654255</v>
      </c>
      <c r="AF474" s="182">
        <f>SUM(CD474:CO474)</f>
        <v>250958.74169760416</v>
      </c>
      <c r="AH474" s="168">
        <v>22990.532893924024</v>
      </c>
      <c r="AI474" s="168">
        <v>21583.493580581446</v>
      </c>
      <c r="AJ474" s="168">
        <v>17544.47181208749</v>
      </c>
      <c r="AK474" s="168">
        <v>17129.145188037204</v>
      </c>
      <c r="AL474" s="168">
        <v>16712.651807639431</v>
      </c>
      <c r="AM474" s="168">
        <v>22720.303399895045</v>
      </c>
      <c r="AN474" s="168">
        <v>21582.350883099622</v>
      </c>
      <c r="AO474" s="168">
        <v>15494.429194230661</v>
      </c>
      <c r="AP474" s="168">
        <v>24701.960768110788</v>
      </c>
      <c r="AQ474" s="168">
        <v>24589.371608558471</v>
      </c>
      <c r="AR474" s="168">
        <v>12535.112859433335</v>
      </c>
      <c r="AS474" s="168">
        <v>28129.372078234501</v>
      </c>
      <c r="AT474" s="168">
        <v>23848.255198661773</v>
      </c>
      <c r="AU474" s="168">
        <v>21842.412370260266</v>
      </c>
      <c r="AV474" s="168">
        <v>17400.72833048274</v>
      </c>
      <c r="AW474" s="168">
        <v>17272.898718955428</v>
      </c>
      <c r="AX474" s="168">
        <v>16645.444986609491</v>
      </c>
      <c r="AY474" s="168">
        <v>22233.219716664782</v>
      </c>
      <c r="AZ474" s="168">
        <v>21790.131989971804</v>
      </c>
      <c r="BA474" s="168">
        <v>15293.120772764834</v>
      </c>
      <c r="BB474" s="168">
        <v>24587.299109239051</v>
      </c>
      <c r="BC474" s="168">
        <v>24654.1154733683</v>
      </c>
      <c r="BD474" s="168">
        <v>12435.017344027417</v>
      </c>
      <c r="BE474" s="168">
        <v>27857.556221678751</v>
      </c>
      <c r="BF474" s="168">
        <v>23709.129290927878</v>
      </c>
      <c r="BG474" s="168">
        <v>22098.314452627565</v>
      </c>
      <c r="BH474" s="168">
        <v>17662.094623331526</v>
      </c>
      <c r="BI474" s="168">
        <v>17205.594369507598</v>
      </c>
      <c r="BJ474" s="168">
        <v>16753.488533285108</v>
      </c>
      <c r="BK474" s="168">
        <v>22549.365308770317</v>
      </c>
      <c r="BL474" s="168">
        <v>21930.613549033977</v>
      </c>
      <c r="BM474" s="168">
        <v>15419.522130656487</v>
      </c>
      <c r="BN474" s="168">
        <v>24694.328972974923</v>
      </c>
      <c r="BO474" s="168">
        <v>24546.750545585721</v>
      </c>
      <c r="BP474" s="168">
        <v>12450.476763779106</v>
      </c>
      <c r="BQ474" s="168">
        <v>28409.464023603512</v>
      </c>
      <c r="BR474" s="168">
        <v>23997.837900339055</v>
      </c>
      <c r="BS474" s="168">
        <v>22248.827406025732</v>
      </c>
      <c r="BT474" s="168">
        <v>18070.036990854409</v>
      </c>
      <c r="BU474" s="168">
        <v>17635.201011336008</v>
      </c>
      <c r="BV474" s="168">
        <v>16704.610360929604</v>
      </c>
      <c r="BW474" s="168">
        <v>23057.941919243654</v>
      </c>
      <c r="BX474" s="168">
        <v>22384.442951744713</v>
      </c>
      <c r="BY474" s="168">
        <v>15642.739754015374</v>
      </c>
      <c r="BZ474" s="168">
        <v>24952.33611858467</v>
      </c>
      <c r="CA474" s="168">
        <v>24922.404834612451</v>
      </c>
      <c r="CB474" s="168">
        <v>12610.975581771436</v>
      </c>
      <c r="CC474" s="168">
        <v>28367.693827085448</v>
      </c>
      <c r="CD474" s="168">
        <v>24114.336274702571</v>
      </c>
      <c r="CE474" s="168">
        <v>22096.475176842967</v>
      </c>
      <c r="CF474" s="168">
        <v>17766.790742746231</v>
      </c>
      <c r="CG474" s="168">
        <v>17835.395662383991</v>
      </c>
      <c r="CH474" s="168">
        <v>16920.799163887521</v>
      </c>
      <c r="CI474" s="168">
        <v>22803.727604033673</v>
      </c>
      <c r="CJ474" s="168">
        <v>22337.799936107673</v>
      </c>
      <c r="CK474" s="168">
        <v>15648.611647934087</v>
      </c>
      <c r="CL474" s="168">
        <v>25315.609090369671</v>
      </c>
      <c r="CM474" s="168">
        <v>24989.822916046011</v>
      </c>
      <c r="CN474" s="168">
        <v>12752.154644518005</v>
      </c>
      <c r="CO474" s="168">
        <v>28377.218838031735</v>
      </c>
    </row>
    <row r="475" spans="1:93" x14ac:dyDescent="0.2">
      <c r="A475" s="118">
        <f t="shared" si="46"/>
        <v>10</v>
      </c>
      <c r="B475" s="243" t="s">
        <v>561</v>
      </c>
      <c r="C475" s="223"/>
      <c r="D475" s="172">
        <f>SUMIF($AH$8:$CP$8,1,$AH475:$CP475)+(SUM($AE$473:$AE$475)*'TOU Split'!E22)+'Unbilled to E-13c'!P89</f>
        <v>66689.532895116732</v>
      </c>
      <c r="E475" s="225" t="s">
        <v>555</v>
      </c>
      <c r="F475" s="183">
        <v>15.5</v>
      </c>
      <c r="G475" s="233"/>
      <c r="H475" s="174">
        <f>ROUND(D475*F475,2)</f>
        <v>1033687.76</v>
      </c>
      <c r="I475" s="229"/>
      <c r="J475" s="172">
        <f t="shared" si="47"/>
        <v>66689.532895116732</v>
      </c>
      <c r="K475" s="225" t="s">
        <v>555</v>
      </c>
      <c r="L475" s="1102">
        <f>ROUND(('MFR E-14A'!I164*10)+(L472*T475),2)</f>
        <v>15.79</v>
      </c>
      <c r="M475" s="233" t="s">
        <v>375</v>
      </c>
      <c r="N475" s="174">
        <f>ROUND(J475*L475,2)</f>
        <v>1053027.72</v>
      </c>
      <c r="O475" s="227"/>
      <c r="Q475" s="1022"/>
      <c r="S475" s="227"/>
      <c r="T475" s="859">
        <f>'MFR E-14C'!Z267</f>
        <v>0.78977426681713392</v>
      </c>
      <c r="U475" s="184" t="s">
        <v>624</v>
      </c>
      <c r="V475" s="179">
        <v>254</v>
      </c>
      <c r="W475" s="180">
        <v>228</v>
      </c>
      <c r="Y475" s="184"/>
      <c r="Z475" s="181"/>
      <c r="AB475" s="182">
        <f>SUM(AH475:AS475)</f>
        <v>57479.626189738818</v>
      </c>
      <c r="AC475" s="182">
        <f>SUM(AT475:BE475)</f>
        <v>57205.488584719045</v>
      </c>
      <c r="AD475" s="182">
        <f>SUM(BF475:BQ475)</f>
        <v>57579.768222703984</v>
      </c>
      <c r="AE475" s="182">
        <f>SUM(BR475:CC475)</f>
        <v>58293.042141827224</v>
      </c>
      <c r="AF475" s="182">
        <f>SUM(CD475:CO475)</f>
        <v>58496.836704339563</v>
      </c>
      <c r="AH475" s="168">
        <v>0</v>
      </c>
      <c r="AI475" s="168">
        <v>0</v>
      </c>
      <c r="AJ475" s="168">
        <v>1656.384072778126</v>
      </c>
      <c r="AK475" s="168">
        <v>3564.0130206671506</v>
      </c>
      <c r="AL475" s="168">
        <v>7703.2434937516546</v>
      </c>
      <c r="AM475" s="168">
        <v>7038.2354141407259</v>
      </c>
      <c r="AN475" s="168">
        <v>6704.9800765416721</v>
      </c>
      <c r="AO475" s="168">
        <v>4763.4987782075868</v>
      </c>
      <c r="AP475" s="168">
        <v>7712.7254797163741</v>
      </c>
      <c r="AQ475" s="168">
        <v>7717.6843000652498</v>
      </c>
      <c r="AR475" s="168">
        <v>4062.4224678711043</v>
      </c>
      <c r="AS475" s="168">
        <v>6556.4390859991718</v>
      </c>
      <c r="AT475" s="168">
        <v>0</v>
      </c>
      <c r="AU475" s="168">
        <v>0</v>
      </c>
      <c r="AV475" s="168">
        <v>1642.8131647424818</v>
      </c>
      <c r="AW475" s="168">
        <v>3593.9234131785779</v>
      </c>
      <c r="AX475" s="168">
        <v>7672.2663326886814</v>
      </c>
      <c r="AY475" s="168">
        <v>6887.3479207555274</v>
      </c>
      <c r="AZ475" s="168">
        <v>6769.5313475967059</v>
      </c>
      <c r="BA475" s="168">
        <v>4701.60992720994</v>
      </c>
      <c r="BB475" s="168">
        <v>7676.9245201800677</v>
      </c>
      <c r="BC475" s="168">
        <v>7738.0049783209888</v>
      </c>
      <c r="BD475" s="168">
        <v>4029.9831691365798</v>
      </c>
      <c r="BE475" s="168">
        <v>6493.0838109094948</v>
      </c>
      <c r="BF475" s="168">
        <v>0</v>
      </c>
      <c r="BG475" s="168">
        <v>0</v>
      </c>
      <c r="BH475" s="168">
        <v>1667.4889127087174</v>
      </c>
      <c r="BI475" s="168">
        <v>3579.9195866509635</v>
      </c>
      <c r="BJ475" s="168">
        <v>7722.0660746775839</v>
      </c>
      <c r="BK475" s="168">
        <v>6985.2826649892659</v>
      </c>
      <c r="BL475" s="168">
        <v>6813.1746957998394</v>
      </c>
      <c r="BM475" s="168">
        <v>4740.4698752811382</v>
      </c>
      <c r="BN475" s="168">
        <v>7710.3425943514076</v>
      </c>
      <c r="BO475" s="168">
        <v>7704.3071420884926</v>
      </c>
      <c r="BP475" s="168">
        <v>4034.9933110350817</v>
      </c>
      <c r="BQ475" s="168">
        <v>6621.7233651214892</v>
      </c>
      <c r="BR475" s="168">
        <v>0</v>
      </c>
      <c r="BS475" s="168">
        <v>0</v>
      </c>
      <c r="BT475" s="168">
        <v>1706.0029955157452</v>
      </c>
      <c r="BU475" s="168">
        <v>3669.3066312718979</v>
      </c>
      <c r="BV475" s="168">
        <v>7699.5370070276549</v>
      </c>
      <c r="BW475" s="168">
        <v>7142.8281804533608</v>
      </c>
      <c r="BX475" s="168">
        <v>6954.1656897747853</v>
      </c>
      <c r="BY475" s="168">
        <v>4809.0943378421971</v>
      </c>
      <c r="BZ475" s="168">
        <v>7790.9005024694607</v>
      </c>
      <c r="CA475" s="168">
        <v>7822.2109769170593</v>
      </c>
      <c r="CB475" s="168">
        <v>4087.0083197223098</v>
      </c>
      <c r="CC475" s="168">
        <v>6611.9875008327581</v>
      </c>
      <c r="CD475" s="168">
        <v>0</v>
      </c>
      <c r="CE475" s="168">
        <v>0</v>
      </c>
      <c r="CF475" s="168">
        <v>1677.3733359354524</v>
      </c>
      <c r="CG475" s="168">
        <v>3710.960568766759</v>
      </c>
      <c r="CH475" s="168">
        <v>7799.1833712896241</v>
      </c>
      <c r="CI475" s="168">
        <v>7064.0783431558229</v>
      </c>
      <c r="CJ475" s="168">
        <v>6939.675123281354</v>
      </c>
      <c r="CK475" s="168">
        <v>4810.8995517779222</v>
      </c>
      <c r="CL475" s="168">
        <v>7904.3256970068696</v>
      </c>
      <c r="CM475" s="168">
        <v>7843.3709917764563</v>
      </c>
      <c r="CN475" s="168">
        <v>4132.7621157133071</v>
      </c>
      <c r="CO475" s="168">
        <v>6614.2076056359901</v>
      </c>
    </row>
    <row r="476" spans="1:93" x14ac:dyDescent="0.2">
      <c r="A476" s="118">
        <f t="shared" si="46"/>
        <v>11</v>
      </c>
      <c r="B476" s="234" t="s">
        <v>148</v>
      </c>
      <c r="C476" s="223"/>
      <c r="D476" s="168"/>
      <c r="E476" s="225"/>
      <c r="F476" s="183"/>
      <c r="G476" s="233"/>
      <c r="H476" s="174"/>
      <c r="I476" s="229"/>
      <c r="J476" s="168"/>
      <c r="K476" s="225"/>
      <c r="L476" s="183"/>
      <c r="M476" s="233"/>
      <c r="N476" s="174"/>
      <c r="O476" s="227"/>
      <c r="S476" s="227"/>
      <c r="T476" s="227"/>
      <c r="U476" s="184"/>
      <c r="V476" s="179"/>
      <c r="W476" s="180"/>
      <c r="Y476" s="184"/>
      <c r="Z476" s="181"/>
    </row>
    <row r="477" spans="1:93" x14ac:dyDescent="0.2">
      <c r="A477" s="118">
        <f t="shared" si="46"/>
        <v>12</v>
      </c>
      <c r="B477" s="243" t="s">
        <v>559</v>
      </c>
      <c r="C477" s="223"/>
      <c r="D477" s="172">
        <f>SUMIF($AH$8:$CP$8,1,$AH477:$CP477)+(SUM($AE$477:$AE$479)*'TOU Split'!E20)+'Unbilled to E-13c'!P90</f>
        <v>137721.01496349793</v>
      </c>
      <c r="E477" s="225" t="s">
        <v>555</v>
      </c>
      <c r="F477" s="183">
        <v>27.03</v>
      </c>
      <c r="G477" s="233" t="s">
        <v>375</v>
      </c>
      <c r="H477" s="174">
        <f>ROUND(D477*F477,2)</f>
        <v>3722599.03</v>
      </c>
      <c r="I477" s="229"/>
      <c r="J477" s="172">
        <f t="shared" ref="J477:J479" si="48">D477</f>
        <v>137721.01496349793</v>
      </c>
      <c r="K477" s="225" t="s">
        <v>555</v>
      </c>
      <c r="L477" s="183">
        <f>L473</f>
        <v>29.05</v>
      </c>
      <c r="M477" s="233" t="s">
        <v>375</v>
      </c>
      <c r="N477" s="174">
        <f>ROUND(J477*L477,2)</f>
        <v>4000795.48</v>
      </c>
      <c r="O477" s="227"/>
      <c r="S477" s="106"/>
      <c r="T477" s="264"/>
      <c r="U477" s="184" t="s">
        <v>624</v>
      </c>
      <c r="V477" s="179">
        <v>254</v>
      </c>
      <c r="W477" s="180">
        <v>228</v>
      </c>
      <c r="Y477" s="184"/>
      <c r="Z477" s="181"/>
      <c r="AB477" s="182">
        <f>SUM(AH477:AS477)</f>
        <v>134401.31193501546</v>
      </c>
      <c r="AC477" s="182">
        <f>SUM(AT477:BE477)</f>
        <v>134763.76883288735</v>
      </c>
      <c r="AD477" s="182">
        <f>SUM(BF477:BQ477)</f>
        <v>135722.95669043562</v>
      </c>
      <c r="AE477" s="182">
        <f>SUM(BR477:CC477)</f>
        <v>137455.52596349793</v>
      </c>
      <c r="AF477" s="182">
        <f>SUM(CD477:CO477)</f>
        <v>137405.85268327195</v>
      </c>
      <c r="AG477" s="241"/>
      <c r="AH477" s="168">
        <v>12476.365699308813</v>
      </c>
      <c r="AI477" s="168">
        <v>27951.544106335306</v>
      </c>
      <c r="AJ477" s="168">
        <v>15766.32652366044</v>
      </c>
      <c r="AK477" s="168">
        <v>11573.222284100442</v>
      </c>
      <c r="AL477" s="168">
        <v>7866.6349688923256</v>
      </c>
      <c r="AM477" s="168">
        <v>8714.8346343811318</v>
      </c>
      <c r="AN477" s="168">
        <v>8180.9166910067506</v>
      </c>
      <c r="AO477" s="168">
        <v>6207.4712305253506</v>
      </c>
      <c r="AP477" s="168">
        <v>8692.6203049600335</v>
      </c>
      <c r="AQ477" s="168">
        <v>8413.796991847963</v>
      </c>
      <c r="AR477" s="168">
        <v>6915.8259866733961</v>
      </c>
      <c r="AS477" s="168">
        <v>11641.752513323509</v>
      </c>
      <c r="AT477" s="168">
        <v>12941.829340005468</v>
      </c>
      <c r="AU477" s="168">
        <v>28286.854974459908</v>
      </c>
      <c r="AV477" s="168">
        <v>15637.15155100228</v>
      </c>
      <c r="AW477" s="168">
        <v>11670.348646751791</v>
      </c>
      <c r="AX477" s="168">
        <v>7835.0007593995797</v>
      </c>
      <c r="AY477" s="168">
        <v>8528.0037775151704</v>
      </c>
      <c r="AZ477" s="168">
        <v>8259.6773382825559</v>
      </c>
      <c r="BA477" s="168">
        <v>6126.8218423454427</v>
      </c>
      <c r="BB477" s="168">
        <v>8652.2708657610401</v>
      </c>
      <c r="BC477" s="168">
        <v>8435.9505362186464</v>
      </c>
      <c r="BD477" s="168">
        <v>6860.601660067292</v>
      </c>
      <c r="BE477" s="168">
        <v>11529.257541078199</v>
      </c>
      <c r="BF477" s="168">
        <v>12866.32931957771</v>
      </c>
      <c r="BG477" s="168">
        <v>28618.259078039689</v>
      </c>
      <c r="BH477" s="168">
        <v>15872.028175358309</v>
      </c>
      <c r="BI477" s="168">
        <v>11624.874795704603</v>
      </c>
      <c r="BJ477" s="168">
        <v>7885.8567906401167</v>
      </c>
      <c r="BK477" s="168">
        <v>8649.2678516384476</v>
      </c>
      <c r="BL477" s="168">
        <v>8312.927697223311</v>
      </c>
      <c r="BM477" s="168">
        <v>6177.461513079742</v>
      </c>
      <c r="BN477" s="168">
        <v>8689.9346761557445</v>
      </c>
      <c r="BO477" s="168">
        <v>8399.2132531035077</v>
      </c>
      <c r="BP477" s="168">
        <v>6869.1308738092457</v>
      </c>
      <c r="BQ477" s="168">
        <v>11757.672666105183</v>
      </c>
      <c r="BR477" s="168">
        <v>13023.003991198946</v>
      </c>
      <c r="BS477" s="168">
        <v>28813.179767768474</v>
      </c>
      <c r="BT477" s="168">
        <v>16238.62528002404</v>
      </c>
      <c r="BU477" s="168">
        <v>11915.136399890109</v>
      </c>
      <c r="BV477" s="168">
        <v>7862.8498648516179</v>
      </c>
      <c r="BW477" s="168">
        <v>8844.3427580417501</v>
      </c>
      <c r="BX477" s="168">
        <v>8484.9543942043711</v>
      </c>
      <c r="BY477" s="168">
        <v>6266.8882972340425</v>
      </c>
      <c r="BZ477" s="168">
        <v>8780.7273939406205</v>
      </c>
      <c r="CA477" s="168">
        <v>8527.7516711364333</v>
      </c>
      <c r="CB477" s="168">
        <v>6957.6806865431927</v>
      </c>
      <c r="CC477" s="168">
        <v>11740.385458664368</v>
      </c>
      <c r="CD477" s="168">
        <v>13086.2246363506</v>
      </c>
      <c r="CE477" s="168">
        <v>28615.877137506061</v>
      </c>
      <c r="CF477" s="168">
        <v>15966.113265073871</v>
      </c>
      <c r="CG477" s="168">
        <v>12050.396926392288</v>
      </c>
      <c r="CH477" s="168">
        <v>7964.6098019822612</v>
      </c>
      <c r="CI477" s="168">
        <v>8746.8336852202283</v>
      </c>
      <c r="CJ477" s="168">
        <v>8467.2740855479678</v>
      </c>
      <c r="CK477" s="168">
        <v>6269.2407306223377</v>
      </c>
      <c r="CL477" s="168">
        <v>8908.5631572804268</v>
      </c>
      <c r="CM477" s="168">
        <v>8550.8202578328273</v>
      </c>
      <c r="CN477" s="168">
        <v>7035.5714755505023</v>
      </c>
      <c r="CO477" s="168">
        <v>11744.327523912569</v>
      </c>
    </row>
    <row r="478" spans="1:93" x14ac:dyDescent="0.2">
      <c r="A478" s="118">
        <f t="shared" si="46"/>
        <v>13</v>
      </c>
      <c r="B478" s="243" t="s">
        <v>560</v>
      </c>
      <c r="C478" s="223"/>
      <c r="D478" s="172">
        <f>SUMIF($AH$8:$CP$8,1,$AH478:$CP478)+(SUM($AE$477:$AE$479)*'TOU Split'!E21)+'Unbilled to E-13c'!P91</f>
        <v>719337.21959065669</v>
      </c>
      <c r="E478" s="225" t="s">
        <v>555</v>
      </c>
      <c r="F478" s="183">
        <v>20.02</v>
      </c>
      <c r="G478" s="233" t="s">
        <v>375</v>
      </c>
      <c r="H478" s="174">
        <f>ROUND(D478*F478,2)</f>
        <v>14401131.140000001</v>
      </c>
      <c r="I478" s="229"/>
      <c r="J478" s="172">
        <f t="shared" si="48"/>
        <v>719337.21959065669</v>
      </c>
      <c r="K478" s="225" t="s">
        <v>555</v>
      </c>
      <c r="L478" s="183">
        <f>L474</f>
        <v>20.75</v>
      </c>
      <c r="M478" s="233" t="s">
        <v>375</v>
      </c>
      <c r="N478" s="174">
        <f>ROUND(J478*L478,2)</f>
        <v>14926247.310000001</v>
      </c>
      <c r="O478" s="227"/>
      <c r="P478" s="227"/>
      <c r="Q478" s="227"/>
      <c r="S478" s="263"/>
      <c r="T478" s="197"/>
      <c r="U478" s="184" t="s">
        <v>624</v>
      </c>
      <c r="V478" s="179">
        <v>254</v>
      </c>
      <c r="W478" s="180">
        <v>228</v>
      </c>
      <c r="Y478" s="184"/>
      <c r="Z478" s="181"/>
      <c r="AB478" s="182">
        <f>SUM(AH478:AS478)</f>
        <v>728750.47096450988</v>
      </c>
      <c r="AC478" s="182">
        <f>SUM(AT478:BE478)</f>
        <v>728553.42548215587</v>
      </c>
      <c r="AD478" s="182">
        <f>SUM(BF478:BQ478)</f>
        <v>733288.67803624459</v>
      </c>
      <c r="AE478" s="182">
        <f>SUM(BR478:CC478)</f>
        <v>743058.24206558976</v>
      </c>
      <c r="AF478" s="182">
        <f>SUM(CD478:CO478)</f>
        <v>743986.79835766589</v>
      </c>
      <c r="AH478" s="168">
        <v>38443.216244278163</v>
      </c>
      <c r="AI478" s="168">
        <v>95524.032000853069</v>
      </c>
      <c r="AJ478" s="168">
        <v>56421.694421414053</v>
      </c>
      <c r="AK478" s="168">
        <v>67611.811732374219</v>
      </c>
      <c r="AL478" s="168">
        <v>47443.105104461356</v>
      </c>
      <c r="AM478" s="168">
        <v>60646.682954601987</v>
      </c>
      <c r="AN478" s="168">
        <v>57857.375027569957</v>
      </c>
      <c r="AO478" s="168">
        <v>64020.043626095248</v>
      </c>
      <c r="AP478" s="168">
        <v>66329.745836250149</v>
      </c>
      <c r="AQ478" s="168">
        <v>64204.661576637802</v>
      </c>
      <c r="AR478" s="168">
        <v>52165.465790489507</v>
      </c>
      <c r="AS478" s="168">
        <v>58082.636649484542</v>
      </c>
      <c r="AT478" s="168">
        <v>39877.441548698502</v>
      </c>
      <c r="AU478" s="168">
        <v>96669.952454303406</v>
      </c>
      <c r="AV478" s="168">
        <v>55959.426256202867</v>
      </c>
      <c r="AW478" s="168">
        <v>68179.232731006123</v>
      </c>
      <c r="AX478" s="168">
        <v>47252.32148073968</v>
      </c>
      <c r="AY478" s="168">
        <v>59346.523833075371</v>
      </c>
      <c r="AZ478" s="168">
        <v>58414.38892698539</v>
      </c>
      <c r="BA478" s="168">
        <v>63188.275397463673</v>
      </c>
      <c r="BB478" s="168">
        <v>66021.856160547031</v>
      </c>
      <c r="BC478" s="168">
        <v>64373.712579463412</v>
      </c>
      <c r="BD478" s="168">
        <v>51748.913562899514</v>
      </c>
      <c r="BE478" s="168">
        <v>57521.38055077086</v>
      </c>
      <c r="BF478" s="168">
        <v>39644.804602835931</v>
      </c>
      <c r="BG478" s="168">
        <v>97802.521591633951</v>
      </c>
      <c r="BH478" s="168">
        <v>56799.960486307871</v>
      </c>
      <c r="BI478" s="168">
        <v>67913.57037870062</v>
      </c>
      <c r="BJ478" s="168">
        <v>47559.030517688989</v>
      </c>
      <c r="BK478" s="168">
        <v>60190.402594483465</v>
      </c>
      <c r="BL478" s="168">
        <v>58790.988042213496</v>
      </c>
      <c r="BM478" s="168">
        <v>63710.541842079409</v>
      </c>
      <c r="BN478" s="168">
        <v>66309.252927351627</v>
      </c>
      <c r="BO478" s="168">
        <v>64093.374839922282</v>
      </c>
      <c r="BP478" s="168">
        <v>51813.248670308669</v>
      </c>
      <c r="BQ478" s="168">
        <v>58660.981542718211</v>
      </c>
      <c r="BR478" s="168">
        <v>40127.563639104803</v>
      </c>
      <c r="BS478" s="168">
        <v>98468.660468700851</v>
      </c>
      <c r="BT478" s="168">
        <v>58111.872286699967</v>
      </c>
      <c r="BU478" s="168">
        <v>69609.304933310239</v>
      </c>
      <c r="BV478" s="168">
        <v>47420.277416441677</v>
      </c>
      <c r="BW478" s="168">
        <v>61547.932197439601</v>
      </c>
      <c r="BX478" s="168">
        <v>60007.601472946575</v>
      </c>
      <c r="BY478" s="168">
        <v>64632.834738862628</v>
      </c>
      <c r="BZ478" s="168">
        <v>67002.054140699984</v>
      </c>
      <c r="CA478" s="168">
        <v>65074.235875361621</v>
      </c>
      <c r="CB478" s="168">
        <v>52481.17210213418</v>
      </c>
      <c r="CC478" s="168">
        <v>58574.732793887662</v>
      </c>
      <c r="CD478" s="168">
        <v>40322.364352008117</v>
      </c>
      <c r="CE478" s="168">
        <v>97794.381341388973</v>
      </c>
      <c r="CF478" s="168">
        <v>57136.65528795214</v>
      </c>
      <c r="CG478" s="168">
        <v>70399.509167549404</v>
      </c>
      <c r="CH478" s="168">
        <v>48033.984218880527</v>
      </c>
      <c r="CI478" s="168">
        <v>60869.364895511208</v>
      </c>
      <c r="CJ478" s="168">
        <v>59882.562154350271</v>
      </c>
      <c r="CK478" s="168">
        <v>64657.096291200651</v>
      </c>
      <c r="CL478" s="168">
        <v>67977.515324282824</v>
      </c>
      <c r="CM478" s="168">
        <v>65250.269454889189</v>
      </c>
      <c r="CN478" s="168">
        <v>53068.69545757788</v>
      </c>
      <c r="CO478" s="168">
        <v>58594.400412074676</v>
      </c>
    </row>
    <row r="479" spans="1:93" x14ac:dyDescent="0.2">
      <c r="A479" s="118">
        <f t="shared" si="46"/>
        <v>14</v>
      </c>
      <c r="B479" s="243" t="s">
        <v>561</v>
      </c>
      <c r="C479" s="223"/>
      <c r="D479" s="172">
        <f>SUMIF($AH$8:$CP$8,1,$AH479:$CP479)+(SUM($AE$477:$AE$479)*'TOU Split'!E22)+'Unbilled to E-13c'!P92</f>
        <v>219965.22831902435</v>
      </c>
      <c r="E479" s="225" t="s">
        <v>555</v>
      </c>
      <c r="F479" s="183">
        <v>15.5</v>
      </c>
      <c r="G479" s="233" t="s">
        <v>375</v>
      </c>
      <c r="H479" s="174">
        <f>ROUND(D479*F479,2)</f>
        <v>3409461.04</v>
      </c>
      <c r="I479" s="229"/>
      <c r="J479" s="172">
        <f t="shared" si="48"/>
        <v>219965.22831902435</v>
      </c>
      <c r="K479" s="225" t="s">
        <v>555</v>
      </c>
      <c r="L479" s="183">
        <f>L475</f>
        <v>15.79</v>
      </c>
      <c r="M479" s="233" t="s">
        <v>375</v>
      </c>
      <c r="N479" s="174">
        <f>ROUND(J479*L479,2)</f>
        <v>3473250.96</v>
      </c>
      <c r="O479" s="227"/>
      <c r="P479" s="227"/>
      <c r="Q479" s="227"/>
      <c r="S479" s="263"/>
      <c r="T479" s="197"/>
      <c r="U479" s="184" t="s">
        <v>624</v>
      </c>
      <c r="V479" s="179">
        <v>254</v>
      </c>
      <c r="W479" s="180">
        <v>228</v>
      </c>
      <c r="Y479" s="184"/>
      <c r="Z479" s="181"/>
      <c r="AB479" s="182">
        <f>SUM(AH479:AS479)</f>
        <v>191804.64516362571</v>
      </c>
      <c r="AC479" s="182">
        <f>SUM(AT479:BE479)</f>
        <v>190836.58433308578</v>
      </c>
      <c r="AD479" s="182">
        <f>SUM(BF479:BQ479)</f>
        <v>191930.66451460301</v>
      </c>
      <c r="AE479" s="182">
        <f>SUM(BR479:CC479)</f>
        <v>194433.48384409133</v>
      </c>
      <c r="AF479" s="182">
        <f>SUM(CD479:CO479)</f>
        <v>195233.51035532134</v>
      </c>
      <c r="AH479" s="168">
        <v>0</v>
      </c>
      <c r="AI479" s="168">
        <v>0</v>
      </c>
      <c r="AJ479" s="168">
        <v>2961.967947052261</v>
      </c>
      <c r="AK479" s="168">
        <v>13669.655032252655</v>
      </c>
      <c r="AL479" s="168">
        <v>23719.61823388873</v>
      </c>
      <c r="AM479" s="168">
        <v>21066.877832206388</v>
      </c>
      <c r="AN479" s="168">
        <v>20404.967352131687</v>
      </c>
      <c r="AO479" s="168">
        <v>28235.533797768861</v>
      </c>
      <c r="AP479" s="168">
        <v>24524.13066674304</v>
      </c>
      <c r="AQ479" s="168">
        <v>23781.55219042367</v>
      </c>
      <c r="AR479" s="168">
        <v>19824.095630203363</v>
      </c>
      <c r="AS479" s="168">
        <v>13616.24648095504</v>
      </c>
      <c r="AT479" s="168">
        <v>0</v>
      </c>
      <c r="AU479" s="168">
        <v>0</v>
      </c>
      <c r="AV479" s="168">
        <v>2937.7002694800221</v>
      </c>
      <c r="AW479" s="168">
        <v>13784.375361594761</v>
      </c>
      <c r="AX479" s="168">
        <v>23624.234200529358</v>
      </c>
      <c r="AY479" s="168">
        <v>20615.240709758426</v>
      </c>
      <c r="AZ479" s="168">
        <v>20601.413361423321</v>
      </c>
      <c r="BA479" s="168">
        <v>27868.689000401933</v>
      </c>
      <c r="BB479" s="168">
        <v>24410.294460336863</v>
      </c>
      <c r="BC479" s="168">
        <v>23844.169065083803</v>
      </c>
      <c r="BD479" s="168">
        <v>19665.796052703499</v>
      </c>
      <c r="BE479" s="168">
        <v>13484.671851773795</v>
      </c>
      <c r="BF479" s="168">
        <v>0</v>
      </c>
      <c r="BG479" s="168">
        <v>0</v>
      </c>
      <c r="BH479" s="168">
        <v>2981.8257689621214</v>
      </c>
      <c r="BI479" s="168">
        <v>13730.664144308532</v>
      </c>
      <c r="BJ479" s="168">
        <v>23777.576214069635</v>
      </c>
      <c r="BK479" s="168">
        <v>20908.379425771727</v>
      </c>
      <c r="BL479" s="168">
        <v>20734.231219948862</v>
      </c>
      <c r="BM479" s="168">
        <v>28099.030484305225</v>
      </c>
      <c r="BN479" s="168">
        <v>24516.553813112241</v>
      </c>
      <c r="BO479" s="168">
        <v>23740.331330873727</v>
      </c>
      <c r="BP479" s="168">
        <v>19690.244896442011</v>
      </c>
      <c r="BQ479" s="168">
        <v>13751.827216808924</v>
      </c>
      <c r="BR479" s="168">
        <v>0</v>
      </c>
      <c r="BS479" s="168">
        <v>0</v>
      </c>
      <c r="BT479" s="168">
        <v>3050.6971621729967</v>
      </c>
      <c r="BU479" s="168">
        <v>14073.505221834117</v>
      </c>
      <c r="BV479" s="168">
        <v>23708.205320594017</v>
      </c>
      <c r="BW479" s="168">
        <v>21379.945369790279</v>
      </c>
      <c r="BX479" s="168">
        <v>21163.302834802522</v>
      </c>
      <c r="BY479" s="168">
        <v>28505.800470446713</v>
      </c>
      <c r="BZ479" s="168">
        <v>24772.703558117722</v>
      </c>
      <c r="CA479" s="168">
        <v>24103.644481866817</v>
      </c>
      <c r="CB479" s="168">
        <v>19944.071403797319</v>
      </c>
      <c r="CC479" s="168">
        <v>13731.608020668815</v>
      </c>
      <c r="CD479" s="168">
        <v>0</v>
      </c>
      <c r="CE479" s="168">
        <v>0</v>
      </c>
      <c r="CF479" s="168">
        <v>2999.5012255508723</v>
      </c>
      <c r="CG479" s="168">
        <v>14233.267532742619</v>
      </c>
      <c r="CH479" s="168">
        <v>24015.03370017284</v>
      </c>
      <c r="CI479" s="168">
        <v>21144.231003328445</v>
      </c>
      <c r="CJ479" s="168">
        <v>21119.204338932741</v>
      </c>
      <c r="CK479" s="168">
        <v>28516.500836179479</v>
      </c>
      <c r="CL479" s="168">
        <v>25133.361317693325</v>
      </c>
      <c r="CM479" s="168">
        <v>24168.847718765825</v>
      </c>
      <c r="CN479" s="168">
        <v>20167.344003913102</v>
      </c>
      <c r="CO479" s="168">
        <v>13736.2186780421</v>
      </c>
    </row>
    <row r="480" spans="1:93" x14ac:dyDescent="0.2">
      <c r="A480" s="118">
        <f t="shared" si="46"/>
        <v>15</v>
      </c>
      <c r="B480" s="234" t="s">
        <v>216</v>
      </c>
      <c r="C480" s="223"/>
      <c r="D480" s="168"/>
      <c r="E480" s="225"/>
      <c r="F480" s="183"/>
      <c r="G480" s="233"/>
      <c r="H480" s="174"/>
      <c r="I480" s="229"/>
      <c r="J480" s="168"/>
      <c r="K480" s="225"/>
      <c r="L480" s="183"/>
      <c r="M480" s="233"/>
      <c r="N480" s="174"/>
      <c r="O480" s="227"/>
      <c r="P480" s="227"/>
      <c r="Q480" s="227"/>
      <c r="S480" s="263"/>
      <c r="T480" s="927"/>
      <c r="U480" s="184"/>
      <c r="V480" s="179"/>
      <c r="W480" s="180"/>
      <c r="Y480" s="184"/>
      <c r="Z480" s="181"/>
    </row>
    <row r="481" spans="1:93" x14ac:dyDescent="0.2">
      <c r="A481" s="118">
        <f t="shared" si="46"/>
        <v>16</v>
      </c>
      <c r="B481" s="243" t="s">
        <v>559</v>
      </c>
      <c r="C481" s="223"/>
      <c r="D481" s="172">
        <f>SUMIF($AH$8:$CP$8,1,$AH481:$CP481)+(SUM($AE$481:$AE$483)*'TOU Split'!E20)+'Unbilled to E-13c'!P93</f>
        <v>121696.37640279508</v>
      </c>
      <c r="E481" s="225" t="s">
        <v>555</v>
      </c>
      <c r="F481" s="183">
        <v>27.03</v>
      </c>
      <c r="G481" s="233" t="s">
        <v>375</v>
      </c>
      <c r="H481" s="174">
        <f>ROUND(D481*F481,2)</f>
        <v>3289453.05</v>
      </c>
      <c r="I481" s="229"/>
      <c r="J481" s="172">
        <f t="shared" ref="J481:J483" si="49">D481</f>
        <v>121696.37640279508</v>
      </c>
      <c r="K481" s="225" t="s">
        <v>555</v>
      </c>
      <c r="L481" s="183">
        <f>L477</f>
        <v>29.05</v>
      </c>
      <c r="M481" s="233" t="s">
        <v>375</v>
      </c>
      <c r="N481" s="174">
        <f>ROUND(J481*L481,2)</f>
        <v>3535279.73</v>
      </c>
      <c r="O481" s="227"/>
      <c r="P481" s="227"/>
      <c r="Q481" s="227"/>
      <c r="S481" s="263"/>
      <c r="T481" s="227"/>
      <c r="U481" s="184" t="s">
        <v>624</v>
      </c>
      <c r="V481" s="179">
        <v>254</v>
      </c>
      <c r="W481" s="180">
        <v>228</v>
      </c>
      <c r="Y481" s="184"/>
      <c r="Z481" s="181"/>
      <c r="AB481" s="182">
        <f>SUM(AH481:AS481)</f>
        <v>118794.05994422382</v>
      </c>
      <c r="AC481" s="182">
        <f>SUM(AT481:BE481)</f>
        <v>119046.56252583434</v>
      </c>
      <c r="AD481" s="182">
        <f>SUM(BF481:BQ481)</f>
        <v>119803.59669910584</v>
      </c>
      <c r="AE481" s="182">
        <f>SUM(BR481:CC481)</f>
        <v>121461.77740279508</v>
      </c>
      <c r="AF481" s="182">
        <f>SUM(CD481:CO481)</f>
        <v>121503.99599059613</v>
      </c>
      <c r="AG481" s="241"/>
      <c r="AH481" s="168">
        <v>17250.204822575422</v>
      </c>
      <c r="AI481" s="168">
        <v>5980.9763609804513</v>
      </c>
      <c r="AJ481" s="168">
        <v>21034.588777055829</v>
      </c>
      <c r="AK481" s="168">
        <v>12331.872191258999</v>
      </c>
      <c r="AL481" s="168">
        <v>10366.148416577598</v>
      </c>
      <c r="AM481" s="168">
        <v>7306.328391949769</v>
      </c>
      <c r="AN481" s="168">
        <v>7483.8557645399369</v>
      </c>
      <c r="AO481" s="168">
        <v>7324.1926999511088</v>
      </c>
      <c r="AP481" s="168">
        <v>7051.8653748661172</v>
      </c>
      <c r="AQ481" s="168">
        <v>5788.7104364963361</v>
      </c>
      <c r="AR481" s="168">
        <v>4781.4402854214241</v>
      </c>
      <c r="AS481" s="168">
        <v>12093.876422550837</v>
      </c>
      <c r="AT481" s="168">
        <v>17893.769089044774</v>
      </c>
      <c r="AU481" s="168">
        <v>6052.7250403451289</v>
      </c>
      <c r="AV481" s="168">
        <v>20862.250444085606</v>
      </c>
      <c r="AW481" s="168">
        <v>12435.365398355158</v>
      </c>
      <c r="AX481" s="168">
        <v>10324.462878613826</v>
      </c>
      <c r="AY481" s="168">
        <v>7149.693452644462</v>
      </c>
      <c r="AZ481" s="168">
        <v>7555.9055538724569</v>
      </c>
      <c r="BA481" s="168">
        <v>7229.0345206818974</v>
      </c>
      <c r="BB481" s="168">
        <v>7019.1319983697003</v>
      </c>
      <c r="BC481" s="168">
        <v>5803.9521226967781</v>
      </c>
      <c r="BD481" s="168">
        <v>4743.2594780271202</v>
      </c>
      <c r="BE481" s="168">
        <v>11977.012549097415</v>
      </c>
      <c r="BF481" s="168">
        <v>17789.380451529949</v>
      </c>
      <c r="BG481" s="168">
        <v>6123.6377635171311</v>
      </c>
      <c r="BH481" s="168">
        <v>21175.610261875619</v>
      </c>
      <c r="BI481" s="168">
        <v>12386.910637408528</v>
      </c>
      <c r="BJ481" s="168">
        <v>10391.477703860222</v>
      </c>
      <c r="BK481" s="168">
        <v>7251.3586229960638</v>
      </c>
      <c r="BL481" s="168">
        <v>7604.6186774470634</v>
      </c>
      <c r="BM481" s="168">
        <v>7288.7842469305242</v>
      </c>
      <c r="BN481" s="168">
        <v>7049.6866655574968</v>
      </c>
      <c r="BO481" s="168">
        <v>5778.6767928566142</v>
      </c>
      <c r="BP481" s="168">
        <v>4749.1563768599326</v>
      </c>
      <c r="BQ481" s="168">
        <v>12214.298498266699</v>
      </c>
      <c r="BR481" s="168">
        <v>18006.003644622615</v>
      </c>
      <c r="BS481" s="168">
        <v>6165.3462298937557</v>
      </c>
      <c r="BT481" s="168">
        <v>21664.704492667475</v>
      </c>
      <c r="BU481" s="168">
        <v>12696.199521435497</v>
      </c>
      <c r="BV481" s="168">
        <v>10361.160648565825</v>
      </c>
      <c r="BW481" s="168">
        <v>7414.905194676091</v>
      </c>
      <c r="BX481" s="168">
        <v>7761.9877152312674</v>
      </c>
      <c r="BY481" s="168">
        <v>7394.2988720265112</v>
      </c>
      <c r="BZ481" s="168">
        <v>7123.3420192224685</v>
      </c>
      <c r="CA481" s="168">
        <v>5867.1115010720423</v>
      </c>
      <c r="CB481" s="168">
        <v>4810.3776456842925</v>
      </c>
      <c r="CC481" s="168">
        <v>12196.339917697242</v>
      </c>
      <c r="CD481" s="168">
        <v>18093.414442299203</v>
      </c>
      <c r="CE481" s="168">
        <v>6123.1280839813353</v>
      </c>
      <c r="CF481" s="168">
        <v>21301.133551606385</v>
      </c>
      <c r="CG481" s="168">
        <v>12840.326669813081</v>
      </c>
      <c r="CH481" s="168">
        <v>10495.253385209784</v>
      </c>
      <c r="CI481" s="168">
        <v>7333.1557023314008</v>
      </c>
      <c r="CJ481" s="168">
        <v>7745.81387006762</v>
      </c>
      <c r="CK481" s="168">
        <v>7397.0745071941692</v>
      </c>
      <c r="CL481" s="168">
        <v>7227.0484462305812</v>
      </c>
      <c r="CM481" s="168">
        <v>5882.9827383617012</v>
      </c>
      <c r="CN481" s="168">
        <v>4864.2295148811836</v>
      </c>
      <c r="CO481" s="168">
        <v>12200.435078619692</v>
      </c>
    </row>
    <row r="482" spans="1:93" x14ac:dyDescent="0.2">
      <c r="A482" s="118">
        <f t="shared" si="46"/>
        <v>17</v>
      </c>
      <c r="B482" s="243" t="s">
        <v>560</v>
      </c>
      <c r="C482" s="223"/>
      <c r="D482" s="172">
        <f>SUMIF($AH$8:$CP$8,1,$AH482:$CP482)+(SUM($AE$481:$AE$483)*'TOU Split'!E21)+'Unbilled to E-13c'!P94</f>
        <v>642883.24323952384</v>
      </c>
      <c r="E482" s="225" t="s">
        <v>555</v>
      </c>
      <c r="F482" s="183">
        <v>20.02</v>
      </c>
      <c r="G482" s="233" t="s">
        <v>375</v>
      </c>
      <c r="H482" s="174">
        <f>ROUND(D482*F482,2)</f>
        <v>12870522.529999999</v>
      </c>
      <c r="I482" s="229"/>
      <c r="J482" s="172">
        <f t="shared" si="49"/>
        <v>642883.24323952384</v>
      </c>
      <c r="K482" s="225" t="s">
        <v>555</v>
      </c>
      <c r="L482" s="183">
        <f>L478</f>
        <v>20.75</v>
      </c>
      <c r="M482" s="233" t="s">
        <v>375</v>
      </c>
      <c r="N482" s="174">
        <f>ROUND(J482*L482,2)</f>
        <v>13339827.300000001</v>
      </c>
      <c r="O482" s="227"/>
      <c r="P482" s="227"/>
      <c r="Q482" s="227"/>
      <c r="S482" s="263"/>
      <c r="T482" s="197"/>
      <c r="U482" s="184" t="s">
        <v>624</v>
      </c>
      <c r="V482" s="179">
        <v>254</v>
      </c>
      <c r="W482" s="180">
        <v>228</v>
      </c>
      <c r="Y482" s="184"/>
      <c r="Z482" s="181"/>
      <c r="AB482" s="182">
        <f>SUM(AH482:AS482)</f>
        <v>651979.35836844891</v>
      </c>
      <c r="AC482" s="182">
        <f>SUM(AT482:BE482)</f>
        <v>651490.41612117679</v>
      </c>
      <c r="AD482" s="182">
        <f>SUM(BF482:BQ482)</f>
        <v>655727.44529829698</v>
      </c>
      <c r="AE482" s="182">
        <f>SUM(BR482:CC482)</f>
        <v>664513.46322000585</v>
      </c>
      <c r="AF482" s="182">
        <f>SUM(CD482:CO482)</f>
        <v>665603.45815461955</v>
      </c>
      <c r="AH482" s="168">
        <v>55738.285676267864</v>
      </c>
      <c r="AI482" s="168">
        <v>20249.996491479353</v>
      </c>
      <c r="AJ482" s="168">
        <v>72815.927818474534</v>
      </c>
      <c r="AK482" s="168">
        <v>64352.694385822651</v>
      </c>
      <c r="AL482" s="168">
        <v>63722.339389512206</v>
      </c>
      <c r="AM482" s="168">
        <v>56672.906845927471</v>
      </c>
      <c r="AN482" s="168">
        <v>55088.100495326391</v>
      </c>
      <c r="AO482" s="168">
        <v>52639.798256422349</v>
      </c>
      <c r="AP482" s="168">
        <v>54482.997454079137</v>
      </c>
      <c r="AQ482" s="168">
        <v>46432.007179994223</v>
      </c>
      <c r="AR482" s="168">
        <v>36631.554007772524</v>
      </c>
      <c r="AS482" s="168">
        <v>73152.750367370172</v>
      </c>
      <c r="AT482" s="168">
        <v>57817.749039425231</v>
      </c>
      <c r="AU482" s="168">
        <v>20492.918452328704</v>
      </c>
      <c r="AV482" s="168">
        <v>72219.340181467633</v>
      </c>
      <c r="AW482" s="168">
        <v>64892.763778691377</v>
      </c>
      <c r="AX482" s="168">
        <v>63466.091852720798</v>
      </c>
      <c r="AY482" s="168">
        <v>55457.938554350541</v>
      </c>
      <c r="AZ482" s="168">
        <v>55618.453586071861</v>
      </c>
      <c r="BA482" s="168">
        <v>51955.885699177205</v>
      </c>
      <c r="BB482" s="168">
        <v>54230.098061717792</v>
      </c>
      <c r="BC482" s="168">
        <v>46554.262748113928</v>
      </c>
      <c r="BD482" s="168">
        <v>36339.04333637729</v>
      </c>
      <c r="BE482" s="168">
        <v>72445.870830734493</v>
      </c>
      <c r="BF482" s="168">
        <v>57480.451960404891</v>
      </c>
      <c r="BG482" s="168">
        <v>20733.010087668143</v>
      </c>
      <c r="BH482" s="168">
        <v>73304.105189961498</v>
      </c>
      <c r="BI482" s="168">
        <v>64639.907247714109</v>
      </c>
      <c r="BJ482" s="168">
        <v>63878.042489241765</v>
      </c>
      <c r="BK482" s="168">
        <v>56246.523520660026</v>
      </c>
      <c r="BL482" s="168">
        <v>55977.027231976994</v>
      </c>
      <c r="BM482" s="168">
        <v>52385.313714584961</v>
      </c>
      <c r="BN482" s="168">
        <v>54466.164657733105</v>
      </c>
      <c r="BO482" s="168">
        <v>46351.526005709929</v>
      </c>
      <c r="BP482" s="168">
        <v>36384.220637604114</v>
      </c>
      <c r="BQ482" s="168">
        <v>73881.152555037377</v>
      </c>
      <c r="BR482" s="168">
        <v>58180.397586841886</v>
      </c>
      <c r="BS482" s="168">
        <v>20874.223870638722</v>
      </c>
      <c r="BT482" s="168">
        <v>74997.214125117811</v>
      </c>
      <c r="BU482" s="168">
        <v>66253.901677921356</v>
      </c>
      <c r="BV482" s="168">
        <v>63691.678797625042</v>
      </c>
      <c r="BW482" s="168">
        <v>57515.103185379921</v>
      </c>
      <c r="BX482" s="168">
        <v>57135.408905951168</v>
      </c>
      <c r="BY482" s="168">
        <v>53143.6592149965</v>
      </c>
      <c r="BZ482" s="168">
        <v>55035.228902849107</v>
      </c>
      <c r="CA482" s="168">
        <v>47060.872422647793</v>
      </c>
      <c r="CB482" s="168">
        <v>36853.248813528764</v>
      </c>
      <c r="CC482" s="168">
        <v>73772.525716507749</v>
      </c>
      <c r="CD482" s="168">
        <v>58462.836436826547</v>
      </c>
      <c r="CE482" s="168">
        <v>20731.284448209175</v>
      </c>
      <c r="CF482" s="168">
        <v>73738.632097116555</v>
      </c>
      <c r="CG482" s="168">
        <v>67006.015403103898</v>
      </c>
      <c r="CH482" s="168">
        <v>64515.967871128007</v>
      </c>
      <c r="CI482" s="168">
        <v>56880.997911730126</v>
      </c>
      <c r="CJ482" s="168">
        <v>57016.354445816782</v>
      </c>
      <c r="CK482" s="168">
        <v>53163.608017717102</v>
      </c>
      <c r="CL482" s="168">
        <v>55836.468957543424</v>
      </c>
      <c r="CM482" s="168">
        <v>47188.177702791472</v>
      </c>
      <c r="CN482" s="168">
        <v>37265.818570160496</v>
      </c>
      <c r="CO482" s="168">
        <v>73797.29629247589</v>
      </c>
    </row>
    <row r="483" spans="1:93" x14ac:dyDescent="0.2">
      <c r="A483" s="118">
        <f t="shared" si="46"/>
        <v>18</v>
      </c>
      <c r="B483" s="243" t="s">
        <v>561</v>
      </c>
      <c r="C483" s="223"/>
      <c r="D483" s="172">
        <f>SUMIF($AH$8:$CP$8,1,$AH483:$CP483)+(SUM($AE$481:$AE$483)*'TOU Split'!E22)+'Unbilled to E-13c'!P95</f>
        <v>216434.32305103741</v>
      </c>
      <c r="E483" s="225" t="s">
        <v>555</v>
      </c>
      <c r="F483" s="183">
        <v>15.5</v>
      </c>
      <c r="G483" s="233" t="s">
        <v>375</v>
      </c>
      <c r="H483" s="174">
        <f>ROUND(D483*F483,2)</f>
        <v>3354732.01</v>
      </c>
      <c r="I483" s="229"/>
      <c r="J483" s="172">
        <f t="shared" si="49"/>
        <v>216434.32305103741</v>
      </c>
      <c r="K483" s="225" t="s">
        <v>555</v>
      </c>
      <c r="L483" s="183">
        <f>L479</f>
        <v>15.79</v>
      </c>
      <c r="M483" s="233" t="s">
        <v>375</v>
      </c>
      <c r="N483" s="174">
        <f>ROUND(J483*L483,2)</f>
        <v>3417497.96</v>
      </c>
      <c r="O483" s="227"/>
      <c r="P483" s="1286"/>
      <c r="Q483" s="227"/>
      <c r="S483" s="263"/>
      <c r="T483" s="197"/>
      <c r="U483" s="184" t="s">
        <v>624</v>
      </c>
      <c r="V483" s="179">
        <v>254</v>
      </c>
      <c r="W483" s="180">
        <v>228</v>
      </c>
      <c r="Y483" s="184"/>
      <c r="Z483" s="181"/>
      <c r="AB483" s="182">
        <f>SUM(AH483:AS483)</f>
        <v>190565.80289307935</v>
      </c>
      <c r="AC483" s="182">
        <f>SUM(AT483:BE483)</f>
        <v>189546.75758340905</v>
      </c>
      <c r="AD483" s="182">
        <f>SUM(BF483:BQ483)</f>
        <v>190870.38680099946</v>
      </c>
      <c r="AE483" s="182">
        <f>SUM(BR483:CC483)</f>
        <v>193147.57007055532</v>
      </c>
      <c r="AF483" s="182">
        <f>SUM(CD483:CO483)</f>
        <v>193873.49030827219</v>
      </c>
      <c r="AH483" s="168">
        <v>0</v>
      </c>
      <c r="AI483" s="168">
        <v>0</v>
      </c>
      <c r="AJ483" s="168">
        <v>102.90767459973334</v>
      </c>
      <c r="AK483" s="168">
        <v>12694.321945180156</v>
      </c>
      <c r="AL483" s="168">
        <v>26102.459970931344</v>
      </c>
      <c r="AM483" s="168">
        <v>24849.734574367481</v>
      </c>
      <c r="AN483" s="168">
        <v>22511.815283128362</v>
      </c>
      <c r="AO483" s="168">
        <v>22274.043322224941</v>
      </c>
      <c r="AP483" s="168">
        <v>22887.006908173538</v>
      </c>
      <c r="AQ483" s="168">
        <v>19463.552749545343</v>
      </c>
      <c r="AR483" s="168">
        <v>14330.936476123783</v>
      </c>
      <c r="AS483" s="168">
        <v>25349.023988804667</v>
      </c>
      <c r="AT483" s="168">
        <v>0</v>
      </c>
      <c r="AU483" s="168">
        <v>0</v>
      </c>
      <c r="AV483" s="168">
        <v>102.06454249582904</v>
      </c>
      <c r="AW483" s="168">
        <v>12800.856952163856</v>
      </c>
      <c r="AX483" s="168">
        <v>25997.493782686714</v>
      </c>
      <c r="AY483" s="168">
        <v>24316.999600245908</v>
      </c>
      <c r="AZ483" s="168">
        <v>22728.544680336581</v>
      </c>
      <c r="BA483" s="168">
        <v>21984.652054908813</v>
      </c>
      <c r="BB483" s="168">
        <v>22780.769909283645</v>
      </c>
      <c r="BC483" s="168">
        <v>19514.800323009025</v>
      </c>
      <c r="BD483" s="168">
        <v>14216.50093103433</v>
      </c>
      <c r="BE483" s="168">
        <v>25104.07480724436</v>
      </c>
      <c r="BF483" s="168">
        <v>0</v>
      </c>
      <c r="BG483" s="168">
        <v>0</v>
      </c>
      <c r="BH483" s="168">
        <v>103.59759505528487</v>
      </c>
      <c r="BI483" s="168">
        <v>12750.978042806584</v>
      </c>
      <c r="BJ483" s="168">
        <v>26166.240333783328</v>
      </c>
      <c r="BK483" s="168">
        <v>24662.775530804785</v>
      </c>
      <c r="BL483" s="168">
        <v>22875.076210910942</v>
      </c>
      <c r="BM483" s="168">
        <v>22166.360544222833</v>
      </c>
      <c r="BN483" s="168">
        <v>22879.935852169689</v>
      </c>
      <c r="BO483" s="168">
        <v>19429.816332014318</v>
      </c>
      <c r="BP483" s="168">
        <v>14234.175120720818</v>
      </c>
      <c r="BQ483" s="168">
        <v>25601.431238510897</v>
      </c>
      <c r="BR483" s="168">
        <v>0</v>
      </c>
      <c r="BS483" s="168">
        <v>0</v>
      </c>
      <c r="BT483" s="168">
        <v>105.99039438615826</v>
      </c>
      <c r="BU483" s="168">
        <v>13069.357329180211</v>
      </c>
      <c r="BV483" s="168">
        <v>26089.900531336258</v>
      </c>
      <c r="BW483" s="168">
        <v>25219.017829094355</v>
      </c>
      <c r="BX483" s="168">
        <v>23348.450207062429</v>
      </c>
      <c r="BY483" s="168">
        <v>22487.247422381028</v>
      </c>
      <c r="BZ483" s="168">
        <v>23118.986159931148</v>
      </c>
      <c r="CA483" s="168">
        <v>19727.162973744675</v>
      </c>
      <c r="CB483" s="168">
        <v>14417.667554409609</v>
      </c>
      <c r="CC483" s="168">
        <v>25563.7896690294</v>
      </c>
      <c r="CD483" s="168">
        <v>0</v>
      </c>
      <c r="CE483" s="168">
        <v>0</v>
      </c>
      <c r="CF483" s="168">
        <v>104.21169357611697</v>
      </c>
      <c r="CG483" s="168">
        <v>13217.720561799717</v>
      </c>
      <c r="CH483" s="168">
        <v>26427.552487490397</v>
      </c>
      <c r="CI483" s="168">
        <v>24940.977604596213</v>
      </c>
      <c r="CJ483" s="168">
        <v>23299.798465741183</v>
      </c>
      <c r="CK483" s="168">
        <v>22495.688573577328</v>
      </c>
      <c r="CL483" s="168">
        <v>23455.567984056193</v>
      </c>
      <c r="CM483" s="168">
        <v>19780.527305503303</v>
      </c>
      <c r="CN483" s="168">
        <v>14579.072417905287</v>
      </c>
      <c r="CO483" s="168">
        <v>25572.373214026415</v>
      </c>
    </row>
    <row r="484" spans="1:93" x14ac:dyDescent="0.2">
      <c r="A484" s="118">
        <f t="shared" si="46"/>
        <v>19</v>
      </c>
      <c r="B484" s="243"/>
      <c r="C484" s="223" t="s">
        <v>374</v>
      </c>
      <c r="D484" s="204">
        <f>SUM(D468:D483)</f>
        <v>2570753.075895967</v>
      </c>
      <c r="E484" s="225" t="s">
        <v>617</v>
      </c>
      <c r="F484" s="183"/>
      <c r="G484" s="233"/>
      <c r="H484" s="206">
        <f>SUM(H468:H483)</f>
        <v>50921526.849999994</v>
      </c>
      <c r="I484" s="229"/>
      <c r="J484" s="204">
        <f>SUM(J468:J483)</f>
        <v>2570753.075895967</v>
      </c>
      <c r="K484" s="225" t="s">
        <v>617</v>
      </c>
      <c r="L484" s="183"/>
      <c r="M484" s="233"/>
      <c r="N484" s="206">
        <f>SUM(N468:N483)</f>
        <v>52960261.619999997</v>
      </c>
      <c r="O484" s="227"/>
      <c r="P484" s="227"/>
      <c r="Q484" s="1022"/>
      <c r="S484" s="227"/>
      <c r="T484" s="927"/>
      <c r="U484" s="184"/>
      <c r="V484" s="179"/>
      <c r="W484" s="180"/>
      <c r="Y484" s="184" t="s">
        <v>623</v>
      </c>
      <c r="Z484" s="181" t="s">
        <v>141</v>
      </c>
      <c r="AB484" s="204">
        <f>SUM(AB468:AB483)</f>
        <v>2518097.3538508485</v>
      </c>
      <c r="AC484" s="204">
        <f>SUM(AC468:AC483)</f>
        <v>2516384.6246290305</v>
      </c>
      <c r="AD484" s="204">
        <f>SUM(AD468:AD483)</f>
        <v>2532610.1945621921</v>
      </c>
      <c r="AE484" s="204">
        <f>SUM(AE468:AE483)</f>
        <v>2565797.3538959669</v>
      </c>
      <c r="AF484" s="204">
        <f>SUM(AF468:AF483)</f>
        <v>2570131.7913398794</v>
      </c>
      <c r="AH484" s="204">
        <f t="shared" ref="AH484:CO484" si="50">SUM(AH468:AH483)</f>
        <v>170036.0255243943</v>
      </c>
      <c r="AI484" s="204">
        <f t="shared" si="50"/>
        <v>199074.28228355665</v>
      </c>
      <c r="AJ484" s="204">
        <f t="shared" si="50"/>
        <v>203239.50310825801</v>
      </c>
      <c r="AK484" s="204">
        <f t="shared" si="50"/>
        <v>216433.00105003882</v>
      </c>
      <c r="AL484" s="204">
        <f t="shared" si="50"/>
        <v>216468.25616680642</v>
      </c>
      <c r="AM484" s="204">
        <f t="shared" si="50"/>
        <v>224634.94886022154</v>
      </c>
      <c r="AN484" s="204">
        <f t="shared" si="50"/>
        <v>214888.14295102493</v>
      </c>
      <c r="AO484" s="204">
        <f t="shared" si="50"/>
        <v>214690.95555490965</v>
      </c>
      <c r="AP484" s="204">
        <f t="shared" si="50"/>
        <v>231356.92565759004</v>
      </c>
      <c r="AQ484" s="204">
        <f t="shared" si="50"/>
        <v>216865.34188449048</v>
      </c>
      <c r="AR484" s="204">
        <f t="shared" si="50"/>
        <v>166763.28447983006</v>
      </c>
      <c r="AS484" s="204">
        <f t="shared" si="50"/>
        <v>243646.68632972756</v>
      </c>
      <c r="AT484" s="204">
        <f t="shared" si="50"/>
        <v>176379.66672549813</v>
      </c>
      <c r="AU484" s="204">
        <f t="shared" si="50"/>
        <v>201462.40689520029</v>
      </c>
      <c r="AV484" s="204">
        <f t="shared" si="50"/>
        <v>201574.34304591449</v>
      </c>
      <c r="AW484" s="204">
        <f t="shared" si="50"/>
        <v>218249.37937870753</v>
      </c>
      <c r="AX484" s="204">
        <f t="shared" si="50"/>
        <v>215597.76933333959</v>
      </c>
      <c r="AY484" s="204">
        <f t="shared" si="50"/>
        <v>219819.1672948405</v>
      </c>
      <c r="AZ484" s="204">
        <f t="shared" si="50"/>
        <v>216956.9489137264</v>
      </c>
      <c r="BA484" s="204">
        <f t="shared" si="50"/>
        <v>211901.62418787606</v>
      </c>
      <c r="BB484" s="204">
        <f t="shared" si="50"/>
        <v>230283.01216803381</v>
      </c>
      <c r="BC484" s="204">
        <f t="shared" si="50"/>
        <v>217436.34876504124</v>
      </c>
      <c r="BD484" s="204">
        <f t="shared" si="50"/>
        <v>165431.64454184333</v>
      </c>
      <c r="BE484" s="204">
        <f t="shared" si="50"/>
        <v>241292.31337900934</v>
      </c>
      <c r="BF484" s="204">
        <f t="shared" si="50"/>
        <v>175350.70334706351</v>
      </c>
      <c r="BG484" s="204">
        <f t="shared" si="50"/>
        <v>203822.70705661483</v>
      </c>
      <c r="BH484" s="204">
        <f t="shared" si="50"/>
        <v>204602.07486119986</v>
      </c>
      <c r="BI484" s="204">
        <f t="shared" si="50"/>
        <v>217398.96435946375</v>
      </c>
      <c r="BJ484" s="204">
        <f t="shared" si="50"/>
        <v>216997.18807359342</v>
      </c>
      <c r="BK484" s="204">
        <f t="shared" si="50"/>
        <v>222944.88915097294</v>
      </c>
      <c r="BL484" s="204">
        <f t="shared" si="50"/>
        <v>218355.67611954594</v>
      </c>
      <c r="BM484" s="204">
        <f t="shared" si="50"/>
        <v>213653.04258277258</v>
      </c>
      <c r="BN484" s="204">
        <f t="shared" si="50"/>
        <v>231285.44677069294</v>
      </c>
      <c r="BO484" s="204">
        <f t="shared" si="50"/>
        <v>216489.44649601911</v>
      </c>
      <c r="BP484" s="204">
        <f t="shared" si="50"/>
        <v>165637.31190542068</v>
      </c>
      <c r="BQ484" s="204">
        <f t="shared" si="50"/>
        <v>246072.74383883254</v>
      </c>
      <c r="BR484" s="204">
        <f t="shared" si="50"/>
        <v>177485.96766239934</v>
      </c>
      <c r="BS484" s="204">
        <f t="shared" si="50"/>
        <v>205210.95581533649</v>
      </c>
      <c r="BT484" s="204">
        <f t="shared" si="50"/>
        <v>209327.78019791079</v>
      </c>
      <c r="BU484" s="204">
        <f t="shared" si="50"/>
        <v>222827.20107187648</v>
      </c>
      <c r="BV484" s="204">
        <f t="shared" si="50"/>
        <v>216364.10046689893</v>
      </c>
      <c r="BW484" s="204">
        <f t="shared" si="50"/>
        <v>227973.17063447242</v>
      </c>
      <c r="BX484" s="204">
        <f t="shared" si="50"/>
        <v>222874.30145806028</v>
      </c>
      <c r="BY484" s="204">
        <f t="shared" si="50"/>
        <v>216745.94805575762</v>
      </c>
      <c r="BZ484" s="204">
        <f t="shared" si="50"/>
        <v>233701.92457852027</v>
      </c>
      <c r="CA484" s="204">
        <f t="shared" si="50"/>
        <v>219802.52001074859</v>
      </c>
      <c r="CB484" s="204">
        <f t="shared" si="50"/>
        <v>167772.53879517212</v>
      </c>
      <c r="CC484" s="204">
        <f t="shared" si="50"/>
        <v>245710.94514881331</v>
      </c>
      <c r="CD484" s="204">
        <f t="shared" si="50"/>
        <v>178347.5797289061</v>
      </c>
      <c r="CE484" s="204">
        <f t="shared" si="50"/>
        <v>203805.74258766207</v>
      </c>
      <c r="CF484" s="204">
        <f t="shared" si="50"/>
        <v>205814.9006170911</v>
      </c>
      <c r="CG484" s="204">
        <f t="shared" si="50"/>
        <v>225356.73355261813</v>
      </c>
      <c r="CH484" s="204">
        <f t="shared" si="50"/>
        <v>219164.25532668593</v>
      </c>
      <c r="CI484" s="204">
        <f t="shared" si="50"/>
        <v>225459.76142986669</v>
      </c>
      <c r="CJ484" s="204">
        <f t="shared" si="50"/>
        <v>222409.89278144451</v>
      </c>
      <c r="CK484" s="204">
        <f t="shared" si="50"/>
        <v>216827.30907270912</v>
      </c>
      <c r="CL484" s="204">
        <f t="shared" si="50"/>
        <v>237104.31513025225</v>
      </c>
      <c r="CM484" s="204">
        <f t="shared" si="50"/>
        <v>220397.11207727366</v>
      </c>
      <c r="CN484" s="204">
        <f t="shared" si="50"/>
        <v>169650.74160574228</v>
      </c>
      <c r="CO484" s="204">
        <f t="shared" si="50"/>
        <v>245793.44742962718</v>
      </c>
    </row>
    <row r="485" spans="1:93" x14ac:dyDescent="0.2">
      <c r="A485" s="118">
        <f t="shared" si="46"/>
        <v>20</v>
      </c>
      <c r="F485" s="197"/>
      <c r="I485" s="229"/>
      <c r="L485" s="197"/>
      <c r="U485" s="184"/>
      <c r="V485" s="179"/>
      <c r="W485" s="180"/>
      <c r="Y485" s="184"/>
      <c r="Z485" s="181"/>
      <c r="AB485" s="193">
        <f>SUM(AH485:AS485)</f>
        <v>0</v>
      </c>
      <c r="AC485" s="193">
        <f>SUM(AT485:BE485)</f>
        <v>0</v>
      </c>
      <c r="AD485" s="193">
        <f>SUM(BF485:BQ485)</f>
        <v>0</v>
      </c>
      <c r="AE485" s="193">
        <f>SUM(BR485:CC485)</f>
        <v>0</v>
      </c>
      <c r="AF485" s="193">
        <f>SUM(CD485:CO485)</f>
        <v>0</v>
      </c>
      <c r="AH485" s="294">
        <v>0</v>
      </c>
      <c r="AI485" s="294">
        <v>0</v>
      </c>
      <c r="AJ485" s="294">
        <v>0</v>
      </c>
      <c r="AK485" s="294">
        <v>0</v>
      </c>
      <c r="AL485" s="294">
        <v>0</v>
      </c>
      <c r="AM485" s="294">
        <v>0</v>
      </c>
      <c r="AN485" s="294">
        <v>0</v>
      </c>
      <c r="AO485" s="294">
        <v>0</v>
      </c>
      <c r="AP485" s="294">
        <v>0</v>
      </c>
      <c r="AQ485" s="294">
        <v>0</v>
      </c>
      <c r="AR485" s="294">
        <v>0</v>
      </c>
      <c r="AS485" s="294">
        <v>0</v>
      </c>
      <c r="AT485" s="294">
        <v>0</v>
      </c>
      <c r="AU485" s="294">
        <v>0</v>
      </c>
      <c r="AV485" s="294">
        <v>0</v>
      </c>
      <c r="AW485" s="294">
        <v>0</v>
      </c>
      <c r="AX485" s="294">
        <v>0</v>
      </c>
      <c r="AY485" s="294">
        <v>0</v>
      </c>
      <c r="AZ485" s="294">
        <v>0</v>
      </c>
      <c r="BA485" s="294">
        <v>0</v>
      </c>
      <c r="BB485" s="294">
        <v>0</v>
      </c>
      <c r="BC485" s="294">
        <v>0</v>
      </c>
      <c r="BD485" s="294">
        <v>0</v>
      </c>
      <c r="BE485" s="294">
        <v>0</v>
      </c>
      <c r="BF485" s="294">
        <v>0</v>
      </c>
      <c r="BG485" s="294">
        <v>0</v>
      </c>
      <c r="BH485" s="294">
        <v>0</v>
      </c>
      <c r="BI485" s="294">
        <v>0</v>
      </c>
      <c r="BJ485" s="294">
        <v>0</v>
      </c>
      <c r="BK485" s="294">
        <v>0</v>
      </c>
      <c r="BL485" s="294">
        <v>0</v>
      </c>
      <c r="BM485" s="294">
        <v>0</v>
      </c>
      <c r="BN485" s="294">
        <v>0</v>
      </c>
      <c r="BO485" s="294">
        <v>0</v>
      </c>
      <c r="BP485" s="294">
        <v>0</v>
      </c>
      <c r="BQ485" s="294">
        <v>0</v>
      </c>
      <c r="BR485" s="294">
        <v>0</v>
      </c>
      <c r="BS485" s="294">
        <v>0</v>
      </c>
      <c r="BT485" s="294">
        <v>0</v>
      </c>
      <c r="BU485" s="294">
        <v>0</v>
      </c>
      <c r="BV485" s="294">
        <v>0</v>
      </c>
      <c r="BW485" s="294">
        <v>0</v>
      </c>
      <c r="BX485" s="294">
        <v>0</v>
      </c>
      <c r="BY485" s="294">
        <v>0</v>
      </c>
      <c r="BZ485" s="294">
        <v>0</v>
      </c>
      <c r="CA485" s="294">
        <v>0</v>
      </c>
      <c r="CB485" s="294">
        <v>0</v>
      </c>
      <c r="CC485" s="294">
        <v>0</v>
      </c>
      <c r="CD485" s="294">
        <v>0</v>
      </c>
      <c r="CE485" s="294">
        <v>0</v>
      </c>
      <c r="CF485" s="294">
        <v>0</v>
      </c>
      <c r="CG485" s="294">
        <v>0</v>
      </c>
      <c r="CH485" s="294">
        <v>0</v>
      </c>
      <c r="CI485" s="294">
        <v>0</v>
      </c>
      <c r="CJ485" s="294">
        <v>0</v>
      </c>
      <c r="CK485" s="294">
        <v>0</v>
      </c>
      <c r="CL485" s="294">
        <v>0</v>
      </c>
      <c r="CM485" s="294">
        <v>0</v>
      </c>
      <c r="CN485" s="294">
        <v>0</v>
      </c>
      <c r="CO485" s="294">
        <v>0</v>
      </c>
    </row>
    <row r="486" spans="1:93" x14ac:dyDescent="0.2">
      <c r="A486" s="118">
        <f t="shared" si="46"/>
        <v>21</v>
      </c>
      <c r="B486" s="246" t="s">
        <v>563</v>
      </c>
      <c r="C486" s="223"/>
      <c r="D486" s="168"/>
      <c r="E486" s="225"/>
      <c r="F486" s="197"/>
      <c r="G486" s="233"/>
      <c r="H486" s="174"/>
      <c r="I486" s="229"/>
      <c r="J486" s="223"/>
      <c r="K486" s="225"/>
      <c r="L486" s="197"/>
      <c r="M486" s="233"/>
      <c r="N486" s="174"/>
      <c r="O486" s="227"/>
      <c r="Q486" s="176"/>
      <c r="U486" s="184"/>
      <c r="V486" s="179"/>
      <c r="W486" s="180"/>
      <c r="Y486" s="184"/>
      <c r="Z486" s="181"/>
    </row>
    <row r="487" spans="1:93" x14ac:dyDescent="0.2">
      <c r="A487" s="118">
        <f t="shared" si="46"/>
        <v>22</v>
      </c>
      <c r="B487" s="234" t="s">
        <v>582</v>
      </c>
      <c r="C487" s="223"/>
      <c r="D487" s="172">
        <f>SUM(H420,H429:H433,H469,H477:H479)</f>
        <v>48538999.149999999</v>
      </c>
      <c r="E487" s="233" t="s">
        <v>10</v>
      </c>
      <c r="F487" s="248">
        <v>0.01</v>
      </c>
      <c r="G487" s="233" t="s">
        <v>375</v>
      </c>
      <c r="H487" s="174">
        <f>ROUND(D487*-F487,2)</f>
        <v>-485389.99</v>
      </c>
      <c r="I487" s="229"/>
      <c r="J487" s="172">
        <f>SUM(N420,N429:N433,N469,N477:N479)</f>
        <v>50673047.25</v>
      </c>
      <c r="K487" s="233" t="s">
        <v>10</v>
      </c>
      <c r="L487" s="248">
        <v>0.01</v>
      </c>
      <c r="M487" s="233" t="s">
        <v>375</v>
      </c>
      <c r="N487" s="174">
        <f>ROUND(J487*-L487,2)</f>
        <v>-506730.47</v>
      </c>
      <c r="O487" s="227"/>
      <c r="Q487" s="176"/>
      <c r="U487" s="184" t="s">
        <v>623</v>
      </c>
      <c r="V487" s="179">
        <v>252</v>
      </c>
      <c r="W487" s="180">
        <v>226</v>
      </c>
      <c r="Y487" s="184" t="s">
        <v>623</v>
      </c>
      <c r="Z487" s="181" t="s">
        <v>417</v>
      </c>
      <c r="AB487" s="182">
        <f>SUM(AH487:AS487)</f>
        <v>-374327.10420469008</v>
      </c>
      <c r="AC487" s="182">
        <f>SUM(AT487:BE487)</f>
        <v>-385422.82397733594</v>
      </c>
      <c r="AD487" s="182">
        <f>SUM(BF487:BQ487)</f>
        <v>-387905.99371744285</v>
      </c>
      <c r="AE487" s="182">
        <f>SUM(BR487:CC487)</f>
        <v>-393005.14509475132</v>
      </c>
      <c r="AF487" s="182">
        <f>SUM(CD487:CO487)</f>
        <v>-393604.51670770522</v>
      </c>
      <c r="AH487" s="174">
        <v>-19735.59522346015</v>
      </c>
      <c r="AI487" s="174">
        <v>-49193.026828040085</v>
      </c>
      <c r="AJ487" s="174">
        <v>-29224.723587691336</v>
      </c>
      <c r="AK487" s="174">
        <v>-33877.823129566168</v>
      </c>
      <c r="AL487" s="174">
        <v>-25012.842018450519</v>
      </c>
      <c r="AM487" s="174">
        <v>-30263.286131653778</v>
      </c>
      <c r="AN487" s="174">
        <v>-29002.011061542813</v>
      </c>
      <c r="AO487" s="174">
        <v>-34837.230297978305</v>
      </c>
      <c r="AP487" s="174">
        <v>-33151.496918809346</v>
      </c>
      <c r="AQ487" s="174">
        <v>-32680.562990657567</v>
      </c>
      <c r="AR487" s="174">
        <v>-27432.60322700761</v>
      </c>
      <c r="AS487" s="174">
        <v>-29915.902789832409</v>
      </c>
      <c r="AT487" s="174">
        <v>-21023.473467206139</v>
      </c>
      <c r="AU487" s="174">
        <v>-51223.134466371892</v>
      </c>
      <c r="AV487" s="174">
        <v>-29852.969291011512</v>
      </c>
      <c r="AW487" s="174">
        <v>-35199.136834541408</v>
      </c>
      <c r="AX487" s="174">
        <v>-25661.257876630287</v>
      </c>
      <c r="AY487" s="174">
        <v>-30502.779012570652</v>
      </c>
      <c r="AZ487" s="174">
        <v>-30157.936504010602</v>
      </c>
      <c r="BA487" s="174">
        <v>-35481.814169438294</v>
      </c>
      <c r="BB487" s="174">
        <v>-33998.446578349191</v>
      </c>
      <c r="BC487" s="174">
        <v>-33758.840060008326</v>
      </c>
      <c r="BD487" s="174">
        <v>-28034.672397507115</v>
      </c>
      <c r="BE487" s="174">
        <v>-30528.363319690525</v>
      </c>
      <c r="BF487" s="174">
        <v>-20909.06239489952</v>
      </c>
      <c r="BG487" s="174">
        <v>-51819.301159854826</v>
      </c>
      <c r="BH487" s="174">
        <v>-30297.919359492589</v>
      </c>
      <c r="BI487" s="174">
        <v>-35056.509747426004</v>
      </c>
      <c r="BJ487" s="174">
        <v>-25825.797866318637</v>
      </c>
      <c r="BK487" s="174">
        <v>-30934.55831629366</v>
      </c>
      <c r="BL487" s="174">
        <v>-30350.347046622952</v>
      </c>
      <c r="BM487" s="174">
        <v>-35765.383236005284</v>
      </c>
      <c r="BN487" s="174">
        <v>-34142.921973691104</v>
      </c>
      <c r="BO487" s="174">
        <v>-33608.274729250319</v>
      </c>
      <c r="BP487" s="174">
        <v>-28066.916158898763</v>
      </c>
      <c r="BQ487" s="174">
        <v>-31129.001728689156</v>
      </c>
      <c r="BR487" s="174">
        <v>-21166.754087057117</v>
      </c>
      <c r="BS487" s="174">
        <v>-52174.395798066471</v>
      </c>
      <c r="BT487" s="174">
        <v>-30994.890253066027</v>
      </c>
      <c r="BU487" s="174">
        <v>-35927.381677484314</v>
      </c>
      <c r="BV487" s="174">
        <v>-25747.65010936428</v>
      </c>
      <c r="BW487" s="174">
        <v>-31628.833022821775</v>
      </c>
      <c r="BX487" s="174">
        <v>-30975.394146250757</v>
      </c>
      <c r="BY487" s="174">
        <v>-36272.669506842511</v>
      </c>
      <c r="BZ487" s="174">
        <v>-34494.905671621593</v>
      </c>
      <c r="CA487" s="174">
        <v>-34118.170935698647</v>
      </c>
      <c r="CB487" s="174">
        <v>-28425.362266066706</v>
      </c>
      <c r="CC487" s="174">
        <v>-31078.737620411059</v>
      </c>
      <c r="CD487" s="174">
        <v>-21281.842367556506</v>
      </c>
      <c r="CE487" s="174">
        <v>-51845.125501059563</v>
      </c>
      <c r="CF487" s="174">
        <v>-30485.774290367739</v>
      </c>
      <c r="CG487" s="174">
        <v>-36344.360392106828</v>
      </c>
      <c r="CH487" s="174">
        <v>-26087.35564377383</v>
      </c>
      <c r="CI487" s="174">
        <v>-31287.930299043332</v>
      </c>
      <c r="CJ487" s="174">
        <v>-30918.843220775208</v>
      </c>
      <c r="CK487" s="174">
        <v>-36285.092908666986</v>
      </c>
      <c r="CL487" s="174">
        <v>-35004.089735505884</v>
      </c>
      <c r="CM487" s="174">
        <v>-34217.73743500984</v>
      </c>
      <c r="CN487" s="174">
        <v>-28749.980541280893</v>
      </c>
      <c r="CO487" s="174">
        <v>-31096.384372558645</v>
      </c>
    </row>
    <row r="488" spans="1:93" x14ac:dyDescent="0.2">
      <c r="A488" s="118">
        <f t="shared" si="46"/>
        <v>23</v>
      </c>
      <c r="B488" s="234" t="s">
        <v>583</v>
      </c>
      <c r="C488" s="223"/>
      <c r="D488" s="172">
        <f>SUM(H421:H422,H435:H439,H470,H481:H483)</f>
        <v>28540235.929999992</v>
      </c>
      <c r="E488" s="233" t="s">
        <v>10</v>
      </c>
      <c r="F488" s="248">
        <v>0.02</v>
      </c>
      <c r="G488" s="233" t="s">
        <v>375</v>
      </c>
      <c r="H488" s="174">
        <f>ROUND(D488*-F488,2)</f>
        <v>-570804.72</v>
      </c>
      <c r="I488" s="229"/>
      <c r="J488" s="172">
        <f>SUM(N421:N422,N435:N439,N470,N481:N483)</f>
        <v>29701325.920000006</v>
      </c>
      <c r="K488" s="233" t="s">
        <v>10</v>
      </c>
      <c r="L488" s="248">
        <v>0.02</v>
      </c>
      <c r="M488" s="233" t="s">
        <v>375</v>
      </c>
      <c r="N488" s="174">
        <f>ROUND(J488*-L488,2)</f>
        <v>-594026.52</v>
      </c>
      <c r="O488" s="227"/>
      <c r="Q488" s="176"/>
      <c r="U488" s="184" t="s">
        <v>623</v>
      </c>
      <c r="V488" s="179">
        <v>252</v>
      </c>
      <c r="W488" s="180">
        <v>226</v>
      </c>
      <c r="Y488" s="184" t="s">
        <v>623</v>
      </c>
      <c r="Z488" s="181" t="s">
        <v>417</v>
      </c>
      <c r="AB488" s="182">
        <f>SUM(AH488:AS488)</f>
        <v>-78329.50660835045</v>
      </c>
      <c r="AC488" s="182">
        <f>SUM(AT488:BE488)</f>
        <v>-80382.947327447473</v>
      </c>
      <c r="AD488" s="182">
        <f>SUM(BF488:BQ488)</f>
        <v>-80951.666352113825</v>
      </c>
      <c r="AE488" s="182">
        <f>SUM(BR488:CC488)</f>
        <v>-82110.886312003291</v>
      </c>
      <c r="AF488" s="182">
        <f>SUM(CD488:CO488)</f>
        <v>-82202.713360863389</v>
      </c>
      <c r="AH488" s="174">
        <v>0</v>
      </c>
      <c r="AI488" s="174">
        <v>0</v>
      </c>
      <c r="AJ488" s="174">
        <v>-13826.475865151966</v>
      </c>
      <c r="AK488" s="174">
        <v>-6880.4180350335482</v>
      </c>
      <c r="AL488" s="174">
        <v>-6606.4987808806109</v>
      </c>
      <c r="AM488" s="174">
        <v>-7328.8731790302227</v>
      </c>
      <c r="AN488" s="174">
        <v>-8080.6391173987722</v>
      </c>
      <c r="AO488" s="174">
        <v>-7154.1743480388814</v>
      </c>
      <c r="AP488" s="174">
        <v>-7783.9068582213276</v>
      </c>
      <c r="AQ488" s="174">
        <v>-7232.6617380319349</v>
      </c>
      <c r="AR488" s="174">
        <v>-6376.5053239639929</v>
      </c>
      <c r="AS488" s="174">
        <v>-7059.3533625991831</v>
      </c>
      <c r="AT488" s="174">
        <v>0</v>
      </c>
      <c r="AU488" s="174">
        <v>0</v>
      </c>
      <c r="AV488" s="174">
        <v>-14151.003348488644</v>
      </c>
      <c r="AW488" s="174">
        <v>-7155.01986333073</v>
      </c>
      <c r="AX488" s="174">
        <v>-6785.6958882145145</v>
      </c>
      <c r="AY488" s="174">
        <v>-7396.1554802831697</v>
      </c>
      <c r="AZ488" s="174">
        <v>-8412.7838178526508</v>
      </c>
      <c r="BA488" s="174">
        <v>-7282.2116533074168</v>
      </c>
      <c r="BB488" s="174">
        <v>-7989.7092900450498</v>
      </c>
      <c r="BC488" s="174">
        <v>-7477.867053839318</v>
      </c>
      <c r="BD488" s="174">
        <v>-6523.2204228658966</v>
      </c>
      <c r="BE488" s="174">
        <v>-7209.2805092200815</v>
      </c>
      <c r="BF488" s="174">
        <v>0</v>
      </c>
      <c r="BG488" s="174">
        <v>0</v>
      </c>
      <c r="BH488" s="174">
        <v>-14354.864553598884</v>
      </c>
      <c r="BI488" s="174">
        <v>-7124.5484034089641</v>
      </c>
      <c r="BJ488" s="174">
        <v>-6827.1530939600925</v>
      </c>
      <c r="BK488" s="174">
        <v>-7498.4728121074131</v>
      </c>
      <c r="BL488" s="174">
        <v>-8464.1546556417525</v>
      </c>
      <c r="BM488" s="174">
        <v>-7339.5880818244568</v>
      </c>
      <c r="BN488" s="174">
        <v>-8021.6263426554387</v>
      </c>
      <c r="BO488" s="174">
        <v>-7442.7489767207035</v>
      </c>
      <c r="BP488" s="174">
        <v>-6528.9630336384462</v>
      </c>
      <c r="BQ488" s="174">
        <v>-7349.5463985576807</v>
      </c>
      <c r="BR488" s="174">
        <v>0</v>
      </c>
      <c r="BS488" s="174">
        <v>0</v>
      </c>
      <c r="BT488" s="174">
        <v>-14673.337191324303</v>
      </c>
      <c r="BU488" s="174">
        <v>-7298.1673015465603</v>
      </c>
      <c r="BV488" s="174">
        <v>-6803.2242704863393</v>
      </c>
      <c r="BW488" s="174">
        <v>-7662.9991698984186</v>
      </c>
      <c r="BX488" s="174">
        <v>-8634.5788415208735</v>
      </c>
      <c r="BY488" s="174">
        <v>-7441.3574246530516</v>
      </c>
      <c r="BZ488" s="174">
        <v>-8100.8126428479736</v>
      </c>
      <c r="CA488" s="174">
        <v>-7552.4735441277662</v>
      </c>
      <c r="CB488" s="174">
        <v>-6609.3023180155133</v>
      </c>
      <c r="CC488" s="174">
        <v>-7334.6336075824911</v>
      </c>
      <c r="CD488" s="174">
        <v>0</v>
      </c>
      <c r="CE488" s="174">
        <v>0</v>
      </c>
      <c r="CF488" s="174">
        <v>-14441.233065543398</v>
      </c>
      <c r="CG488" s="174">
        <v>-7385.1512460645945</v>
      </c>
      <c r="CH488" s="174">
        <v>-6895.3743303272677</v>
      </c>
      <c r="CI488" s="174">
        <v>-7583.0097552691614</v>
      </c>
      <c r="CJ488" s="174">
        <v>-8621.0672573341963</v>
      </c>
      <c r="CK488" s="174">
        <v>-7448.6068546032457</v>
      </c>
      <c r="CL488" s="174">
        <v>-8223.2838411191915</v>
      </c>
      <c r="CM488" s="174">
        <v>-7576.9012637457272</v>
      </c>
      <c r="CN488" s="174">
        <v>-6687.0432778899603</v>
      </c>
      <c r="CO488" s="174">
        <v>-7341.042468966647</v>
      </c>
    </row>
    <row r="489" spans="1:93" x14ac:dyDescent="0.2">
      <c r="A489" s="118">
        <f t="shared" si="46"/>
        <v>24</v>
      </c>
      <c r="B489" s="234"/>
      <c r="C489" s="223"/>
      <c r="D489" s="168"/>
      <c r="E489" s="233"/>
      <c r="F489" s="183"/>
      <c r="G489" s="223"/>
      <c r="H489" s="172"/>
      <c r="I489" s="229"/>
      <c r="J489" s="174"/>
      <c r="K489" s="233"/>
      <c r="L489" s="183"/>
      <c r="M489" s="223"/>
      <c r="N489" s="174"/>
      <c r="O489" s="227"/>
      <c r="Q489" s="176"/>
      <c r="U489" s="184" t="s">
        <v>623</v>
      </c>
      <c r="V489" s="179">
        <v>252</v>
      </c>
      <c r="W489" s="180">
        <v>226</v>
      </c>
      <c r="Y489" s="184" t="s">
        <v>623</v>
      </c>
      <c r="Z489" s="181" t="s">
        <v>608</v>
      </c>
    </row>
    <row r="490" spans="1:93" x14ac:dyDescent="0.2">
      <c r="A490" s="118">
        <f t="shared" si="46"/>
        <v>25</v>
      </c>
      <c r="B490" s="171" t="s">
        <v>564</v>
      </c>
      <c r="C490" s="223"/>
      <c r="D490" s="168"/>
      <c r="E490" s="223"/>
      <c r="F490" s="166"/>
      <c r="G490" s="223"/>
      <c r="H490" s="1225">
        <f>'MFR E-5 Yr4'!O22*1000</f>
        <v>3517584.1260000002</v>
      </c>
      <c r="I490" s="162"/>
      <c r="J490" s="208"/>
      <c r="K490" s="166"/>
      <c r="L490" s="166"/>
      <c r="M490" s="143"/>
      <c r="N490" s="174">
        <f>H490</f>
        <v>3517584.1260000002</v>
      </c>
      <c r="O490" s="227"/>
      <c r="Q490" s="176"/>
      <c r="U490" s="184"/>
      <c r="V490" s="179"/>
      <c r="W490" s="180"/>
      <c r="Y490" s="184" t="s">
        <v>623</v>
      </c>
      <c r="Z490" s="181" t="s">
        <v>565</v>
      </c>
    </row>
    <row r="491" spans="1:93" x14ac:dyDescent="0.2">
      <c r="A491" s="118">
        <f t="shared" si="46"/>
        <v>26</v>
      </c>
      <c r="B491" s="171" t="s">
        <v>566</v>
      </c>
      <c r="C491" s="223"/>
      <c r="D491" s="168"/>
      <c r="E491" s="223"/>
      <c r="F491" s="166"/>
      <c r="G491" s="223"/>
      <c r="H491" s="1225">
        <f>'MFR E-5 Yr4'!O23*1000</f>
        <v>1494973.2535499954</v>
      </c>
      <c r="I491" s="162"/>
      <c r="J491" s="208"/>
      <c r="K491" s="166"/>
      <c r="L491" s="166"/>
      <c r="M491" s="143"/>
      <c r="N491" s="174">
        <f>H491</f>
        <v>1494973.2535499954</v>
      </c>
      <c r="O491" s="227"/>
      <c r="Q491" s="176"/>
      <c r="U491" s="184"/>
      <c r="V491" s="179"/>
      <c r="W491" s="180"/>
      <c r="Y491" s="184" t="s">
        <v>623</v>
      </c>
      <c r="Z491" s="181" t="s">
        <v>565</v>
      </c>
    </row>
    <row r="492" spans="1:93" x14ac:dyDescent="0.2">
      <c r="A492" s="118">
        <f t="shared" si="46"/>
        <v>27</v>
      </c>
      <c r="B492" s="234"/>
      <c r="C492" s="223" t="s">
        <v>374</v>
      </c>
      <c r="D492" s="249"/>
      <c r="E492" s="223"/>
      <c r="F492" s="183"/>
      <c r="G492" s="223"/>
      <c r="H492" s="206">
        <f>SUM(H487:H491)</f>
        <v>3956362.6695499956</v>
      </c>
      <c r="I492" s="229"/>
      <c r="J492" s="208"/>
      <c r="K492" s="223"/>
      <c r="L492" s="183"/>
      <c r="M492" s="223"/>
      <c r="N492" s="206">
        <f>SUM(N487:N491)</f>
        <v>3911800.3895499953</v>
      </c>
      <c r="O492" s="227"/>
      <c r="Q492" s="176"/>
      <c r="U492" s="184"/>
      <c r="V492" s="179"/>
      <c r="W492" s="180"/>
      <c r="Y492" s="184"/>
      <c r="Z492" s="181"/>
    </row>
    <row r="493" spans="1:93" x14ac:dyDescent="0.2">
      <c r="A493" s="118">
        <f t="shared" si="46"/>
        <v>28</v>
      </c>
      <c r="B493" s="234"/>
      <c r="C493" s="223"/>
      <c r="E493" s="223"/>
      <c r="F493" s="183"/>
      <c r="G493" s="223"/>
      <c r="H493" s="174"/>
      <c r="I493" s="229"/>
      <c r="J493" s="208"/>
      <c r="K493" s="223"/>
      <c r="L493" s="183"/>
      <c r="M493" s="223"/>
      <c r="N493" s="174"/>
      <c r="O493" s="227"/>
      <c r="Q493" s="227"/>
      <c r="U493" s="184"/>
      <c r="V493" s="179"/>
      <c r="W493" s="180"/>
      <c r="Y493" s="184"/>
      <c r="Z493" s="181"/>
    </row>
    <row r="494" spans="1:93" ht="10.8" thickBot="1" x14ac:dyDescent="0.25">
      <c r="A494" s="118">
        <f t="shared" si="46"/>
        <v>29</v>
      </c>
      <c r="B494" s="246" t="s">
        <v>631</v>
      </c>
      <c r="C494" s="223"/>
      <c r="D494" s="168"/>
      <c r="E494" s="225"/>
      <c r="F494" s="183"/>
      <c r="G494" s="223"/>
      <c r="H494" s="210">
        <f>H415+H440+H484+H492</f>
        <v>96736533.559549987</v>
      </c>
      <c r="I494" s="229"/>
      <c r="J494" s="304"/>
      <c r="K494" s="225"/>
      <c r="L494" s="183"/>
      <c r="M494" s="223"/>
      <c r="N494" s="210">
        <f>N415+N440+N484+N492</f>
        <v>100659429.31955001</v>
      </c>
      <c r="O494" s="227"/>
      <c r="Q494" s="939">
        <f>(N494-H494)/H494</f>
        <v>4.0552370605518202E-2</v>
      </c>
      <c r="U494" s="184"/>
      <c r="V494" s="179"/>
      <c r="W494" s="180"/>
      <c r="Y494" s="184" t="s">
        <v>623</v>
      </c>
      <c r="Z494" s="181" t="s">
        <v>121</v>
      </c>
    </row>
    <row r="495" spans="1:93" ht="10.8" thickTop="1" x14ac:dyDescent="0.2">
      <c r="A495" s="118">
        <f t="shared" si="46"/>
        <v>30</v>
      </c>
      <c r="B495" s="223"/>
      <c r="C495" s="223"/>
      <c r="D495" s="168"/>
      <c r="E495" s="225"/>
      <c r="F495" s="183"/>
      <c r="G495" s="223"/>
      <c r="H495" s="223"/>
      <c r="I495" s="229"/>
      <c r="J495" s="223"/>
      <c r="K495" s="225"/>
      <c r="L495" s="223"/>
      <c r="M495" s="223"/>
      <c r="N495" s="174"/>
      <c r="O495" s="227"/>
      <c r="P495" s="262"/>
      <c r="Q495" s="227"/>
      <c r="U495" s="184"/>
      <c r="V495" s="179"/>
      <c r="W495" s="180"/>
      <c r="Y495" s="184"/>
      <c r="Z495" s="181"/>
    </row>
    <row r="496" spans="1:93" x14ac:dyDescent="0.2">
      <c r="A496" s="118">
        <f t="shared" si="46"/>
        <v>31</v>
      </c>
      <c r="B496" s="226"/>
      <c r="C496" s="223"/>
      <c r="D496" s="168"/>
      <c r="E496" s="225"/>
      <c r="F496" s="183"/>
      <c r="G496" s="223"/>
      <c r="H496" s="223"/>
      <c r="I496" s="229"/>
      <c r="J496" s="171" t="s">
        <v>573</v>
      </c>
      <c r="K496" s="166"/>
      <c r="L496" s="166"/>
      <c r="M496" s="143"/>
      <c r="N496" s="174">
        <f>N494-H494</f>
        <v>3922895.7600000203</v>
      </c>
      <c r="Q496" s="227"/>
      <c r="U496" s="184"/>
      <c r="V496" s="179"/>
      <c r="W496" s="180"/>
      <c r="Y496" s="184"/>
      <c r="Z496" s="181"/>
    </row>
    <row r="497" spans="1:93" x14ac:dyDescent="0.2">
      <c r="A497" s="118">
        <f t="shared" si="46"/>
        <v>32</v>
      </c>
      <c r="B497" s="226"/>
      <c r="C497" s="223"/>
      <c r="D497" s="944"/>
      <c r="E497" s="225"/>
      <c r="F497" s="183"/>
      <c r="G497" s="223"/>
      <c r="H497" s="223"/>
      <c r="I497" s="229"/>
      <c r="J497" s="171"/>
      <c r="K497" s="166"/>
      <c r="L497" s="166"/>
      <c r="M497" s="143"/>
      <c r="N497" s="212"/>
      <c r="Q497" s="227"/>
      <c r="U497" s="184"/>
      <c r="V497" s="179"/>
      <c r="W497" s="180"/>
      <c r="Y497" s="184"/>
      <c r="Z497" s="181"/>
    </row>
    <row r="498" spans="1:93" x14ac:dyDescent="0.2">
      <c r="A498" s="118">
        <f t="shared" si="46"/>
        <v>33</v>
      </c>
      <c r="B498" s="226"/>
      <c r="C498" s="223"/>
      <c r="D498" s="944"/>
      <c r="E498" s="225"/>
      <c r="F498" s="183"/>
      <c r="G498" s="223"/>
      <c r="H498" s="223"/>
      <c r="I498" s="229"/>
      <c r="J498" s="171" t="s">
        <v>632</v>
      </c>
      <c r="N498" s="211">
        <f>('Exhibit MJC-2 - Old E-8a'!U27*1000)-N382-N684-N742</f>
        <v>3923408.2444909597</v>
      </c>
      <c r="Q498" s="939">
        <f>N498/H494</f>
        <v>4.0557668340221752E-2</v>
      </c>
      <c r="U498" s="184"/>
      <c r="V498" s="179"/>
      <c r="W498" s="180"/>
      <c r="Y498" s="184"/>
      <c r="Z498" s="181"/>
    </row>
    <row r="499" spans="1:93" x14ac:dyDescent="0.2">
      <c r="A499" s="118">
        <f t="shared" si="46"/>
        <v>34</v>
      </c>
      <c r="B499" s="226"/>
      <c r="C499" s="223"/>
      <c r="D499" s="944"/>
      <c r="E499" s="225"/>
      <c r="F499" s="183"/>
      <c r="G499" s="223"/>
      <c r="H499" s="223"/>
      <c r="I499" s="229"/>
      <c r="P499" s="250"/>
      <c r="Q499" s="227"/>
      <c r="U499" s="184"/>
      <c r="V499" s="179"/>
      <c r="W499" s="180"/>
      <c r="Y499" s="184"/>
      <c r="Z499" s="181"/>
    </row>
    <row r="500" spans="1:93" x14ac:dyDescent="0.2">
      <c r="A500" s="118">
        <f t="shared" si="46"/>
        <v>35</v>
      </c>
      <c r="B500" s="226"/>
      <c r="C500" s="223"/>
      <c r="D500" s="168"/>
      <c r="E500" s="225"/>
      <c r="F500" s="183"/>
      <c r="G500" s="223"/>
      <c r="H500" s="223"/>
      <c r="I500" s="229"/>
      <c r="J500" s="171" t="s">
        <v>575</v>
      </c>
      <c r="N500" s="214">
        <f>N496-N498</f>
        <v>-512.48449093941599</v>
      </c>
      <c r="Q500" s="227"/>
      <c r="U500" s="184"/>
      <c r="V500" s="179"/>
      <c r="W500" s="180"/>
      <c r="Y500" s="184"/>
      <c r="Z500" s="181"/>
    </row>
    <row r="501" spans="1:93" x14ac:dyDescent="0.2">
      <c r="A501" s="118">
        <f t="shared" si="46"/>
        <v>36</v>
      </c>
      <c r="B501" s="226"/>
      <c r="C501" s="223"/>
      <c r="D501" s="168"/>
      <c r="E501" s="225"/>
      <c r="F501" s="183"/>
      <c r="G501" s="223"/>
      <c r="H501" s="223"/>
      <c r="I501" s="229"/>
      <c r="L501" s="197"/>
      <c r="P501" s="250"/>
      <c r="Q501" s="227"/>
      <c r="U501" s="184"/>
      <c r="V501" s="179"/>
      <c r="W501" s="180"/>
      <c r="Y501" s="184"/>
      <c r="Z501" s="181"/>
    </row>
    <row r="502" spans="1:93" x14ac:dyDescent="0.2">
      <c r="A502" s="118">
        <f t="shared" si="46"/>
        <v>37</v>
      </c>
      <c r="B502" s="226"/>
      <c r="C502" s="223"/>
      <c r="D502" s="168"/>
      <c r="E502" s="225"/>
      <c r="F502" s="1293"/>
      <c r="G502" s="1355"/>
      <c r="H502" s="1356"/>
      <c r="I502" s="229"/>
      <c r="J502" s="171"/>
      <c r="L502" s="197"/>
      <c r="N502" s="1356"/>
      <c r="O502" s="1355"/>
      <c r="P502" s="1359"/>
      <c r="Q502" s="227"/>
      <c r="U502" s="184"/>
      <c r="V502" s="179"/>
      <c r="W502" s="180"/>
      <c r="Y502" s="184"/>
      <c r="Z502" s="181"/>
    </row>
    <row r="503" spans="1:93" x14ac:dyDescent="0.2">
      <c r="A503" s="118">
        <f t="shared" si="46"/>
        <v>38</v>
      </c>
      <c r="B503" s="226"/>
      <c r="C503" s="223"/>
      <c r="D503" s="168"/>
      <c r="E503" s="225"/>
      <c r="F503" s="1357"/>
      <c r="G503" s="1355"/>
      <c r="H503" s="1358"/>
      <c r="I503" s="229"/>
      <c r="L503" s="197"/>
      <c r="N503" s="1358"/>
      <c r="O503" s="1355"/>
      <c r="P503" s="1360"/>
      <c r="Q503" s="247"/>
      <c r="U503" s="184"/>
      <c r="V503" s="179"/>
      <c r="W503" s="180"/>
      <c r="Y503" s="184"/>
      <c r="Z503" s="181"/>
    </row>
    <row r="504" spans="1:93" x14ac:dyDescent="0.2">
      <c r="A504" s="118">
        <f t="shared" si="46"/>
        <v>39</v>
      </c>
      <c r="B504" s="226"/>
      <c r="C504" s="223"/>
      <c r="D504" s="168"/>
      <c r="E504" s="225"/>
      <c r="F504" s="1357"/>
      <c r="G504" s="1355"/>
      <c r="H504" s="1358"/>
      <c r="I504" s="229"/>
      <c r="L504" s="197"/>
      <c r="N504" s="1358"/>
      <c r="O504" s="1355"/>
      <c r="P504" s="1360"/>
      <c r="Q504" s="227"/>
      <c r="U504" s="184"/>
      <c r="V504" s="179"/>
      <c r="W504" s="180"/>
      <c r="Y504" s="184"/>
      <c r="Z504" s="181"/>
    </row>
    <row r="505" spans="1:93" x14ac:dyDescent="0.2">
      <c r="A505" s="118">
        <f t="shared" si="46"/>
        <v>40</v>
      </c>
      <c r="B505" s="226"/>
      <c r="C505" s="223"/>
      <c r="D505" s="168"/>
      <c r="E505" s="225"/>
      <c r="F505" s="183"/>
      <c r="G505" s="223"/>
      <c r="H505" s="223"/>
      <c r="I505" s="229"/>
      <c r="J505" s="234"/>
      <c r="K505" s="225"/>
      <c r="L505" s="183"/>
      <c r="M505" s="223"/>
      <c r="N505" s="174"/>
      <c r="O505" s="227"/>
      <c r="Q505" s="227"/>
      <c r="U505" s="184"/>
      <c r="V505" s="179"/>
      <c r="W505" s="180"/>
      <c r="Y505" s="184"/>
      <c r="Z505" s="181"/>
    </row>
    <row r="506" spans="1:93" x14ac:dyDescent="0.2">
      <c r="A506" s="118">
        <f t="shared" si="46"/>
        <v>41</v>
      </c>
      <c r="B506" s="226"/>
      <c r="C506" s="223"/>
      <c r="D506" s="168"/>
      <c r="E506" s="225"/>
      <c r="F506" s="183"/>
      <c r="G506" s="223"/>
      <c r="H506" s="223"/>
      <c r="I506" s="229"/>
      <c r="J506" s="234"/>
      <c r="K506" s="225"/>
      <c r="L506" s="183"/>
      <c r="M506" s="223"/>
      <c r="N506" s="174"/>
      <c r="O506" s="227"/>
      <c r="Q506" s="227"/>
      <c r="U506" s="184"/>
      <c r="V506" s="179"/>
      <c r="W506" s="180"/>
      <c r="Y506" s="184"/>
      <c r="Z506" s="181"/>
    </row>
    <row r="507" spans="1:93" x14ac:dyDescent="0.2">
      <c r="A507" s="118">
        <f t="shared" si="46"/>
        <v>42</v>
      </c>
      <c r="B507" s="226"/>
      <c r="C507" s="223"/>
      <c r="D507" s="168"/>
      <c r="E507" s="225"/>
      <c r="F507" s="183"/>
      <c r="G507" s="223"/>
      <c r="H507" s="223"/>
      <c r="I507" s="229"/>
      <c r="J507" s="234"/>
      <c r="K507" s="225"/>
      <c r="L507" s="183"/>
      <c r="M507" s="223"/>
      <c r="N507" s="174"/>
      <c r="O507" s="227"/>
      <c r="Q507" s="227"/>
      <c r="U507" s="184"/>
      <c r="V507" s="179"/>
      <c r="W507" s="180"/>
      <c r="Y507" s="184"/>
      <c r="Z507" s="181"/>
    </row>
    <row r="508" spans="1:93" x14ac:dyDescent="0.2">
      <c r="A508" s="118">
        <f t="shared" si="46"/>
        <v>43</v>
      </c>
      <c r="B508" s="226"/>
      <c r="C508" s="223"/>
      <c r="D508" s="168"/>
      <c r="E508" s="225"/>
      <c r="F508" s="183"/>
      <c r="G508" s="223"/>
      <c r="H508" s="223"/>
      <c r="I508" s="229"/>
      <c r="J508" s="234"/>
      <c r="K508" s="225"/>
      <c r="L508" s="183"/>
      <c r="M508" s="223"/>
      <c r="N508" s="174"/>
      <c r="O508" s="227"/>
      <c r="Q508" s="227"/>
      <c r="U508" s="184"/>
      <c r="V508" s="179"/>
      <c r="W508" s="180"/>
      <c r="Y508" s="184"/>
      <c r="Z508" s="181"/>
    </row>
    <row r="509" spans="1:93" x14ac:dyDescent="0.2">
      <c r="A509" s="118">
        <f t="shared" si="46"/>
        <v>44</v>
      </c>
      <c r="B509" s="226"/>
      <c r="C509" s="223"/>
      <c r="D509" s="168"/>
      <c r="E509" s="225"/>
      <c r="F509" s="183"/>
      <c r="G509" s="223"/>
      <c r="H509" s="223"/>
      <c r="I509" s="229"/>
      <c r="J509" s="234"/>
      <c r="K509" s="225"/>
      <c r="L509" s="183"/>
      <c r="M509" s="223"/>
      <c r="N509" s="174"/>
      <c r="O509" s="227"/>
      <c r="Q509" s="227"/>
      <c r="U509" s="184"/>
      <c r="V509" s="179"/>
      <c r="W509" s="180"/>
      <c r="Y509" s="184"/>
      <c r="Z509" s="181"/>
    </row>
    <row r="510" spans="1:93" x14ac:dyDescent="0.2">
      <c r="A510" s="118">
        <f t="shared" si="46"/>
        <v>45</v>
      </c>
      <c r="B510" s="226"/>
      <c r="C510" s="223"/>
      <c r="D510" s="168"/>
      <c r="E510" s="225"/>
      <c r="F510" s="183"/>
      <c r="G510" s="223"/>
      <c r="H510" s="223"/>
      <c r="I510" s="229"/>
      <c r="J510" s="234"/>
      <c r="K510" s="225"/>
      <c r="L510" s="183"/>
      <c r="M510" s="223"/>
      <c r="N510" s="174"/>
      <c r="O510" s="227"/>
      <c r="Q510" s="227"/>
      <c r="U510" s="184"/>
      <c r="V510" s="179"/>
      <c r="W510" s="180"/>
      <c r="Y510" s="184"/>
      <c r="Z510" s="181"/>
    </row>
    <row r="511" spans="1:93" x14ac:dyDescent="0.2">
      <c r="A511" s="215"/>
      <c r="B511" s="215" t="s">
        <v>98</v>
      </c>
      <c r="C511" s="215"/>
      <c r="D511" s="215"/>
      <c r="E511" s="215"/>
      <c r="F511" s="299"/>
      <c r="G511" s="215"/>
      <c r="H511" s="215"/>
      <c r="I511" s="215"/>
      <c r="J511" s="215"/>
      <c r="K511" s="215"/>
      <c r="L511" s="299"/>
      <c r="M511" s="215"/>
      <c r="N511" s="215" t="s">
        <v>99</v>
      </c>
      <c r="O511" s="215"/>
      <c r="P511" s="215"/>
      <c r="Q511" s="215"/>
      <c r="U511" s="316"/>
      <c r="V511" s="245"/>
      <c r="W511" s="245"/>
      <c r="Y511" s="316"/>
      <c r="Z511" s="317"/>
    </row>
    <row r="512" spans="1:93" x14ac:dyDescent="0.2">
      <c r="A512" s="216"/>
      <c r="B512" s="216"/>
      <c r="C512" s="216"/>
      <c r="D512" s="216"/>
      <c r="E512" s="216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7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  <c r="AO512" s="216"/>
      <c r="AP512" s="216"/>
      <c r="AQ512" s="216"/>
      <c r="AR512" s="216"/>
      <c r="AS512" s="216"/>
      <c r="AT512" s="216"/>
      <c r="AU512" s="216"/>
      <c r="AV512" s="216"/>
      <c r="AW512" s="216"/>
      <c r="AX512" s="216"/>
      <c r="AY512" s="216"/>
      <c r="AZ512" s="216"/>
      <c r="BA512" s="216"/>
      <c r="BB512" s="216"/>
      <c r="BC512" s="216"/>
      <c r="BD512" s="216"/>
      <c r="BE512" s="216"/>
      <c r="BF512" s="216"/>
      <c r="BG512" s="216"/>
      <c r="BH512" s="216"/>
      <c r="BI512" s="216"/>
      <c r="BJ512" s="216"/>
      <c r="BK512" s="216"/>
      <c r="BL512" s="216"/>
      <c r="BM512" s="216"/>
      <c r="BN512" s="216"/>
      <c r="BO512" s="216"/>
      <c r="BP512" s="216"/>
      <c r="BQ512" s="216"/>
      <c r="BR512" s="216"/>
      <c r="BS512" s="216"/>
      <c r="BT512" s="216"/>
      <c r="BU512" s="216"/>
      <c r="BV512" s="216"/>
      <c r="BW512" s="216"/>
      <c r="BX512" s="216"/>
      <c r="BY512" s="216"/>
      <c r="BZ512" s="216"/>
      <c r="CA512" s="216"/>
      <c r="CB512" s="216"/>
      <c r="CC512" s="216"/>
      <c r="CD512" s="216"/>
      <c r="CE512" s="216"/>
      <c r="CF512" s="216"/>
      <c r="CG512" s="216"/>
      <c r="CH512" s="216"/>
      <c r="CI512" s="216"/>
      <c r="CJ512" s="216"/>
      <c r="CK512" s="216"/>
      <c r="CL512" s="216"/>
      <c r="CM512" s="216"/>
      <c r="CN512" s="216"/>
      <c r="CO512" s="216"/>
    </row>
    <row r="513" spans="1:93" ht="13.8" x14ac:dyDescent="0.3">
      <c r="A513" s="12" t="s">
        <v>667</v>
      </c>
      <c r="C513" s="102"/>
      <c r="D513" s="1280"/>
      <c r="F513" s="104"/>
      <c r="G513" s="104"/>
      <c r="H513" s="361" t="s">
        <v>668</v>
      </c>
      <c r="I513" s="104"/>
      <c r="J513" s="104"/>
      <c r="K513" s="104"/>
      <c r="L513" s="104"/>
      <c r="N513" s="105"/>
      <c r="Q513" s="106" t="str">
        <f>'MFR E-13c'!Q452</f>
        <v>Page 23 of 39</v>
      </c>
      <c r="R513" s="105"/>
      <c r="S513" s="105"/>
      <c r="T513" s="114"/>
      <c r="U513" s="114"/>
      <c r="V513" s="114"/>
      <c r="W513" s="114"/>
      <c r="X513" s="114"/>
      <c r="Y513" s="114"/>
      <c r="Z513" s="218"/>
      <c r="AA513" s="114"/>
      <c r="AE513" s="114"/>
    </row>
    <row r="514" spans="1:93" ht="10.8" thickBot="1" x14ac:dyDescent="0.25">
      <c r="A514" s="108"/>
      <c r="B514" s="109"/>
      <c r="C514" s="109"/>
      <c r="D514" s="109"/>
      <c r="E514" s="110" t="s">
        <v>416</v>
      </c>
      <c r="F514" s="109"/>
      <c r="G514" s="109" t="s">
        <v>416</v>
      </c>
      <c r="H514" s="109" t="s">
        <v>416</v>
      </c>
      <c r="I514" s="109" t="s">
        <v>416</v>
      </c>
      <c r="J514" s="109"/>
      <c r="K514" s="109"/>
      <c r="L514" s="109"/>
      <c r="M514" s="111"/>
      <c r="N514" s="111"/>
      <c r="O514" s="109"/>
      <c r="P514" s="112"/>
      <c r="Q514" s="109"/>
      <c r="T514" s="114"/>
      <c r="U514" s="114"/>
      <c r="V514" s="114"/>
      <c r="W514" s="114"/>
      <c r="X514" s="114"/>
      <c r="Y514" s="114"/>
      <c r="Z514" s="218"/>
      <c r="AA514" s="114"/>
      <c r="AE514" s="114"/>
    </row>
    <row r="515" spans="1:93" x14ac:dyDescent="0.2">
      <c r="A515" s="113"/>
      <c r="M515" s="105"/>
      <c r="N515" s="105"/>
      <c r="P515" s="114"/>
      <c r="T515" s="114"/>
      <c r="U515" s="114"/>
      <c r="V515" s="114"/>
      <c r="W515" s="114"/>
      <c r="X515" s="114"/>
      <c r="Y515" s="114"/>
      <c r="Z515" s="218"/>
      <c r="AA515" s="114"/>
      <c r="AE515" s="114"/>
    </row>
    <row r="516" spans="1:93" ht="13.8" x14ac:dyDescent="0.2">
      <c r="A516" s="100"/>
      <c r="C516" s="1278" t="s">
        <v>4</v>
      </c>
      <c r="D516" s="1386" t="s">
        <v>669</v>
      </c>
      <c r="E516" s="1386"/>
      <c r="F516" s="1386"/>
      <c r="G516" s="1386"/>
      <c r="H516" s="1386"/>
      <c r="I516" s="1386"/>
      <c r="J516" s="1386"/>
      <c r="K516" s="1386"/>
      <c r="L516" s="1386"/>
      <c r="M516" s="1386"/>
      <c r="N516" s="1386"/>
      <c r="O516" s="1279"/>
      <c r="P516" s="1279"/>
      <c r="T516" s="114"/>
      <c r="U516" s="114"/>
      <c r="V516" s="114"/>
      <c r="W516" s="114"/>
      <c r="X516" s="114"/>
      <c r="Y516" s="114"/>
      <c r="Z516" s="218"/>
      <c r="AA516" s="114"/>
      <c r="AE516" s="114"/>
    </row>
    <row r="517" spans="1:93" ht="13.8" x14ac:dyDescent="0.2">
      <c r="C517" s="1279"/>
      <c r="D517" s="1386" t="s">
        <v>670</v>
      </c>
      <c r="E517" s="1386"/>
      <c r="F517" s="1386"/>
      <c r="G517" s="1386"/>
      <c r="H517" s="1386"/>
      <c r="I517" s="1386"/>
      <c r="J517" s="1386"/>
      <c r="K517" s="1386"/>
      <c r="L517" s="1386"/>
      <c r="M517" s="1386"/>
      <c r="N517" s="1386"/>
      <c r="O517" s="1279"/>
      <c r="P517" s="1279"/>
      <c r="T517" s="114"/>
      <c r="U517" s="114"/>
      <c r="V517" s="114"/>
      <c r="W517" s="114"/>
      <c r="X517" s="114"/>
      <c r="Y517" s="114"/>
      <c r="Z517" s="218"/>
      <c r="AA517" s="114"/>
      <c r="AE517" s="114"/>
    </row>
    <row r="518" spans="1:93" ht="13.8" x14ac:dyDescent="0.3">
      <c r="A518" s="100"/>
      <c r="C518" s="21"/>
      <c r="D518" s="1386" t="s">
        <v>671</v>
      </c>
      <c r="E518" s="1386"/>
      <c r="F518" s="1386"/>
      <c r="G518" s="1386"/>
      <c r="H518" s="1386"/>
      <c r="I518" s="1386"/>
      <c r="J518" s="1386"/>
      <c r="K518" s="1386"/>
      <c r="L518" s="1386"/>
      <c r="M518" s="1386"/>
      <c r="N518" s="1386"/>
      <c r="O518" s="107"/>
      <c r="T518" s="114"/>
      <c r="U518" s="114"/>
      <c r="V518" s="114"/>
      <c r="W518" s="114"/>
      <c r="X518" s="114"/>
      <c r="Y518" s="114"/>
      <c r="Z518" s="218"/>
      <c r="AA518" s="114"/>
      <c r="AE518" s="114"/>
    </row>
    <row r="519" spans="1:93" x14ac:dyDescent="0.2">
      <c r="T519" s="114"/>
      <c r="U519" s="114"/>
      <c r="V519" s="114"/>
      <c r="W519" s="114"/>
      <c r="X519" s="114"/>
      <c r="Y519" s="114"/>
      <c r="Z519" s="218"/>
      <c r="AA519" s="114"/>
      <c r="AE519" s="114"/>
    </row>
    <row r="520" spans="1:93" x14ac:dyDescent="0.2">
      <c r="A520" s="100"/>
      <c r="C520" s="119"/>
      <c r="O520" s="100"/>
      <c r="T520" s="114"/>
      <c r="U520" s="114"/>
      <c r="V520" s="114"/>
      <c r="W520" s="114"/>
      <c r="X520" s="114"/>
      <c r="Y520" s="114"/>
      <c r="Z520" s="218"/>
      <c r="AA520" s="114"/>
      <c r="AE520" s="114"/>
    </row>
    <row r="521" spans="1:93" ht="10.8" thickBot="1" x14ac:dyDescent="0.25">
      <c r="A521" s="123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23"/>
      <c r="O521" s="109"/>
      <c r="P521" s="109"/>
      <c r="Q521" s="109"/>
      <c r="T521" s="114"/>
      <c r="U521" s="114"/>
      <c r="V521" s="114"/>
      <c r="W521" s="114"/>
      <c r="X521" s="114"/>
      <c r="Y521" s="114"/>
      <c r="Z521" s="218"/>
      <c r="AA521" s="114"/>
      <c r="AE521" s="114"/>
    </row>
    <row r="522" spans="1:93" ht="15.6" x14ac:dyDescent="0.2">
      <c r="B522" s="1369"/>
      <c r="C522" s="125"/>
      <c r="D522" s="125"/>
      <c r="E522" s="125"/>
      <c r="F522" s="276"/>
      <c r="G522" s="125"/>
      <c r="H522" s="277"/>
      <c r="I522" s="126" t="s">
        <v>634</v>
      </c>
      <c r="J522" s="125"/>
      <c r="K522" s="125"/>
      <c r="L522" s="276"/>
      <c r="M522" s="125"/>
      <c r="N522" s="277"/>
      <c r="U522" s="127" t="s">
        <v>530</v>
      </c>
      <c r="V522" s="128"/>
      <c r="W522" s="129"/>
      <c r="X522" s="114"/>
      <c r="Y522" s="130" t="s">
        <v>531</v>
      </c>
      <c r="Z522" s="131"/>
      <c r="AA522" s="114"/>
    </row>
    <row r="523" spans="1:93" x14ac:dyDescent="0.2">
      <c r="A523" s="101" t="s">
        <v>30</v>
      </c>
      <c r="B523" s="101" t="s">
        <v>532</v>
      </c>
      <c r="C523" s="132"/>
      <c r="D523" s="133" t="s">
        <v>533</v>
      </c>
      <c r="E523" s="134"/>
      <c r="F523" s="278"/>
      <c r="G523" s="133"/>
      <c r="H523" s="279"/>
      <c r="I523" s="135"/>
      <c r="J523" s="136" t="s">
        <v>534</v>
      </c>
      <c r="K523" s="133"/>
      <c r="L523" s="278"/>
      <c r="M523" s="134"/>
      <c r="N523" s="280"/>
      <c r="O523" s="137"/>
      <c r="Q523" s="118" t="s">
        <v>332</v>
      </c>
      <c r="U523" s="138"/>
      <c r="V523" s="139"/>
      <c r="W523" s="140"/>
      <c r="X523" s="114"/>
      <c r="Y523" s="138"/>
      <c r="Z523" s="141"/>
      <c r="AA523" s="114"/>
    </row>
    <row r="524" spans="1:93" x14ac:dyDescent="0.2">
      <c r="A524" s="101" t="s">
        <v>39</v>
      </c>
      <c r="B524" s="102" t="s">
        <v>535</v>
      </c>
      <c r="C524" s="104"/>
      <c r="D524" s="142" t="s">
        <v>536</v>
      </c>
      <c r="E524" s="143"/>
      <c r="F524" s="281" t="s">
        <v>537</v>
      </c>
      <c r="G524" s="142"/>
      <c r="H524" s="282" t="s">
        <v>538</v>
      </c>
      <c r="I524" s="144"/>
      <c r="J524" s="142" t="s">
        <v>536</v>
      </c>
      <c r="K524" s="143"/>
      <c r="L524" s="281" t="s">
        <v>537</v>
      </c>
      <c r="M524" s="142"/>
      <c r="N524" s="282" t="s">
        <v>538</v>
      </c>
      <c r="O524" s="132"/>
      <c r="Q524" s="145" t="s">
        <v>539</v>
      </c>
      <c r="R524" s="132"/>
      <c r="S524" s="132"/>
      <c r="U524" s="138" t="s">
        <v>128</v>
      </c>
      <c r="V524" s="146" t="s">
        <v>343</v>
      </c>
      <c r="W524" s="147" t="s">
        <v>344</v>
      </c>
      <c r="X524" s="118"/>
      <c r="Y524" s="148" t="s">
        <v>128</v>
      </c>
      <c r="Z524" s="149"/>
      <c r="AA524" s="118"/>
      <c r="AB524" s="118"/>
      <c r="AH524" s="116"/>
      <c r="AI524" s="116"/>
      <c r="AJ524" s="116"/>
      <c r="AK524" s="116"/>
      <c r="AL524" s="116"/>
      <c r="AM524" s="116"/>
      <c r="AN524" s="116"/>
      <c r="AO524" s="116"/>
      <c r="AP524" s="116"/>
      <c r="AQ524" s="116"/>
      <c r="AR524" s="116"/>
      <c r="AS524" s="116"/>
      <c r="AT524" s="116"/>
      <c r="AU524" s="116"/>
      <c r="AV524" s="116"/>
      <c r="AW524" s="116"/>
      <c r="AX524" s="116"/>
      <c r="AY524" s="116"/>
      <c r="AZ524" s="116"/>
      <c r="BA524" s="116"/>
      <c r="BB524" s="116"/>
      <c r="BC524" s="116"/>
      <c r="BD524" s="116"/>
      <c r="BE524" s="116"/>
      <c r="BF524" s="116"/>
      <c r="BG524" s="116"/>
      <c r="BH524" s="116"/>
      <c r="BI524" s="116"/>
      <c r="BJ524" s="116"/>
      <c r="BK524" s="116"/>
      <c r="BL524" s="116"/>
      <c r="BM524" s="116"/>
      <c r="BN524" s="116"/>
      <c r="BO524" s="116"/>
      <c r="BP524" s="116"/>
      <c r="BQ524" s="116"/>
      <c r="BR524" s="116"/>
      <c r="BS524" s="116"/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</row>
    <row r="525" spans="1:93" ht="10.8" thickBot="1" x14ac:dyDescent="0.25">
      <c r="A525" s="109"/>
      <c r="B525" s="1370" t="s">
        <v>274</v>
      </c>
      <c r="C525" s="150"/>
      <c r="D525" s="220" t="str">
        <f>+$D$15</f>
        <v>Jan '26-Dec '26</v>
      </c>
      <c r="E525" s="221"/>
      <c r="F525" s="152">
        <f>+$L$15</f>
        <v>46023</v>
      </c>
      <c r="G525" s="153"/>
      <c r="H525" s="153"/>
      <c r="I525" s="153"/>
      <c r="J525" s="153"/>
      <c r="K525" s="151"/>
      <c r="L525" s="152">
        <f>+$L$15</f>
        <v>46023</v>
      </c>
      <c r="M525" s="154"/>
      <c r="N525" s="283"/>
      <c r="O525" s="155"/>
      <c r="P525" s="109"/>
      <c r="Q525" s="156"/>
      <c r="R525" s="132"/>
      <c r="S525" s="132"/>
      <c r="U525" s="157" t="s">
        <v>144</v>
      </c>
      <c r="V525" s="158" t="s">
        <v>540</v>
      </c>
      <c r="W525" s="159" t="s">
        <v>540</v>
      </c>
      <c r="X525" s="118"/>
      <c r="Y525" s="160" t="s">
        <v>144</v>
      </c>
      <c r="Z525" s="159" t="s">
        <v>541</v>
      </c>
      <c r="AA525" s="118"/>
      <c r="AB525" s="118"/>
      <c r="AH525" s="116"/>
      <c r="AI525" s="116"/>
      <c r="AJ525" s="116"/>
      <c r="AK525" s="116"/>
      <c r="AL525" s="116"/>
      <c r="AM525" s="116"/>
      <c r="AN525" s="116"/>
      <c r="AO525" s="116"/>
      <c r="AP525" s="116"/>
      <c r="AQ525" s="116"/>
      <c r="AR525" s="116"/>
      <c r="AS525" s="116"/>
      <c r="AT525" s="116"/>
      <c r="AU525" s="116"/>
      <c r="AV525" s="116"/>
      <c r="AW525" s="116"/>
      <c r="AX525" s="116"/>
      <c r="AY525" s="116"/>
      <c r="AZ525" s="116"/>
      <c r="BA525" s="116"/>
      <c r="BB525" s="116"/>
      <c r="BC525" s="116"/>
      <c r="BD525" s="116"/>
      <c r="BE525" s="116"/>
      <c r="BF525" s="116"/>
      <c r="BG525" s="116"/>
      <c r="BH525" s="116"/>
      <c r="BI525" s="116"/>
      <c r="BJ525" s="116"/>
      <c r="BK525" s="116"/>
      <c r="BL525" s="116"/>
      <c r="BM525" s="116"/>
      <c r="BN525" s="116"/>
      <c r="BO525" s="116"/>
      <c r="BP525" s="116"/>
      <c r="BQ525" s="116"/>
      <c r="BR525" s="116"/>
      <c r="BS525" s="116"/>
      <c r="BT525" s="116"/>
      <c r="BU525" s="116"/>
      <c r="BV525" s="116"/>
      <c r="BW525" s="116"/>
      <c r="BX525" s="116"/>
      <c r="BY525" s="116"/>
      <c r="BZ525" s="116"/>
      <c r="CA525" s="116"/>
      <c r="CB525" s="116"/>
      <c r="CC525" s="116"/>
      <c r="CD525" s="116"/>
      <c r="CE525" s="116"/>
      <c r="CF525" s="116"/>
      <c r="CG525" s="116"/>
      <c r="CH525" s="116"/>
      <c r="CI525" s="116"/>
      <c r="CJ525" s="116"/>
      <c r="CK525" s="116"/>
      <c r="CL525" s="116"/>
      <c r="CM525" s="116"/>
      <c r="CN525" s="116"/>
      <c r="CO525" s="116"/>
    </row>
    <row r="526" spans="1:93" x14ac:dyDescent="0.2">
      <c r="A526" s="118">
        <v>1</v>
      </c>
      <c r="B526" s="222" t="s">
        <v>542</v>
      </c>
      <c r="C526" s="223"/>
      <c r="E526" s="225"/>
      <c r="F526" s="284"/>
      <c r="G526" s="227"/>
      <c r="H526" s="285"/>
      <c r="I526" s="308"/>
      <c r="J526" s="226"/>
      <c r="K526" s="225"/>
      <c r="L526" s="284"/>
      <c r="M526" s="227"/>
      <c r="N526" s="285"/>
      <c r="O526" s="227"/>
      <c r="P526" s="227"/>
      <c r="Q526" s="230"/>
      <c r="R526" s="132"/>
      <c r="S526" s="132"/>
      <c r="T526" s="118"/>
      <c r="U526" s="163"/>
      <c r="V526" s="139"/>
      <c r="W526" s="140"/>
      <c r="X526" s="118"/>
      <c r="Y526" s="163"/>
      <c r="Z526" s="141"/>
      <c r="AA526" s="118"/>
      <c r="AB526" s="118"/>
      <c r="AH526" s="116"/>
      <c r="AI526" s="116"/>
      <c r="AJ526" s="116"/>
      <c r="AK526" s="116"/>
      <c r="AL526" s="116"/>
      <c r="AM526" s="116"/>
      <c r="AN526" s="116"/>
      <c r="AO526" s="116"/>
      <c r="AP526" s="116"/>
      <c r="AQ526" s="116"/>
      <c r="AR526" s="116"/>
      <c r="AS526" s="116"/>
      <c r="AT526" s="116"/>
      <c r="AU526" s="116"/>
      <c r="AV526" s="116"/>
      <c r="AW526" s="116"/>
      <c r="AX526" s="116"/>
      <c r="AY526" s="116"/>
      <c r="AZ526" s="116"/>
      <c r="BA526" s="116"/>
      <c r="BB526" s="116"/>
      <c r="BC526" s="116"/>
      <c r="BD526" s="116"/>
      <c r="BE526" s="116"/>
      <c r="BF526" s="116"/>
      <c r="BG526" s="116"/>
      <c r="BH526" s="116"/>
      <c r="BI526" s="116"/>
      <c r="BJ526" s="116"/>
      <c r="BK526" s="116"/>
      <c r="BL526" s="116"/>
      <c r="BM526" s="116"/>
      <c r="BN526" s="116"/>
      <c r="BO526" s="116"/>
      <c r="BP526" s="116"/>
      <c r="BQ526" s="116"/>
      <c r="BR526" s="116"/>
      <c r="BS526" s="116"/>
      <c r="BT526" s="116"/>
      <c r="BU526" s="116"/>
      <c r="BV526" s="116"/>
      <c r="BW526" s="116"/>
      <c r="BX526" s="116"/>
      <c r="BY526" s="116"/>
      <c r="BZ526" s="116"/>
      <c r="CA526" s="116"/>
      <c r="CB526" s="116"/>
      <c r="CC526" s="116"/>
      <c r="CD526" s="116"/>
      <c r="CE526" s="116"/>
      <c r="CF526" s="116"/>
      <c r="CG526" s="116"/>
      <c r="CH526" s="116"/>
      <c r="CI526" s="116"/>
      <c r="CJ526" s="116"/>
      <c r="CK526" s="116"/>
      <c r="CL526" s="116"/>
      <c r="CM526" s="116"/>
      <c r="CN526" s="116"/>
      <c r="CO526" s="116"/>
    </row>
    <row r="527" spans="1:93" x14ac:dyDescent="0.2">
      <c r="A527" s="118">
        <f t="shared" ref="A527:A571" si="51">+A526+1</f>
        <v>2</v>
      </c>
      <c r="B527" s="228" t="s">
        <v>543</v>
      </c>
      <c r="C527" s="223"/>
      <c r="D527" s="168"/>
      <c r="E527" s="225"/>
      <c r="F527" s="183"/>
      <c r="G527" s="223"/>
      <c r="H527" s="174"/>
      <c r="I527" s="308"/>
      <c r="J527" s="168"/>
      <c r="K527" s="225"/>
      <c r="L527" s="1368">
        <v>0.05</v>
      </c>
      <c r="M527" s="223"/>
      <c r="N527" s="174"/>
      <c r="O527" s="227"/>
      <c r="P527" s="227"/>
      <c r="Q527" s="227"/>
      <c r="R527" s="227"/>
      <c r="S527" s="227"/>
      <c r="T527" s="227"/>
      <c r="U527" s="163"/>
      <c r="V527" s="139"/>
      <c r="W527" s="140"/>
      <c r="X527" s="227"/>
      <c r="Y527" s="163"/>
      <c r="Z527" s="141"/>
      <c r="AA527" s="227"/>
      <c r="AB527" s="118"/>
      <c r="AH527" s="116"/>
      <c r="AI527" s="116"/>
      <c r="AJ527" s="116"/>
      <c r="AK527" s="116"/>
      <c r="AL527" s="116"/>
      <c r="AM527" s="116"/>
      <c r="AN527" s="116"/>
      <c r="AO527" s="116"/>
      <c r="AP527" s="116"/>
      <c r="AQ527" s="116"/>
      <c r="AR527" s="116"/>
      <c r="AS527" s="116"/>
      <c r="AT527" s="116"/>
      <c r="AU527" s="116"/>
      <c r="AV527" s="116"/>
      <c r="AW527" s="116"/>
      <c r="AX527" s="116"/>
      <c r="AY527" s="116"/>
      <c r="AZ527" s="116"/>
      <c r="BA527" s="116"/>
      <c r="BB527" s="116"/>
      <c r="BC527" s="116"/>
      <c r="BD527" s="116"/>
      <c r="BE527" s="116"/>
      <c r="BF527" s="116"/>
      <c r="BG527" s="116"/>
      <c r="BH527" s="116"/>
      <c r="BI527" s="116"/>
      <c r="BJ527" s="116"/>
      <c r="BK527" s="116"/>
      <c r="BL527" s="116"/>
      <c r="BM527" s="116"/>
      <c r="BN527" s="116"/>
      <c r="BO527" s="116"/>
      <c r="BP527" s="116"/>
      <c r="BQ527" s="116"/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6"/>
      <c r="CB527" s="116"/>
      <c r="CC527" s="116"/>
      <c r="CD527" s="116"/>
      <c r="CE527" s="116"/>
      <c r="CF527" s="116"/>
      <c r="CG527" s="116"/>
      <c r="CH527" s="116"/>
      <c r="CI527" s="116"/>
      <c r="CJ527" s="116"/>
      <c r="CK527" s="116"/>
      <c r="CL527" s="116"/>
      <c r="CM527" s="116"/>
      <c r="CN527" s="116"/>
      <c r="CO527" s="116"/>
    </row>
    <row r="528" spans="1:93" x14ac:dyDescent="0.2">
      <c r="A528" s="118">
        <f t="shared" si="51"/>
        <v>3</v>
      </c>
      <c r="B528" s="232" t="s">
        <v>578</v>
      </c>
      <c r="C528" s="223"/>
      <c r="D528" s="172">
        <f>SUMIF($AH$8:$CP$8,1,$AH528:$CP528)</f>
        <v>770753.79050977225</v>
      </c>
      <c r="E528" s="225" t="s">
        <v>545</v>
      </c>
      <c r="F528" s="183">
        <v>2.1800000000000002</v>
      </c>
      <c r="G528" s="233" t="s">
        <v>375</v>
      </c>
      <c r="H528" s="174">
        <f>ROUND(D528*F528,2)</f>
        <v>1680243.26</v>
      </c>
      <c r="I528" s="308"/>
      <c r="J528" s="172">
        <f>SUMIF($AH$8:$CP$8,1,$AH528:$CP528)</f>
        <v>770753.79050977225</v>
      </c>
      <c r="K528" s="225" t="s">
        <v>545</v>
      </c>
      <c r="L528" s="183">
        <f>ROUND(F528*(1+'Exhibit MJC-2 - Old E-8a'!V31),2)</f>
        <v>2.27</v>
      </c>
      <c r="M528" s="233" t="s">
        <v>375</v>
      </c>
      <c r="N528" s="174">
        <f>ROUND(J528*L528,2)</f>
        <v>1749611.1</v>
      </c>
      <c r="O528" s="227"/>
      <c r="P528" s="227"/>
      <c r="Q528" s="939"/>
      <c r="R528" s="227"/>
      <c r="S528" s="227"/>
      <c r="T528" s="227"/>
      <c r="U528" s="184" t="s">
        <v>125</v>
      </c>
      <c r="V528" s="179">
        <v>259</v>
      </c>
      <c r="W528" s="180">
        <v>233</v>
      </c>
      <c r="X528" s="227"/>
      <c r="Y528" s="184"/>
      <c r="Z528" s="181"/>
      <c r="AA528" s="227"/>
      <c r="AB528" s="182">
        <f>SUM(AH528:AS528)</f>
        <v>737906.96182837524</v>
      </c>
      <c r="AC528" s="182">
        <f>SUM(AT528:BE528)</f>
        <v>748873.78475215437</v>
      </c>
      <c r="AD528" s="182">
        <f>SUM(BF528:BQ528)</f>
        <v>759803.02462192834</v>
      </c>
      <c r="AE528" s="182">
        <f>SUM(BR528:CC528)</f>
        <v>770753.79050977225</v>
      </c>
      <c r="AF528" s="182">
        <f>SUM(CD528:CO528)</f>
        <v>781558.19376215769</v>
      </c>
      <c r="AH528" s="168">
        <v>60795.900529200095</v>
      </c>
      <c r="AI528" s="168">
        <v>61574.789556824311</v>
      </c>
      <c r="AJ528" s="168">
        <v>61783.903624732753</v>
      </c>
      <c r="AK528" s="168">
        <v>61429.608130941982</v>
      </c>
      <c r="AL528" s="168">
        <v>61892.158052995626</v>
      </c>
      <c r="AM528" s="168">
        <v>61803.683770418094</v>
      </c>
      <c r="AN528" s="168">
        <v>61250.108077976103</v>
      </c>
      <c r="AO528" s="168">
        <v>61680.275761550758</v>
      </c>
      <c r="AP528" s="168">
        <v>61353.813222624369</v>
      </c>
      <c r="AQ528" s="168">
        <v>61617.299098552045</v>
      </c>
      <c r="AR528" s="168">
        <v>61204.00216523667</v>
      </c>
      <c r="AS528" s="168">
        <v>61521.419837322414</v>
      </c>
      <c r="AT528" s="168">
        <v>61697.368098304229</v>
      </c>
      <c r="AU528" s="168">
        <v>62488.276023850442</v>
      </c>
      <c r="AV528" s="168">
        <v>62698.922887889516</v>
      </c>
      <c r="AW528" s="168">
        <v>62339.16465294268</v>
      </c>
      <c r="AX528" s="168">
        <v>62813.408139624393</v>
      </c>
      <c r="AY528" s="168">
        <v>62726.567022155556</v>
      </c>
      <c r="AZ528" s="168">
        <v>62164.908647211611</v>
      </c>
      <c r="BA528" s="168">
        <v>62603.945819952954</v>
      </c>
      <c r="BB528" s="168">
        <v>62268.242665854857</v>
      </c>
      <c r="BC528" s="168">
        <v>62534.797993042208</v>
      </c>
      <c r="BD528" s="168">
        <v>62107.503965996351</v>
      </c>
      <c r="BE528" s="168">
        <v>62430.678835329716</v>
      </c>
      <c r="BF528" s="168">
        <v>62612.582232741719</v>
      </c>
      <c r="BG528" s="168">
        <v>63413.102753629566</v>
      </c>
      <c r="BH528" s="168">
        <v>63624.28908681246</v>
      </c>
      <c r="BI528" s="168">
        <v>63253.131267497527</v>
      </c>
      <c r="BJ528" s="168">
        <v>63733.369659126038</v>
      </c>
      <c r="BK528" s="168">
        <v>63642.226990106501</v>
      </c>
      <c r="BL528" s="168">
        <v>63066.619535539234</v>
      </c>
      <c r="BM528" s="168">
        <v>63512.43192785616</v>
      </c>
      <c r="BN528" s="168">
        <v>63169.557083340434</v>
      </c>
      <c r="BO528" s="168">
        <v>63441.121504369105</v>
      </c>
      <c r="BP528" s="168">
        <v>63001.857412825448</v>
      </c>
      <c r="BQ528" s="168">
        <v>63332.735168084211</v>
      </c>
      <c r="BR528" s="168">
        <v>63522.582396834769</v>
      </c>
      <c r="BS528" s="168">
        <v>64334.686144831598</v>
      </c>
      <c r="BT528" s="168">
        <v>64548.490465621246</v>
      </c>
      <c r="BU528" s="168">
        <v>64168.012104677116</v>
      </c>
      <c r="BV528" s="168">
        <v>64656.285555717674</v>
      </c>
      <c r="BW528" s="168">
        <v>64562.775666178735</v>
      </c>
      <c r="BX528" s="168">
        <v>63975.092231946328</v>
      </c>
      <c r="BY528" s="168">
        <v>64427.771860395966</v>
      </c>
      <c r="BZ528" s="168">
        <v>64075.966139916018</v>
      </c>
      <c r="CA528" s="168">
        <v>64350.745064052076</v>
      </c>
      <c r="CB528" s="168">
        <v>63897.539029197891</v>
      </c>
      <c r="CC528" s="168">
        <v>64233.843850402838</v>
      </c>
      <c r="CD528" s="168">
        <v>64429.063901120018</v>
      </c>
      <c r="CE528" s="168">
        <v>65249.942146464266</v>
      </c>
      <c r="CF528" s="168">
        <v>65463.702075479647</v>
      </c>
      <c r="CG528" s="168">
        <v>65071.432155689239</v>
      </c>
      <c r="CH528" s="168">
        <v>65565.080717630277</v>
      </c>
      <c r="CI528" s="168">
        <v>65466.807524866657</v>
      </c>
      <c r="CJ528" s="168">
        <v>64864.922481559988</v>
      </c>
      <c r="CK528" s="168">
        <v>65324.38206883434</v>
      </c>
      <c r="CL528" s="168">
        <v>64966.420793385987</v>
      </c>
      <c r="CM528" s="168">
        <v>65246.837060804552</v>
      </c>
      <c r="CN528" s="168">
        <v>64782.508922936227</v>
      </c>
      <c r="CO528" s="168">
        <v>65127.093913386423</v>
      </c>
    </row>
    <row r="529" spans="1:93" x14ac:dyDescent="0.2">
      <c r="A529" s="118">
        <f t="shared" si="51"/>
        <v>4</v>
      </c>
      <c r="B529" s="234" t="s">
        <v>149</v>
      </c>
      <c r="C529" s="223"/>
      <c r="D529" s="172">
        <f>SUMIF($AH$8:$CP$8,1,$AH529:$CP529)</f>
        <v>13005.372413863875</v>
      </c>
      <c r="E529" s="225" t="s">
        <v>545</v>
      </c>
      <c r="F529" s="183">
        <v>6.29</v>
      </c>
      <c r="G529" s="233" t="s">
        <v>375</v>
      </c>
      <c r="H529" s="187">
        <f>ROUND(D529*F529,2)</f>
        <v>81803.789999999994</v>
      </c>
      <c r="I529" s="308"/>
      <c r="J529" s="172">
        <f>SUMIF($AH$8:$CP$8,1,$AH529:$CP529)</f>
        <v>13005.372413863875</v>
      </c>
      <c r="K529" s="225" t="s">
        <v>545</v>
      </c>
      <c r="L529" s="183">
        <f>ROUND(F529*(1+'Exhibit MJC-2 - Old E-8a'!V31)+L527,2)</f>
        <v>6.59</v>
      </c>
      <c r="M529" s="233" t="s">
        <v>375</v>
      </c>
      <c r="N529" s="187">
        <f>ROUND(J529*L529,2)</f>
        <v>85705.4</v>
      </c>
      <c r="O529" s="227"/>
      <c r="P529" s="227"/>
      <c r="Q529" s="939"/>
      <c r="R529" s="227"/>
      <c r="S529" s="227"/>
      <c r="T529" s="227"/>
      <c r="U529" s="184" t="s">
        <v>125</v>
      </c>
      <c r="V529" s="179">
        <v>259</v>
      </c>
      <c r="W529" s="180">
        <v>233</v>
      </c>
      <c r="X529" s="227"/>
      <c r="Y529" s="184"/>
      <c r="Z529" s="181"/>
      <c r="AA529" s="227"/>
      <c r="AB529" s="182">
        <f>SUM(AH529:AS529)</f>
        <v>12451.128964300797</v>
      </c>
      <c r="AC529" s="182">
        <f>SUM(AT529:BE529)</f>
        <v>12636.178480860835</v>
      </c>
      <c r="AD529" s="182">
        <f>SUM(BF529:BQ529)</f>
        <v>12820.593836914873</v>
      </c>
      <c r="AE529" s="182">
        <f>SUM(BR529:CC529)</f>
        <v>13005.372413863875</v>
      </c>
      <c r="AF529" s="182">
        <f>SUM(CD529:CO529)</f>
        <v>13187.681329806926</v>
      </c>
      <c r="AH529" s="168">
        <v>1025.8442285383042</v>
      </c>
      <c r="AI529" s="168">
        <v>1038.9868714912834</v>
      </c>
      <c r="AJ529" s="168">
        <v>1042.5153735416316</v>
      </c>
      <c r="AK529" s="168">
        <v>1036.5371417145066</v>
      </c>
      <c r="AL529" s="168">
        <v>1044.342012829487</v>
      </c>
      <c r="AM529" s="168">
        <v>1042.8491353267902</v>
      </c>
      <c r="AN529" s="168">
        <v>1033.5083339864439</v>
      </c>
      <c r="AO529" s="168">
        <v>1040.7668009498011</v>
      </c>
      <c r="AP529" s="168">
        <v>1035.2582105929439</v>
      </c>
      <c r="AQ529" s="168">
        <v>1039.7041594606962</v>
      </c>
      <c r="AR529" s="168">
        <v>1032.7303623785965</v>
      </c>
      <c r="AS529" s="168">
        <v>1038.0863334903138</v>
      </c>
      <c r="AT529" s="168">
        <v>1041.0552097875379</v>
      </c>
      <c r="AU529" s="168">
        <v>1054.4006545241791</v>
      </c>
      <c r="AV529" s="168">
        <v>1057.9550203260376</v>
      </c>
      <c r="AW529" s="168">
        <v>1051.8846125226023</v>
      </c>
      <c r="AX529" s="168">
        <v>1059.8867958852891</v>
      </c>
      <c r="AY529" s="168">
        <v>1058.4214757176499</v>
      </c>
      <c r="AZ529" s="168">
        <v>1048.9442906224192</v>
      </c>
      <c r="BA529" s="168">
        <v>1056.3524175824625</v>
      </c>
      <c r="BB529" s="168">
        <v>1050.6879050061873</v>
      </c>
      <c r="BC529" s="168">
        <v>1055.1856464920618</v>
      </c>
      <c r="BD529" s="168">
        <v>1047.975668389618</v>
      </c>
      <c r="BE529" s="168">
        <v>1053.4287840047905</v>
      </c>
      <c r="BF529" s="168">
        <v>1056.4981447472469</v>
      </c>
      <c r="BG529" s="168">
        <v>1070.0057883388547</v>
      </c>
      <c r="BH529" s="168">
        <v>1073.5692569141377</v>
      </c>
      <c r="BI529" s="168">
        <v>1067.3064973611608</v>
      </c>
      <c r="BJ529" s="168">
        <v>1075.4098362061543</v>
      </c>
      <c r="BK529" s="168">
        <v>1073.8719334828882</v>
      </c>
      <c r="BL529" s="168">
        <v>1064.1593775369845</v>
      </c>
      <c r="BM529" s="168">
        <v>1071.6818266772768</v>
      </c>
      <c r="BN529" s="168">
        <v>1065.8963020399949</v>
      </c>
      <c r="BO529" s="168">
        <v>1070.4785648498828</v>
      </c>
      <c r="BP529" s="168">
        <v>1063.0666089582558</v>
      </c>
      <c r="BQ529" s="168">
        <v>1068.6496998020355</v>
      </c>
      <c r="BR529" s="168">
        <v>1071.8531013837624</v>
      </c>
      <c r="BS529" s="168">
        <v>1085.5561954345978</v>
      </c>
      <c r="BT529" s="168">
        <v>1089.1638388218894</v>
      </c>
      <c r="BU529" s="168">
        <v>1082.7438084043652</v>
      </c>
      <c r="BV529" s="168">
        <v>1090.9827274324311</v>
      </c>
      <c r="BW529" s="168">
        <v>1089.4048812345827</v>
      </c>
      <c r="BX529" s="168">
        <v>1079.4885603319037</v>
      </c>
      <c r="BY529" s="168">
        <v>1087.1268843007854</v>
      </c>
      <c r="BZ529" s="168">
        <v>1081.1906638520434</v>
      </c>
      <c r="CA529" s="168">
        <v>1085.8271668233838</v>
      </c>
      <c r="CB529" s="168">
        <v>1078.1799604961973</v>
      </c>
      <c r="CC529" s="168">
        <v>1083.8546253479335</v>
      </c>
      <c r="CD529" s="168">
        <v>1087.1486856477227</v>
      </c>
      <c r="CE529" s="168">
        <v>1100.9998368435931</v>
      </c>
      <c r="CF529" s="168">
        <v>1104.6067311829222</v>
      </c>
      <c r="CG529" s="168">
        <v>1097.9877350048346</v>
      </c>
      <c r="CH529" s="168">
        <v>1106.3173513734616</v>
      </c>
      <c r="CI529" s="168">
        <v>1104.6591312181706</v>
      </c>
      <c r="CJ529" s="168">
        <v>1094.503178390017</v>
      </c>
      <c r="CK529" s="168">
        <v>1102.2559045072262</v>
      </c>
      <c r="CL529" s="168">
        <v>1096.2158178358802</v>
      </c>
      <c r="CM529" s="168">
        <v>1100.9474429457248</v>
      </c>
      <c r="CN529" s="168">
        <v>1093.1125669716223</v>
      </c>
      <c r="CO529" s="168">
        <v>1098.9269478857514</v>
      </c>
    </row>
    <row r="530" spans="1:93" x14ac:dyDescent="0.2">
      <c r="A530" s="118">
        <f t="shared" si="51"/>
        <v>5</v>
      </c>
      <c r="B530" s="226"/>
      <c r="C530" s="223" t="s">
        <v>374</v>
      </c>
      <c r="D530" s="204">
        <f>SUM(D528:D529)</f>
        <v>783759.16292363615</v>
      </c>
      <c r="E530" s="237" t="s">
        <v>550</v>
      </c>
      <c r="F530" s="183"/>
      <c r="G530" s="223"/>
      <c r="H530" s="206">
        <f>H528+H529</f>
        <v>1762047.05</v>
      </c>
      <c r="I530" s="308"/>
      <c r="J530" s="204">
        <f>SUM(J528:J529)</f>
        <v>783759.16292363615</v>
      </c>
      <c r="K530" s="237" t="s">
        <v>550</v>
      </c>
      <c r="L530" s="183"/>
      <c r="M530" s="223"/>
      <c r="N530" s="206">
        <f>SUM(N528:N529)</f>
        <v>1835316.5</v>
      </c>
      <c r="O530" s="227"/>
      <c r="P530" s="227"/>
      <c r="Q530" s="1022"/>
      <c r="R530" s="227"/>
      <c r="S530" s="227"/>
      <c r="T530" s="227"/>
      <c r="U530" s="178"/>
      <c r="V530" s="179"/>
      <c r="W530" s="180"/>
      <c r="X530" s="227"/>
      <c r="Y530" s="178" t="s">
        <v>125</v>
      </c>
      <c r="Z530" s="181" t="s">
        <v>451</v>
      </c>
      <c r="AA530" s="227"/>
      <c r="AB530" s="204">
        <f>SUM(AB528:AB529)</f>
        <v>750358.09079267608</v>
      </c>
      <c r="AC530" s="204">
        <f>SUM(AC528:AC529)</f>
        <v>761509.96323301527</v>
      </c>
      <c r="AD530" s="204">
        <f>SUM(AD528:AD529)</f>
        <v>772623.61845884321</v>
      </c>
      <c r="AE530" s="204">
        <f>SUM(AE528:AE529)</f>
        <v>783759.16292363615</v>
      </c>
      <c r="AF530" s="204">
        <f>SUM(AF528:AF529)</f>
        <v>794745.87509196461</v>
      </c>
      <c r="AH530" s="204">
        <f t="shared" ref="AH530:CO530" si="52">SUM(AH528:AH529)</f>
        <v>61821.744757738401</v>
      </c>
      <c r="AI530" s="204">
        <f t="shared" si="52"/>
        <v>62613.776428315592</v>
      </c>
      <c r="AJ530" s="204">
        <f t="shared" si="52"/>
        <v>62826.418998274385</v>
      </c>
      <c r="AK530" s="204">
        <f t="shared" si="52"/>
        <v>62466.145272656489</v>
      </c>
      <c r="AL530" s="204">
        <f t="shared" si="52"/>
        <v>62936.500065825116</v>
      </c>
      <c r="AM530" s="204">
        <f t="shared" si="52"/>
        <v>62846.532905744883</v>
      </c>
      <c r="AN530" s="204">
        <f t="shared" si="52"/>
        <v>62283.616411962546</v>
      </c>
      <c r="AO530" s="204">
        <f t="shared" si="52"/>
        <v>62721.042562500559</v>
      </c>
      <c r="AP530" s="204">
        <f t="shared" si="52"/>
        <v>62389.071433217316</v>
      </c>
      <c r="AQ530" s="204">
        <f t="shared" si="52"/>
        <v>62657.003258012744</v>
      </c>
      <c r="AR530" s="204">
        <f t="shared" si="52"/>
        <v>62236.73252761527</v>
      </c>
      <c r="AS530" s="204">
        <f t="shared" si="52"/>
        <v>62559.506170812725</v>
      </c>
      <c r="AT530" s="204">
        <f t="shared" si="52"/>
        <v>62738.423308091769</v>
      </c>
      <c r="AU530" s="204">
        <f t="shared" si="52"/>
        <v>63542.676678374621</v>
      </c>
      <c r="AV530" s="204">
        <f t="shared" si="52"/>
        <v>63756.877908215552</v>
      </c>
      <c r="AW530" s="204">
        <f t="shared" si="52"/>
        <v>63391.049265465284</v>
      </c>
      <c r="AX530" s="204">
        <f t="shared" si="52"/>
        <v>63873.294935509679</v>
      </c>
      <c r="AY530" s="204">
        <f t="shared" si="52"/>
        <v>63784.988497873208</v>
      </c>
      <c r="AZ530" s="204">
        <f t="shared" si="52"/>
        <v>63213.852937834032</v>
      </c>
      <c r="BA530" s="204">
        <f t="shared" si="52"/>
        <v>63660.298237535419</v>
      </c>
      <c r="BB530" s="204">
        <f t="shared" si="52"/>
        <v>63318.930570861048</v>
      </c>
      <c r="BC530" s="204">
        <f t="shared" si="52"/>
        <v>63589.983639534272</v>
      </c>
      <c r="BD530" s="204">
        <f t="shared" si="52"/>
        <v>63155.479634385971</v>
      </c>
      <c r="BE530" s="204">
        <f t="shared" si="52"/>
        <v>63484.107619334507</v>
      </c>
      <c r="BF530" s="204">
        <f t="shared" si="52"/>
        <v>63669.080377488965</v>
      </c>
      <c r="BG530" s="204">
        <f t="shared" si="52"/>
        <v>64483.108541968424</v>
      </c>
      <c r="BH530" s="204">
        <f t="shared" si="52"/>
        <v>64697.858343726599</v>
      </c>
      <c r="BI530" s="204">
        <f t="shared" si="52"/>
        <v>64320.437764858689</v>
      </c>
      <c r="BJ530" s="204">
        <f t="shared" si="52"/>
        <v>64808.779495332194</v>
      </c>
      <c r="BK530" s="204">
        <f t="shared" si="52"/>
        <v>64716.098923589387</v>
      </c>
      <c r="BL530" s="204">
        <f t="shared" si="52"/>
        <v>64130.778913076218</v>
      </c>
      <c r="BM530" s="204">
        <f t="shared" si="52"/>
        <v>64584.113754533435</v>
      </c>
      <c r="BN530" s="204">
        <f t="shared" si="52"/>
        <v>64235.453385380431</v>
      </c>
      <c r="BO530" s="204">
        <f t="shared" si="52"/>
        <v>64511.600069218985</v>
      </c>
      <c r="BP530" s="204">
        <f t="shared" si="52"/>
        <v>64064.924021783707</v>
      </c>
      <c r="BQ530" s="204">
        <f t="shared" si="52"/>
        <v>64401.384867886249</v>
      </c>
      <c r="BR530" s="204">
        <f t="shared" si="52"/>
        <v>64594.435498218532</v>
      </c>
      <c r="BS530" s="204">
        <f t="shared" si="52"/>
        <v>65420.242340266195</v>
      </c>
      <c r="BT530" s="204">
        <f t="shared" si="52"/>
        <v>65637.654304443131</v>
      </c>
      <c r="BU530" s="204">
        <f t="shared" si="52"/>
        <v>65250.755913081484</v>
      </c>
      <c r="BV530" s="204">
        <f t="shared" si="52"/>
        <v>65747.268283150101</v>
      </c>
      <c r="BW530" s="204">
        <f t="shared" si="52"/>
        <v>65652.180547413314</v>
      </c>
      <c r="BX530" s="204">
        <f t="shared" si="52"/>
        <v>65054.580792278233</v>
      </c>
      <c r="BY530" s="204">
        <f t="shared" si="52"/>
        <v>65514.898744696751</v>
      </c>
      <c r="BZ530" s="204">
        <f t="shared" si="52"/>
        <v>65157.156803768063</v>
      </c>
      <c r="CA530" s="204">
        <f t="shared" si="52"/>
        <v>65436.572230875463</v>
      </c>
      <c r="CB530" s="204">
        <f t="shared" si="52"/>
        <v>64975.718989694091</v>
      </c>
      <c r="CC530" s="204">
        <f t="shared" si="52"/>
        <v>65317.698475750774</v>
      </c>
      <c r="CD530" s="204">
        <f t="shared" si="52"/>
        <v>65516.212586767739</v>
      </c>
      <c r="CE530" s="204">
        <f t="shared" si="52"/>
        <v>66350.941983307857</v>
      </c>
      <c r="CF530" s="204">
        <f t="shared" si="52"/>
        <v>66568.308806662564</v>
      </c>
      <c r="CG530" s="204">
        <f t="shared" si="52"/>
        <v>66169.419890694073</v>
      </c>
      <c r="CH530" s="204">
        <f t="shared" si="52"/>
        <v>66671.398069003742</v>
      </c>
      <c r="CI530" s="204">
        <f t="shared" si="52"/>
        <v>66571.466656084827</v>
      </c>
      <c r="CJ530" s="204">
        <f t="shared" si="52"/>
        <v>65959.425659950008</v>
      </c>
      <c r="CK530" s="204">
        <f t="shared" si="52"/>
        <v>66426.637973341567</v>
      </c>
      <c r="CL530" s="204">
        <f t="shared" si="52"/>
        <v>66062.636611221867</v>
      </c>
      <c r="CM530" s="204">
        <f t="shared" si="52"/>
        <v>66347.78450375027</v>
      </c>
      <c r="CN530" s="204">
        <f t="shared" si="52"/>
        <v>65875.621489907848</v>
      </c>
      <c r="CO530" s="204">
        <f t="shared" si="52"/>
        <v>66226.020861272176</v>
      </c>
    </row>
    <row r="531" spans="1:93" x14ac:dyDescent="0.2">
      <c r="A531" s="118">
        <f t="shared" si="51"/>
        <v>6</v>
      </c>
      <c r="B531" s="226"/>
      <c r="C531" s="223"/>
      <c r="D531" s="168"/>
      <c r="E531" s="237"/>
      <c r="F531" s="183"/>
      <c r="G531" s="223"/>
      <c r="H531" s="203"/>
      <c r="I531" s="308"/>
      <c r="J531" s="168"/>
      <c r="K531" s="237"/>
      <c r="L531" s="183"/>
      <c r="M531" s="223"/>
      <c r="N531" s="203"/>
      <c r="O531" s="227"/>
      <c r="P531" s="227"/>
      <c r="Q531" s="1288"/>
      <c r="R531" s="227"/>
      <c r="S531" s="227"/>
      <c r="T531" s="227"/>
      <c r="U531" s="178"/>
      <c r="V531" s="179"/>
      <c r="W531" s="180"/>
      <c r="X531" s="227"/>
      <c r="Y531" s="178"/>
      <c r="Z531" s="181"/>
      <c r="AA531" s="227"/>
      <c r="AB531" s="193">
        <f>SUM(AH531:AS531)</f>
        <v>0</v>
      </c>
      <c r="AC531" s="193">
        <f>SUM(AT531:BE531)</f>
        <v>0</v>
      </c>
      <c r="AD531" s="193">
        <f>SUM(BF531:BQ531)</f>
        <v>0</v>
      </c>
      <c r="AE531" s="193">
        <f>SUM(BR531:CC531)</f>
        <v>0</v>
      </c>
      <c r="AF531" s="193">
        <f>SUM(CD531:CO531)</f>
        <v>0</v>
      </c>
      <c r="AH531" s="193">
        <v>0</v>
      </c>
      <c r="AI531" s="193">
        <v>0</v>
      </c>
      <c r="AJ531" s="193">
        <v>0</v>
      </c>
      <c r="AK531" s="193">
        <v>0</v>
      </c>
      <c r="AL531" s="193">
        <v>0</v>
      </c>
      <c r="AM531" s="193">
        <v>0</v>
      </c>
      <c r="AN531" s="193">
        <v>0</v>
      </c>
      <c r="AO531" s="193">
        <v>0</v>
      </c>
      <c r="AP531" s="193">
        <v>0</v>
      </c>
      <c r="AQ531" s="193">
        <v>0</v>
      </c>
      <c r="AR531" s="193">
        <v>0</v>
      </c>
      <c r="AS531" s="193">
        <v>0</v>
      </c>
      <c r="AT531" s="193">
        <v>0</v>
      </c>
      <c r="AU531" s="193">
        <v>0</v>
      </c>
      <c r="AV531" s="193">
        <v>0</v>
      </c>
      <c r="AW531" s="193">
        <v>0</v>
      </c>
      <c r="AX531" s="193">
        <v>0</v>
      </c>
      <c r="AY531" s="193">
        <v>0</v>
      </c>
      <c r="AZ531" s="193">
        <v>0</v>
      </c>
      <c r="BA531" s="193">
        <v>0</v>
      </c>
      <c r="BB531" s="193">
        <v>0</v>
      </c>
      <c r="BC531" s="193">
        <v>0</v>
      </c>
      <c r="BD531" s="193">
        <v>0</v>
      </c>
      <c r="BE531" s="193">
        <v>0</v>
      </c>
      <c r="BF531" s="193">
        <v>0</v>
      </c>
      <c r="BG531" s="193">
        <v>0</v>
      </c>
      <c r="BH531" s="193">
        <v>0</v>
      </c>
      <c r="BI531" s="193">
        <v>0</v>
      </c>
      <c r="BJ531" s="193">
        <v>0</v>
      </c>
      <c r="BK531" s="193">
        <v>0</v>
      </c>
      <c r="BL531" s="193">
        <v>0</v>
      </c>
      <c r="BM531" s="193">
        <v>0</v>
      </c>
      <c r="BN531" s="193">
        <v>0</v>
      </c>
      <c r="BO531" s="193">
        <v>0</v>
      </c>
      <c r="BP531" s="193">
        <v>0</v>
      </c>
      <c r="BQ531" s="193">
        <v>0</v>
      </c>
      <c r="BR531" s="193">
        <v>0</v>
      </c>
      <c r="BS531" s="193">
        <v>0</v>
      </c>
      <c r="BT531" s="193">
        <v>0</v>
      </c>
      <c r="BU531" s="193">
        <v>0</v>
      </c>
      <c r="BV531" s="193">
        <v>0</v>
      </c>
      <c r="BW531" s="193">
        <v>0</v>
      </c>
      <c r="BX531" s="193">
        <v>0</v>
      </c>
      <c r="BY531" s="193">
        <v>0</v>
      </c>
      <c r="BZ531" s="193">
        <v>0</v>
      </c>
      <c r="CA531" s="193">
        <v>0</v>
      </c>
      <c r="CB531" s="193">
        <v>0</v>
      </c>
      <c r="CC531" s="193">
        <v>0</v>
      </c>
      <c r="CD531" s="193">
        <v>0</v>
      </c>
      <c r="CE531" s="193">
        <v>0</v>
      </c>
      <c r="CF531" s="193">
        <v>0</v>
      </c>
      <c r="CG531" s="193">
        <v>0</v>
      </c>
      <c r="CH531" s="193">
        <v>0</v>
      </c>
      <c r="CI531" s="193">
        <v>0</v>
      </c>
      <c r="CJ531" s="193">
        <v>0</v>
      </c>
      <c r="CK531" s="193">
        <v>0</v>
      </c>
      <c r="CL531" s="193">
        <v>0</v>
      </c>
      <c r="CM531" s="193">
        <v>0</v>
      </c>
      <c r="CN531" s="193">
        <v>0</v>
      </c>
      <c r="CO531" s="193">
        <v>0</v>
      </c>
    </row>
    <row r="532" spans="1:93" x14ac:dyDescent="0.2">
      <c r="A532" s="118">
        <f t="shared" si="51"/>
        <v>7</v>
      </c>
      <c r="B532" s="239" t="s">
        <v>635</v>
      </c>
      <c r="C532" s="223"/>
      <c r="D532" s="168"/>
      <c r="E532" s="225"/>
      <c r="F532" s="183"/>
      <c r="G532" s="223"/>
      <c r="H532" s="174"/>
      <c r="I532" s="308"/>
      <c r="J532" s="168"/>
      <c r="K532" s="225"/>
      <c r="L532" s="183"/>
      <c r="M532" s="223"/>
      <c r="N532" s="174"/>
      <c r="O532" s="227"/>
      <c r="P532" s="227"/>
      <c r="Q532" s="1288"/>
      <c r="R532" s="227"/>
      <c r="S532" s="227"/>
      <c r="T532" s="227"/>
      <c r="U532" s="178"/>
      <c r="V532" s="179"/>
      <c r="W532" s="180"/>
      <c r="X532" s="227"/>
      <c r="Y532" s="178"/>
      <c r="Z532" s="181"/>
      <c r="AA532" s="227"/>
      <c r="AB532" s="227"/>
      <c r="AC532" s="227"/>
    </row>
    <row r="533" spans="1:93" x14ac:dyDescent="0.2">
      <c r="A533" s="118">
        <f t="shared" si="51"/>
        <v>8</v>
      </c>
      <c r="B533" s="228" t="s">
        <v>543</v>
      </c>
      <c r="C533" s="223"/>
      <c r="D533" s="168"/>
      <c r="E533" s="225"/>
      <c r="F533" s="183"/>
      <c r="G533" s="223"/>
      <c r="H533" s="174"/>
      <c r="I533" s="308"/>
      <c r="J533" s="168"/>
      <c r="K533" s="225"/>
      <c r="L533" s="1368">
        <v>0.02</v>
      </c>
      <c r="M533" s="223"/>
      <c r="N533" s="174"/>
      <c r="O533" s="227"/>
      <c r="P533" s="227"/>
      <c r="Q533" s="1288"/>
      <c r="R533" s="230"/>
      <c r="S533" s="230"/>
      <c r="T533" s="227"/>
      <c r="U533" s="184"/>
      <c r="V533" s="179"/>
      <c r="W533" s="180"/>
      <c r="X533" s="227"/>
      <c r="Y533" s="184"/>
      <c r="Z533" s="181"/>
      <c r="AA533" s="227"/>
      <c r="AB533" s="227"/>
      <c r="AC533" s="227"/>
    </row>
    <row r="534" spans="1:93" x14ac:dyDescent="0.2">
      <c r="A534" s="118">
        <f t="shared" si="51"/>
        <v>9</v>
      </c>
      <c r="B534" s="234" t="s">
        <v>149</v>
      </c>
      <c r="C534" s="223"/>
      <c r="D534" s="172">
        <f>SUMIF($AH$8:$CP$8,1,$AH534:$CP534)+'Unbilled to E-13c'!P97</f>
        <v>334333.05610327341</v>
      </c>
      <c r="E534" s="225" t="s">
        <v>555</v>
      </c>
      <c r="F534" s="183">
        <v>38.630000000000003</v>
      </c>
      <c r="G534" s="233" t="s">
        <v>375</v>
      </c>
      <c r="H534" s="187">
        <f>ROUND(D534*F534,2)</f>
        <v>12915285.960000001</v>
      </c>
      <c r="I534" s="308"/>
      <c r="J534" s="172">
        <f>D534</f>
        <v>334333.05610327341</v>
      </c>
      <c r="K534" s="225" t="s">
        <v>555</v>
      </c>
      <c r="L534" s="183">
        <f>ROUND(F534*(1+'Exhibit MJC-2 - Old E-8a'!V31)+L533,2)</f>
        <v>40.22</v>
      </c>
      <c r="M534" s="233" t="s">
        <v>375</v>
      </c>
      <c r="N534" s="187">
        <f>ROUND(J534*L534,2)</f>
        <v>13446875.52</v>
      </c>
      <c r="O534" s="227"/>
      <c r="P534" s="227"/>
      <c r="Q534" s="1022"/>
      <c r="R534" s="230"/>
      <c r="S534" s="259"/>
      <c r="T534" s="227"/>
      <c r="U534" s="184" t="s">
        <v>125</v>
      </c>
      <c r="V534" s="179">
        <v>259</v>
      </c>
      <c r="W534" s="180">
        <v>233</v>
      </c>
      <c r="X534" s="227"/>
      <c r="Y534" s="184" t="s">
        <v>125</v>
      </c>
      <c r="Z534" s="181" t="s">
        <v>141</v>
      </c>
      <c r="AA534" s="227"/>
      <c r="AB534" s="182">
        <f>SUM(AH534:AS534)</f>
        <v>332354.81598162343</v>
      </c>
      <c r="AC534" s="182">
        <f>SUM(AT534:BE534)</f>
        <v>332422.78063432855</v>
      </c>
      <c r="AD534" s="182">
        <f>SUM(BF534:BQ534)</f>
        <v>333499.66776665463</v>
      </c>
      <c r="AE534" s="182">
        <f>SUM(BR534:CC534)</f>
        <v>334101.01510327338</v>
      </c>
      <c r="AF534" s="182">
        <f>SUM(CD534:CO534)</f>
        <v>337305.97524525167</v>
      </c>
      <c r="AH534" s="168">
        <v>34345.651274339769</v>
      </c>
      <c r="AI534" s="168">
        <v>29958.902185970597</v>
      </c>
      <c r="AJ534" s="168">
        <v>23743.66543980423</v>
      </c>
      <c r="AK534" s="168">
        <v>27388.327262132825</v>
      </c>
      <c r="AL534" s="168">
        <v>30694.751927261626</v>
      </c>
      <c r="AM534" s="168">
        <v>27443.462502193506</v>
      </c>
      <c r="AN534" s="168">
        <v>24378.950676322056</v>
      </c>
      <c r="AO534" s="168">
        <v>26939.712896834841</v>
      </c>
      <c r="AP534" s="168">
        <v>25923.782996348058</v>
      </c>
      <c r="AQ534" s="168">
        <v>28557.908821139023</v>
      </c>
      <c r="AR534" s="168">
        <v>28148.665611460419</v>
      </c>
      <c r="AS534" s="168">
        <v>24831.03438781657</v>
      </c>
      <c r="AT534" s="168">
        <v>33285.429390162652</v>
      </c>
      <c r="AU534" s="168">
        <v>29745.869901169124</v>
      </c>
      <c r="AV534" s="168">
        <v>23185.166901094108</v>
      </c>
      <c r="AW534" s="168">
        <v>27314.016957379365</v>
      </c>
      <c r="AX534" s="168">
        <v>30026.885345408133</v>
      </c>
      <c r="AY534" s="168">
        <v>26578.192917354696</v>
      </c>
      <c r="AZ534" s="168">
        <v>24940.550038454363</v>
      </c>
      <c r="BA534" s="168">
        <v>27307.521337452825</v>
      </c>
      <c r="BB534" s="168">
        <v>26312.782815224244</v>
      </c>
      <c r="BC534" s="168">
        <v>29238.063275340606</v>
      </c>
      <c r="BD534" s="168">
        <v>29475.687623904316</v>
      </c>
      <c r="BE534" s="168">
        <v>25012.614131384104</v>
      </c>
      <c r="BF534" s="168">
        <v>33026.394993170325</v>
      </c>
      <c r="BG534" s="168">
        <v>30066.223756790754</v>
      </c>
      <c r="BH534" s="168">
        <v>23476.358458131905</v>
      </c>
      <c r="BI534" s="168">
        <v>27120.144803480332</v>
      </c>
      <c r="BJ534" s="168">
        <v>30135.152978094724</v>
      </c>
      <c r="BK534" s="168">
        <v>26990.488540885719</v>
      </c>
      <c r="BL534" s="168">
        <v>25079.93184668586</v>
      </c>
      <c r="BM534" s="168">
        <v>27520.953635757061</v>
      </c>
      <c r="BN534" s="168">
        <v>26355.527725827735</v>
      </c>
      <c r="BO534" s="168">
        <v>28925.27146878733</v>
      </c>
      <c r="BP534" s="168">
        <v>29363.937038535994</v>
      </c>
      <c r="BQ534" s="168">
        <v>25439.282520506873</v>
      </c>
      <c r="BR534" s="168">
        <v>32940.084430029136</v>
      </c>
      <c r="BS534" s="168">
        <v>29722.478416434937</v>
      </c>
      <c r="BT534" s="168">
        <v>23672.539118981113</v>
      </c>
      <c r="BU534" s="168">
        <v>27454.295147344303</v>
      </c>
      <c r="BV534" s="168">
        <v>29529.704383243465</v>
      </c>
      <c r="BW534" s="168">
        <v>27363.48777176057</v>
      </c>
      <c r="BX534" s="168">
        <v>25430.574488482667</v>
      </c>
      <c r="BY534" s="168">
        <v>27699.758748254153</v>
      </c>
      <c r="BZ534" s="168">
        <v>26423.860321407898</v>
      </c>
      <c r="CA534" s="168">
        <v>29185.532118138282</v>
      </c>
      <c r="CB534" s="168">
        <v>29497.232155176192</v>
      </c>
      <c r="CC534" s="168">
        <v>25181.468004020669</v>
      </c>
      <c r="CD534" s="168">
        <v>33330.037916831941</v>
      </c>
      <c r="CE534" s="168">
        <v>29648.909450721054</v>
      </c>
      <c r="CF534" s="168">
        <v>23287.546669424974</v>
      </c>
      <c r="CG534" s="168">
        <v>28064.471295403007</v>
      </c>
      <c r="CH534" s="168">
        <v>30381.911649636615</v>
      </c>
      <c r="CI534" s="168">
        <v>27249.117838503098</v>
      </c>
      <c r="CJ534" s="168">
        <v>25577.012495731597</v>
      </c>
      <c r="CK534" s="168">
        <v>27956.292858378863</v>
      </c>
      <c r="CL534" s="168">
        <v>27120.128285706123</v>
      </c>
      <c r="CM534" s="168">
        <v>29441.72754562075</v>
      </c>
      <c r="CN534" s="168">
        <v>29941.329642733355</v>
      </c>
      <c r="CO534" s="168">
        <v>25307.489596560219</v>
      </c>
    </row>
    <row r="535" spans="1:93" x14ac:dyDescent="0.2">
      <c r="A535" s="118">
        <f t="shared" si="51"/>
        <v>10</v>
      </c>
      <c r="B535" s="223"/>
      <c r="C535" s="223"/>
      <c r="D535" s="168"/>
      <c r="E535" s="225"/>
      <c r="F535" s="183"/>
      <c r="G535" s="223"/>
      <c r="H535" s="174"/>
      <c r="I535" s="308"/>
      <c r="J535" s="168"/>
      <c r="K535" s="225"/>
      <c r="L535" s="183"/>
      <c r="M535" s="223"/>
      <c r="N535" s="174"/>
      <c r="O535" s="227"/>
      <c r="P535" s="227"/>
      <c r="Q535" s="176"/>
      <c r="R535" s="230"/>
      <c r="S535" s="227"/>
      <c r="T535" s="227"/>
      <c r="U535" s="178"/>
      <c r="V535" s="179"/>
      <c r="W535" s="180"/>
      <c r="X535" s="227"/>
      <c r="Y535" s="178"/>
      <c r="Z535" s="181"/>
      <c r="AA535" s="227"/>
      <c r="AB535" s="193">
        <f>SUM(AH535:AS535)</f>
        <v>0</v>
      </c>
      <c r="AC535" s="193">
        <f>SUM(AT535:BE535)</f>
        <v>0</v>
      </c>
      <c r="AD535" s="193">
        <f>SUM(BF535:BQ535)</f>
        <v>0</v>
      </c>
      <c r="AE535" s="193">
        <f>SUM(BR535:CC535)</f>
        <v>0</v>
      </c>
      <c r="AF535" s="193">
        <f>SUM(CD535:CO535)</f>
        <v>0</v>
      </c>
      <c r="AH535" s="294">
        <v>0</v>
      </c>
      <c r="AI535" s="294">
        <v>0</v>
      </c>
      <c r="AJ535" s="294">
        <v>0</v>
      </c>
      <c r="AK535" s="294">
        <v>0</v>
      </c>
      <c r="AL535" s="294">
        <v>0</v>
      </c>
      <c r="AM535" s="294">
        <v>0</v>
      </c>
      <c r="AN535" s="294">
        <v>0</v>
      </c>
      <c r="AO535" s="294">
        <v>0</v>
      </c>
      <c r="AP535" s="294">
        <v>0</v>
      </c>
      <c r="AQ535" s="294">
        <v>0</v>
      </c>
      <c r="AR535" s="294">
        <v>0</v>
      </c>
      <c r="AS535" s="294">
        <v>0</v>
      </c>
      <c r="AT535" s="294">
        <v>0</v>
      </c>
      <c r="AU535" s="294">
        <v>0</v>
      </c>
      <c r="AV535" s="294">
        <v>0</v>
      </c>
      <c r="AW535" s="294">
        <v>0</v>
      </c>
      <c r="AX535" s="294">
        <v>0</v>
      </c>
      <c r="AY535" s="294">
        <v>0</v>
      </c>
      <c r="AZ535" s="294">
        <v>0</v>
      </c>
      <c r="BA535" s="294">
        <v>0</v>
      </c>
      <c r="BB535" s="294">
        <v>0</v>
      </c>
      <c r="BC535" s="294">
        <v>0</v>
      </c>
      <c r="BD535" s="294">
        <v>0</v>
      </c>
      <c r="BE535" s="294">
        <v>0</v>
      </c>
      <c r="BF535" s="294">
        <v>0</v>
      </c>
      <c r="BG535" s="294">
        <v>0</v>
      </c>
      <c r="BH535" s="294">
        <v>0</v>
      </c>
      <c r="BI535" s="294">
        <v>0</v>
      </c>
      <c r="BJ535" s="294">
        <v>0</v>
      </c>
      <c r="BK535" s="294">
        <v>0</v>
      </c>
      <c r="BL535" s="294">
        <v>0</v>
      </c>
      <c r="BM535" s="294">
        <v>0</v>
      </c>
      <c r="BN535" s="294">
        <v>0</v>
      </c>
      <c r="BO535" s="294">
        <v>0</v>
      </c>
      <c r="BP535" s="294">
        <v>0</v>
      </c>
      <c r="BQ535" s="294">
        <v>0</v>
      </c>
      <c r="BR535" s="294">
        <v>0</v>
      </c>
      <c r="BS535" s="294">
        <v>0</v>
      </c>
      <c r="BT535" s="294">
        <v>0</v>
      </c>
      <c r="BU535" s="294">
        <v>0</v>
      </c>
      <c r="BV535" s="294">
        <v>0</v>
      </c>
      <c r="BW535" s="294">
        <v>0</v>
      </c>
      <c r="BX535" s="294">
        <v>0</v>
      </c>
      <c r="BY535" s="294">
        <v>0</v>
      </c>
      <c r="BZ535" s="294">
        <v>0</v>
      </c>
      <c r="CA535" s="294">
        <v>0</v>
      </c>
      <c r="CB535" s="294">
        <v>0</v>
      </c>
      <c r="CC535" s="294">
        <v>0</v>
      </c>
      <c r="CD535" s="294">
        <v>0</v>
      </c>
      <c r="CE535" s="294">
        <v>0</v>
      </c>
      <c r="CF535" s="294">
        <v>0</v>
      </c>
      <c r="CG535" s="294">
        <v>0</v>
      </c>
      <c r="CH535" s="294">
        <v>0</v>
      </c>
      <c r="CI535" s="294">
        <v>0</v>
      </c>
      <c r="CJ535" s="294">
        <v>0</v>
      </c>
      <c r="CK535" s="294">
        <v>0</v>
      </c>
      <c r="CL535" s="294">
        <v>0</v>
      </c>
      <c r="CM535" s="294">
        <v>0</v>
      </c>
      <c r="CN535" s="294">
        <v>0</v>
      </c>
      <c r="CO535" s="294">
        <v>0</v>
      </c>
    </row>
    <row r="536" spans="1:93" x14ac:dyDescent="0.2">
      <c r="A536" s="118">
        <f t="shared" si="51"/>
        <v>11</v>
      </c>
      <c r="B536" s="246" t="s">
        <v>563</v>
      </c>
      <c r="C536" s="223"/>
      <c r="D536" s="168"/>
      <c r="E536" s="225"/>
      <c r="F536" s="183"/>
      <c r="G536" s="223"/>
      <c r="H536" s="174"/>
      <c r="I536" s="308"/>
      <c r="J536" s="223"/>
      <c r="K536" s="225"/>
      <c r="L536" s="183"/>
      <c r="M536" s="223"/>
      <c r="N536" s="174"/>
      <c r="O536" s="227"/>
      <c r="P536" s="227"/>
      <c r="Q536" s="176"/>
      <c r="R536" s="227"/>
      <c r="S536" s="227"/>
      <c r="T536" s="227"/>
      <c r="U536" s="178"/>
      <c r="V536" s="179"/>
      <c r="W536" s="180"/>
      <c r="X536" s="227"/>
      <c r="Y536" s="178"/>
      <c r="Z536" s="181"/>
      <c r="AA536" s="227"/>
      <c r="AB536" s="227"/>
      <c r="AC536" s="227"/>
    </row>
    <row r="537" spans="1:93" x14ac:dyDescent="0.2">
      <c r="A537" s="118">
        <f t="shared" si="51"/>
        <v>12</v>
      </c>
      <c r="B537" s="223"/>
      <c r="C537" s="223"/>
      <c r="D537" s="168"/>
      <c r="E537" s="225"/>
      <c r="F537" s="183"/>
      <c r="G537" s="223"/>
      <c r="H537" s="174"/>
      <c r="I537" s="308"/>
      <c r="J537" s="223"/>
      <c r="K537" s="225"/>
      <c r="L537" s="183"/>
      <c r="M537" s="223"/>
      <c r="N537" s="174"/>
      <c r="O537" s="227"/>
      <c r="P537" s="227"/>
      <c r="Q537" s="176"/>
      <c r="R537" s="227"/>
      <c r="S537" s="227"/>
      <c r="T537" s="227"/>
      <c r="U537" s="178"/>
      <c r="V537" s="179"/>
      <c r="W537" s="180"/>
      <c r="X537" s="227"/>
      <c r="Y537" s="178"/>
      <c r="Z537" s="181"/>
      <c r="AA537" s="227"/>
      <c r="AB537" s="227"/>
      <c r="AC537" s="227"/>
      <c r="AE537" s="260"/>
      <c r="AF537" s="260"/>
      <c r="AG537" s="260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4"/>
      <c r="BJ537" s="114"/>
      <c r="BK537" s="114"/>
      <c r="BL537" s="114"/>
      <c r="BM537" s="114"/>
      <c r="BN537" s="114"/>
      <c r="BO537" s="114"/>
      <c r="BP537" s="114"/>
      <c r="BQ537" s="114"/>
      <c r="BR537" s="114"/>
      <c r="BS537" s="114"/>
      <c r="BT537" s="114"/>
      <c r="BU537" s="114"/>
      <c r="BV537" s="114"/>
      <c r="BW537" s="114"/>
      <c r="BX537" s="114"/>
      <c r="BY537" s="114"/>
      <c r="BZ537" s="114"/>
      <c r="CA537" s="114"/>
      <c r="CB537" s="114"/>
      <c r="CC537" s="114"/>
      <c r="CD537" s="114"/>
      <c r="CE537" s="114"/>
      <c r="CF537" s="114"/>
      <c r="CG537" s="114"/>
      <c r="CH537" s="114"/>
      <c r="CI537" s="114"/>
      <c r="CJ537" s="114"/>
      <c r="CK537" s="114"/>
      <c r="CL537" s="114"/>
      <c r="CM537" s="114"/>
      <c r="CN537" s="114"/>
      <c r="CO537" s="114"/>
    </row>
    <row r="538" spans="1:93" x14ac:dyDescent="0.2">
      <c r="A538" s="118">
        <f t="shared" si="51"/>
        <v>13</v>
      </c>
      <c r="B538" s="171" t="s">
        <v>564</v>
      </c>
      <c r="C538" s="223"/>
      <c r="D538" s="168"/>
      <c r="E538" s="225"/>
      <c r="F538" s="166"/>
      <c r="G538" s="223"/>
      <c r="H538" s="174">
        <f>'MFR E-5 Yr4'!P22*1000</f>
        <v>177868.02600000001</v>
      </c>
      <c r="I538" s="162"/>
      <c r="J538" s="208"/>
      <c r="K538" s="166"/>
      <c r="L538" s="166"/>
      <c r="M538" s="143"/>
      <c r="N538" s="174">
        <f>H538</f>
        <v>177868.02600000001</v>
      </c>
      <c r="O538" s="227"/>
      <c r="P538" s="227"/>
      <c r="Q538" s="176"/>
      <c r="R538" s="227"/>
      <c r="S538" s="227"/>
      <c r="T538" s="227"/>
      <c r="U538" s="178"/>
      <c r="V538" s="179"/>
      <c r="W538" s="180"/>
      <c r="X538" s="227"/>
      <c r="Y538" s="178" t="s">
        <v>125</v>
      </c>
      <c r="Z538" s="181" t="s">
        <v>565</v>
      </c>
      <c r="AA538" s="227"/>
      <c r="AB538" s="227"/>
      <c r="AC538" s="227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4"/>
      <c r="BJ538" s="114"/>
      <c r="BK538" s="114"/>
      <c r="BL538" s="114"/>
      <c r="BM538" s="114"/>
      <c r="BN538" s="114"/>
      <c r="BO538" s="114"/>
      <c r="BP538" s="114"/>
      <c r="BQ538" s="114"/>
      <c r="BR538" s="114"/>
      <c r="BS538" s="114"/>
      <c r="BT538" s="114"/>
      <c r="BU538" s="114"/>
      <c r="BV538" s="114"/>
      <c r="BW538" s="114"/>
      <c r="BX538" s="114"/>
      <c r="BY538" s="114"/>
      <c r="BZ538" s="114"/>
      <c r="CA538" s="114"/>
      <c r="CB538" s="114"/>
      <c r="CC538" s="114"/>
      <c r="CD538" s="114"/>
      <c r="CE538" s="114"/>
      <c r="CF538" s="114"/>
      <c r="CG538" s="114"/>
      <c r="CH538" s="114"/>
      <c r="CI538" s="114"/>
      <c r="CJ538" s="114"/>
      <c r="CK538" s="114"/>
      <c r="CL538" s="114"/>
      <c r="CM538" s="114"/>
      <c r="CN538" s="114"/>
      <c r="CO538" s="114"/>
    </row>
    <row r="539" spans="1:93" x14ac:dyDescent="0.2">
      <c r="A539" s="118">
        <f t="shared" si="51"/>
        <v>14</v>
      </c>
      <c r="B539" s="171" t="s">
        <v>566</v>
      </c>
      <c r="C539" s="223"/>
      <c r="D539" s="168"/>
      <c r="E539" s="225"/>
      <c r="F539" s="166"/>
      <c r="G539" s="223"/>
      <c r="H539" s="174">
        <f>'MFR E-5 Yr4'!P23*1000</f>
        <v>75593.911049999762</v>
      </c>
      <c r="I539" s="162"/>
      <c r="J539" s="208"/>
      <c r="K539" s="166"/>
      <c r="L539" s="166"/>
      <c r="M539" s="143"/>
      <c r="N539" s="174">
        <f>H539</f>
        <v>75593.911049999762</v>
      </c>
      <c r="O539" s="227"/>
      <c r="P539" s="227"/>
      <c r="Q539" s="176"/>
      <c r="R539" s="227"/>
      <c r="S539" s="227"/>
      <c r="T539" s="227"/>
      <c r="U539" s="178"/>
      <c r="V539" s="179"/>
      <c r="W539" s="180"/>
      <c r="X539" s="227"/>
      <c r="Y539" s="178" t="s">
        <v>125</v>
      </c>
      <c r="Z539" s="181" t="s">
        <v>565</v>
      </c>
      <c r="AA539" s="227"/>
      <c r="AB539" s="227"/>
      <c r="AC539" s="227"/>
      <c r="AE539" s="114"/>
      <c r="AF539" s="114"/>
      <c r="AG539" s="114"/>
      <c r="AH539" s="114"/>
      <c r="AI539" s="114"/>
      <c r="AJ539" s="114"/>
      <c r="AK539" s="114"/>
      <c r="AL539" s="114"/>
      <c r="AM539" s="114"/>
      <c r="AN539" s="114"/>
      <c r="AO539" s="114"/>
      <c r="AP539" s="114"/>
      <c r="AQ539" s="114"/>
      <c r="AR539" s="114"/>
      <c r="AS539" s="114"/>
      <c r="AT539" s="114"/>
      <c r="AU539" s="114"/>
      <c r="AV539" s="114"/>
      <c r="AW539" s="114"/>
      <c r="AX539" s="114"/>
      <c r="AY539" s="114"/>
      <c r="AZ539" s="114"/>
      <c r="BA539" s="114"/>
      <c r="BB539" s="114"/>
      <c r="BC539" s="114"/>
      <c r="BD539" s="114"/>
      <c r="BE539" s="114"/>
      <c r="BF539" s="114"/>
      <c r="BG539" s="114"/>
      <c r="BH539" s="114"/>
      <c r="BI539" s="114"/>
      <c r="BJ539" s="114"/>
      <c r="BK539" s="114"/>
      <c r="BL539" s="114"/>
      <c r="BM539" s="114"/>
      <c r="BN539" s="114"/>
      <c r="BO539" s="114"/>
      <c r="BP539" s="114"/>
      <c r="BQ539" s="114"/>
      <c r="BR539" s="114"/>
      <c r="BS539" s="114"/>
      <c r="BT539" s="114"/>
      <c r="BU539" s="114"/>
      <c r="BV539" s="114"/>
      <c r="BW539" s="114"/>
      <c r="BX539" s="114"/>
      <c r="BY539" s="114"/>
      <c r="BZ539" s="114"/>
      <c r="CA539" s="114"/>
      <c r="CB539" s="114"/>
      <c r="CC539" s="114"/>
      <c r="CD539" s="114"/>
      <c r="CE539" s="114"/>
      <c r="CF539" s="114"/>
      <c r="CG539" s="114"/>
      <c r="CH539" s="114"/>
      <c r="CI539" s="114"/>
      <c r="CJ539" s="114"/>
      <c r="CK539" s="114"/>
      <c r="CL539" s="114"/>
      <c r="CM539" s="114"/>
      <c r="CN539" s="114"/>
      <c r="CO539" s="114"/>
    </row>
    <row r="540" spans="1:93" x14ac:dyDescent="0.2">
      <c r="A540" s="118">
        <f>+A538+1</f>
        <v>14</v>
      </c>
      <c r="B540" s="223"/>
      <c r="C540" s="223"/>
      <c r="D540" s="168"/>
      <c r="E540" s="225"/>
      <c r="F540" s="183"/>
      <c r="G540" s="223"/>
      <c r="H540" s="174"/>
      <c r="I540" s="308"/>
      <c r="J540" s="223"/>
      <c r="K540" s="225"/>
      <c r="L540" s="183"/>
      <c r="M540" s="223"/>
      <c r="N540" s="174"/>
      <c r="O540" s="227"/>
      <c r="P540" s="227"/>
      <c r="Q540" s="176"/>
      <c r="R540" s="227"/>
      <c r="S540" s="227"/>
      <c r="T540" s="227"/>
      <c r="U540" s="184"/>
      <c r="V540" s="179"/>
      <c r="W540" s="180"/>
      <c r="X540" s="227"/>
      <c r="Y540" s="184"/>
      <c r="Z540" s="181"/>
      <c r="AA540" s="227"/>
      <c r="AB540" s="227"/>
      <c r="AC540" s="227"/>
      <c r="AE540" s="114"/>
      <c r="AF540" s="114"/>
      <c r="AG540" s="114"/>
      <c r="AH540" s="114"/>
      <c r="AI540" s="114"/>
      <c r="AJ540" s="114"/>
      <c r="AK540" s="114"/>
      <c r="AL540" s="114"/>
      <c r="AM540" s="114"/>
      <c r="AN540" s="114"/>
      <c r="AO540" s="114"/>
      <c r="AP540" s="114"/>
      <c r="AQ540" s="114"/>
      <c r="AR540" s="114"/>
      <c r="AS540" s="114"/>
      <c r="AT540" s="114"/>
      <c r="AU540" s="114"/>
      <c r="AV540" s="114"/>
      <c r="AW540" s="114"/>
      <c r="AX540" s="114"/>
      <c r="AY540" s="114"/>
      <c r="AZ540" s="114"/>
      <c r="BA540" s="114"/>
      <c r="BB540" s="114"/>
      <c r="BC540" s="114"/>
      <c r="BD540" s="114"/>
      <c r="BE540" s="114"/>
      <c r="BF540" s="114"/>
      <c r="BG540" s="114"/>
      <c r="BH540" s="114"/>
      <c r="BI540" s="114"/>
      <c r="BJ540" s="114"/>
      <c r="BK540" s="114"/>
      <c r="BL540" s="114"/>
      <c r="BM540" s="114"/>
      <c r="BN540" s="114"/>
      <c r="BO540" s="114"/>
      <c r="BP540" s="114"/>
      <c r="BQ540" s="114"/>
      <c r="BR540" s="114"/>
      <c r="BS540" s="114"/>
      <c r="BT540" s="114"/>
      <c r="BU540" s="114"/>
      <c r="BV540" s="114"/>
      <c r="BW540" s="114"/>
      <c r="BX540" s="114"/>
      <c r="BY540" s="114"/>
      <c r="BZ540" s="114"/>
      <c r="CA540" s="114"/>
      <c r="CB540" s="114"/>
      <c r="CC540" s="114"/>
      <c r="CD540" s="114"/>
      <c r="CE540" s="114"/>
      <c r="CF540" s="114"/>
      <c r="CG540" s="114"/>
      <c r="CH540" s="114"/>
      <c r="CI540" s="114"/>
      <c r="CJ540" s="114"/>
      <c r="CK540" s="114"/>
      <c r="CL540" s="114"/>
      <c r="CM540" s="114"/>
      <c r="CN540" s="114"/>
      <c r="CO540" s="114"/>
    </row>
    <row r="541" spans="1:93" ht="10.8" thickBot="1" x14ac:dyDescent="0.25">
      <c r="A541" s="118">
        <f t="shared" si="51"/>
        <v>15</v>
      </c>
      <c r="B541" s="246" t="s">
        <v>636</v>
      </c>
      <c r="C541" s="223"/>
      <c r="D541" s="168"/>
      <c r="E541" s="225"/>
      <c r="F541" s="183"/>
      <c r="G541" s="223"/>
      <c r="H541" s="210">
        <f>H530+H534+H538+H539</f>
        <v>14930794.947050001</v>
      </c>
      <c r="I541" s="308"/>
      <c r="J541" s="223"/>
      <c r="K541" s="225"/>
      <c r="L541" s="183"/>
      <c r="M541" s="223"/>
      <c r="N541" s="210">
        <f>N530+N534+N538+N539</f>
        <v>15535653.957049999</v>
      </c>
      <c r="O541" s="227"/>
      <c r="P541" s="227"/>
      <c r="Q541" s="939">
        <f>(N541-H541)/H541</f>
        <v>4.0510837644281282E-2</v>
      </c>
      <c r="R541" s="227"/>
      <c r="S541" s="227"/>
      <c r="T541" s="227"/>
      <c r="U541" s="184"/>
      <c r="V541" s="179"/>
      <c r="W541" s="180"/>
      <c r="X541" s="227"/>
      <c r="Y541" s="184" t="s">
        <v>125</v>
      </c>
      <c r="Z541" s="181" t="s">
        <v>121</v>
      </c>
      <c r="AA541" s="227"/>
      <c r="AB541" s="227"/>
      <c r="AC541" s="227"/>
      <c r="AE541" s="114"/>
      <c r="AF541" s="114"/>
      <c r="AG541" s="238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4"/>
      <c r="BJ541" s="114"/>
      <c r="BK541" s="114"/>
      <c r="BL541" s="114"/>
      <c r="BM541" s="114"/>
      <c r="BN541" s="114"/>
      <c r="BO541" s="114"/>
      <c r="BP541" s="114"/>
      <c r="BQ541" s="114"/>
      <c r="BR541" s="114"/>
      <c r="BS541" s="114"/>
      <c r="BT541" s="114"/>
      <c r="BU541" s="114"/>
      <c r="BV541" s="114"/>
      <c r="BW541" s="114"/>
      <c r="BX541" s="114"/>
      <c r="BY541" s="114"/>
      <c r="BZ541" s="114"/>
      <c r="CA541" s="114"/>
      <c r="CB541" s="114"/>
      <c r="CC541" s="114"/>
      <c r="CD541" s="114"/>
      <c r="CE541" s="114"/>
      <c r="CF541" s="114"/>
      <c r="CG541" s="114"/>
      <c r="CH541" s="114"/>
      <c r="CI541" s="114"/>
      <c r="CJ541" s="114"/>
      <c r="CK541" s="114"/>
      <c r="CL541" s="114"/>
      <c r="CM541" s="114"/>
      <c r="CN541" s="114"/>
      <c r="CO541" s="114"/>
    </row>
    <row r="542" spans="1:93" ht="10.8" thickTop="1" x14ac:dyDescent="0.2">
      <c r="A542" s="118">
        <f t="shared" si="51"/>
        <v>16</v>
      </c>
      <c r="B542" s="223"/>
      <c r="C542" s="223"/>
      <c r="D542" s="168"/>
      <c r="E542" s="225"/>
      <c r="F542" s="183"/>
      <c r="G542" s="223"/>
      <c r="H542" s="174"/>
      <c r="I542" s="308"/>
      <c r="J542" s="143"/>
      <c r="K542" s="166"/>
      <c r="L542" s="166"/>
      <c r="M542" s="143"/>
      <c r="N542" s="174"/>
      <c r="O542" s="227"/>
      <c r="P542" s="227"/>
      <c r="Q542" s="176"/>
      <c r="R542" s="227"/>
      <c r="S542" s="227"/>
      <c r="T542" s="227"/>
      <c r="U542" s="184"/>
      <c r="V542" s="179"/>
      <c r="W542" s="180"/>
      <c r="X542" s="227"/>
      <c r="Y542" s="184"/>
      <c r="Z542" s="181"/>
      <c r="AA542" s="227"/>
      <c r="AB542" s="227"/>
      <c r="AC542" s="227"/>
      <c r="AE542" s="114"/>
      <c r="AF542" s="114"/>
      <c r="AG542" s="241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4"/>
      <c r="BJ542" s="114"/>
      <c r="BK542" s="114"/>
      <c r="BL542" s="114"/>
      <c r="BM542" s="114"/>
      <c r="BN542" s="114"/>
      <c r="BO542" s="114"/>
      <c r="BP542" s="114"/>
      <c r="BQ542" s="114"/>
      <c r="BR542" s="114"/>
      <c r="BS542" s="114"/>
      <c r="BT542" s="114"/>
      <c r="BU542" s="114"/>
      <c r="BV542" s="114"/>
      <c r="BW542" s="114"/>
      <c r="BX542" s="114"/>
      <c r="BY542" s="114"/>
      <c r="BZ542" s="114"/>
      <c r="CA542" s="114"/>
      <c r="CB542" s="114"/>
      <c r="CC542" s="114"/>
      <c r="CD542" s="114"/>
      <c r="CE542" s="114"/>
      <c r="CF542" s="114"/>
      <c r="CG542" s="114"/>
      <c r="CH542" s="114"/>
      <c r="CI542" s="114"/>
      <c r="CJ542" s="114"/>
      <c r="CK542" s="114"/>
      <c r="CL542" s="114"/>
      <c r="CM542" s="114"/>
      <c r="CN542" s="114"/>
      <c r="CO542" s="114"/>
    </row>
    <row r="543" spans="1:93" x14ac:dyDescent="0.2">
      <c r="A543" s="118">
        <f t="shared" si="51"/>
        <v>17</v>
      </c>
      <c r="B543" s="226"/>
      <c r="C543" s="223"/>
      <c r="D543" s="168"/>
      <c r="E543" s="225"/>
      <c r="F543" s="183"/>
      <c r="G543" s="223"/>
      <c r="H543" s="174"/>
      <c r="I543" s="308"/>
      <c r="J543" s="171" t="s">
        <v>573</v>
      </c>
      <c r="K543" s="166"/>
      <c r="L543" s="166"/>
      <c r="M543" s="143"/>
      <c r="N543" s="174">
        <f>N541-H541</f>
        <v>604859.00999999791</v>
      </c>
      <c r="O543" s="227"/>
      <c r="P543" s="227"/>
      <c r="Q543" s="176"/>
      <c r="R543" s="227"/>
      <c r="S543" s="227"/>
      <c r="T543" s="227"/>
      <c r="U543" s="178"/>
      <c r="V543" s="179"/>
      <c r="W543" s="180"/>
      <c r="X543" s="227"/>
      <c r="Y543" s="178"/>
      <c r="Z543" s="181"/>
      <c r="AA543" s="227"/>
      <c r="AB543" s="227"/>
      <c r="AC543" s="227"/>
      <c r="AE543" s="114"/>
      <c r="AF543" s="114"/>
      <c r="AG543" s="241"/>
      <c r="AH543" s="114"/>
      <c r="AI543" s="114"/>
      <c r="AJ543" s="114"/>
      <c r="AK543" s="114"/>
      <c r="AL543" s="114"/>
      <c r="AM543" s="114"/>
      <c r="AN543" s="114"/>
      <c r="AO543" s="114"/>
      <c r="AP543" s="114"/>
      <c r="AQ543" s="114"/>
      <c r="AR543" s="114"/>
      <c r="AS543" s="114"/>
      <c r="AT543" s="114"/>
      <c r="AU543" s="114"/>
      <c r="AV543" s="114"/>
      <c r="AW543" s="114"/>
      <c r="AX543" s="114"/>
      <c r="AY543" s="114"/>
      <c r="AZ543" s="114"/>
      <c r="BA543" s="114"/>
      <c r="BB543" s="114"/>
      <c r="BC543" s="114"/>
      <c r="BD543" s="114"/>
      <c r="BE543" s="114"/>
      <c r="BF543" s="114"/>
      <c r="BG543" s="114"/>
      <c r="BH543" s="114"/>
      <c r="BI543" s="114"/>
      <c r="BJ543" s="114"/>
      <c r="BK543" s="114"/>
      <c r="BL543" s="114"/>
      <c r="BM543" s="114"/>
      <c r="BN543" s="114"/>
      <c r="BO543" s="114"/>
      <c r="BP543" s="114"/>
      <c r="BQ543" s="114"/>
      <c r="BR543" s="114"/>
      <c r="BS543" s="114"/>
      <c r="BT543" s="114"/>
      <c r="BU543" s="114"/>
      <c r="BV543" s="114"/>
      <c r="BW543" s="114"/>
      <c r="BX543" s="114"/>
      <c r="BY543" s="114"/>
      <c r="BZ543" s="114"/>
      <c r="CA543" s="114"/>
      <c r="CB543" s="114"/>
      <c r="CC543" s="114"/>
      <c r="CD543" s="114"/>
      <c r="CE543" s="114"/>
      <c r="CF543" s="114"/>
      <c r="CG543" s="114"/>
      <c r="CH543" s="114"/>
      <c r="CI543" s="114"/>
      <c r="CJ543" s="114"/>
      <c r="CK543" s="114"/>
      <c r="CL543" s="114"/>
      <c r="CM543" s="114"/>
      <c r="CN543" s="114"/>
      <c r="CO543" s="114"/>
    </row>
    <row r="544" spans="1:93" x14ac:dyDescent="0.2">
      <c r="A544" s="118">
        <f t="shared" si="51"/>
        <v>18</v>
      </c>
      <c r="B544" s="223"/>
      <c r="C544" s="223"/>
      <c r="D544" s="168"/>
      <c r="E544" s="225"/>
      <c r="F544" s="183"/>
      <c r="G544" s="223"/>
      <c r="H544" s="174"/>
      <c r="I544" s="308"/>
      <c r="J544" s="171"/>
      <c r="K544" s="166"/>
      <c r="L544" s="166"/>
      <c r="M544" s="143"/>
      <c r="N544" s="212"/>
      <c r="O544" s="227"/>
      <c r="P544" s="227"/>
      <c r="Q544" s="176"/>
      <c r="R544" s="227"/>
      <c r="S544" s="227"/>
      <c r="T544" s="227"/>
      <c r="U544" s="178"/>
      <c r="V544" s="179"/>
      <c r="W544" s="180"/>
      <c r="X544" s="227"/>
      <c r="Y544" s="178"/>
      <c r="Z544" s="181"/>
      <c r="AA544" s="227"/>
      <c r="AB544" s="227"/>
      <c r="AC544" s="227"/>
      <c r="AE544" s="114"/>
      <c r="AF544" s="114"/>
      <c r="AG544" s="241"/>
      <c r="AH544" s="114"/>
      <c r="AI544" s="114"/>
      <c r="AJ544" s="114"/>
      <c r="AK544" s="114"/>
      <c r="AL544" s="114"/>
      <c r="AM544" s="114"/>
      <c r="AN544" s="114"/>
      <c r="AO544" s="114"/>
      <c r="AP544" s="114"/>
      <c r="AQ544" s="114"/>
      <c r="AR544" s="114"/>
      <c r="AS544" s="114"/>
      <c r="AT544" s="114"/>
      <c r="AU544" s="114"/>
      <c r="AV544" s="114"/>
      <c r="AW544" s="114"/>
      <c r="AX544" s="114"/>
      <c r="AY544" s="114"/>
      <c r="AZ544" s="114"/>
      <c r="BA544" s="114"/>
      <c r="BB544" s="114"/>
      <c r="BC544" s="114"/>
      <c r="BD544" s="114"/>
      <c r="BE544" s="114"/>
      <c r="BF544" s="114"/>
      <c r="BG544" s="114"/>
      <c r="BH544" s="114"/>
      <c r="BI544" s="114"/>
      <c r="BJ544" s="114"/>
      <c r="BK544" s="114"/>
      <c r="BL544" s="114"/>
      <c r="BM544" s="114"/>
      <c r="BN544" s="114"/>
      <c r="BO544" s="114"/>
      <c r="BP544" s="114"/>
      <c r="BQ544" s="114"/>
      <c r="BR544" s="114"/>
      <c r="BS544" s="114"/>
      <c r="BT544" s="114"/>
      <c r="BU544" s="114"/>
      <c r="BV544" s="114"/>
      <c r="BW544" s="114"/>
      <c r="BX544" s="114"/>
      <c r="BY544" s="114"/>
      <c r="BZ544" s="114"/>
      <c r="CA544" s="114"/>
      <c r="CB544" s="114"/>
      <c r="CC544" s="114"/>
      <c r="CD544" s="114"/>
      <c r="CE544" s="114"/>
      <c r="CF544" s="114"/>
      <c r="CG544" s="114"/>
      <c r="CH544" s="114"/>
      <c r="CI544" s="114"/>
      <c r="CJ544" s="114"/>
      <c r="CK544" s="114"/>
      <c r="CL544" s="114"/>
      <c r="CM544" s="114"/>
      <c r="CN544" s="114"/>
      <c r="CO544" s="114"/>
    </row>
    <row r="545" spans="1:93" x14ac:dyDescent="0.2">
      <c r="A545" s="118">
        <f t="shared" si="51"/>
        <v>19</v>
      </c>
      <c r="B545" s="226"/>
      <c r="C545" s="223"/>
      <c r="D545" s="168"/>
      <c r="E545" s="225"/>
      <c r="F545" s="183"/>
      <c r="G545" s="233"/>
      <c r="H545" s="174"/>
      <c r="I545" s="308"/>
      <c r="J545" s="171" t="s">
        <v>637</v>
      </c>
      <c r="N545" s="211">
        <f>'Exhibit MJC-2 - Old E-8a'!U31*1000</f>
        <v>605047.98086851218</v>
      </c>
      <c r="P545" s="101" t="s">
        <v>672</v>
      </c>
      <c r="Q545" s="939">
        <f>N545/H541</f>
        <v>4.0523494094871111E-2</v>
      </c>
      <c r="R545" s="227"/>
      <c r="S545" s="227"/>
      <c r="T545" s="227"/>
      <c r="U545" s="178"/>
      <c r="V545" s="179"/>
      <c r="W545" s="180"/>
      <c r="X545" s="227"/>
      <c r="Y545" s="178"/>
      <c r="Z545" s="181"/>
      <c r="AA545" s="227"/>
      <c r="AB545" s="227"/>
      <c r="AC545" s="227"/>
      <c r="AE545" s="114"/>
      <c r="AF545" s="114"/>
      <c r="AG545" s="241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4"/>
      <c r="BJ545" s="114"/>
      <c r="BK545" s="114"/>
      <c r="BL545" s="114"/>
      <c r="BM545" s="114"/>
      <c r="BN545" s="114"/>
      <c r="BO545" s="114"/>
      <c r="BP545" s="114"/>
      <c r="BQ545" s="114"/>
      <c r="BR545" s="114"/>
      <c r="BS545" s="114"/>
      <c r="BT545" s="114"/>
      <c r="BU545" s="114"/>
      <c r="BV545" s="114"/>
      <c r="BW545" s="114"/>
      <c r="BX545" s="114"/>
      <c r="BY545" s="114"/>
      <c r="BZ545" s="114"/>
      <c r="CA545" s="114"/>
      <c r="CB545" s="114"/>
      <c r="CC545" s="114"/>
      <c r="CD545" s="114"/>
      <c r="CE545" s="114"/>
      <c r="CF545" s="114"/>
      <c r="CG545" s="114"/>
      <c r="CH545" s="114"/>
      <c r="CI545" s="114"/>
      <c r="CJ545" s="114"/>
      <c r="CK545" s="114"/>
      <c r="CL545" s="114"/>
      <c r="CM545" s="114"/>
      <c r="CN545" s="114"/>
      <c r="CO545" s="114"/>
    </row>
    <row r="546" spans="1:93" x14ac:dyDescent="0.2">
      <c r="A546" s="118">
        <f t="shared" si="51"/>
        <v>20</v>
      </c>
      <c r="B546" s="234"/>
      <c r="C546" s="223"/>
      <c r="D546" s="168"/>
      <c r="E546" s="225"/>
      <c r="F546" s="183"/>
      <c r="G546" s="233"/>
      <c r="H546" s="174"/>
      <c r="I546" s="308"/>
      <c r="Q546" s="176"/>
      <c r="R546" s="227"/>
      <c r="S546" s="227"/>
      <c r="T546" s="227"/>
      <c r="U546" s="178"/>
      <c r="V546" s="179"/>
      <c r="W546" s="180"/>
      <c r="X546" s="227"/>
      <c r="Y546" s="178"/>
      <c r="Z546" s="181"/>
      <c r="AA546" s="227"/>
      <c r="AB546" s="227"/>
      <c r="AC546" s="227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4"/>
      <c r="BJ546" s="114"/>
      <c r="BK546" s="114"/>
      <c r="BL546" s="114"/>
      <c r="BM546" s="114"/>
      <c r="BN546" s="114"/>
      <c r="BO546" s="114"/>
      <c r="BP546" s="114"/>
      <c r="BQ546" s="114"/>
      <c r="BR546" s="114"/>
      <c r="BS546" s="114"/>
      <c r="BT546" s="114"/>
      <c r="BU546" s="114"/>
      <c r="BV546" s="114"/>
      <c r="BW546" s="114"/>
      <c r="BX546" s="114"/>
      <c r="BY546" s="114"/>
      <c r="BZ546" s="114"/>
      <c r="CA546" s="114"/>
      <c r="CB546" s="114"/>
      <c r="CC546" s="114"/>
      <c r="CD546" s="114"/>
      <c r="CE546" s="114"/>
      <c r="CF546" s="114"/>
      <c r="CG546" s="114"/>
      <c r="CH546" s="114"/>
      <c r="CI546" s="114"/>
      <c r="CJ546" s="114"/>
      <c r="CK546" s="114"/>
      <c r="CL546" s="114"/>
      <c r="CM546" s="114"/>
      <c r="CN546" s="114"/>
      <c r="CO546" s="114"/>
    </row>
    <row r="547" spans="1:93" x14ac:dyDescent="0.2">
      <c r="A547" s="118">
        <f t="shared" si="51"/>
        <v>21</v>
      </c>
      <c r="B547" s="243"/>
      <c r="C547" s="223"/>
      <c r="D547" s="168"/>
      <c r="E547" s="225"/>
      <c r="F547" s="183"/>
      <c r="G547" s="233"/>
      <c r="H547" s="174"/>
      <c r="I547" s="308"/>
      <c r="J547" s="171" t="s">
        <v>575</v>
      </c>
      <c r="N547" s="214">
        <f>N543-N545</f>
        <v>-188.97086851426866</v>
      </c>
      <c r="Q547" s="176"/>
      <c r="T547" s="227"/>
      <c r="U547" s="184"/>
      <c r="V547" s="179"/>
      <c r="W547" s="180"/>
      <c r="X547" s="227"/>
      <c r="Y547" s="184"/>
      <c r="Z547" s="181"/>
      <c r="AA547" s="227"/>
      <c r="AB547" s="227"/>
      <c r="AC547" s="264"/>
      <c r="AE547" s="114"/>
      <c r="AF547" s="114"/>
      <c r="AG547" s="114"/>
      <c r="AH547" s="114"/>
      <c r="AI547" s="114"/>
      <c r="AJ547" s="114"/>
      <c r="AK547" s="114"/>
      <c r="AL547" s="114"/>
      <c r="AM547" s="114"/>
      <c r="AN547" s="114"/>
      <c r="AO547" s="114"/>
      <c r="AP547" s="114"/>
      <c r="AQ547" s="114"/>
      <c r="AR547" s="114"/>
      <c r="AS547" s="114"/>
      <c r="AT547" s="114"/>
      <c r="AU547" s="114"/>
      <c r="AV547" s="114"/>
      <c r="AW547" s="114"/>
      <c r="AX547" s="114"/>
      <c r="AY547" s="114"/>
      <c r="AZ547" s="114"/>
      <c r="BA547" s="114"/>
      <c r="BB547" s="114"/>
      <c r="BC547" s="114"/>
      <c r="BD547" s="114"/>
      <c r="BE547" s="114"/>
      <c r="BF547" s="114"/>
      <c r="BG547" s="114"/>
      <c r="BH547" s="114"/>
      <c r="BI547" s="114"/>
      <c r="BJ547" s="114"/>
      <c r="BK547" s="114"/>
      <c r="BL547" s="114"/>
      <c r="BM547" s="114"/>
      <c r="BN547" s="114"/>
      <c r="BO547" s="114"/>
      <c r="BP547" s="114"/>
      <c r="BQ547" s="114"/>
      <c r="BR547" s="114"/>
      <c r="BS547" s="114"/>
      <c r="BT547" s="114"/>
      <c r="BU547" s="114"/>
      <c r="BV547" s="114"/>
      <c r="BW547" s="114"/>
      <c r="BX547" s="114"/>
      <c r="BY547" s="114"/>
      <c r="BZ547" s="114"/>
      <c r="CA547" s="114"/>
      <c r="CB547" s="114"/>
      <c r="CC547" s="114"/>
      <c r="CD547" s="114"/>
      <c r="CE547" s="114"/>
      <c r="CF547" s="114"/>
      <c r="CG547" s="114"/>
      <c r="CH547" s="114"/>
      <c r="CI547" s="114"/>
      <c r="CJ547" s="114"/>
      <c r="CK547" s="114"/>
      <c r="CL547" s="114"/>
      <c r="CM547" s="114"/>
      <c r="CN547" s="114"/>
      <c r="CO547" s="114"/>
    </row>
    <row r="548" spans="1:93" x14ac:dyDescent="0.2">
      <c r="A548" s="118">
        <f t="shared" si="51"/>
        <v>22</v>
      </c>
      <c r="B548" s="243"/>
      <c r="C548" s="223"/>
      <c r="D548" s="168"/>
      <c r="E548" s="225"/>
      <c r="F548" s="183"/>
      <c r="G548" s="233"/>
      <c r="H548" s="174"/>
      <c r="I548" s="308"/>
      <c r="J548" s="168"/>
      <c r="K548" s="225"/>
      <c r="L548" s="183"/>
      <c r="M548" s="233"/>
      <c r="N548" s="174"/>
      <c r="O548" s="227"/>
      <c r="Q548" s="176"/>
      <c r="T548" s="227"/>
      <c r="U548" s="184"/>
      <c r="V548" s="179"/>
      <c r="W548" s="180"/>
      <c r="X548" s="227"/>
      <c r="Y548" s="184"/>
      <c r="Z548" s="181"/>
      <c r="AA548" s="227"/>
      <c r="AB548" s="227"/>
      <c r="AC548" s="264"/>
      <c r="AD548" s="264"/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4"/>
      <c r="AR548" s="114"/>
      <c r="AS548" s="114"/>
      <c r="AT548" s="114"/>
      <c r="AU548" s="114"/>
      <c r="AV548" s="114"/>
      <c r="AW548" s="114"/>
      <c r="AX548" s="114"/>
      <c r="AY548" s="114"/>
      <c r="AZ548" s="114"/>
      <c r="BA548" s="114"/>
      <c r="BB548" s="114"/>
      <c r="BC548" s="114"/>
      <c r="BD548" s="114"/>
      <c r="BE548" s="114"/>
      <c r="BF548" s="114"/>
      <c r="BG548" s="114"/>
      <c r="BH548" s="114"/>
      <c r="BI548" s="114"/>
      <c r="BJ548" s="114"/>
      <c r="BK548" s="114"/>
      <c r="BL548" s="114"/>
      <c r="BM548" s="114"/>
      <c r="BN548" s="114"/>
      <c r="BO548" s="114"/>
      <c r="BP548" s="114"/>
      <c r="BQ548" s="114"/>
      <c r="BR548" s="114"/>
      <c r="BS548" s="114"/>
      <c r="BT548" s="114"/>
      <c r="BU548" s="114"/>
      <c r="BV548" s="114"/>
      <c r="BW548" s="114"/>
      <c r="BX548" s="114"/>
      <c r="BY548" s="114"/>
      <c r="BZ548" s="114"/>
      <c r="CA548" s="114"/>
      <c r="CB548" s="114"/>
      <c r="CC548" s="114"/>
      <c r="CD548" s="114"/>
      <c r="CE548" s="114"/>
      <c r="CF548" s="114"/>
      <c r="CG548" s="114"/>
      <c r="CH548" s="114"/>
      <c r="CI548" s="114"/>
      <c r="CJ548" s="114"/>
      <c r="CK548" s="114"/>
      <c r="CL548" s="114"/>
      <c r="CM548" s="114"/>
      <c r="CN548" s="114"/>
      <c r="CO548" s="114"/>
    </row>
    <row r="549" spans="1:93" x14ac:dyDescent="0.2">
      <c r="A549" s="118">
        <f t="shared" si="51"/>
        <v>23</v>
      </c>
      <c r="B549" s="234"/>
      <c r="C549" s="223"/>
      <c r="D549" s="168"/>
      <c r="E549" s="225"/>
      <c r="F549" s="183"/>
      <c r="G549" s="233"/>
      <c r="H549" s="174"/>
      <c r="I549" s="308"/>
      <c r="J549" s="168"/>
      <c r="K549" s="225"/>
      <c r="L549" s="183"/>
      <c r="M549" s="233"/>
      <c r="N549" s="174"/>
      <c r="O549" s="227"/>
      <c r="Q549" s="227"/>
      <c r="T549" s="265"/>
      <c r="U549" s="178"/>
      <c r="V549" s="179"/>
      <c r="W549" s="180"/>
      <c r="X549" s="265"/>
      <c r="Y549" s="178"/>
      <c r="Z549" s="181"/>
      <c r="AA549" s="265"/>
      <c r="AB549" s="264"/>
      <c r="AC549" s="264"/>
      <c r="AD549" s="264"/>
      <c r="AE549" s="242"/>
    </row>
    <row r="550" spans="1:93" x14ac:dyDescent="0.2">
      <c r="A550" s="118">
        <f t="shared" si="51"/>
        <v>24</v>
      </c>
      <c r="B550" s="243"/>
      <c r="C550" s="223"/>
      <c r="D550" s="168"/>
      <c r="E550" s="225"/>
      <c r="F550" s="183"/>
      <c r="G550" s="233"/>
      <c r="H550" s="174"/>
      <c r="I550" s="308"/>
      <c r="J550" s="168"/>
      <c r="K550" s="225"/>
      <c r="L550" s="183"/>
      <c r="M550" s="233"/>
      <c r="N550" s="174"/>
      <c r="O550" s="227"/>
      <c r="Q550" s="227"/>
      <c r="T550" s="265"/>
      <c r="U550" s="178"/>
      <c r="V550" s="179"/>
      <c r="W550" s="180"/>
      <c r="X550" s="265"/>
      <c r="Y550" s="178"/>
      <c r="Z550" s="181"/>
      <c r="AA550" s="265"/>
      <c r="AB550" s="264"/>
      <c r="AC550" s="264"/>
      <c r="AD550" s="264"/>
      <c r="AE550" s="242"/>
    </row>
    <row r="551" spans="1:93" x14ac:dyDescent="0.2">
      <c r="A551" s="118">
        <f t="shared" si="51"/>
        <v>25</v>
      </c>
      <c r="B551" s="243"/>
      <c r="C551" s="223"/>
      <c r="D551" s="168"/>
      <c r="E551" s="225"/>
      <c r="F551" s="183"/>
      <c r="G551" s="233"/>
      <c r="H551" s="174"/>
      <c r="I551" s="308"/>
      <c r="J551" s="168"/>
      <c r="K551" s="225"/>
      <c r="L551" s="183"/>
      <c r="M551" s="233"/>
      <c r="N551" s="174"/>
      <c r="O551" s="227"/>
      <c r="Q551" s="227"/>
      <c r="T551" s="265"/>
      <c r="U551" s="178"/>
      <c r="V551" s="179"/>
      <c r="W551" s="180"/>
      <c r="X551" s="265"/>
      <c r="Y551" s="178"/>
      <c r="Z551" s="181"/>
      <c r="AA551" s="265"/>
      <c r="AB551" s="227"/>
      <c r="AC551" s="264"/>
      <c r="AD551" s="264"/>
      <c r="AE551" s="242"/>
    </row>
    <row r="552" spans="1:93" x14ac:dyDescent="0.2">
      <c r="A552" s="118">
        <f t="shared" si="51"/>
        <v>26</v>
      </c>
      <c r="B552" s="234"/>
      <c r="C552" s="223"/>
      <c r="D552" s="168"/>
      <c r="E552" s="225"/>
      <c r="F552" s="183"/>
      <c r="G552" s="233"/>
      <c r="H552" s="174"/>
      <c r="I552" s="308"/>
      <c r="J552" s="168"/>
      <c r="K552" s="225"/>
      <c r="L552" s="183"/>
      <c r="M552" s="233"/>
      <c r="N552" s="174"/>
      <c r="O552" s="227"/>
      <c r="Q552" s="176"/>
      <c r="T552" s="265"/>
      <c r="U552" s="178"/>
      <c r="V552" s="179"/>
      <c r="W552" s="180"/>
      <c r="X552" s="265"/>
      <c r="Y552" s="178"/>
      <c r="Z552" s="181"/>
      <c r="AA552" s="265"/>
      <c r="AB552" s="264"/>
      <c r="AC552" s="264"/>
      <c r="AD552" s="264"/>
      <c r="AF552" s="244"/>
    </row>
    <row r="553" spans="1:93" x14ac:dyDescent="0.2">
      <c r="A553" s="118">
        <f t="shared" si="51"/>
        <v>27</v>
      </c>
      <c r="B553" s="243"/>
      <c r="C553" s="223"/>
      <c r="D553" s="168"/>
      <c r="E553" s="225"/>
      <c r="F553" s="183"/>
      <c r="G553" s="233"/>
      <c r="H553" s="174"/>
      <c r="I553" s="308"/>
      <c r="J553" s="168"/>
      <c r="K553" s="225"/>
      <c r="L553" s="183"/>
      <c r="M553" s="233"/>
      <c r="N553" s="174"/>
      <c r="O553" s="227"/>
      <c r="Q553" s="176"/>
      <c r="T553" s="265"/>
      <c r="U553" s="178"/>
      <c r="V553" s="179"/>
      <c r="W553" s="180"/>
      <c r="X553" s="265"/>
      <c r="Y553" s="178"/>
      <c r="Z553" s="181"/>
      <c r="AA553" s="265"/>
      <c r="AB553" s="264"/>
      <c r="AC553" s="264"/>
      <c r="AD553" s="264"/>
      <c r="AE553" s="242"/>
      <c r="AF553" s="245"/>
    </row>
    <row r="554" spans="1:93" x14ac:dyDescent="0.2">
      <c r="A554" s="118">
        <f t="shared" si="51"/>
        <v>28</v>
      </c>
      <c r="B554" s="243"/>
      <c r="C554" s="223"/>
      <c r="D554" s="168"/>
      <c r="E554" s="225"/>
      <c r="F554" s="183"/>
      <c r="G554" s="233"/>
      <c r="H554" s="174"/>
      <c r="I554" s="308"/>
      <c r="J554" s="168"/>
      <c r="K554" s="225"/>
      <c r="L554" s="183"/>
      <c r="M554" s="233"/>
      <c r="N554" s="174"/>
      <c r="O554" s="227"/>
      <c r="Q554" s="227"/>
      <c r="T554" s="265"/>
      <c r="U554" s="178"/>
      <c r="V554" s="179"/>
      <c r="W554" s="180"/>
      <c r="X554" s="265"/>
      <c r="Y554" s="178"/>
      <c r="Z554" s="181"/>
      <c r="AA554" s="265"/>
      <c r="AB554" s="227"/>
      <c r="AC554" s="264"/>
      <c r="AD554" s="264"/>
      <c r="AF554" s="245"/>
    </row>
    <row r="555" spans="1:93" x14ac:dyDescent="0.2">
      <c r="A555" s="118">
        <f t="shared" si="51"/>
        <v>29</v>
      </c>
      <c r="B555" s="234"/>
      <c r="C555" s="223"/>
      <c r="D555" s="168"/>
      <c r="E555" s="225"/>
      <c r="F555" s="183"/>
      <c r="G555" s="233"/>
      <c r="H555" s="174"/>
      <c r="I555" s="308"/>
      <c r="J555" s="168"/>
      <c r="K555" s="225"/>
      <c r="L555" s="183"/>
      <c r="M555" s="233"/>
      <c r="N555" s="174"/>
      <c r="O555" s="227"/>
      <c r="Q555" s="227"/>
      <c r="T555" s="265"/>
      <c r="U555" s="178"/>
      <c r="V555" s="179"/>
      <c r="W555" s="180"/>
      <c r="X555" s="265"/>
      <c r="Y555" s="178"/>
      <c r="Z555" s="181"/>
      <c r="AA555" s="265"/>
      <c r="AB555" s="264"/>
      <c r="AC555" s="264"/>
      <c r="AD555" s="264"/>
      <c r="AF555" s="245"/>
    </row>
    <row r="556" spans="1:93" x14ac:dyDescent="0.2">
      <c r="A556" s="118">
        <f t="shared" si="51"/>
        <v>30</v>
      </c>
      <c r="B556" s="243"/>
      <c r="C556" s="223"/>
      <c r="D556" s="168"/>
      <c r="E556" s="225"/>
      <c r="F556" s="183"/>
      <c r="G556" s="233"/>
      <c r="H556" s="174"/>
      <c r="I556" s="308"/>
      <c r="J556" s="168"/>
      <c r="K556" s="225"/>
      <c r="L556" s="183"/>
      <c r="M556" s="233"/>
      <c r="N556" s="174"/>
      <c r="O556" s="227"/>
      <c r="Q556" s="227"/>
      <c r="T556" s="265"/>
      <c r="U556" s="178"/>
      <c r="V556" s="179"/>
      <c r="W556" s="180"/>
      <c r="X556" s="265"/>
      <c r="Y556" s="178"/>
      <c r="Z556" s="181"/>
      <c r="AA556" s="265"/>
      <c r="AB556" s="264"/>
      <c r="AC556" s="264"/>
      <c r="AD556" s="264"/>
      <c r="AF556" s="245"/>
    </row>
    <row r="557" spans="1:93" x14ac:dyDescent="0.2">
      <c r="A557" s="118">
        <f t="shared" si="51"/>
        <v>31</v>
      </c>
      <c r="B557" s="243"/>
      <c r="C557" s="223"/>
      <c r="D557" s="168"/>
      <c r="E557" s="225"/>
      <c r="F557" s="183"/>
      <c r="G557" s="233"/>
      <c r="H557" s="174"/>
      <c r="I557" s="308"/>
      <c r="J557" s="168"/>
      <c r="K557" s="225"/>
      <c r="L557" s="183"/>
      <c r="M557" s="233"/>
      <c r="N557" s="174"/>
      <c r="O557" s="227"/>
      <c r="Q557" s="176"/>
      <c r="T557" s="267"/>
      <c r="U557" s="184"/>
      <c r="V557" s="179"/>
      <c r="W557" s="180"/>
      <c r="X557" s="267"/>
      <c r="Y557" s="184"/>
      <c r="Z557" s="181"/>
      <c r="AA557" s="267"/>
      <c r="AB557" s="264"/>
      <c r="AC557" s="264"/>
      <c r="AD557" s="264"/>
      <c r="AF557" s="245"/>
    </row>
    <row r="558" spans="1:93" x14ac:dyDescent="0.2">
      <c r="A558" s="118">
        <f t="shared" si="51"/>
        <v>32</v>
      </c>
      <c r="B558" s="234"/>
      <c r="C558" s="223"/>
      <c r="D558" s="168"/>
      <c r="E558" s="225"/>
      <c r="F558" s="183"/>
      <c r="G558" s="233"/>
      <c r="H558" s="174"/>
      <c r="I558" s="308"/>
      <c r="J558" s="168"/>
      <c r="K558" s="225"/>
      <c r="L558" s="183"/>
      <c r="M558" s="233"/>
      <c r="N558" s="174"/>
      <c r="O558" s="227"/>
      <c r="Q558" s="227"/>
      <c r="U558" s="184"/>
      <c r="V558" s="179"/>
      <c r="W558" s="180"/>
      <c r="Y558" s="184"/>
      <c r="Z558" s="181"/>
      <c r="AB558" s="213"/>
    </row>
    <row r="559" spans="1:93" x14ac:dyDescent="0.2">
      <c r="A559" s="118">
        <f t="shared" si="51"/>
        <v>33</v>
      </c>
      <c r="B559" s="243"/>
      <c r="C559" s="223"/>
      <c r="D559" s="168"/>
      <c r="E559" s="225"/>
      <c r="F559" s="183"/>
      <c r="G559" s="233"/>
      <c r="H559" s="174"/>
      <c r="I559" s="308"/>
      <c r="J559" s="168"/>
      <c r="K559" s="225"/>
      <c r="L559" s="183"/>
      <c r="M559" s="233"/>
      <c r="N559" s="174"/>
      <c r="O559" s="227"/>
      <c r="P559" s="227"/>
      <c r="Q559" s="227"/>
      <c r="U559" s="184"/>
      <c r="V559" s="179"/>
      <c r="W559" s="180"/>
      <c r="Y559" s="184"/>
      <c r="Z559" s="181"/>
    </row>
    <row r="560" spans="1:93" x14ac:dyDescent="0.2">
      <c r="A560" s="118">
        <f t="shared" si="51"/>
        <v>34</v>
      </c>
      <c r="B560" s="243"/>
      <c r="C560" s="223"/>
      <c r="D560" s="168"/>
      <c r="E560" s="225"/>
      <c r="F560" s="183"/>
      <c r="G560" s="233"/>
      <c r="H560" s="174"/>
      <c r="I560" s="308"/>
      <c r="J560" s="168"/>
      <c r="K560" s="225"/>
      <c r="L560" s="183"/>
      <c r="M560" s="233"/>
      <c r="N560" s="174"/>
      <c r="O560" s="227"/>
      <c r="P560" s="227"/>
      <c r="Q560" s="227"/>
      <c r="U560" s="184"/>
      <c r="V560" s="179"/>
      <c r="W560" s="180"/>
      <c r="Y560" s="184"/>
      <c r="Z560" s="181"/>
    </row>
    <row r="561" spans="1:93" x14ac:dyDescent="0.2">
      <c r="A561" s="118">
        <f t="shared" si="51"/>
        <v>35</v>
      </c>
      <c r="B561" s="243"/>
      <c r="C561" s="223"/>
      <c r="D561" s="168"/>
      <c r="E561" s="225"/>
      <c r="F561" s="183"/>
      <c r="G561" s="233"/>
      <c r="H561" s="174"/>
      <c r="I561" s="308"/>
      <c r="J561" s="168"/>
      <c r="K561" s="225"/>
      <c r="L561" s="183"/>
      <c r="M561" s="233"/>
      <c r="N561" s="174"/>
      <c r="O561" s="227"/>
      <c r="P561" s="227"/>
      <c r="Q561" s="227"/>
      <c r="U561" s="184"/>
      <c r="V561" s="179"/>
      <c r="W561" s="180"/>
      <c r="Y561" s="184"/>
      <c r="Z561" s="181"/>
    </row>
    <row r="562" spans="1:93" x14ac:dyDescent="0.2">
      <c r="A562" s="118">
        <f t="shared" si="51"/>
        <v>36</v>
      </c>
      <c r="B562" s="243"/>
      <c r="C562" s="223"/>
      <c r="D562" s="168"/>
      <c r="E562" s="225"/>
      <c r="F562" s="183"/>
      <c r="G562" s="233"/>
      <c r="H562" s="174"/>
      <c r="I562" s="308"/>
      <c r="J562" s="168"/>
      <c r="K562" s="225"/>
      <c r="L562" s="183"/>
      <c r="M562" s="233"/>
      <c r="N562" s="174"/>
      <c r="O562" s="227"/>
      <c r="P562" s="227"/>
      <c r="Q562" s="227"/>
      <c r="U562" s="184"/>
      <c r="V562" s="179"/>
      <c r="W562" s="180"/>
      <c r="Y562" s="184"/>
      <c r="Z562" s="181"/>
    </row>
    <row r="563" spans="1:93" x14ac:dyDescent="0.2">
      <c r="A563" s="118">
        <f t="shared" si="51"/>
        <v>37</v>
      </c>
      <c r="B563" s="243"/>
      <c r="C563" s="223"/>
      <c r="D563" s="168"/>
      <c r="E563" s="225"/>
      <c r="F563" s="183"/>
      <c r="G563" s="233"/>
      <c r="H563" s="174"/>
      <c r="I563" s="308"/>
      <c r="J563" s="168"/>
      <c r="K563" s="225"/>
      <c r="L563" s="183"/>
      <c r="M563" s="233"/>
      <c r="N563" s="174"/>
      <c r="O563" s="227"/>
      <c r="P563" s="227"/>
      <c r="Q563" s="227"/>
      <c r="U563" s="184"/>
      <c r="V563" s="179"/>
      <c r="W563" s="180"/>
      <c r="Y563" s="184"/>
      <c r="Z563" s="181"/>
    </row>
    <row r="564" spans="1:93" x14ac:dyDescent="0.2">
      <c r="A564" s="118">
        <f t="shared" si="51"/>
        <v>38</v>
      </c>
      <c r="B564" s="243"/>
      <c r="C564" s="223"/>
      <c r="D564" s="168"/>
      <c r="E564" s="225"/>
      <c r="F564" s="183"/>
      <c r="G564" s="233"/>
      <c r="H564" s="174"/>
      <c r="I564" s="308"/>
      <c r="J564" s="168"/>
      <c r="K564" s="225"/>
      <c r="L564" s="183"/>
      <c r="M564" s="233"/>
      <c r="N564" s="174"/>
      <c r="O564" s="227"/>
      <c r="P564" s="227"/>
      <c r="Q564" s="227"/>
      <c r="U564" s="184"/>
      <c r="V564" s="179"/>
      <c r="W564" s="180"/>
      <c r="Y564" s="184"/>
      <c r="Z564" s="181"/>
    </row>
    <row r="565" spans="1:93" x14ac:dyDescent="0.2">
      <c r="A565" s="118">
        <f t="shared" si="51"/>
        <v>39</v>
      </c>
      <c r="B565" s="243"/>
      <c r="C565" s="223"/>
      <c r="D565" s="168"/>
      <c r="E565" s="225"/>
      <c r="F565" s="183"/>
      <c r="G565" s="233"/>
      <c r="H565" s="174"/>
      <c r="I565" s="308"/>
      <c r="J565" s="168"/>
      <c r="K565" s="225"/>
      <c r="L565" s="183"/>
      <c r="M565" s="233"/>
      <c r="N565" s="174"/>
      <c r="O565" s="227"/>
      <c r="P565" s="227"/>
      <c r="Q565" s="227"/>
      <c r="U565" s="184"/>
      <c r="V565" s="179"/>
      <c r="W565" s="180"/>
      <c r="Y565" s="184"/>
      <c r="Z565" s="181"/>
    </row>
    <row r="566" spans="1:93" x14ac:dyDescent="0.2">
      <c r="A566" s="118">
        <f t="shared" si="51"/>
        <v>40</v>
      </c>
      <c r="B566" s="243"/>
      <c r="C566" s="223"/>
      <c r="D566" s="168"/>
      <c r="E566" s="225"/>
      <c r="F566" s="183"/>
      <c r="G566" s="233"/>
      <c r="H566" s="174"/>
      <c r="I566" s="308"/>
      <c r="J566" s="168"/>
      <c r="K566" s="225"/>
      <c r="L566" s="183"/>
      <c r="M566" s="233"/>
      <c r="N566" s="174"/>
      <c r="O566" s="227"/>
      <c r="P566" s="227"/>
      <c r="Q566" s="227"/>
      <c r="U566" s="178"/>
      <c r="V566" s="179"/>
      <c r="W566" s="180"/>
      <c r="Y566" s="178"/>
      <c r="Z566" s="181"/>
    </row>
    <row r="567" spans="1:93" x14ac:dyDescent="0.2">
      <c r="A567" s="118">
        <f t="shared" si="51"/>
        <v>41</v>
      </c>
      <c r="B567" s="234"/>
      <c r="C567" s="223"/>
      <c r="D567" s="168"/>
      <c r="E567" s="225"/>
      <c r="F567" s="183"/>
      <c r="G567" s="233"/>
      <c r="H567" s="174"/>
      <c r="I567" s="308"/>
      <c r="J567" s="168"/>
      <c r="K567" s="225"/>
      <c r="L567" s="183"/>
      <c r="M567" s="233"/>
      <c r="N567" s="174"/>
      <c r="O567" s="227"/>
      <c r="P567" s="227"/>
      <c r="Q567" s="227"/>
      <c r="T567" s="213"/>
      <c r="U567" s="178"/>
      <c r="V567" s="179"/>
      <c r="W567" s="180"/>
      <c r="X567" s="213"/>
      <c r="Y567" s="178"/>
      <c r="Z567" s="181"/>
      <c r="AA567" s="213"/>
    </row>
    <row r="568" spans="1:93" x14ac:dyDescent="0.2">
      <c r="A568" s="118">
        <f t="shared" si="51"/>
        <v>42</v>
      </c>
      <c r="B568" s="243"/>
      <c r="C568" s="223"/>
      <c r="D568" s="168"/>
      <c r="E568" s="225"/>
      <c r="F568" s="183"/>
      <c r="G568" s="233"/>
      <c r="H568" s="174"/>
      <c r="I568" s="308"/>
      <c r="J568" s="168"/>
      <c r="K568" s="225"/>
      <c r="L568" s="183"/>
      <c r="M568" s="233"/>
      <c r="N568" s="174"/>
      <c r="O568" s="227"/>
      <c r="P568" s="227"/>
      <c r="Q568" s="227"/>
      <c r="T568" s="182"/>
      <c r="U568" s="184"/>
      <c r="V568" s="179"/>
      <c r="W568" s="180"/>
      <c r="X568" s="182"/>
      <c r="Y568" s="184"/>
      <c r="Z568" s="181"/>
      <c r="AA568" s="182"/>
    </row>
    <row r="569" spans="1:93" x14ac:dyDescent="0.2">
      <c r="A569" s="118">
        <f t="shared" si="51"/>
        <v>43</v>
      </c>
      <c r="B569" s="243"/>
      <c r="C569" s="223"/>
      <c r="D569" s="168"/>
      <c r="E569" s="225"/>
      <c r="F569" s="183"/>
      <c r="G569" s="233"/>
      <c r="H569" s="174"/>
      <c r="I569" s="308"/>
      <c r="J569" s="168"/>
      <c r="K569" s="225"/>
      <c r="L569" s="183"/>
      <c r="M569" s="233"/>
      <c r="N569" s="174"/>
      <c r="O569" s="227"/>
      <c r="P569" s="227"/>
      <c r="Q569" s="227"/>
      <c r="T569" s="250"/>
      <c r="U569" s="184"/>
      <c r="V569" s="179"/>
      <c r="W569" s="180"/>
      <c r="X569" s="250"/>
      <c r="Y569" s="184"/>
      <c r="Z569" s="181"/>
      <c r="AA569" s="250"/>
    </row>
    <row r="570" spans="1:93" x14ac:dyDescent="0.2">
      <c r="A570" s="118">
        <f t="shared" si="51"/>
        <v>44</v>
      </c>
      <c r="B570" s="243"/>
      <c r="C570" s="223"/>
      <c r="D570" s="168"/>
      <c r="E570" s="233"/>
      <c r="F570" s="205"/>
      <c r="G570" s="233"/>
      <c r="H570" s="174"/>
      <c r="I570" s="308"/>
      <c r="J570" s="168"/>
      <c r="K570" s="233"/>
      <c r="L570" s="205"/>
      <c r="M570" s="233"/>
      <c r="N570" s="174"/>
      <c r="O570" s="227"/>
      <c r="P570" s="227"/>
      <c r="Q570" s="227"/>
      <c r="T570" s="103"/>
      <c r="U570" s="184"/>
      <c r="V570" s="179"/>
      <c r="W570" s="180"/>
      <c r="X570" s="103"/>
      <c r="Y570" s="184"/>
      <c r="Z570" s="181"/>
      <c r="AA570" s="103"/>
    </row>
    <row r="571" spans="1:93" x14ac:dyDescent="0.2">
      <c r="A571" s="118">
        <f t="shared" si="51"/>
        <v>45</v>
      </c>
      <c r="B571" s="314"/>
      <c r="C571" s="318" t="s">
        <v>416</v>
      </c>
      <c r="D571" s="257" t="s">
        <v>416</v>
      </c>
      <c r="E571" s="319" t="s">
        <v>416</v>
      </c>
      <c r="F571" s="320"/>
      <c r="G571" s="319" t="s">
        <v>416</v>
      </c>
      <c r="H571" s="187" t="s">
        <v>416</v>
      </c>
      <c r="I571" s="308"/>
      <c r="J571" s="257" t="s">
        <v>416</v>
      </c>
      <c r="K571" s="319" t="s">
        <v>416</v>
      </c>
      <c r="L571" s="320"/>
      <c r="M571" s="319" t="s">
        <v>416</v>
      </c>
      <c r="N571" s="187" t="s">
        <v>416</v>
      </c>
      <c r="O571" s="321"/>
      <c r="P571" s="227"/>
      <c r="Q571" s="227"/>
      <c r="T571" s="103"/>
      <c r="U571" s="252"/>
      <c r="V571" s="253"/>
      <c r="W571" s="254"/>
      <c r="X571" s="103"/>
      <c r="Y571" s="252"/>
      <c r="Z571" s="255"/>
      <c r="AA571" s="103"/>
    </row>
    <row r="572" spans="1:93" x14ac:dyDescent="0.2">
      <c r="A572" s="215"/>
      <c r="B572" s="215" t="s">
        <v>98</v>
      </c>
      <c r="C572" s="215"/>
      <c r="D572" s="215"/>
      <c r="E572" s="215"/>
      <c r="F572" s="299"/>
      <c r="G572" s="215"/>
      <c r="H572" s="300"/>
      <c r="I572" s="215"/>
      <c r="J572" s="215"/>
      <c r="K572" s="215"/>
      <c r="L572" s="299"/>
      <c r="M572" s="215"/>
      <c r="N572" s="300" t="s">
        <v>99</v>
      </c>
      <c r="O572" s="215"/>
      <c r="P572" s="215"/>
      <c r="Q572" s="215"/>
      <c r="Y572" s="101"/>
    </row>
    <row r="573" spans="1:93" x14ac:dyDescent="0.2">
      <c r="A573" s="216"/>
      <c r="B573" s="216"/>
      <c r="C573" s="216"/>
      <c r="D573" s="216"/>
      <c r="E573" s="216"/>
      <c r="F573" s="216"/>
      <c r="G573" s="216"/>
      <c r="H573" s="216"/>
      <c r="I573" s="216"/>
      <c r="J573" s="216"/>
      <c r="K573" s="216"/>
      <c r="L573" s="216"/>
      <c r="M573" s="216"/>
      <c r="N573" s="216"/>
      <c r="O573" s="216"/>
      <c r="P573" s="216"/>
      <c r="Q573" s="216"/>
      <c r="R573" s="216"/>
      <c r="S573" s="216"/>
      <c r="T573" s="216"/>
      <c r="U573" s="216"/>
      <c r="V573" s="216"/>
      <c r="W573" s="216"/>
      <c r="X573" s="216"/>
      <c r="Y573" s="216"/>
      <c r="Z573" s="217"/>
      <c r="AA573" s="216"/>
      <c r="AB573" s="216"/>
      <c r="AC573" s="216"/>
      <c r="AD573" s="216"/>
      <c r="AE573" s="216"/>
      <c r="AF573" s="216"/>
      <c r="AG573" s="216"/>
      <c r="AH573" s="216"/>
      <c r="AI573" s="216"/>
      <c r="AJ573" s="216"/>
      <c r="AK573" s="216"/>
      <c r="AL573" s="216"/>
      <c r="AM573" s="216"/>
      <c r="AN573" s="216"/>
      <c r="AO573" s="216"/>
      <c r="AP573" s="216"/>
      <c r="AQ573" s="216"/>
      <c r="AR573" s="216"/>
      <c r="AS573" s="216"/>
      <c r="AT573" s="216"/>
      <c r="AU573" s="216"/>
      <c r="AV573" s="216"/>
      <c r="AW573" s="216"/>
      <c r="AX573" s="216"/>
      <c r="AY573" s="216"/>
      <c r="AZ573" s="216"/>
      <c r="BA573" s="216"/>
      <c r="BB573" s="216"/>
      <c r="BC573" s="216"/>
      <c r="BD573" s="216"/>
      <c r="BE573" s="216"/>
      <c r="BF573" s="216"/>
      <c r="BG573" s="216"/>
      <c r="BH573" s="216"/>
      <c r="BI573" s="216"/>
      <c r="BJ573" s="216"/>
      <c r="BK573" s="216"/>
      <c r="BL573" s="216"/>
      <c r="BM573" s="216"/>
      <c r="BN573" s="216"/>
      <c r="BO573" s="216"/>
      <c r="BP573" s="216"/>
      <c r="BQ573" s="216"/>
      <c r="BR573" s="216"/>
      <c r="BS573" s="216"/>
      <c r="BT573" s="216"/>
      <c r="BU573" s="216"/>
      <c r="BV573" s="216"/>
      <c r="BW573" s="216"/>
      <c r="BX573" s="216"/>
      <c r="BY573" s="216"/>
      <c r="BZ573" s="216"/>
      <c r="CA573" s="216"/>
      <c r="CB573" s="216"/>
      <c r="CC573" s="216"/>
      <c r="CD573" s="216"/>
      <c r="CE573" s="216"/>
      <c r="CF573" s="216"/>
      <c r="CG573" s="216"/>
      <c r="CH573" s="216"/>
      <c r="CI573" s="216"/>
      <c r="CJ573" s="216"/>
      <c r="CK573" s="216"/>
      <c r="CL573" s="216"/>
      <c r="CM573" s="216"/>
      <c r="CN573" s="216"/>
      <c r="CO573" s="216"/>
    </row>
    <row r="574" spans="1:93" ht="13.8" x14ac:dyDescent="0.3">
      <c r="A574" s="12" t="s">
        <v>667</v>
      </c>
      <c r="C574" s="102"/>
      <c r="D574" s="1280"/>
      <c r="F574" s="104"/>
      <c r="G574" s="104"/>
      <c r="H574" s="361" t="s">
        <v>668</v>
      </c>
      <c r="I574" s="104"/>
      <c r="J574" s="104"/>
      <c r="K574" s="104"/>
      <c r="L574" s="104"/>
      <c r="N574" s="105"/>
      <c r="Q574" s="106" t="str">
        <f>'MFR E-13c'!Q487</f>
        <v>Page 24 of 39</v>
      </c>
      <c r="R574" s="322"/>
      <c r="S574" s="322"/>
      <c r="U574" s="114"/>
      <c r="V574" s="114"/>
      <c r="W574" s="114"/>
      <c r="Y574" s="114"/>
      <c r="Z574" s="218"/>
      <c r="AC574" s="114"/>
    </row>
    <row r="575" spans="1:93" ht="10.8" thickBot="1" x14ac:dyDescent="0.25">
      <c r="A575" s="108"/>
      <c r="B575" s="109"/>
      <c r="C575" s="109"/>
      <c r="D575" s="109"/>
      <c r="E575" s="110" t="s">
        <v>416</v>
      </c>
      <c r="F575" s="109"/>
      <c r="G575" s="109" t="s">
        <v>416</v>
      </c>
      <c r="H575" s="109" t="s">
        <v>416</v>
      </c>
      <c r="I575" s="109" t="s">
        <v>416</v>
      </c>
      <c r="J575" s="109"/>
      <c r="K575" s="109"/>
      <c r="L575" s="109"/>
      <c r="M575" s="111"/>
      <c r="N575" s="111"/>
      <c r="O575" s="109"/>
      <c r="P575" s="112"/>
      <c r="Q575" s="109"/>
      <c r="U575" s="114"/>
      <c r="V575" s="114"/>
      <c r="W575" s="114"/>
      <c r="Y575" s="114"/>
      <c r="Z575" s="218"/>
      <c r="AC575" s="114"/>
    </row>
    <row r="576" spans="1:93" x14ac:dyDescent="0.2">
      <c r="A576" s="113"/>
      <c r="M576" s="105"/>
      <c r="N576" s="105"/>
      <c r="P576" s="114"/>
      <c r="U576" s="114"/>
      <c r="V576" s="114"/>
      <c r="W576" s="114"/>
      <c r="Y576" s="114"/>
      <c r="Z576" s="218"/>
      <c r="AC576" s="114"/>
    </row>
    <row r="577" spans="1:93" ht="13.8" x14ac:dyDescent="0.2">
      <c r="A577" s="100"/>
      <c r="C577" s="1278" t="s">
        <v>4</v>
      </c>
      <c r="D577" s="1386" t="s">
        <v>669</v>
      </c>
      <c r="E577" s="1386"/>
      <c r="F577" s="1386"/>
      <c r="G577" s="1386"/>
      <c r="H577" s="1386"/>
      <c r="I577" s="1386"/>
      <c r="J577" s="1386"/>
      <c r="K577" s="1386"/>
      <c r="L577" s="1386"/>
      <c r="M577" s="1386"/>
      <c r="N577" s="1386"/>
      <c r="O577" s="1279"/>
      <c r="P577" s="1279"/>
      <c r="U577" s="114"/>
      <c r="V577" s="114"/>
      <c r="W577" s="114"/>
      <c r="Y577" s="114"/>
      <c r="Z577" s="218"/>
      <c r="AC577" s="114"/>
    </row>
    <row r="578" spans="1:93" ht="13.8" x14ac:dyDescent="0.2">
      <c r="C578" s="1279"/>
      <c r="D578" s="1386" t="s">
        <v>670</v>
      </c>
      <c r="E578" s="1386"/>
      <c r="F578" s="1386"/>
      <c r="G578" s="1386"/>
      <c r="H578" s="1386"/>
      <c r="I578" s="1386"/>
      <c r="J578" s="1386"/>
      <c r="K578" s="1386"/>
      <c r="L578" s="1386"/>
      <c r="M578" s="1386"/>
      <c r="N578" s="1386"/>
      <c r="O578" s="1279"/>
      <c r="P578" s="1279"/>
      <c r="U578" s="114"/>
      <c r="V578" s="114"/>
      <c r="W578" s="114"/>
      <c r="Y578" s="114"/>
      <c r="Z578" s="218"/>
      <c r="AC578" s="114"/>
    </row>
    <row r="579" spans="1:93" ht="13.8" x14ac:dyDescent="0.3">
      <c r="A579" s="100"/>
      <c r="C579" s="21"/>
      <c r="D579" s="1386" t="s">
        <v>671</v>
      </c>
      <c r="E579" s="1386"/>
      <c r="F579" s="1386"/>
      <c r="G579" s="1386"/>
      <c r="H579" s="1386"/>
      <c r="I579" s="1386"/>
      <c r="J579" s="1386"/>
      <c r="K579" s="1386"/>
      <c r="L579" s="1386"/>
      <c r="M579" s="1386"/>
      <c r="N579" s="1386"/>
      <c r="O579" s="107"/>
      <c r="U579" s="114"/>
      <c r="V579" s="114"/>
      <c r="W579" s="114"/>
      <c r="Y579" s="114"/>
      <c r="Z579" s="218"/>
      <c r="AC579" s="114"/>
    </row>
    <row r="580" spans="1:93" x14ac:dyDescent="0.2">
      <c r="U580" s="114"/>
      <c r="V580" s="114"/>
      <c r="W580" s="114"/>
      <c r="Y580" s="114"/>
      <c r="Z580" s="218"/>
      <c r="AC580" s="114"/>
    </row>
    <row r="581" spans="1:93" x14ac:dyDescent="0.2">
      <c r="A581" s="100"/>
      <c r="C581" s="119"/>
      <c r="O581" s="100"/>
      <c r="U581" s="114"/>
      <c r="V581" s="114"/>
      <c r="W581" s="114"/>
      <c r="Y581" s="114"/>
      <c r="Z581" s="218"/>
      <c r="AC581" s="114"/>
    </row>
    <row r="582" spans="1:93" ht="10.8" thickBot="1" x14ac:dyDescent="0.25">
      <c r="A582" s="123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23"/>
      <c r="O582" s="109"/>
      <c r="P582" s="109"/>
      <c r="Q582" s="109"/>
      <c r="U582" s="114"/>
      <c r="V582" s="114"/>
      <c r="W582" s="114"/>
      <c r="Y582" s="114"/>
      <c r="Z582" s="218"/>
      <c r="AC582" s="114"/>
    </row>
    <row r="583" spans="1:93" ht="15.6" x14ac:dyDescent="0.2">
      <c r="B583" s="1369"/>
      <c r="C583" s="125"/>
      <c r="D583" s="125"/>
      <c r="E583" s="125"/>
      <c r="F583" s="276"/>
      <c r="G583" s="125"/>
      <c r="H583" s="277"/>
      <c r="I583" s="126" t="s">
        <v>639</v>
      </c>
      <c r="J583" s="125"/>
      <c r="K583" s="125"/>
      <c r="L583" s="276"/>
      <c r="M583" s="125"/>
      <c r="N583" s="277"/>
      <c r="U583" s="127" t="s">
        <v>530</v>
      </c>
      <c r="V583" s="128"/>
      <c r="W583" s="129"/>
      <c r="Y583" s="130" t="s">
        <v>531</v>
      </c>
      <c r="Z583" s="131"/>
    </row>
    <row r="584" spans="1:93" x14ac:dyDescent="0.2">
      <c r="A584" s="101" t="s">
        <v>30</v>
      </c>
      <c r="B584" s="101" t="s">
        <v>532</v>
      </c>
      <c r="C584" s="132"/>
      <c r="D584" s="133" t="s">
        <v>533</v>
      </c>
      <c r="E584" s="134"/>
      <c r="F584" s="278"/>
      <c r="G584" s="133"/>
      <c r="H584" s="279"/>
      <c r="I584" s="135"/>
      <c r="J584" s="136" t="s">
        <v>534</v>
      </c>
      <c r="K584" s="133"/>
      <c r="L584" s="278"/>
      <c r="M584" s="134"/>
      <c r="N584" s="280"/>
      <c r="O584" s="137"/>
      <c r="Q584" s="118" t="s">
        <v>332</v>
      </c>
      <c r="U584" s="138"/>
      <c r="V584" s="139"/>
      <c r="W584" s="140"/>
      <c r="Y584" s="138"/>
      <c r="Z584" s="141"/>
    </row>
    <row r="585" spans="1:93" x14ac:dyDescent="0.2">
      <c r="A585" s="101" t="s">
        <v>39</v>
      </c>
      <c r="B585" s="102" t="s">
        <v>535</v>
      </c>
      <c r="C585" s="104"/>
      <c r="D585" s="142" t="s">
        <v>536</v>
      </c>
      <c r="E585" s="143"/>
      <c r="F585" s="281" t="s">
        <v>537</v>
      </c>
      <c r="G585" s="142"/>
      <c r="H585" s="282" t="s">
        <v>538</v>
      </c>
      <c r="I585" s="144"/>
      <c r="J585" s="142" t="s">
        <v>536</v>
      </c>
      <c r="K585" s="143"/>
      <c r="L585" s="281" t="s">
        <v>537</v>
      </c>
      <c r="M585" s="142"/>
      <c r="N585" s="282" t="s">
        <v>538</v>
      </c>
      <c r="O585" s="132"/>
      <c r="Q585" s="145" t="s">
        <v>539</v>
      </c>
      <c r="R585" s="132"/>
      <c r="S585" s="132"/>
      <c r="U585" s="138" t="s">
        <v>128</v>
      </c>
      <c r="V585" s="146" t="s">
        <v>343</v>
      </c>
      <c r="W585" s="147" t="s">
        <v>344</v>
      </c>
      <c r="Y585" s="148" t="s">
        <v>128</v>
      </c>
      <c r="Z585" s="149"/>
      <c r="AH585" s="116"/>
      <c r="AI585" s="116"/>
      <c r="AJ585" s="116"/>
      <c r="AK585" s="116"/>
      <c r="AL585" s="116"/>
      <c r="AM585" s="116"/>
      <c r="AN585" s="116"/>
      <c r="AO585" s="116"/>
      <c r="AP585" s="116"/>
      <c r="AQ585" s="116"/>
      <c r="AR585" s="116"/>
      <c r="AS585" s="116"/>
      <c r="AT585" s="116"/>
      <c r="AU585" s="116"/>
      <c r="AV585" s="116"/>
      <c r="AW585" s="116"/>
      <c r="AX585" s="116"/>
      <c r="AY585" s="116"/>
      <c r="AZ585" s="116"/>
      <c r="BA585" s="116"/>
      <c r="BB585" s="116"/>
      <c r="BC585" s="116"/>
      <c r="BD585" s="116"/>
      <c r="BE585" s="116"/>
      <c r="BF585" s="116"/>
      <c r="BG585" s="116"/>
      <c r="BH585" s="116"/>
      <c r="BI585" s="116"/>
      <c r="BJ585" s="116"/>
      <c r="BK585" s="116"/>
      <c r="BL585" s="116"/>
      <c r="BM585" s="116"/>
      <c r="BN585" s="116"/>
      <c r="BO585" s="116"/>
      <c r="BP585" s="116"/>
      <c r="BQ585" s="116"/>
      <c r="BR585" s="116"/>
      <c r="BS585" s="116"/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</row>
    <row r="586" spans="1:93" ht="10.8" thickBot="1" x14ac:dyDescent="0.25">
      <c r="A586" s="109"/>
      <c r="B586" s="1370" t="s">
        <v>138</v>
      </c>
      <c r="C586" s="150"/>
      <c r="D586" s="220" t="str">
        <f>+$D$15</f>
        <v>Jan '26-Dec '26</v>
      </c>
      <c r="E586" s="221"/>
      <c r="F586" s="152">
        <f>+$L$15</f>
        <v>46023</v>
      </c>
      <c r="G586" s="153"/>
      <c r="H586" s="153"/>
      <c r="I586" s="153"/>
      <c r="J586" s="153"/>
      <c r="K586" s="151"/>
      <c r="L586" s="152">
        <f>+$L$15</f>
        <v>46023</v>
      </c>
      <c r="M586" s="154"/>
      <c r="N586" s="283"/>
      <c r="O586" s="155"/>
      <c r="P586" s="109"/>
      <c r="Q586" s="156"/>
      <c r="R586" s="132"/>
      <c r="S586" s="132"/>
      <c r="U586" s="157" t="s">
        <v>144</v>
      </c>
      <c r="V586" s="158" t="s">
        <v>540</v>
      </c>
      <c r="W586" s="159" t="s">
        <v>540</v>
      </c>
      <c r="Y586" s="160" t="s">
        <v>144</v>
      </c>
      <c r="Z586" s="159" t="s">
        <v>541</v>
      </c>
      <c r="AH586" s="116"/>
      <c r="AI586" s="116"/>
      <c r="AJ586" s="116"/>
      <c r="AK586" s="116"/>
      <c r="AL586" s="116"/>
      <c r="AM586" s="116"/>
      <c r="AN586" s="116"/>
      <c r="AO586" s="116"/>
      <c r="AP586" s="116"/>
      <c r="AQ586" s="116"/>
      <c r="AR586" s="116"/>
      <c r="AS586" s="116"/>
      <c r="AT586" s="116"/>
      <c r="AU586" s="116"/>
      <c r="AV586" s="116"/>
      <c r="AW586" s="116"/>
      <c r="AX586" s="116"/>
      <c r="AY586" s="116"/>
      <c r="AZ586" s="116"/>
      <c r="BA586" s="116"/>
      <c r="BB586" s="116"/>
      <c r="BC586" s="116"/>
      <c r="BD586" s="116"/>
      <c r="BE586" s="116"/>
      <c r="BF586" s="116"/>
      <c r="BG586" s="116"/>
      <c r="BH586" s="116"/>
      <c r="BI586" s="116"/>
      <c r="BJ586" s="116"/>
      <c r="BK586" s="116"/>
      <c r="BL586" s="116"/>
      <c r="BM586" s="116"/>
      <c r="BN586" s="116"/>
      <c r="BO586" s="116"/>
      <c r="BP586" s="116"/>
      <c r="BQ586" s="116"/>
      <c r="BR586" s="116"/>
      <c r="BS586" s="116"/>
      <c r="BT586" s="116"/>
      <c r="BU586" s="116"/>
      <c r="BV586" s="116"/>
      <c r="BW586" s="116"/>
      <c r="BX586" s="116"/>
      <c r="BY586" s="116"/>
      <c r="BZ586" s="116"/>
      <c r="CA586" s="116"/>
      <c r="CB586" s="116"/>
      <c r="CC586" s="116"/>
      <c r="CD586" s="116"/>
      <c r="CE586" s="116"/>
      <c r="CF586" s="116"/>
      <c r="CG586" s="116"/>
      <c r="CH586" s="116"/>
      <c r="CI586" s="116"/>
      <c r="CJ586" s="116"/>
      <c r="CK586" s="116"/>
      <c r="CL586" s="116"/>
      <c r="CM586" s="116"/>
      <c r="CN586" s="116"/>
      <c r="CO586" s="116"/>
    </row>
    <row r="587" spans="1:93" x14ac:dyDescent="0.2">
      <c r="A587" s="118">
        <v>1</v>
      </c>
      <c r="F587" s="197"/>
      <c r="H587" s="203"/>
      <c r="I587" s="323"/>
      <c r="L587" s="197"/>
      <c r="N587" s="203"/>
      <c r="O587" s="227"/>
      <c r="P587" s="227"/>
      <c r="Q587" s="230"/>
      <c r="R587" s="132"/>
      <c r="S587" s="132"/>
      <c r="U587" s="163"/>
      <c r="V587" s="139"/>
      <c r="W587" s="140"/>
      <c r="Y587" s="163"/>
      <c r="Z587" s="141"/>
      <c r="AH587" s="116"/>
      <c r="AI587" s="116"/>
      <c r="AJ587" s="116"/>
      <c r="AK587" s="116"/>
      <c r="AL587" s="116"/>
      <c r="AM587" s="116"/>
      <c r="AN587" s="116"/>
      <c r="AO587" s="116"/>
      <c r="AP587" s="116"/>
      <c r="AQ587" s="116"/>
      <c r="AR587" s="116"/>
      <c r="AS587" s="116"/>
      <c r="AT587" s="116"/>
      <c r="AU587" s="116"/>
      <c r="AV587" s="116"/>
      <c r="AW587" s="116"/>
      <c r="AX587" s="116"/>
      <c r="AY587" s="116"/>
      <c r="AZ587" s="116"/>
      <c r="BA587" s="116"/>
      <c r="BB587" s="116"/>
      <c r="BC587" s="116"/>
      <c r="BD587" s="116"/>
      <c r="BE587" s="116"/>
      <c r="BF587" s="116"/>
      <c r="BG587" s="116"/>
      <c r="BH587" s="116"/>
      <c r="BI587" s="116"/>
      <c r="BJ587" s="116"/>
      <c r="BK587" s="116"/>
      <c r="BL587" s="116"/>
      <c r="BM587" s="116"/>
      <c r="BN587" s="116"/>
      <c r="BO587" s="116"/>
      <c r="BP587" s="116"/>
      <c r="BQ587" s="116"/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6"/>
      <c r="CB587" s="116"/>
      <c r="CC587" s="116"/>
      <c r="CD587" s="116"/>
      <c r="CE587" s="116"/>
      <c r="CF587" s="116"/>
      <c r="CG587" s="116"/>
      <c r="CH587" s="116"/>
      <c r="CI587" s="116"/>
      <c r="CJ587" s="116"/>
      <c r="CK587" s="116"/>
      <c r="CL587" s="116"/>
      <c r="CM587" s="116"/>
      <c r="CN587" s="116"/>
      <c r="CO587" s="116"/>
    </row>
    <row r="588" spans="1:93" x14ac:dyDescent="0.2">
      <c r="A588" s="118">
        <f t="shared" ref="A588:A632" si="53">+A587+1</f>
        <v>2</v>
      </c>
      <c r="B588" s="222" t="s">
        <v>542</v>
      </c>
      <c r="C588" s="223"/>
      <c r="D588" s="226"/>
      <c r="E588" s="225"/>
      <c r="F588" s="284"/>
      <c r="G588" s="227"/>
      <c r="H588" s="285"/>
      <c r="I588" s="308"/>
      <c r="J588" s="226"/>
      <c r="K588" s="225"/>
      <c r="L588" s="1368">
        <v>-3.11</v>
      </c>
      <c r="M588" s="227"/>
      <c r="N588" s="285"/>
      <c r="O588" s="227"/>
      <c r="P588" s="227"/>
      <c r="Q588" s="227"/>
      <c r="R588" s="227"/>
      <c r="S588" s="227"/>
      <c r="T588" s="227"/>
      <c r="U588" s="163"/>
      <c r="V588" s="139"/>
      <c r="W588" s="140"/>
      <c r="X588" s="227"/>
      <c r="Y588" s="163"/>
      <c r="Z588" s="141"/>
      <c r="AA588" s="227"/>
      <c r="AH588" s="116"/>
      <c r="AI588" s="116"/>
      <c r="AJ588" s="116"/>
      <c r="AK588" s="116"/>
      <c r="AL588" s="116"/>
      <c r="AM588" s="116"/>
      <c r="AN588" s="116"/>
      <c r="AO588" s="116"/>
      <c r="AP588" s="116"/>
      <c r="AQ588" s="116"/>
      <c r="AR588" s="116"/>
      <c r="AS588" s="116"/>
      <c r="AT588" s="116"/>
      <c r="AU588" s="116"/>
      <c r="AV588" s="116"/>
      <c r="AW588" s="116"/>
      <c r="AX588" s="116"/>
      <c r="AY588" s="116"/>
      <c r="AZ588" s="116"/>
      <c r="BA588" s="116"/>
      <c r="BB588" s="116"/>
      <c r="BC588" s="116"/>
      <c r="BD588" s="116"/>
      <c r="BE588" s="116"/>
      <c r="BF588" s="116"/>
      <c r="BG588" s="116"/>
      <c r="BH588" s="116"/>
      <c r="BI588" s="116"/>
      <c r="BJ588" s="116"/>
      <c r="BK588" s="116"/>
      <c r="BL588" s="116"/>
      <c r="BM588" s="116"/>
      <c r="BN588" s="116"/>
      <c r="BO588" s="116"/>
      <c r="BP588" s="116"/>
      <c r="BQ588" s="116"/>
      <c r="BR588" s="116"/>
      <c r="BS588" s="116"/>
      <c r="BT588" s="116"/>
      <c r="BU588" s="116"/>
      <c r="BV588" s="116"/>
      <c r="BW588" s="116"/>
      <c r="BX588" s="116"/>
      <c r="BY588" s="116"/>
      <c r="BZ588" s="116"/>
      <c r="CA588" s="116"/>
      <c r="CB588" s="116"/>
      <c r="CC588" s="116"/>
      <c r="CD588" s="116"/>
      <c r="CE588" s="116"/>
      <c r="CF588" s="116"/>
      <c r="CG588" s="116"/>
      <c r="CH588" s="116"/>
      <c r="CI588" s="116"/>
      <c r="CJ588" s="116"/>
      <c r="CK588" s="116"/>
      <c r="CL588" s="116"/>
      <c r="CM588" s="116"/>
      <c r="CN588" s="116"/>
      <c r="CO588" s="116"/>
    </row>
    <row r="589" spans="1:93" x14ac:dyDescent="0.2">
      <c r="A589" s="118">
        <f t="shared" si="53"/>
        <v>3</v>
      </c>
      <c r="B589" s="234" t="s">
        <v>148</v>
      </c>
      <c r="C589" s="223"/>
      <c r="D589" s="172">
        <f>SUMIF($AH$8:$CP$8,1,$AH589:$CP589)</f>
        <v>50.961722892793311</v>
      </c>
      <c r="E589" s="233" t="s">
        <v>545</v>
      </c>
      <c r="F589" s="183">
        <v>432.09</v>
      </c>
      <c r="G589" s="233" t="s">
        <v>375</v>
      </c>
      <c r="H589" s="174">
        <f>ROUND(D589*F589,2)</f>
        <v>22020.05</v>
      </c>
      <c r="I589" s="308"/>
      <c r="J589" s="172">
        <f>SUMIF($AH$8:$CP$8,1,$AH589:$CP589)</f>
        <v>50.961722892793311</v>
      </c>
      <c r="K589" s="233" t="s">
        <v>545</v>
      </c>
      <c r="L589" s="183">
        <f>ROUND(F589*(1+'Exhibit MJC-2 - Old E-8a'!V24)+L588,2)</f>
        <v>440.95</v>
      </c>
      <c r="M589" s="233" t="s">
        <v>375</v>
      </c>
      <c r="N589" s="174">
        <f>ROUND(J589*L589,2)</f>
        <v>22471.57</v>
      </c>
      <c r="O589" s="227"/>
      <c r="P589" s="262"/>
      <c r="Q589" s="262"/>
      <c r="R589" s="311"/>
      <c r="S589" s="227"/>
      <c r="T589" s="227"/>
      <c r="U589" s="184" t="s">
        <v>138</v>
      </c>
      <c r="V589" s="179">
        <v>256</v>
      </c>
      <c r="W589" s="180">
        <v>230</v>
      </c>
      <c r="X589" s="227"/>
      <c r="Y589" s="184"/>
      <c r="Z589" s="181"/>
      <c r="AA589" s="227"/>
      <c r="AB589" s="182">
        <f>SUM(AH589:AS589)</f>
        <v>50.412232916970453</v>
      </c>
      <c r="AC589" s="182">
        <f>SUM(AT589:BE589)</f>
        <v>50.638594769349368</v>
      </c>
      <c r="AD589" s="182">
        <f>SUM(BF589:BQ589)</f>
        <v>50.763897535735651</v>
      </c>
      <c r="AE589" s="182">
        <f>SUM(BR589:CC589)</f>
        <v>50.961722892793311</v>
      </c>
      <c r="AF589" s="182">
        <f>SUM(CD589:CO589)</f>
        <v>51.233591326929087</v>
      </c>
      <c r="AH589" s="168">
        <v>5.1847972297730083</v>
      </c>
      <c r="AI589" s="168">
        <v>3.6060930375009992</v>
      </c>
      <c r="AJ589" s="168">
        <v>1.3043970136661396</v>
      </c>
      <c r="AK589" s="168">
        <v>4.5262708290770268</v>
      </c>
      <c r="AL589" s="168">
        <v>4.4253463731842366</v>
      </c>
      <c r="AM589" s="168">
        <v>4.0147431362022603</v>
      </c>
      <c r="AN589" s="168">
        <v>4.6220983526615829</v>
      </c>
      <c r="AO589" s="168">
        <v>4.4694884734779965</v>
      </c>
      <c r="AP589" s="168">
        <v>4.5345286246373497</v>
      </c>
      <c r="AQ589" s="168">
        <v>4.4959003296916569</v>
      </c>
      <c r="AR589" s="168">
        <v>4.7284856730810088</v>
      </c>
      <c r="AS589" s="168">
        <v>4.5000838440171886</v>
      </c>
      <c r="AT589" s="168">
        <v>5.1975836681532552</v>
      </c>
      <c r="AU589" s="168">
        <v>3.6267412122533291</v>
      </c>
      <c r="AV589" s="168">
        <v>1.3129196201605153</v>
      </c>
      <c r="AW589" s="168">
        <v>4.5552395763332338</v>
      </c>
      <c r="AX589" s="168">
        <v>4.4509101401772853</v>
      </c>
      <c r="AY589" s="168">
        <v>4.0370319766140188</v>
      </c>
      <c r="AZ589" s="168">
        <v>4.6442280514964853</v>
      </c>
      <c r="BA589" s="168">
        <v>4.4895522910695682</v>
      </c>
      <c r="BB589" s="168">
        <v>4.5529638685387441</v>
      </c>
      <c r="BC589" s="168">
        <v>4.5126300675263558</v>
      </c>
      <c r="BD589" s="168">
        <v>4.7439647953726167</v>
      </c>
      <c r="BE589" s="168">
        <v>4.5148295016539608</v>
      </c>
      <c r="BF589" s="168">
        <v>5.204722221991096</v>
      </c>
      <c r="BG589" s="168">
        <v>3.6371835868262998</v>
      </c>
      <c r="BH589" s="168">
        <v>1.3129069996595857</v>
      </c>
      <c r="BI589" s="168">
        <v>4.5685470804909745</v>
      </c>
      <c r="BJ589" s="168">
        <v>4.4639875030093288</v>
      </c>
      <c r="BK589" s="168">
        <v>4.0486787196639513</v>
      </c>
      <c r="BL589" s="168">
        <v>4.656493337218965</v>
      </c>
      <c r="BM589" s="168">
        <v>4.5016699727256224</v>
      </c>
      <c r="BN589" s="168">
        <v>4.5645520534774127</v>
      </c>
      <c r="BO589" s="168">
        <v>4.523843096689828</v>
      </c>
      <c r="BP589" s="168">
        <v>4.7547730596629885</v>
      </c>
      <c r="BQ589" s="168">
        <v>4.526539904319602</v>
      </c>
      <c r="BR589" s="168">
        <v>5.2095296265142235</v>
      </c>
      <c r="BS589" s="168">
        <v>3.6470229209183538</v>
      </c>
      <c r="BT589" s="168">
        <v>1.3136483200370848</v>
      </c>
      <c r="BU589" s="168">
        <v>4.5848823926827</v>
      </c>
      <c r="BV589" s="168">
        <v>4.4812798386377022</v>
      </c>
      <c r="BW589" s="168">
        <v>4.0659347518788369</v>
      </c>
      <c r="BX589" s="168">
        <v>4.6757069543328074</v>
      </c>
      <c r="BY589" s="168">
        <v>4.5216161531814247</v>
      </c>
      <c r="BZ589" s="168">
        <v>4.5859235319135898</v>
      </c>
      <c r="CA589" s="168">
        <v>4.5463522402250511</v>
      </c>
      <c r="CB589" s="168">
        <v>4.7791500807819869</v>
      </c>
      <c r="CC589" s="168">
        <v>4.550676081689554</v>
      </c>
      <c r="CD589" s="168">
        <v>5.2333373115476318</v>
      </c>
      <c r="CE589" s="168">
        <v>3.6615270272715144</v>
      </c>
      <c r="CF589" s="168">
        <v>1.318997815025799</v>
      </c>
      <c r="CG589" s="168">
        <v>4.6096760852399568</v>
      </c>
      <c r="CH589" s="168">
        <v>4.5058429091415881</v>
      </c>
      <c r="CI589" s="168">
        <v>4.090329761001831</v>
      </c>
      <c r="CJ589" s="168">
        <v>4.7018757389771979</v>
      </c>
      <c r="CK589" s="168">
        <v>4.5471910973985308</v>
      </c>
      <c r="CL589" s="168">
        <v>4.6116569247459012</v>
      </c>
      <c r="CM589" s="168">
        <v>4.5715633277818579</v>
      </c>
      <c r="CN589" s="168">
        <v>4.8053209229614628</v>
      </c>
      <c r="CO589" s="168">
        <v>4.5762724058358133</v>
      </c>
    </row>
    <row r="590" spans="1:93" x14ac:dyDescent="0.2">
      <c r="A590" s="118">
        <f t="shared" si="53"/>
        <v>4</v>
      </c>
      <c r="B590" s="234" t="s">
        <v>216</v>
      </c>
      <c r="C590" s="223"/>
      <c r="D590" s="172">
        <f>SUMIF($AH$8:$CP$8,1,$AH590:$CP590)</f>
        <v>3.8461677654938358</v>
      </c>
      <c r="E590" s="233" t="s">
        <v>545</v>
      </c>
      <c r="F590" s="183">
        <v>1488.73</v>
      </c>
      <c r="G590" s="233" t="s">
        <v>375</v>
      </c>
      <c r="H590" s="174">
        <f>ROUND(D590*F590,2)</f>
        <v>5725.91</v>
      </c>
      <c r="I590" s="308"/>
      <c r="J590" s="172">
        <f>SUMIF($AH$8:$CP$8,1,$AH590:$CP590)</f>
        <v>3.8461677654938358</v>
      </c>
      <c r="K590" s="233" t="s">
        <v>545</v>
      </c>
      <c r="L590" s="183">
        <f>ROUND(F590*(1+'Exhibit MJC-2 - Old E-8a'!V24)+(L588*(F590/F589)),2)</f>
        <v>1519.27</v>
      </c>
      <c r="M590" s="233" t="s">
        <v>375</v>
      </c>
      <c r="N590" s="174">
        <f>ROUND(J590*L590,2)</f>
        <v>5843.37</v>
      </c>
      <c r="O590" s="227"/>
      <c r="P590" s="262"/>
      <c r="Q590" s="262"/>
      <c r="R590" s="311"/>
      <c r="S590" s="227"/>
      <c r="T590" s="227"/>
      <c r="U590" s="184" t="s">
        <v>138</v>
      </c>
      <c r="V590" s="179">
        <v>256</v>
      </c>
      <c r="W590" s="180">
        <v>230</v>
      </c>
      <c r="X590" s="227"/>
      <c r="Y590" s="184"/>
      <c r="Z590" s="181"/>
      <c r="AA590" s="227"/>
      <c r="AB590" s="182">
        <f>SUM(AH590:AS590)</f>
        <v>3.8046968239222982</v>
      </c>
      <c r="AC590" s="182">
        <f>SUM(AT590:BE590)</f>
        <v>3.8217807373093868</v>
      </c>
      <c r="AD590" s="182">
        <f>SUM(BF590:BQ590)</f>
        <v>3.8312375498668425</v>
      </c>
      <c r="AE590" s="182">
        <f>SUM(BR590:CC590)</f>
        <v>3.8461677654938358</v>
      </c>
      <c r="AF590" s="182">
        <f>SUM(CD590:CO590)</f>
        <v>3.866686137881441</v>
      </c>
      <c r="AH590" s="168">
        <v>0.39130545130362326</v>
      </c>
      <c r="AI590" s="168">
        <v>0.27215796509441503</v>
      </c>
      <c r="AJ590" s="168">
        <v>9.8445057635180355E-2</v>
      </c>
      <c r="AK590" s="168">
        <v>0.34160534559071898</v>
      </c>
      <c r="AL590" s="168">
        <v>0.33398840552333858</v>
      </c>
      <c r="AM590" s="168">
        <v>0.30299948197752913</v>
      </c>
      <c r="AN590" s="168">
        <v>0.34883761152162884</v>
      </c>
      <c r="AO590" s="168">
        <v>0.33731988479079222</v>
      </c>
      <c r="AP590" s="168">
        <v>0.34222857544432833</v>
      </c>
      <c r="AQ590" s="168">
        <v>0.33931323242955902</v>
      </c>
      <c r="AR590" s="168">
        <v>0.35686684325139684</v>
      </c>
      <c r="AS590" s="168">
        <v>0.33962896935978787</v>
      </c>
      <c r="AT590" s="168">
        <v>0.39227046552100037</v>
      </c>
      <c r="AU590" s="168">
        <v>0.27371631790591161</v>
      </c>
      <c r="AV590" s="168">
        <v>9.9088273219661543E-2</v>
      </c>
      <c r="AW590" s="168">
        <v>0.34379166613835732</v>
      </c>
      <c r="AX590" s="168">
        <v>0.33591774642847433</v>
      </c>
      <c r="AY590" s="168">
        <v>0.30468165861237873</v>
      </c>
      <c r="AZ590" s="168">
        <v>0.3505077774714328</v>
      </c>
      <c r="BA590" s="168">
        <v>0.33883413517506172</v>
      </c>
      <c r="BB590" s="168">
        <v>0.34361991460669772</v>
      </c>
      <c r="BC590" s="168">
        <v>0.34057585415293251</v>
      </c>
      <c r="BD590" s="168">
        <v>0.35803507889604658</v>
      </c>
      <c r="BE590" s="168">
        <v>0.34074184918143102</v>
      </c>
      <c r="BF590" s="168">
        <v>0.39280922430121479</v>
      </c>
      <c r="BG590" s="168">
        <v>0.2745044216472679</v>
      </c>
      <c r="BH590" s="168">
        <v>9.9087320729025347E-2</v>
      </c>
      <c r="BI590" s="168">
        <v>0.34479600607479055</v>
      </c>
      <c r="BJ590" s="168">
        <v>0.33690471720825127</v>
      </c>
      <c r="BK590" s="168">
        <v>0.30556065808784544</v>
      </c>
      <c r="BL590" s="168">
        <v>0.35143345941275206</v>
      </c>
      <c r="BM590" s="168">
        <v>0.33974867718683943</v>
      </c>
      <c r="BN590" s="168">
        <v>0.34449449460206893</v>
      </c>
      <c r="BO590" s="168">
        <v>0.34142212050489268</v>
      </c>
      <c r="BP590" s="168">
        <v>0.35885079695569733</v>
      </c>
      <c r="BQ590" s="168">
        <v>0.34162565315619642</v>
      </c>
      <c r="BR590" s="168">
        <v>0.39317204728409239</v>
      </c>
      <c r="BS590" s="168">
        <v>0.27524701289949838</v>
      </c>
      <c r="BT590" s="168">
        <v>9.9143269436761106E-2</v>
      </c>
      <c r="BU590" s="168">
        <v>0.34602885982510945</v>
      </c>
      <c r="BV590" s="168">
        <v>0.33820979914246813</v>
      </c>
      <c r="BW590" s="168">
        <v>0.30686300014179901</v>
      </c>
      <c r="BX590" s="168">
        <v>0.35288354372323077</v>
      </c>
      <c r="BY590" s="168">
        <v>0.34125404929671127</v>
      </c>
      <c r="BZ590" s="168">
        <v>0.34610743637083702</v>
      </c>
      <c r="CA590" s="168">
        <v>0.34312092379056991</v>
      </c>
      <c r="CB590" s="168">
        <v>0.36069057213448957</v>
      </c>
      <c r="CC590" s="168">
        <v>0.34344725144826821</v>
      </c>
      <c r="CD590" s="168">
        <v>0.39496885370170809</v>
      </c>
      <c r="CE590" s="168">
        <v>0.27634166243558594</v>
      </c>
      <c r="CF590" s="168">
        <v>9.9547004907607484E-2</v>
      </c>
      <c r="CG590" s="168">
        <v>0.34790008190490246</v>
      </c>
      <c r="CH590" s="168">
        <v>0.3400636157842708</v>
      </c>
      <c r="CI590" s="168">
        <v>0.30870413290579857</v>
      </c>
      <c r="CJ590" s="168">
        <v>0.3548585463379017</v>
      </c>
      <c r="CK590" s="168">
        <v>0.34318423376592688</v>
      </c>
      <c r="CL590" s="168">
        <v>0.3480495792261058</v>
      </c>
      <c r="CM590" s="168">
        <v>0.34502364737976288</v>
      </c>
      <c r="CN590" s="168">
        <v>0.36266573003482738</v>
      </c>
      <c r="CO590" s="168">
        <v>0.34537904949704257</v>
      </c>
    </row>
    <row r="591" spans="1:93" x14ac:dyDescent="0.2">
      <c r="A591" s="118">
        <f t="shared" si="53"/>
        <v>5</v>
      </c>
      <c r="B591" s="234" t="s">
        <v>640</v>
      </c>
      <c r="C591" s="223"/>
      <c r="D591" s="172">
        <f>SUMIF($AH$8:$CP$8,1,$AH591:$CP591)</f>
        <v>51.92326483416678</v>
      </c>
      <c r="E591" s="233" t="s">
        <v>545</v>
      </c>
      <c r="F591" s="183">
        <v>145.94</v>
      </c>
      <c r="G591" s="233" t="s">
        <v>375</v>
      </c>
      <c r="H591" s="187">
        <f>ROUND(D591*F591,2)</f>
        <v>7577.68</v>
      </c>
      <c r="I591" s="308"/>
      <c r="J591" s="172">
        <f>SUMIF($AH$8:$CP$8,1,$AH591:$CP591)</f>
        <v>51.92326483416678</v>
      </c>
      <c r="K591" s="233" t="s">
        <v>545</v>
      </c>
      <c r="L591" s="183">
        <f>ROUND(F591*(1+'Exhibit MJC-2 - Old E-8a'!V24)+L588,2)</f>
        <v>146.87</v>
      </c>
      <c r="M591" s="233" t="s">
        <v>375</v>
      </c>
      <c r="N591" s="187">
        <f>ROUND(J591*L591,2)</f>
        <v>7625.97</v>
      </c>
      <c r="O591" s="227"/>
      <c r="P591" s="262"/>
      <c r="Q591" s="262"/>
      <c r="R591" s="311"/>
      <c r="S591" s="227"/>
      <c r="T591" s="227"/>
      <c r="U591" s="184" t="s">
        <v>138</v>
      </c>
      <c r="V591" s="179">
        <v>256</v>
      </c>
      <c r="W591" s="180">
        <v>230</v>
      </c>
      <c r="X591" s="227"/>
      <c r="Y591" s="184"/>
      <c r="Z591" s="181"/>
      <c r="AA591" s="227"/>
      <c r="AB591" s="182">
        <f>SUM(AH591:AS591)</f>
        <v>51.363407122951031</v>
      </c>
      <c r="AC591" s="182">
        <f>SUM(AT591:BE591)</f>
        <v>51.594039953676713</v>
      </c>
      <c r="AD591" s="182">
        <f>SUM(BF591:BQ591)</f>
        <v>51.721706923202362</v>
      </c>
      <c r="AE591" s="182">
        <f>SUM(BR591:CC591)</f>
        <v>51.92326483416678</v>
      </c>
      <c r="AF591" s="182">
        <f>SUM(CD591:CO591)</f>
        <v>52.200262861399452</v>
      </c>
      <c r="AH591" s="168">
        <v>5.282623592598914</v>
      </c>
      <c r="AI591" s="168">
        <v>3.6741325287746029</v>
      </c>
      <c r="AJ591" s="168">
        <v>1.3290082780749348</v>
      </c>
      <c r="AK591" s="168">
        <v>4.6116721654747064</v>
      </c>
      <c r="AL591" s="168">
        <v>4.5088434745650714</v>
      </c>
      <c r="AM591" s="168">
        <v>4.0904930066966427</v>
      </c>
      <c r="AN591" s="168">
        <v>4.7093077555419898</v>
      </c>
      <c r="AO591" s="168">
        <v>4.5538184446756951</v>
      </c>
      <c r="AP591" s="168">
        <v>4.6200857684984324</v>
      </c>
      <c r="AQ591" s="168">
        <v>4.580728637799047</v>
      </c>
      <c r="AR591" s="168">
        <v>4.8177023838938577</v>
      </c>
      <c r="AS591" s="168">
        <v>4.584991086357137</v>
      </c>
      <c r="AT591" s="168">
        <v>5.2956512845335055</v>
      </c>
      <c r="AU591" s="168">
        <v>3.695170291729807</v>
      </c>
      <c r="AV591" s="168">
        <v>1.3376916884654309</v>
      </c>
      <c r="AW591" s="168">
        <v>4.6411874928678243</v>
      </c>
      <c r="AX591" s="168">
        <v>4.534889576784404</v>
      </c>
      <c r="AY591" s="168">
        <v>4.1132023912671132</v>
      </c>
      <c r="AZ591" s="168">
        <v>4.7318549958643432</v>
      </c>
      <c r="BA591" s="168">
        <v>4.5742608248633339</v>
      </c>
      <c r="BB591" s="168">
        <v>4.6388688471904196</v>
      </c>
      <c r="BC591" s="168">
        <v>4.5977740310645894</v>
      </c>
      <c r="BD591" s="168">
        <v>4.8334735650966287</v>
      </c>
      <c r="BE591" s="168">
        <v>4.6000149639493193</v>
      </c>
      <c r="BF591" s="168">
        <v>5.3029245280663995</v>
      </c>
      <c r="BG591" s="168">
        <v>3.705809692238117</v>
      </c>
      <c r="BH591" s="168">
        <v>1.3376788298418423</v>
      </c>
      <c r="BI591" s="168">
        <v>4.6547460820096731</v>
      </c>
      <c r="BJ591" s="168">
        <v>4.5482136823113919</v>
      </c>
      <c r="BK591" s="168">
        <v>4.1250688841859136</v>
      </c>
      <c r="BL591" s="168">
        <v>4.7443517020721533</v>
      </c>
      <c r="BM591" s="168">
        <v>4.5866071420223333</v>
      </c>
      <c r="BN591" s="168">
        <v>4.6506756771279303</v>
      </c>
      <c r="BO591" s="168">
        <v>4.6091986268160516</v>
      </c>
      <c r="BP591" s="168">
        <v>4.8444857589019135</v>
      </c>
      <c r="BQ591" s="168">
        <v>4.6119463176086519</v>
      </c>
      <c r="BR591" s="168">
        <v>5.3078226383352476</v>
      </c>
      <c r="BS591" s="168">
        <v>3.7158346741432289</v>
      </c>
      <c r="BT591" s="168">
        <v>1.3384341373962751</v>
      </c>
      <c r="BU591" s="168">
        <v>4.6713896076389778</v>
      </c>
      <c r="BV591" s="168">
        <v>4.5658322884233202</v>
      </c>
      <c r="BW591" s="168">
        <v>4.1426505019142867</v>
      </c>
      <c r="BX591" s="168">
        <v>4.7639278402636158</v>
      </c>
      <c r="BY591" s="168">
        <v>4.6069296655056027</v>
      </c>
      <c r="BZ591" s="168">
        <v>4.6724503910062998</v>
      </c>
      <c r="CA591" s="168">
        <v>4.6321324711726941</v>
      </c>
      <c r="CB591" s="168">
        <v>4.8693227238156096</v>
      </c>
      <c r="CC591" s="168">
        <v>4.6365378945516209</v>
      </c>
      <c r="CD591" s="168">
        <v>5.332079524973059</v>
      </c>
      <c r="CE591" s="168">
        <v>3.7306124428804108</v>
      </c>
      <c r="CF591" s="168">
        <v>1.343884566252701</v>
      </c>
      <c r="CG591" s="168">
        <v>4.6966511057161835</v>
      </c>
      <c r="CH591" s="168">
        <v>4.5908588130876566</v>
      </c>
      <c r="CI591" s="168">
        <v>4.1675057942282807</v>
      </c>
      <c r="CJ591" s="168">
        <v>4.7905903755616732</v>
      </c>
      <c r="CK591" s="168">
        <v>4.6329871558400129</v>
      </c>
      <c r="CL591" s="168">
        <v>4.6986693195524287</v>
      </c>
      <c r="CM591" s="168">
        <v>4.6578192396267992</v>
      </c>
      <c r="CN591" s="168">
        <v>4.8959873554701696</v>
      </c>
      <c r="CO591" s="168">
        <v>4.6626171682100743</v>
      </c>
    </row>
    <row r="592" spans="1:93" x14ac:dyDescent="0.2">
      <c r="A592" s="118">
        <f t="shared" si="53"/>
        <v>6</v>
      </c>
      <c r="B592" s="234"/>
      <c r="C592" s="225" t="s">
        <v>121</v>
      </c>
      <c r="D592" s="204">
        <f>SUM(D589:D591)</f>
        <v>106.73115549245392</v>
      </c>
      <c r="E592" s="233" t="s">
        <v>641</v>
      </c>
      <c r="F592" s="183"/>
      <c r="G592" s="233"/>
      <c r="H592" s="206">
        <f>SUM(H589:H591)</f>
        <v>35323.64</v>
      </c>
      <c r="I592" s="308"/>
      <c r="J592" s="204">
        <f>SUM(J589:J591)</f>
        <v>106.73115549245392</v>
      </c>
      <c r="K592" s="233" t="s">
        <v>641</v>
      </c>
      <c r="L592" s="183"/>
      <c r="M592" s="233"/>
      <c r="N592" s="206">
        <f>SUM(N589:N591)</f>
        <v>35940.909999999996</v>
      </c>
      <c r="O592" s="227"/>
      <c r="P592" s="262"/>
      <c r="Q592" s="1022"/>
      <c r="R592" s="311"/>
      <c r="S592" s="227"/>
      <c r="T592" s="227"/>
      <c r="U592" s="178"/>
      <c r="V592" s="179"/>
      <c r="W592" s="180"/>
      <c r="X592" s="227"/>
      <c r="Y592" s="178" t="s">
        <v>138</v>
      </c>
      <c r="Z592" s="181" t="s">
        <v>451</v>
      </c>
      <c r="AA592" s="227"/>
      <c r="AB592" s="204">
        <f>SUM(AB589:AB591)</f>
        <v>105.58033686384378</v>
      </c>
      <c r="AC592" s="204">
        <f>SUM(AC589:AC591)</f>
        <v>106.05441546033546</v>
      </c>
      <c r="AD592" s="204">
        <f>SUM(AD589:AD591)</f>
        <v>106.31684200880485</v>
      </c>
      <c r="AE592" s="204">
        <f>SUM(AE589:AE591)</f>
        <v>106.73115549245392</v>
      </c>
      <c r="AF592" s="204">
        <f>SUM(AF589:AF591)</f>
        <v>107.30054032620998</v>
      </c>
      <c r="AH592" s="204">
        <f t="shared" ref="AH592:CO592" si="54">SUM(AH589:AH591)</f>
        <v>10.858726273675545</v>
      </c>
      <c r="AI592" s="204">
        <f t="shared" si="54"/>
        <v>7.5523835313700172</v>
      </c>
      <c r="AJ592" s="204">
        <f t="shared" si="54"/>
        <v>2.7318503493762547</v>
      </c>
      <c r="AK592" s="204">
        <f t="shared" si="54"/>
        <v>9.4795483401424523</v>
      </c>
      <c r="AL592" s="204">
        <f t="shared" si="54"/>
        <v>9.2681782532726462</v>
      </c>
      <c r="AM592" s="204">
        <f t="shared" si="54"/>
        <v>8.4082356248764327</v>
      </c>
      <c r="AN592" s="204">
        <f t="shared" si="54"/>
        <v>9.6802437197252011</v>
      </c>
      <c r="AO592" s="204">
        <f t="shared" si="54"/>
        <v>9.3606268029444841</v>
      </c>
      <c r="AP592" s="204">
        <f t="shared" si="54"/>
        <v>9.4968429685801112</v>
      </c>
      <c r="AQ592" s="204">
        <f t="shared" si="54"/>
        <v>9.4159421999202628</v>
      </c>
      <c r="AR592" s="204">
        <f t="shared" si="54"/>
        <v>9.9030549002262624</v>
      </c>
      <c r="AS592" s="204">
        <f t="shared" si="54"/>
        <v>9.4247038997341139</v>
      </c>
      <c r="AT592" s="204">
        <f t="shared" si="54"/>
        <v>10.88550541820776</v>
      </c>
      <c r="AU592" s="204">
        <f t="shared" si="54"/>
        <v>7.5956278218890478</v>
      </c>
      <c r="AV592" s="204">
        <f t="shared" si="54"/>
        <v>2.7496995818456078</v>
      </c>
      <c r="AW592" s="204">
        <f t="shared" si="54"/>
        <v>9.5402187353394154</v>
      </c>
      <c r="AX592" s="204">
        <f t="shared" si="54"/>
        <v>9.3217174633901632</v>
      </c>
      <c r="AY592" s="204">
        <f t="shared" si="54"/>
        <v>8.4549160264935104</v>
      </c>
      <c r="AZ592" s="204">
        <f t="shared" si="54"/>
        <v>9.726590824832261</v>
      </c>
      <c r="BA592" s="204">
        <f t="shared" si="54"/>
        <v>9.4026472511079646</v>
      </c>
      <c r="BB592" s="204">
        <f t="shared" si="54"/>
        <v>9.5354526303358611</v>
      </c>
      <c r="BC592" s="204">
        <f t="shared" si="54"/>
        <v>9.4509799527438787</v>
      </c>
      <c r="BD592" s="204">
        <f t="shared" si="54"/>
        <v>9.9354734393652926</v>
      </c>
      <c r="BE592" s="204">
        <f t="shared" si="54"/>
        <v>9.4555863147847106</v>
      </c>
      <c r="BF592" s="204">
        <f t="shared" si="54"/>
        <v>10.90045597435871</v>
      </c>
      <c r="BG592" s="204">
        <f t="shared" si="54"/>
        <v>7.6174977007116844</v>
      </c>
      <c r="BH592" s="204">
        <f t="shared" si="54"/>
        <v>2.7496731502304534</v>
      </c>
      <c r="BI592" s="204">
        <f t="shared" si="54"/>
        <v>9.5680891685754386</v>
      </c>
      <c r="BJ592" s="204">
        <f t="shared" si="54"/>
        <v>9.3491059025289722</v>
      </c>
      <c r="BK592" s="204">
        <f t="shared" si="54"/>
        <v>8.4793082619377103</v>
      </c>
      <c r="BL592" s="204">
        <f t="shared" si="54"/>
        <v>9.7522784987038698</v>
      </c>
      <c r="BM592" s="204">
        <f t="shared" si="54"/>
        <v>9.428025791934795</v>
      </c>
      <c r="BN592" s="204">
        <f t="shared" si="54"/>
        <v>9.5597222252074125</v>
      </c>
      <c r="BO592" s="204">
        <f t="shared" si="54"/>
        <v>9.4744638440107725</v>
      </c>
      <c r="BP592" s="204">
        <f t="shared" si="54"/>
        <v>9.9581096155205984</v>
      </c>
      <c r="BQ592" s="204">
        <f t="shared" si="54"/>
        <v>9.4801118750844502</v>
      </c>
      <c r="BR592" s="204">
        <f t="shared" si="54"/>
        <v>10.910524312133564</v>
      </c>
      <c r="BS592" s="204">
        <f t="shared" si="54"/>
        <v>7.6381046079610808</v>
      </c>
      <c r="BT592" s="204">
        <f t="shared" si="54"/>
        <v>2.7512257268701212</v>
      </c>
      <c r="BU592" s="204">
        <f t="shared" si="54"/>
        <v>9.6023008601467872</v>
      </c>
      <c r="BV592" s="204">
        <f t="shared" si="54"/>
        <v>9.3853219262034902</v>
      </c>
      <c r="BW592" s="204">
        <f t="shared" si="54"/>
        <v>8.5154482539349239</v>
      </c>
      <c r="BX592" s="204">
        <f t="shared" si="54"/>
        <v>9.7925183383196543</v>
      </c>
      <c r="BY592" s="204">
        <f t="shared" si="54"/>
        <v>9.4697998679837383</v>
      </c>
      <c r="BZ592" s="204">
        <f t="shared" si="54"/>
        <v>9.6044813592907268</v>
      </c>
      <c r="CA592" s="204">
        <f t="shared" si="54"/>
        <v>9.5216056351883154</v>
      </c>
      <c r="CB592" s="204">
        <f t="shared" si="54"/>
        <v>10.009163376732086</v>
      </c>
      <c r="CC592" s="204">
        <f t="shared" si="54"/>
        <v>9.5306612276894427</v>
      </c>
      <c r="CD592" s="204">
        <f t="shared" si="54"/>
        <v>10.960385690222399</v>
      </c>
      <c r="CE592" s="204">
        <f t="shared" si="54"/>
        <v>7.6684811325875106</v>
      </c>
      <c r="CF592" s="204">
        <f t="shared" si="54"/>
        <v>2.7624293861861076</v>
      </c>
      <c r="CG592" s="204">
        <f t="shared" si="54"/>
        <v>9.6542272728610428</v>
      </c>
      <c r="CH592" s="204">
        <f t="shared" si="54"/>
        <v>9.4367653380135152</v>
      </c>
      <c r="CI592" s="204">
        <f t="shared" si="54"/>
        <v>8.5665396881359115</v>
      </c>
      <c r="CJ592" s="204">
        <f t="shared" si="54"/>
        <v>9.8473246608767724</v>
      </c>
      <c r="CK592" s="204">
        <f t="shared" si="54"/>
        <v>9.5233624870044693</v>
      </c>
      <c r="CL592" s="204">
        <f t="shared" si="54"/>
        <v>9.6583758235244357</v>
      </c>
      <c r="CM592" s="204">
        <f t="shared" si="54"/>
        <v>9.5744062147884197</v>
      </c>
      <c r="CN592" s="204">
        <f t="shared" si="54"/>
        <v>10.06397400846646</v>
      </c>
      <c r="CO592" s="204">
        <f t="shared" si="54"/>
        <v>9.5842686235429291</v>
      </c>
    </row>
    <row r="593" spans="1:93" x14ac:dyDescent="0.2">
      <c r="A593" s="118">
        <f t="shared" si="53"/>
        <v>7</v>
      </c>
      <c r="B593" s="227"/>
      <c r="C593" s="263"/>
      <c r="D593" s="227"/>
      <c r="E593" s="230"/>
      <c r="F593" s="197"/>
      <c r="G593" s="230"/>
      <c r="H593" s="203"/>
      <c r="I593" s="308"/>
      <c r="J593" s="227"/>
      <c r="K593" s="230"/>
      <c r="L593" s="197"/>
      <c r="M593" s="230"/>
      <c r="N593" s="203"/>
      <c r="O593" s="227"/>
      <c r="P593" s="262"/>
      <c r="Q593" s="1287"/>
      <c r="R593" s="311"/>
      <c r="S593" s="227"/>
      <c r="T593" s="227"/>
      <c r="U593" s="178"/>
      <c r="V593" s="179"/>
      <c r="W593" s="180"/>
      <c r="X593" s="227"/>
      <c r="Y593" s="178"/>
      <c r="Z593" s="181"/>
      <c r="AA593" s="227"/>
      <c r="AB593" s="193">
        <f>SUM(AH593:AS593)</f>
        <v>-16.128778607833333</v>
      </c>
      <c r="AC593" s="193">
        <f>SUM(AT593:BE593)</f>
        <v>-16.359922817328183</v>
      </c>
      <c r="AD593" s="193">
        <f>SUM(BF593:BQ593)</f>
        <v>-16.820741724638729</v>
      </c>
      <c r="AE593" s="193">
        <f>SUM(BR593:CC593)</f>
        <v>-17.127900643270703</v>
      </c>
      <c r="AF593" s="193">
        <f>SUM(CD593:CO593)</f>
        <v>-17.265107410353998</v>
      </c>
      <c r="AH593" s="193">
        <v>-3.5862264819370528</v>
      </c>
      <c r="AI593" s="193">
        <v>0.1311071435713238</v>
      </c>
      <c r="AJ593" s="193">
        <v>5.0873896376890047</v>
      </c>
      <c r="AK593" s="193">
        <v>-1.3986061645630166</v>
      </c>
      <c r="AL593" s="193">
        <v>-1.6349179314553162</v>
      </c>
      <c r="AM593" s="193">
        <v>-0.55358546288112098</v>
      </c>
      <c r="AN593" s="193">
        <v>-2.3134288602457609</v>
      </c>
      <c r="AO593" s="193">
        <v>-2.7406500755324696</v>
      </c>
      <c r="AP593" s="193">
        <v>-1.8363592594042135</v>
      </c>
      <c r="AQ593" s="193">
        <v>-1.9408095280674678</v>
      </c>
      <c r="AR593" s="193">
        <v>-3.606022704845139</v>
      </c>
      <c r="AS593" s="193">
        <v>-1.7366689201621037</v>
      </c>
      <c r="AT593" s="193">
        <v>-3.6112458440027098</v>
      </c>
      <c r="AU593" s="193">
        <v>0.15661000657502644</v>
      </c>
      <c r="AV593" s="193">
        <v>5.1290372461180365</v>
      </c>
      <c r="AW593" s="193">
        <v>-1.4106622641725384</v>
      </c>
      <c r="AX593" s="193">
        <v>-1.652790545521519</v>
      </c>
      <c r="AY593" s="193">
        <v>-0.57235017379771591</v>
      </c>
      <c r="AZ593" s="193">
        <v>-2.340296127426762</v>
      </c>
      <c r="BA593" s="193">
        <v>-2.7813763585182976</v>
      </c>
      <c r="BB593" s="193">
        <v>-1.8680168042861514</v>
      </c>
      <c r="BC593" s="193">
        <v>-1.9748644024766726</v>
      </c>
      <c r="BD593" s="193">
        <v>-3.6603523811980363</v>
      </c>
      <c r="BE593" s="193">
        <v>-1.7736151686208412</v>
      </c>
      <c r="BF593" s="193">
        <v>-3.6367491520409194</v>
      </c>
      <c r="BG593" s="193">
        <v>0.12598222690677918</v>
      </c>
      <c r="BH593" s="193">
        <v>5.1206676283820638</v>
      </c>
      <c r="BI593" s="193">
        <v>-1.4546575999935474</v>
      </c>
      <c r="BJ593" s="193">
        <v>-1.6928849173650109</v>
      </c>
      <c r="BK593" s="193">
        <v>-0.61019023464244082</v>
      </c>
      <c r="BL593" s="193">
        <v>-2.3792172412507115</v>
      </c>
      <c r="BM593" s="193">
        <v>-2.834325165139906</v>
      </c>
      <c r="BN593" s="193">
        <v>-1.9093628762587986</v>
      </c>
      <c r="BO593" s="193">
        <v>-2.0163258013427745</v>
      </c>
      <c r="BP593" s="193">
        <v>-3.7197350732445873</v>
      </c>
      <c r="BQ593" s="193">
        <v>-1.8139435186488768</v>
      </c>
      <c r="BR593" s="193">
        <v>-3.6616497660835243</v>
      </c>
      <c r="BS593" s="193">
        <v>9.7761527659142367E-2</v>
      </c>
      <c r="BT593" s="193">
        <v>5.1176699284255323</v>
      </c>
      <c r="BU593" s="193">
        <v>-1.4902519423336873</v>
      </c>
      <c r="BV593" s="193">
        <v>-1.7231618418738481</v>
      </c>
      <c r="BW593" s="193">
        <v>-0.63622370452290422</v>
      </c>
      <c r="BX593" s="193">
        <v>-2.4067392366770619</v>
      </c>
      <c r="BY593" s="193">
        <v>-2.8712056551833101</v>
      </c>
      <c r="BZ593" s="193">
        <v>-1.931841600022727</v>
      </c>
      <c r="CA593" s="193">
        <v>-2.0361177086559721</v>
      </c>
      <c r="CB593" s="193">
        <v>-3.7563723885025579</v>
      </c>
      <c r="CC593" s="193">
        <v>-1.8297682554997818</v>
      </c>
      <c r="CD593" s="193">
        <v>-3.6817996105223738</v>
      </c>
      <c r="CE593" s="193">
        <v>0.10330435712146979</v>
      </c>
      <c r="CF593" s="193">
        <v>5.1429630273041642</v>
      </c>
      <c r="CG593" s="193">
        <v>-1.5053382066949297</v>
      </c>
      <c r="CH593" s="193">
        <v>-1.7371402154011486</v>
      </c>
      <c r="CI593" s="193">
        <v>-0.64665079309981532</v>
      </c>
      <c r="CJ593" s="193">
        <v>-2.4220303470595512</v>
      </c>
      <c r="CK593" s="193">
        <v>-2.8949900993192408</v>
      </c>
      <c r="CL593" s="193">
        <v>-1.9444779501491993</v>
      </c>
      <c r="CM593" s="193">
        <v>-2.0491750901585615</v>
      </c>
      <c r="CN593" s="193">
        <v>-3.7884412071234213</v>
      </c>
      <c r="CO593" s="193">
        <v>-1.8413312752513935</v>
      </c>
    </row>
    <row r="594" spans="1:93" x14ac:dyDescent="0.2">
      <c r="A594" s="118">
        <f t="shared" si="53"/>
        <v>8</v>
      </c>
      <c r="B594" s="239" t="s">
        <v>594</v>
      </c>
      <c r="C594" s="225"/>
      <c r="D594" s="173"/>
      <c r="E594" s="233"/>
      <c r="F594" s="183"/>
      <c r="G594" s="233"/>
      <c r="H594" s="174"/>
      <c r="I594" s="308"/>
      <c r="J594" s="173"/>
      <c r="K594" s="233"/>
      <c r="L594" s="183"/>
      <c r="M594" s="233"/>
      <c r="N594" s="174"/>
      <c r="O594" s="227"/>
      <c r="P594" s="262"/>
      <c r="Q594" s="1287"/>
      <c r="R594" s="311"/>
      <c r="S594" s="230"/>
      <c r="T594" s="227"/>
      <c r="U594" s="184"/>
      <c r="V594" s="179"/>
      <c r="W594" s="180"/>
      <c r="X594" s="227"/>
      <c r="Y594" s="184"/>
      <c r="Z594" s="181"/>
      <c r="AA594" s="227"/>
    </row>
    <row r="595" spans="1:93" x14ac:dyDescent="0.2">
      <c r="A595" s="118">
        <f t="shared" si="53"/>
        <v>9</v>
      </c>
      <c r="B595" s="228" t="s">
        <v>642</v>
      </c>
      <c r="C595" s="225"/>
      <c r="D595" s="168"/>
      <c r="E595" s="233"/>
      <c r="F595" s="183"/>
      <c r="G595" s="233"/>
      <c r="H595" s="174"/>
      <c r="I595" s="308"/>
      <c r="J595" s="168"/>
      <c r="K595" s="233"/>
      <c r="L595" s="1368">
        <v>-2.99</v>
      </c>
      <c r="M595" s="233"/>
      <c r="N595" s="174"/>
      <c r="O595" s="227"/>
      <c r="P595" s="262"/>
      <c r="Q595" s="1287"/>
      <c r="R595" s="311"/>
      <c r="S595" s="259"/>
      <c r="T595" s="227"/>
      <c r="U595" s="184"/>
      <c r="V595" s="179"/>
      <c r="W595" s="180"/>
      <c r="X595" s="227"/>
      <c r="Y595" s="184"/>
      <c r="Z595" s="181"/>
      <c r="AA595" s="227"/>
    </row>
    <row r="596" spans="1:93" x14ac:dyDescent="0.2">
      <c r="A596" s="118">
        <f t="shared" si="53"/>
        <v>10</v>
      </c>
      <c r="B596" s="227" t="s">
        <v>643</v>
      </c>
      <c r="C596" s="263"/>
      <c r="D596" s="172">
        <f>SUMIF($AH$8:$CP$8,1,$AH596:$CP596)</f>
        <v>253660.31999999995</v>
      </c>
      <c r="E596" s="233" t="s">
        <v>596</v>
      </c>
      <c r="F596" s="183">
        <v>3.43</v>
      </c>
      <c r="G596" s="233" t="s">
        <v>375</v>
      </c>
      <c r="H596" s="174">
        <f>ROUND(D596*F596,2)</f>
        <v>870054.9</v>
      </c>
      <c r="I596" s="308"/>
      <c r="J596" s="172">
        <f>SUMIF($AH$8:$CP$8,1,$AH596:$CP596)</f>
        <v>253660.31999999995</v>
      </c>
      <c r="K596" s="233" t="s">
        <v>596</v>
      </c>
      <c r="L596" s="183">
        <f>ROUND('MFR E-14D2'!I34+L595,2)</f>
        <v>3.53</v>
      </c>
      <c r="M596" s="233" t="s">
        <v>375</v>
      </c>
      <c r="N596" s="174">
        <f>ROUND(J596*L596,2)</f>
        <v>895420.93</v>
      </c>
      <c r="O596" s="227"/>
      <c r="P596" s="262"/>
      <c r="Q596" s="1022"/>
      <c r="R596" s="311"/>
      <c r="S596" s="227"/>
      <c r="T596" s="286"/>
      <c r="U596" s="184" t="s">
        <v>138</v>
      </c>
      <c r="V596" s="179">
        <v>256</v>
      </c>
      <c r="W596" s="180">
        <v>230</v>
      </c>
      <c r="X596" s="286"/>
      <c r="Y596" s="184"/>
      <c r="Z596" s="181"/>
      <c r="AA596" s="286"/>
      <c r="AB596" s="182">
        <f>SUM(AH596:AS596)</f>
        <v>253660.31999999995</v>
      </c>
      <c r="AC596" s="182">
        <f>SUM(AT596:BE596)</f>
        <v>253660.31999999995</v>
      </c>
      <c r="AD596" s="182">
        <f>SUM(BF596:BQ596)</f>
        <v>253660.31999999995</v>
      </c>
      <c r="AE596" s="182">
        <f>SUM(BR596:CC596)</f>
        <v>253660.31999999995</v>
      </c>
      <c r="AF596" s="182">
        <f>SUM(CD596:CO596)</f>
        <v>253660.31999999995</v>
      </c>
      <c r="AH596" s="174">
        <v>21138.36</v>
      </c>
      <c r="AI596" s="174">
        <v>21138.36</v>
      </c>
      <c r="AJ596" s="174">
        <v>21138.36</v>
      </c>
      <c r="AK596" s="174">
        <v>21138.36</v>
      </c>
      <c r="AL596" s="174">
        <v>21138.36</v>
      </c>
      <c r="AM596" s="174">
        <v>21138.36</v>
      </c>
      <c r="AN596" s="174">
        <v>21138.36</v>
      </c>
      <c r="AO596" s="174">
        <v>21138.36</v>
      </c>
      <c r="AP596" s="174">
        <v>21138.36</v>
      </c>
      <c r="AQ596" s="174">
        <v>21138.36</v>
      </c>
      <c r="AR596" s="174">
        <v>21138.36</v>
      </c>
      <c r="AS596" s="174">
        <v>21138.36</v>
      </c>
      <c r="AT596" s="174">
        <v>21138.36</v>
      </c>
      <c r="AU596" s="174">
        <v>21138.36</v>
      </c>
      <c r="AV596" s="174">
        <v>21138.36</v>
      </c>
      <c r="AW596" s="174">
        <v>21138.36</v>
      </c>
      <c r="AX596" s="174">
        <v>21138.36</v>
      </c>
      <c r="AY596" s="174">
        <v>21138.36</v>
      </c>
      <c r="AZ596" s="174">
        <v>21138.36</v>
      </c>
      <c r="BA596" s="174">
        <v>21138.36</v>
      </c>
      <c r="BB596" s="174">
        <v>21138.36</v>
      </c>
      <c r="BC596" s="174">
        <v>21138.36</v>
      </c>
      <c r="BD596" s="174">
        <v>21138.36</v>
      </c>
      <c r="BE596" s="174">
        <v>21138.36</v>
      </c>
      <c r="BF596" s="174">
        <v>21138.36</v>
      </c>
      <c r="BG596" s="174">
        <v>21138.36</v>
      </c>
      <c r="BH596" s="174">
        <v>21138.36</v>
      </c>
      <c r="BI596" s="174">
        <v>21138.36</v>
      </c>
      <c r="BJ596" s="174">
        <v>21138.36</v>
      </c>
      <c r="BK596" s="174">
        <v>21138.36</v>
      </c>
      <c r="BL596" s="174">
        <v>21138.36</v>
      </c>
      <c r="BM596" s="174">
        <v>21138.36</v>
      </c>
      <c r="BN596" s="174">
        <v>21138.36</v>
      </c>
      <c r="BO596" s="174">
        <v>21138.36</v>
      </c>
      <c r="BP596" s="174">
        <v>21138.36</v>
      </c>
      <c r="BQ596" s="174">
        <v>21138.36</v>
      </c>
      <c r="BR596" s="174">
        <v>21138.36</v>
      </c>
      <c r="BS596" s="174">
        <v>21138.36</v>
      </c>
      <c r="BT596" s="174">
        <v>21138.36</v>
      </c>
      <c r="BU596" s="174">
        <v>21138.36</v>
      </c>
      <c r="BV596" s="174">
        <v>21138.36</v>
      </c>
      <c r="BW596" s="174">
        <v>21138.36</v>
      </c>
      <c r="BX596" s="174">
        <v>21138.36</v>
      </c>
      <c r="BY596" s="174">
        <v>21138.36</v>
      </c>
      <c r="BZ596" s="174">
        <v>21138.36</v>
      </c>
      <c r="CA596" s="174">
        <v>21138.36</v>
      </c>
      <c r="CB596" s="174">
        <v>21138.36</v>
      </c>
      <c r="CC596" s="174">
        <v>21138.36</v>
      </c>
      <c r="CD596" s="174">
        <v>21138.36</v>
      </c>
      <c r="CE596" s="174">
        <v>21138.36</v>
      </c>
      <c r="CF596" s="174">
        <v>21138.36</v>
      </c>
      <c r="CG596" s="174">
        <v>21138.36</v>
      </c>
      <c r="CH596" s="174">
        <v>21138.36</v>
      </c>
      <c r="CI596" s="174">
        <v>21138.36</v>
      </c>
      <c r="CJ596" s="174">
        <v>21138.36</v>
      </c>
      <c r="CK596" s="174">
        <v>21138.36</v>
      </c>
      <c r="CL596" s="174">
        <v>21138.36</v>
      </c>
      <c r="CM596" s="174">
        <v>21138.36</v>
      </c>
      <c r="CN596" s="174">
        <v>21138.36</v>
      </c>
      <c r="CO596" s="174">
        <v>21138.36</v>
      </c>
    </row>
    <row r="597" spans="1:93" x14ac:dyDescent="0.2">
      <c r="A597" s="118">
        <f t="shared" si="53"/>
        <v>11</v>
      </c>
      <c r="B597" s="227" t="s">
        <v>644</v>
      </c>
      <c r="C597" s="263"/>
      <c r="D597" s="172">
        <f>SUMIF($AH$8:$CP$8,1,$AH597:$CP597)</f>
        <v>272832</v>
      </c>
      <c r="E597" s="233" t="s">
        <v>596</v>
      </c>
      <c r="F597" s="183">
        <v>0</v>
      </c>
      <c r="G597" s="233" t="s">
        <v>375</v>
      </c>
      <c r="H597" s="174">
        <f>ROUND(D605*F597,2)</f>
        <v>0</v>
      </c>
      <c r="I597" s="308"/>
      <c r="J597" s="172">
        <f>SUMIF($AH$8:$CP$8,1,$AH597:$CP597)</f>
        <v>272832</v>
      </c>
      <c r="K597" s="233" t="s">
        <v>596</v>
      </c>
      <c r="L597" s="183">
        <v>0</v>
      </c>
      <c r="M597" s="233" t="s">
        <v>375</v>
      </c>
      <c r="N597" s="174">
        <f>ROUND(J597*L597,2)</f>
        <v>0</v>
      </c>
      <c r="O597" s="227"/>
      <c r="P597" s="262"/>
      <c r="Q597" s="1287"/>
      <c r="R597" s="311"/>
      <c r="S597" s="227"/>
      <c r="T597" s="227"/>
      <c r="U597" s="184" t="s">
        <v>138</v>
      </c>
      <c r="V597" s="179">
        <v>256</v>
      </c>
      <c r="W597" s="180">
        <v>230</v>
      </c>
      <c r="X597" s="227"/>
      <c r="Y597" s="184"/>
      <c r="Z597" s="181"/>
      <c r="AA597" s="227"/>
      <c r="AB597" s="182">
        <f>SUM(AH597:AS597)</f>
        <v>272832</v>
      </c>
      <c r="AC597" s="182">
        <f>SUM(AT597:BE597)</f>
        <v>272832</v>
      </c>
      <c r="AD597" s="182">
        <f>SUM(BF597:BQ597)</f>
        <v>272832</v>
      </c>
      <c r="AE597" s="182">
        <f>SUM(BR597:CC597)</f>
        <v>272832</v>
      </c>
      <c r="AF597" s="182">
        <f>SUM(CD597:CO597)</f>
        <v>272832</v>
      </c>
      <c r="AH597" s="174">
        <v>22736</v>
      </c>
      <c r="AI597" s="174">
        <v>22736</v>
      </c>
      <c r="AJ597" s="174">
        <v>22736</v>
      </c>
      <c r="AK597" s="174">
        <v>22736</v>
      </c>
      <c r="AL597" s="174">
        <v>22736</v>
      </c>
      <c r="AM597" s="174">
        <v>22736</v>
      </c>
      <c r="AN597" s="174">
        <v>22736</v>
      </c>
      <c r="AO597" s="174">
        <v>22736</v>
      </c>
      <c r="AP597" s="174">
        <v>22736</v>
      </c>
      <c r="AQ597" s="174">
        <v>22736</v>
      </c>
      <c r="AR597" s="174">
        <v>22736</v>
      </c>
      <c r="AS597" s="174">
        <v>22736</v>
      </c>
      <c r="AT597" s="174">
        <v>22736</v>
      </c>
      <c r="AU597" s="174">
        <v>22736</v>
      </c>
      <c r="AV597" s="174">
        <v>22736</v>
      </c>
      <c r="AW597" s="174">
        <v>22736</v>
      </c>
      <c r="AX597" s="174">
        <v>22736</v>
      </c>
      <c r="AY597" s="174">
        <v>22736</v>
      </c>
      <c r="AZ597" s="174">
        <v>22736</v>
      </c>
      <c r="BA597" s="174">
        <v>22736</v>
      </c>
      <c r="BB597" s="174">
        <v>22736</v>
      </c>
      <c r="BC597" s="174">
        <v>22736</v>
      </c>
      <c r="BD597" s="174">
        <v>22736</v>
      </c>
      <c r="BE597" s="174">
        <v>22736</v>
      </c>
      <c r="BF597" s="174">
        <v>22736</v>
      </c>
      <c r="BG597" s="174">
        <v>22736</v>
      </c>
      <c r="BH597" s="174">
        <v>22736</v>
      </c>
      <c r="BI597" s="174">
        <v>22736</v>
      </c>
      <c r="BJ597" s="174">
        <v>22736</v>
      </c>
      <c r="BK597" s="174">
        <v>22736</v>
      </c>
      <c r="BL597" s="174">
        <v>22736</v>
      </c>
      <c r="BM597" s="174">
        <v>22736</v>
      </c>
      <c r="BN597" s="174">
        <v>22736</v>
      </c>
      <c r="BO597" s="174">
        <v>22736</v>
      </c>
      <c r="BP597" s="174">
        <v>22736</v>
      </c>
      <c r="BQ597" s="174">
        <v>22736</v>
      </c>
      <c r="BR597" s="174">
        <v>22736</v>
      </c>
      <c r="BS597" s="174">
        <v>22736</v>
      </c>
      <c r="BT597" s="174">
        <v>22736</v>
      </c>
      <c r="BU597" s="174">
        <v>22736</v>
      </c>
      <c r="BV597" s="174">
        <v>22736</v>
      </c>
      <c r="BW597" s="174">
        <v>22736</v>
      </c>
      <c r="BX597" s="174">
        <v>22736</v>
      </c>
      <c r="BY597" s="174">
        <v>22736</v>
      </c>
      <c r="BZ597" s="174">
        <v>22736</v>
      </c>
      <c r="CA597" s="174">
        <v>22736</v>
      </c>
      <c r="CB597" s="174">
        <v>22736</v>
      </c>
      <c r="CC597" s="174">
        <v>22736</v>
      </c>
      <c r="CD597" s="174">
        <v>22736</v>
      </c>
      <c r="CE597" s="174">
        <v>22736</v>
      </c>
      <c r="CF597" s="174">
        <v>22736</v>
      </c>
      <c r="CG597" s="174">
        <v>22736</v>
      </c>
      <c r="CH597" s="174">
        <v>22736</v>
      </c>
      <c r="CI597" s="174">
        <v>22736</v>
      </c>
      <c r="CJ597" s="174">
        <v>22736</v>
      </c>
      <c r="CK597" s="174">
        <v>22736</v>
      </c>
      <c r="CL597" s="174">
        <v>22736</v>
      </c>
      <c r="CM597" s="174">
        <v>22736</v>
      </c>
      <c r="CN597" s="174">
        <v>22736</v>
      </c>
      <c r="CO597" s="174">
        <v>22736</v>
      </c>
    </row>
    <row r="598" spans="1:93" x14ac:dyDescent="0.2">
      <c r="A598" s="118">
        <f t="shared" si="53"/>
        <v>12</v>
      </c>
      <c r="B598" s="227"/>
      <c r="C598" s="263"/>
      <c r="D598" s="227"/>
      <c r="E598" s="230"/>
      <c r="F598" s="197"/>
      <c r="G598" s="230"/>
      <c r="H598" s="203"/>
      <c r="I598" s="308"/>
      <c r="J598" s="227"/>
      <c r="K598" s="230"/>
      <c r="L598" s="197"/>
      <c r="M598" s="230"/>
      <c r="N598" s="203"/>
      <c r="O598" s="227"/>
      <c r="P598" s="262"/>
      <c r="Q598" s="1287"/>
      <c r="R598" s="311"/>
      <c r="S598" s="227"/>
      <c r="T598" s="227"/>
      <c r="U598" s="184"/>
      <c r="V598" s="179"/>
      <c r="W598" s="180"/>
      <c r="X598" s="227"/>
      <c r="Y598" s="184"/>
      <c r="Z598" s="181"/>
      <c r="AA598" s="227"/>
      <c r="AC598" s="260"/>
      <c r="AD598" s="260"/>
      <c r="AE598" s="260"/>
      <c r="AF598" s="114"/>
    </row>
    <row r="599" spans="1:93" x14ac:dyDescent="0.2">
      <c r="A599" s="118">
        <f t="shared" si="53"/>
        <v>13</v>
      </c>
      <c r="B599" s="227" t="s">
        <v>645</v>
      </c>
      <c r="C599" s="263"/>
      <c r="D599" s="227"/>
      <c r="E599" s="230"/>
      <c r="F599" s="197"/>
      <c r="G599" s="230"/>
      <c r="H599" s="203"/>
      <c r="I599" s="308"/>
      <c r="J599" s="227"/>
      <c r="K599" s="230"/>
      <c r="L599" s="197"/>
      <c r="M599" s="230"/>
      <c r="N599" s="203"/>
      <c r="O599" s="227"/>
      <c r="P599" s="262"/>
      <c r="Q599" s="1287"/>
      <c r="R599" s="311"/>
      <c r="S599" s="227"/>
      <c r="T599" s="227"/>
      <c r="U599" s="184"/>
      <c r="V599" s="179"/>
      <c r="W599" s="180"/>
      <c r="X599" s="227"/>
      <c r="Y599" s="184"/>
      <c r="Z599" s="181"/>
      <c r="AA599" s="227"/>
      <c r="AC599" s="114"/>
      <c r="AD599" s="114"/>
      <c r="AE599" s="114"/>
      <c r="AF599" s="114"/>
    </row>
    <row r="600" spans="1:93" x14ac:dyDescent="0.2">
      <c r="A600" s="118">
        <f t="shared" si="53"/>
        <v>14</v>
      </c>
      <c r="B600" s="227" t="s">
        <v>643</v>
      </c>
      <c r="C600" s="263"/>
      <c r="D600" s="227"/>
      <c r="E600" s="230"/>
      <c r="F600" s="197"/>
      <c r="G600" s="230"/>
      <c r="H600" s="203"/>
      <c r="I600" s="308"/>
      <c r="J600" s="227"/>
      <c r="K600" s="230"/>
      <c r="L600" s="1368">
        <v>-0.20399999999999999</v>
      </c>
      <c r="M600" s="230"/>
      <c r="N600" s="203"/>
      <c r="O600" s="227"/>
      <c r="P600" s="262"/>
      <c r="Q600" s="1287"/>
      <c r="R600" s="311"/>
      <c r="S600" s="227"/>
      <c r="T600" s="227"/>
      <c r="U600" s="184"/>
      <c r="V600" s="179"/>
      <c r="W600" s="180"/>
      <c r="X600" s="227"/>
      <c r="Y600" s="184"/>
      <c r="Z600" s="181"/>
      <c r="AA600" s="227"/>
      <c r="AB600" s="107" t="s">
        <v>646</v>
      </c>
      <c r="AC600" s="114"/>
      <c r="AD600" s="114"/>
      <c r="AE600" s="114"/>
      <c r="AF600" s="114"/>
      <c r="AH600" s="101">
        <v>1</v>
      </c>
      <c r="AI600" s="101">
        <v>1.2</v>
      </c>
      <c r="AJ600" s="101">
        <v>0.8</v>
      </c>
      <c r="AK600" s="101">
        <v>0.8</v>
      </c>
      <c r="AL600" s="101">
        <v>0.8</v>
      </c>
      <c r="AM600" s="101">
        <v>1</v>
      </c>
      <c r="AN600" s="101">
        <v>1.2</v>
      </c>
      <c r="AO600" s="101">
        <v>1.2</v>
      </c>
      <c r="AP600" s="101">
        <v>1</v>
      </c>
      <c r="AQ600" s="101">
        <v>0.8</v>
      </c>
      <c r="AR600" s="101">
        <v>1</v>
      </c>
      <c r="AS600" s="101">
        <v>1</v>
      </c>
      <c r="AT600" s="101">
        <v>1</v>
      </c>
      <c r="AU600" s="101">
        <v>1.2</v>
      </c>
      <c r="AV600" s="101">
        <v>0.8</v>
      </c>
      <c r="AW600" s="101">
        <v>0.8</v>
      </c>
      <c r="AX600" s="101">
        <v>0.8</v>
      </c>
      <c r="AY600" s="101">
        <v>1</v>
      </c>
      <c r="AZ600" s="101">
        <v>1.2</v>
      </c>
      <c r="BA600" s="101">
        <v>1.2</v>
      </c>
      <c r="BB600" s="101">
        <v>1</v>
      </c>
      <c r="BC600" s="101">
        <v>0.8</v>
      </c>
      <c r="BD600" s="101">
        <v>1</v>
      </c>
      <c r="BE600" s="101">
        <v>1</v>
      </c>
      <c r="BF600" s="101">
        <v>1</v>
      </c>
      <c r="BG600" s="101">
        <v>1.2</v>
      </c>
      <c r="BH600" s="101">
        <v>0.8</v>
      </c>
      <c r="BI600" s="101">
        <v>0.8</v>
      </c>
      <c r="BJ600" s="101">
        <v>0.8</v>
      </c>
      <c r="BK600" s="101">
        <v>1</v>
      </c>
      <c r="BL600" s="101">
        <v>1.2</v>
      </c>
      <c r="BM600" s="101">
        <v>1.2</v>
      </c>
      <c r="BN600" s="101">
        <v>1</v>
      </c>
      <c r="BO600" s="101">
        <v>0.8</v>
      </c>
      <c r="BP600" s="101">
        <v>1</v>
      </c>
      <c r="BQ600" s="101">
        <v>1</v>
      </c>
      <c r="BR600" s="101">
        <v>1</v>
      </c>
      <c r="BS600" s="101">
        <v>1.2</v>
      </c>
      <c r="BT600" s="101">
        <v>0.8</v>
      </c>
      <c r="BU600" s="101">
        <v>0.8</v>
      </c>
      <c r="BV600" s="101">
        <v>0.8</v>
      </c>
      <c r="BW600" s="101">
        <v>1</v>
      </c>
      <c r="BX600" s="101">
        <v>1.2</v>
      </c>
      <c r="BY600" s="101">
        <v>1.2</v>
      </c>
      <c r="BZ600" s="101">
        <v>1</v>
      </c>
      <c r="CA600" s="101">
        <v>0.8</v>
      </c>
      <c r="CB600" s="101">
        <v>1</v>
      </c>
      <c r="CC600" s="101">
        <v>1</v>
      </c>
      <c r="CD600" s="101">
        <v>1</v>
      </c>
      <c r="CE600" s="101">
        <v>1.2</v>
      </c>
      <c r="CF600" s="101">
        <v>0.8</v>
      </c>
      <c r="CG600" s="101">
        <v>0.8</v>
      </c>
      <c r="CH600" s="101">
        <v>0.8</v>
      </c>
      <c r="CI600" s="101">
        <v>1</v>
      </c>
      <c r="CJ600" s="101">
        <v>1.2</v>
      </c>
      <c r="CK600" s="101">
        <v>1.2</v>
      </c>
      <c r="CL600" s="101">
        <v>1</v>
      </c>
      <c r="CM600" s="101">
        <v>0.8</v>
      </c>
      <c r="CN600" s="101">
        <v>1</v>
      </c>
      <c r="CO600" s="101">
        <v>1</v>
      </c>
    </row>
    <row r="601" spans="1:93" x14ac:dyDescent="0.2">
      <c r="A601" s="118">
        <f t="shared" si="53"/>
        <v>15</v>
      </c>
      <c r="B601" s="227" t="s">
        <v>647</v>
      </c>
      <c r="C601" s="263"/>
      <c r="D601" s="172">
        <f>SUMIF($AH$8:$CP$8,1,$AH601:$CP601)</f>
        <v>58299.72</v>
      </c>
      <c r="E601" s="233" t="s">
        <v>596</v>
      </c>
      <c r="F601" s="201">
        <v>1.9570000000000001</v>
      </c>
      <c r="G601" s="233" t="s">
        <v>375</v>
      </c>
      <c r="H601" s="174">
        <f>ROUND(D601*F601,2)</f>
        <v>114092.55</v>
      </c>
      <c r="I601" s="308"/>
      <c r="J601" s="172">
        <f>SUMIF($AH$8:$CP$8,1,$AH601:$CP601)</f>
        <v>58299.72</v>
      </c>
      <c r="K601" s="233" t="s">
        <v>596</v>
      </c>
      <c r="L601" s="201">
        <f>ROUND('MFR E-14D2'!I41+L600,3)</f>
        <v>2.0059999999999998</v>
      </c>
      <c r="M601" s="233" t="s">
        <v>375</v>
      </c>
      <c r="N601" s="174">
        <f>ROUND(J601*L601,2)</f>
        <v>116949.24</v>
      </c>
      <c r="O601" s="227"/>
      <c r="P601" s="262"/>
      <c r="Q601" s="1022"/>
      <c r="R601" s="311"/>
      <c r="S601" s="227"/>
      <c r="T601" s="227"/>
      <c r="U601" s="184" t="s">
        <v>138</v>
      </c>
      <c r="V601" s="179">
        <v>256</v>
      </c>
      <c r="W601" s="180">
        <v>230</v>
      </c>
      <c r="X601" s="227"/>
      <c r="Y601" s="184"/>
      <c r="Z601" s="181"/>
      <c r="AA601" s="227"/>
      <c r="AB601" s="182">
        <f>SUM(AH601:AS601)</f>
        <v>58299.72</v>
      </c>
      <c r="AC601" s="182">
        <f>SUM(AT601:BE601)</f>
        <v>58299.72</v>
      </c>
      <c r="AD601" s="182">
        <f>SUM(BF601:BQ601)</f>
        <v>58299.72</v>
      </c>
      <c r="AE601" s="182">
        <f>SUM(BR601:CC601)</f>
        <v>58299.72</v>
      </c>
      <c r="AF601" s="182">
        <f>SUM(CD601:CO601)</f>
        <v>58299.72</v>
      </c>
      <c r="AH601" s="174">
        <v>4026</v>
      </c>
      <c r="AI601" s="174">
        <v>11792.36</v>
      </c>
      <c r="AJ601" s="174">
        <v>21138.36</v>
      </c>
      <c r="AK601" s="174">
        <v>180</v>
      </c>
      <c r="AL601" s="174">
        <v>8903</v>
      </c>
      <c r="AM601" s="174">
        <v>5680</v>
      </c>
      <c r="AN601" s="174">
        <v>180</v>
      </c>
      <c r="AO601" s="174">
        <v>5680</v>
      </c>
      <c r="AP601" s="174">
        <v>180</v>
      </c>
      <c r="AQ601" s="174">
        <v>180</v>
      </c>
      <c r="AR601" s="174">
        <v>180</v>
      </c>
      <c r="AS601" s="174">
        <v>180</v>
      </c>
      <c r="AT601" s="174">
        <v>4026</v>
      </c>
      <c r="AU601" s="174">
        <v>11792.36</v>
      </c>
      <c r="AV601" s="174">
        <v>21138.36</v>
      </c>
      <c r="AW601" s="174">
        <v>180</v>
      </c>
      <c r="AX601" s="174">
        <v>8903</v>
      </c>
      <c r="AY601" s="174">
        <v>5680</v>
      </c>
      <c r="AZ601" s="174">
        <v>180</v>
      </c>
      <c r="BA601" s="174">
        <v>5680</v>
      </c>
      <c r="BB601" s="174">
        <v>180</v>
      </c>
      <c r="BC601" s="174">
        <v>180</v>
      </c>
      <c r="BD601" s="174">
        <v>180</v>
      </c>
      <c r="BE601" s="174">
        <v>180</v>
      </c>
      <c r="BF601" s="174">
        <v>4026</v>
      </c>
      <c r="BG601" s="174">
        <v>11792.36</v>
      </c>
      <c r="BH601" s="174">
        <v>21138.36</v>
      </c>
      <c r="BI601" s="174">
        <v>180</v>
      </c>
      <c r="BJ601" s="174">
        <v>8903</v>
      </c>
      <c r="BK601" s="174">
        <v>5680</v>
      </c>
      <c r="BL601" s="174">
        <v>180</v>
      </c>
      <c r="BM601" s="174">
        <v>5680</v>
      </c>
      <c r="BN601" s="174">
        <v>180</v>
      </c>
      <c r="BO601" s="174">
        <v>180</v>
      </c>
      <c r="BP601" s="174">
        <v>180</v>
      </c>
      <c r="BQ601" s="174">
        <v>180</v>
      </c>
      <c r="BR601" s="174">
        <v>4026</v>
      </c>
      <c r="BS601" s="174">
        <v>11792.36</v>
      </c>
      <c r="BT601" s="174">
        <v>21138.36</v>
      </c>
      <c r="BU601" s="174">
        <v>180</v>
      </c>
      <c r="BV601" s="174">
        <v>8903</v>
      </c>
      <c r="BW601" s="174">
        <v>5680</v>
      </c>
      <c r="BX601" s="174">
        <v>180</v>
      </c>
      <c r="BY601" s="174">
        <v>5680</v>
      </c>
      <c r="BZ601" s="174">
        <v>180</v>
      </c>
      <c r="CA601" s="174">
        <v>180</v>
      </c>
      <c r="CB601" s="174">
        <v>180</v>
      </c>
      <c r="CC601" s="174">
        <v>180</v>
      </c>
      <c r="CD601" s="174">
        <v>4026</v>
      </c>
      <c r="CE601" s="174">
        <v>11792.36</v>
      </c>
      <c r="CF601" s="174">
        <v>21138.36</v>
      </c>
      <c r="CG601" s="174">
        <v>180</v>
      </c>
      <c r="CH601" s="174">
        <v>8903</v>
      </c>
      <c r="CI601" s="174">
        <v>5680</v>
      </c>
      <c r="CJ601" s="174">
        <v>180</v>
      </c>
      <c r="CK601" s="174">
        <v>5680</v>
      </c>
      <c r="CL601" s="174">
        <v>180</v>
      </c>
      <c r="CM601" s="174">
        <v>180</v>
      </c>
      <c r="CN601" s="174">
        <v>180</v>
      </c>
      <c r="CO601" s="174">
        <v>180</v>
      </c>
    </row>
    <row r="602" spans="1:93" x14ac:dyDescent="0.2">
      <c r="A602" s="118">
        <f t="shared" si="53"/>
        <v>16</v>
      </c>
      <c r="B602" s="227" t="s">
        <v>648</v>
      </c>
      <c r="C602" s="263"/>
      <c r="D602" s="172">
        <f>+J602</f>
        <v>2074939.8402319269</v>
      </c>
      <c r="E602" s="233" t="s">
        <v>596</v>
      </c>
      <c r="F602" s="201">
        <v>0.93100000000000005</v>
      </c>
      <c r="G602" s="233" t="s">
        <v>375</v>
      </c>
      <c r="H602" s="174">
        <f>ROUND(D602*F602,2)</f>
        <v>1931768.99</v>
      </c>
      <c r="I602" s="308"/>
      <c r="J602" s="172">
        <f>+(BR602*BR$600)+(BS602*BS$600)+(BT602*BT$600)+(BU602*BU$600)+(BV602*BV$600)+(BW602*BW$600)+(BX602*BX$600)+(BY602*BY$600)+(BZ602*BZ$600)+(CA602*CA$600)+(CB602*CB$600)+(CC602*CC$600)</f>
        <v>2074939.8402319269</v>
      </c>
      <c r="K602" s="233" t="s">
        <v>596</v>
      </c>
      <c r="L602" s="201">
        <f>ROUND('MFR E-14D2'!I44+(L600*(F602/F601)),3)</f>
        <v>0.95499999999999996</v>
      </c>
      <c r="M602" s="233" t="s">
        <v>375</v>
      </c>
      <c r="N602" s="174">
        <f>ROUND(J602*L602,2)</f>
        <v>1981567.55</v>
      </c>
      <c r="O602" s="227"/>
      <c r="P602" s="262"/>
      <c r="Q602" s="1022"/>
      <c r="R602" s="311"/>
      <c r="S602" s="227"/>
      <c r="T602" s="227"/>
      <c r="U602" s="184" t="s">
        <v>138</v>
      </c>
      <c r="V602" s="179">
        <v>256</v>
      </c>
      <c r="W602" s="180">
        <v>230</v>
      </c>
      <c r="X602" s="227"/>
      <c r="Y602" s="184"/>
      <c r="Z602" s="181"/>
      <c r="AA602" s="227"/>
      <c r="AB602" s="182">
        <f>SUM(AH602:AS602)</f>
        <v>2054783.1768634322</v>
      </c>
      <c r="AC602" s="182">
        <f>SUM(AT602:BE602)</f>
        <v>2055992.0023070029</v>
      </c>
      <c r="AD602" s="182">
        <f>SUM(BF602:BQ602)</f>
        <v>2066720.8692792414</v>
      </c>
      <c r="AE602" s="182">
        <f>SUM(BR602:CC602)</f>
        <v>2082866.9833992913</v>
      </c>
      <c r="AF602" s="182">
        <f>SUM(CD602:CO602)</f>
        <v>2103488.4405091479</v>
      </c>
      <c r="AH602" s="174">
        <v>504467.83762824856</v>
      </c>
      <c r="AI602" s="174">
        <v>231336.79781188798</v>
      </c>
      <c r="AJ602" s="174">
        <v>0</v>
      </c>
      <c r="AK602" s="174">
        <v>276842.49583513755</v>
      </c>
      <c r="AL602" s="174">
        <v>71049.018427721327</v>
      </c>
      <c r="AM602" s="174">
        <v>56169.867815307181</v>
      </c>
      <c r="AN602" s="174">
        <v>137519.38422355172</v>
      </c>
      <c r="AO602" s="174">
        <v>103340.7911719523</v>
      </c>
      <c r="AP602" s="174">
        <v>265365.68643678253</v>
      </c>
      <c r="AQ602" s="174">
        <v>163406.75670072544</v>
      </c>
      <c r="AR602" s="174">
        <v>97468.129472857137</v>
      </c>
      <c r="AS602" s="174">
        <v>147816.41133926035</v>
      </c>
      <c r="AT602" s="174">
        <v>504764.61519799643</v>
      </c>
      <c r="AU602" s="174">
        <v>231472.89285606492</v>
      </c>
      <c r="AV602" s="174">
        <v>0</v>
      </c>
      <c r="AW602" s="174">
        <v>277005.36180396349</v>
      </c>
      <c r="AX602" s="174">
        <v>71090.816444263051</v>
      </c>
      <c r="AY602" s="174">
        <v>56202.912452883407</v>
      </c>
      <c r="AZ602" s="174">
        <v>137600.28664308946</v>
      </c>
      <c r="BA602" s="174">
        <v>103401.58638340526</v>
      </c>
      <c r="BB602" s="174">
        <v>265521.80061818485</v>
      </c>
      <c r="BC602" s="174">
        <v>163502.88861740427</v>
      </c>
      <c r="BD602" s="174">
        <v>97525.46980743391</v>
      </c>
      <c r="BE602" s="174">
        <v>147903.37148231399</v>
      </c>
      <c r="BF602" s="174">
        <v>507398.64898931253</v>
      </c>
      <c r="BG602" s="174">
        <v>232680.79729944075</v>
      </c>
      <c r="BH602" s="174">
        <v>0</v>
      </c>
      <c r="BI602" s="174">
        <v>278450.87018826499</v>
      </c>
      <c r="BJ602" s="174">
        <v>71461.792552984509</v>
      </c>
      <c r="BK602" s="174">
        <v>56496.198404619936</v>
      </c>
      <c r="BL602" s="174">
        <v>138318.33183445159</v>
      </c>
      <c r="BM602" s="174">
        <v>103941.17110152726</v>
      </c>
      <c r="BN602" s="174">
        <v>266907.38386649772</v>
      </c>
      <c r="BO602" s="174">
        <v>164356.10241375392</v>
      </c>
      <c r="BP602" s="174">
        <v>98034.390946618747</v>
      </c>
      <c r="BQ602" s="174">
        <v>148675.18168176941</v>
      </c>
      <c r="BR602" s="174">
        <v>511362.66590747418</v>
      </c>
      <c r="BS602" s="174">
        <v>234498.59996577335</v>
      </c>
      <c r="BT602" s="174">
        <v>0</v>
      </c>
      <c r="BU602" s="174">
        <v>280626.24838941253</v>
      </c>
      <c r="BV602" s="174">
        <v>72020.08287410863</v>
      </c>
      <c r="BW602" s="174">
        <v>56937.571054574408</v>
      </c>
      <c r="BX602" s="174">
        <v>139398.93425342889</v>
      </c>
      <c r="BY602" s="174">
        <v>104753.20432542468</v>
      </c>
      <c r="BZ602" s="174">
        <v>268992.57937763387</v>
      </c>
      <c r="CA602" s="174">
        <v>165640.12311792598</v>
      </c>
      <c r="CB602" s="174">
        <v>98800.277858316549</v>
      </c>
      <c r="CC602" s="174">
        <v>149836.69627521816</v>
      </c>
      <c r="CD602" s="174">
        <v>516425.41997032997</v>
      </c>
      <c r="CE602" s="174">
        <v>236820.25701831526</v>
      </c>
      <c r="CF602" s="174">
        <v>0</v>
      </c>
      <c r="CG602" s="174">
        <v>283404.59294582671</v>
      </c>
      <c r="CH602" s="174">
        <v>72733.1188297763</v>
      </c>
      <c r="CI602" s="174">
        <v>57501.282366338113</v>
      </c>
      <c r="CJ602" s="174">
        <v>140779.05557983994</v>
      </c>
      <c r="CK602" s="174">
        <v>105790.31506141197</v>
      </c>
      <c r="CL602" s="174">
        <v>271655.74461224367</v>
      </c>
      <c r="CM602" s="174">
        <v>167280.04574465711</v>
      </c>
      <c r="CN602" s="174">
        <v>99778.451552813407</v>
      </c>
      <c r="CO602" s="174">
        <v>151320.15682759552</v>
      </c>
    </row>
    <row r="603" spans="1:93" x14ac:dyDescent="0.2">
      <c r="A603" s="118">
        <f t="shared" si="53"/>
        <v>17</v>
      </c>
      <c r="B603" s="227" t="s">
        <v>644</v>
      </c>
      <c r="C603" s="263"/>
      <c r="D603" s="172"/>
      <c r="E603" s="230"/>
      <c r="F603" s="197"/>
      <c r="G603" s="230"/>
      <c r="H603" s="203"/>
      <c r="I603" s="308"/>
      <c r="J603" s="172"/>
      <c r="K603" s="230"/>
      <c r="L603" s="197"/>
      <c r="M603" s="230"/>
      <c r="N603" s="203"/>
      <c r="O603" s="227"/>
      <c r="P603" s="262"/>
      <c r="Q603" s="1287"/>
      <c r="R603" s="311"/>
      <c r="S603" s="227"/>
      <c r="T603" s="227"/>
      <c r="U603" s="184" t="s">
        <v>138</v>
      </c>
      <c r="V603" s="179">
        <v>256</v>
      </c>
      <c r="W603" s="180">
        <v>230</v>
      </c>
      <c r="X603" s="227"/>
      <c r="Y603" s="184"/>
      <c r="Z603" s="181"/>
      <c r="AA603" s="227"/>
      <c r="AB603" s="182">
        <f>SUM(AH603:AS603)</f>
        <v>0</v>
      </c>
      <c r="AC603" s="182">
        <f>SUM(AT603:BE603)</f>
        <v>0</v>
      </c>
      <c r="AD603" s="182">
        <f>SUM(BF603:BQ603)</f>
        <v>0</v>
      </c>
      <c r="AE603" s="182">
        <f>SUM(BR603:CC603)</f>
        <v>0</v>
      </c>
      <c r="AF603" s="182">
        <f>SUM(CD603:CO603)</f>
        <v>0</v>
      </c>
    </row>
    <row r="604" spans="1:93" x14ac:dyDescent="0.2">
      <c r="A604" s="118">
        <f t="shared" si="53"/>
        <v>18</v>
      </c>
      <c r="B604" s="227" t="s">
        <v>647</v>
      </c>
      <c r="C604" s="263"/>
      <c r="D604" s="172">
        <f>SUMIF($AH$8:$CP$8,1,$AH604:$CP604)</f>
        <v>253432</v>
      </c>
      <c r="E604" s="233" t="s">
        <v>596</v>
      </c>
      <c r="F604" s="201">
        <v>1.9570000000000001</v>
      </c>
      <c r="G604" s="233" t="s">
        <v>375</v>
      </c>
      <c r="H604" s="174">
        <f>ROUND(D604*F604,2)</f>
        <v>495966.42</v>
      </c>
      <c r="I604" s="308"/>
      <c r="J604" s="172">
        <f>SUMIF($AH$8:$CP$8,1,$AH604:$CP604)</f>
        <v>253432</v>
      </c>
      <c r="K604" s="233" t="s">
        <v>596</v>
      </c>
      <c r="L604" s="201">
        <f>L601</f>
        <v>2.0059999999999998</v>
      </c>
      <c r="M604" s="233" t="s">
        <v>375</v>
      </c>
      <c r="N604" s="174">
        <f>ROUND(J604*L604,2)</f>
        <v>508384.59</v>
      </c>
      <c r="O604" s="227"/>
      <c r="P604" s="262"/>
      <c r="Q604" s="1287"/>
      <c r="R604" s="311"/>
      <c r="S604" s="227"/>
      <c r="T604" s="227"/>
      <c r="U604" s="184" t="s">
        <v>138</v>
      </c>
      <c r="V604" s="179">
        <v>256</v>
      </c>
      <c r="W604" s="180">
        <v>230</v>
      </c>
      <c r="X604" s="227"/>
      <c r="Y604" s="184"/>
      <c r="Z604" s="181"/>
      <c r="AA604" s="227"/>
      <c r="AB604" s="182">
        <f>SUM(AH604:AS604)</f>
        <v>253432</v>
      </c>
      <c r="AC604" s="182">
        <f>SUM(AT604:BE604)</f>
        <v>253432</v>
      </c>
      <c r="AD604" s="182">
        <f>SUM(BF604:BQ604)</f>
        <v>253432</v>
      </c>
      <c r="AE604" s="182">
        <f>SUM(BR604:CC604)</f>
        <v>253432</v>
      </c>
      <c r="AF604" s="182">
        <f>SUM(CD604:CO604)</f>
        <v>253432</v>
      </c>
      <c r="AH604" s="174">
        <v>22736</v>
      </c>
      <c r="AI604" s="174">
        <v>19136</v>
      </c>
      <c r="AJ604" s="174">
        <v>19136</v>
      </c>
      <c r="AK604" s="174">
        <v>22736</v>
      </c>
      <c r="AL604" s="174">
        <v>22736</v>
      </c>
      <c r="AM604" s="174">
        <v>19136</v>
      </c>
      <c r="AN604" s="174">
        <v>22736</v>
      </c>
      <c r="AO604" s="174">
        <v>14136</v>
      </c>
      <c r="AP604" s="174">
        <v>22736</v>
      </c>
      <c r="AQ604" s="174">
        <v>22736</v>
      </c>
      <c r="AR604" s="174">
        <v>22736</v>
      </c>
      <c r="AS604" s="174">
        <v>22736</v>
      </c>
      <c r="AT604" s="174">
        <v>22736</v>
      </c>
      <c r="AU604" s="174">
        <v>19136</v>
      </c>
      <c r="AV604" s="174">
        <v>19136</v>
      </c>
      <c r="AW604" s="174">
        <v>22736</v>
      </c>
      <c r="AX604" s="174">
        <v>22736</v>
      </c>
      <c r="AY604" s="174">
        <v>19136</v>
      </c>
      <c r="AZ604" s="174">
        <v>22736</v>
      </c>
      <c r="BA604" s="174">
        <v>14136</v>
      </c>
      <c r="BB604" s="174">
        <v>22736</v>
      </c>
      <c r="BC604" s="174">
        <v>22736</v>
      </c>
      <c r="BD604" s="174">
        <v>22736</v>
      </c>
      <c r="BE604" s="174">
        <v>22736</v>
      </c>
      <c r="BF604" s="174">
        <v>22736</v>
      </c>
      <c r="BG604" s="174">
        <v>19136</v>
      </c>
      <c r="BH604" s="174">
        <v>19136</v>
      </c>
      <c r="BI604" s="174">
        <v>22736</v>
      </c>
      <c r="BJ604" s="174">
        <v>22736</v>
      </c>
      <c r="BK604" s="174">
        <v>19136</v>
      </c>
      <c r="BL604" s="174">
        <v>22736</v>
      </c>
      <c r="BM604" s="174">
        <v>14136</v>
      </c>
      <c r="BN604" s="174">
        <v>22736</v>
      </c>
      <c r="BO604" s="174">
        <v>22736</v>
      </c>
      <c r="BP604" s="174">
        <v>22736</v>
      </c>
      <c r="BQ604" s="174">
        <v>22736</v>
      </c>
      <c r="BR604" s="174">
        <v>22736</v>
      </c>
      <c r="BS604" s="174">
        <v>19136</v>
      </c>
      <c r="BT604" s="174">
        <v>19136</v>
      </c>
      <c r="BU604" s="174">
        <v>22736</v>
      </c>
      <c r="BV604" s="174">
        <v>22736</v>
      </c>
      <c r="BW604" s="174">
        <v>19136</v>
      </c>
      <c r="BX604" s="174">
        <v>22736</v>
      </c>
      <c r="BY604" s="174">
        <v>14136</v>
      </c>
      <c r="BZ604" s="174">
        <v>22736</v>
      </c>
      <c r="CA604" s="174">
        <v>22736</v>
      </c>
      <c r="CB604" s="174">
        <v>22736</v>
      </c>
      <c r="CC604" s="174">
        <v>22736</v>
      </c>
      <c r="CD604" s="174">
        <v>22736</v>
      </c>
      <c r="CE604" s="174">
        <v>19136</v>
      </c>
      <c r="CF604" s="174">
        <v>19136</v>
      </c>
      <c r="CG604" s="174">
        <v>22736</v>
      </c>
      <c r="CH604" s="174">
        <v>22736</v>
      </c>
      <c r="CI604" s="174">
        <v>19136</v>
      </c>
      <c r="CJ604" s="174">
        <v>22736</v>
      </c>
      <c r="CK604" s="174">
        <v>14136</v>
      </c>
      <c r="CL604" s="174">
        <v>22736</v>
      </c>
      <c r="CM604" s="174">
        <v>22736</v>
      </c>
      <c r="CN604" s="174">
        <v>22736</v>
      </c>
      <c r="CO604" s="174">
        <v>22736</v>
      </c>
    </row>
    <row r="605" spans="1:93" x14ac:dyDescent="0.2">
      <c r="A605" s="118">
        <f t="shared" si="53"/>
        <v>19</v>
      </c>
      <c r="B605" s="227" t="s">
        <v>648</v>
      </c>
      <c r="C605" s="263"/>
      <c r="D605" s="172">
        <f>+J605</f>
        <v>146796.72451314615</v>
      </c>
      <c r="E605" s="233" t="s">
        <v>596</v>
      </c>
      <c r="F605" s="201">
        <v>0.93100000000000005</v>
      </c>
      <c r="G605" s="233" t="s">
        <v>375</v>
      </c>
      <c r="H605" s="174">
        <f>ROUND(D605*F605,2)</f>
        <v>136667.75</v>
      </c>
      <c r="I605" s="308"/>
      <c r="J605" s="172">
        <f>+(BR605*BR$600)+(BS605*BS$600)+(BT605*BT$600)+(BU605*BU$600)+(BV605*BV$600)+(BW605*BW$600)+(BX605*BX$600)+(BY605*BY$600)+(BZ605*BZ$600)+(CA605*CA$600)+(CB605*CB$600)+(CC605*CC$600)</f>
        <v>146796.72451314615</v>
      </c>
      <c r="K605" s="233" t="s">
        <v>596</v>
      </c>
      <c r="L605" s="201">
        <f>L602</f>
        <v>0.95499999999999996</v>
      </c>
      <c r="M605" s="233" t="s">
        <v>375</v>
      </c>
      <c r="N605" s="174">
        <f>ROUND(J605*L605,2)</f>
        <v>140190.87</v>
      </c>
      <c r="O605" s="227"/>
      <c r="P605" s="262"/>
      <c r="Q605" s="1287"/>
      <c r="R605" s="311"/>
      <c r="S605" s="227"/>
      <c r="T605" s="227"/>
      <c r="U605" s="184" t="s">
        <v>138</v>
      </c>
      <c r="V605" s="179">
        <v>256</v>
      </c>
      <c r="W605" s="180">
        <v>230</v>
      </c>
      <c r="X605" s="227"/>
      <c r="Y605" s="184"/>
      <c r="Z605" s="181"/>
      <c r="AA605" s="227"/>
      <c r="AB605" s="182">
        <f>SUM(AH605:AS605)</f>
        <v>148993.00333598437</v>
      </c>
      <c r="AC605" s="182">
        <f>SUM(AT605:BE605)</f>
        <v>149080.65566610589</v>
      </c>
      <c r="AD605" s="182">
        <f>SUM(BF605:BQ605)</f>
        <v>149858.60933566344</v>
      </c>
      <c r="AE605" s="182">
        <f>SUM(BR605:CC605)</f>
        <v>151029.36937596317</v>
      </c>
      <c r="AF605" s="182">
        <f>SUM(CD605:CO605)</f>
        <v>152524.63800700757</v>
      </c>
      <c r="AH605" s="174">
        <v>0</v>
      </c>
      <c r="AI605" s="174">
        <v>40047.025283689974</v>
      </c>
      <c r="AJ605" s="174">
        <v>79661.959073392121</v>
      </c>
      <c r="AK605" s="174">
        <v>0</v>
      </c>
      <c r="AL605" s="174">
        <v>0</v>
      </c>
      <c r="AM605" s="174">
        <v>10546.960557793776</v>
      </c>
      <c r="AN605" s="174">
        <v>0</v>
      </c>
      <c r="AO605" s="174">
        <v>18737.058421108501</v>
      </c>
      <c r="AP605" s="174">
        <v>0</v>
      </c>
      <c r="AQ605" s="174">
        <v>0</v>
      </c>
      <c r="AR605" s="174">
        <v>0</v>
      </c>
      <c r="AS605" s="174">
        <v>0</v>
      </c>
      <c r="AT605" s="174">
        <v>0</v>
      </c>
      <c r="AU605" s="174">
        <v>40070.584880462688</v>
      </c>
      <c r="AV605" s="174">
        <v>79708.824068247501</v>
      </c>
      <c r="AW605" s="174">
        <v>0</v>
      </c>
      <c r="AX605" s="174">
        <v>0</v>
      </c>
      <c r="AY605" s="174">
        <v>10553.165316728033</v>
      </c>
      <c r="AZ605" s="174">
        <v>0</v>
      </c>
      <c r="BA605" s="174">
        <v>18748.081400667677</v>
      </c>
      <c r="BB605" s="174">
        <v>0</v>
      </c>
      <c r="BC605" s="174">
        <v>0</v>
      </c>
      <c r="BD605" s="174">
        <v>0</v>
      </c>
      <c r="BE605" s="174">
        <v>0</v>
      </c>
      <c r="BF605" s="174">
        <v>0</v>
      </c>
      <c r="BG605" s="174">
        <v>40279.68684885549</v>
      </c>
      <c r="BH605" s="174">
        <v>80124.771877860665</v>
      </c>
      <c r="BI605" s="174">
        <v>0</v>
      </c>
      <c r="BJ605" s="174">
        <v>0</v>
      </c>
      <c r="BK605" s="174">
        <v>10608.235329983027</v>
      </c>
      <c r="BL605" s="174">
        <v>0</v>
      </c>
      <c r="BM605" s="174">
        <v>18845.915278964261</v>
      </c>
      <c r="BN605" s="174">
        <v>0</v>
      </c>
      <c r="BO605" s="174">
        <v>0</v>
      </c>
      <c r="BP605" s="174">
        <v>0</v>
      </c>
      <c r="BQ605" s="174">
        <v>0</v>
      </c>
      <c r="BR605" s="174">
        <v>0</v>
      </c>
      <c r="BS605" s="174">
        <v>40594.369121749129</v>
      </c>
      <c r="BT605" s="174">
        <v>80750.741126932058</v>
      </c>
      <c r="BU605" s="174">
        <v>0</v>
      </c>
      <c r="BV605" s="174">
        <v>0</v>
      </c>
      <c r="BW605" s="174">
        <v>10691.111436184048</v>
      </c>
      <c r="BX605" s="174">
        <v>0</v>
      </c>
      <c r="BY605" s="174">
        <v>18993.147691097918</v>
      </c>
      <c r="BZ605" s="174">
        <v>0</v>
      </c>
      <c r="CA605" s="174">
        <v>0</v>
      </c>
      <c r="CB605" s="174">
        <v>0</v>
      </c>
      <c r="CC605" s="174">
        <v>0</v>
      </c>
      <c r="CD605" s="174">
        <v>0</v>
      </c>
      <c r="CE605" s="174">
        <v>40996.274307446416</v>
      </c>
      <c r="CF605" s="174">
        <v>81550.215101031208</v>
      </c>
      <c r="CG605" s="174">
        <v>0</v>
      </c>
      <c r="CH605" s="174">
        <v>0</v>
      </c>
      <c r="CI605" s="174">
        <v>10796.958951985638</v>
      </c>
      <c r="CJ605" s="174">
        <v>0</v>
      </c>
      <c r="CK605" s="174">
        <v>19181.189646544321</v>
      </c>
      <c r="CL605" s="174">
        <v>0</v>
      </c>
      <c r="CM605" s="174">
        <v>0</v>
      </c>
      <c r="CN605" s="174">
        <v>0</v>
      </c>
      <c r="CO605" s="174">
        <v>0</v>
      </c>
    </row>
    <row r="606" spans="1:93" x14ac:dyDescent="0.2">
      <c r="A606" s="118">
        <f t="shared" si="53"/>
        <v>20</v>
      </c>
      <c r="B606" s="227"/>
      <c r="C606" s="225" t="s">
        <v>121</v>
      </c>
      <c r="D606" s="227"/>
      <c r="E606" s="325"/>
      <c r="F606" s="326"/>
      <c r="G606" s="230"/>
      <c r="H606" s="300">
        <f>SUM(H596:H605)</f>
        <v>3548550.61</v>
      </c>
      <c r="I606" s="308"/>
      <c r="J606" s="227"/>
      <c r="K606" s="230"/>
      <c r="L606" s="326"/>
      <c r="M606" s="230"/>
      <c r="N606" s="300">
        <f>SUM(N596:N605)</f>
        <v>3642513.18</v>
      </c>
      <c r="O606" s="227"/>
      <c r="P606" s="262"/>
      <c r="Q606" s="1022"/>
      <c r="R606" s="311"/>
      <c r="S606" s="227"/>
      <c r="T606" s="227"/>
      <c r="U606" s="178"/>
      <c r="V606" s="179"/>
      <c r="W606" s="180"/>
      <c r="X606" s="227"/>
      <c r="Y606" s="178" t="s">
        <v>138</v>
      </c>
      <c r="Z606" s="181" t="s">
        <v>146</v>
      </c>
      <c r="AA606" s="227"/>
      <c r="AB606" s="324">
        <f>SUM(AB596:AB597)</f>
        <v>526492.31999999995</v>
      </c>
      <c r="AC606" s="324">
        <f>SUM(AC596:AC597)</f>
        <v>526492.31999999995</v>
      </c>
      <c r="AD606" s="324">
        <f>SUM(AD596:AD597)</f>
        <v>526492.31999999995</v>
      </c>
      <c r="AE606" s="324">
        <f>SUM(AE596:AE597)</f>
        <v>526492.31999999995</v>
      </c>
      <c r="AF606" s="324">
        <f>SUM(AF596:AF597)</f>
        <v>526492.31999999995</v>
      </c>
      <c r="AH606" s="854"/>
      <c r="AI606" s="854"/>
      <c r="AJ606" s="854"/>
      <c r="AK606" s="854"/>
      <c r="AL606" s="854"/>
      <c r="AM606" s="854"/>
      <c r="AN606" s="854"/>
      <c r="AO606" s="854"/>
      <c r="AP606" s="854"/>
      <c r="AQ606" s="854"/>
      <c r="AR606" s="854"/>
      <c r="AS606" s="854"/>
      <c r="AT606" s="854"/>
      <c r="AU606" s="854"/>
      <c r="AV606" s="854"/>
      <c r="AW606" s="854"/>
      <c r="AX606" s="854"/>
      <c r="AY606" s="854"/>
      <c r="AZ606" s="854"/>
      <c r="BA606" s="854"/>
      <c r="BB606" s="854"/>
      <c r="BC606" s="854"/>
      <c r="BD606" s="854"/>
      <c r="BE606" s="854"/>
      <c r="BF606" s="854"/>
      <c r="BG606" s="854"/>
      <c r="BH606" s="854"/>
      <c r="BI606" s="854"/>
      <c r="BJ606" s="854"/>
      <c r="BK606" s="854"/>
      <c r="BL606" s="854"/>
      <c r="BM606" s="854"/>
      <c r="BN606" s="854"/>
      <c r="BO606" s="854"/>
      <c r="BP606" s="854"/>
      <c r="BQ606" s="854"/>
      <c r="BR606" s="854"/>
      <c r="BS606" s="854"/>
      <c r="BT606" s="854"/>
      <c r="BU606" s="854"/>
      <c r="BV606" s="854"/>
      <c r="BW606" s="854"/>
      <c r="BX606" s="854"/>
      <c r="BY606" s="854"/>
      <c r="BZ606" s="854"/>
      <c r="CA606" s="854"/>
      <c r="CB606" s="854"/>
      <c r="CC606" s="854"/>
      <c r="CD606" s="854"/>
      <c r="CE606" s="854"/>
      <c r="CF606" s="854"/>
      <c r="CG606" s="854"/>
      <c r="CH606" s="854"/>
      <c r="CI606" s="854"/>
      <c r="CJ606" s="854"/>
      <c r="CK606" s="854"/>
      <c r="CL606" s="854"/>
      <c r="CM606" s="854"/>
      <c r="CN606" s="854"/>
      <c r="CO606" s="854"/>
    </row>
    <row r="607" spans="1:93" x14ac:dyDescent="0.2">
      <c r="A607" s="118">
        <f t="shared" si="53"/>
        <v>21</v>
      </c>
      <c r="B607" s="227"/>
      <c r="C607" s="263"/>
      <c r="D607" s="227"/>
      <c r="E607" s="230"/>
      <c r="F607" s="197"/>
      <c r="G607" s="230"/>
      <c r="H607" s="203"/>
      <c r="I607" s="308"/>
      <c r="J607" s="227"/>
      <c r="K607" s="230"/>
      <c r="L607" s="197"/>
      <c r="M607" s="230"/>
      <c r="N607" s="203"/>
      <c r="O607" s="227"/>
      <c r="P607" s="262"/>
      <c r="Q607" s="1287"/>
      <c r="R607" s="311"/>
      <c r="T607" s="264"/>
      <c r="U607" s="184"/>
      <c r="V607" s="179"/>
      <c r="W607" s="180"/>
      <c r="X607" s="264"/>
      <c r="Y607" s="184"/>
      <c r="Z607" s="181"/>
      <c r="AA607" s="264"/>
      <c r="AC607" s="114"/>
      <c r="AD607" s="114"/>
      <c r="AE607" s="114"/>
      <c r="AF607" s="114"/>
    </row>
    <row r="608" spans="1:93" x14ac:dyDescent="0.2">
      <c r="A608" s="118">
        <f t="shared" si="53"/>
        <v>22</v>
      </c>
      <c r="B608" s="286" t="s">
        <v>551</v>
      </c>
      <c r="C608" s="263"/>
      <c r="D608" s="227"/>
      <c r="E608" s="230"/>
      <c r="F608" s="197"/>
      <c r="G608" s="230"/>
      <c r="H608" s="203"/>
      <c r="I608" s="308"/>
      <c r="J608" s="227"/>
      <c r="K608" s="230"/>
      <c r="L608" s="197"/>
      <c r="M608" s="230"/>
      <c r="N608" s="203"/>
      <c r="O608" s="227"/>
      <c r="P608" s="262"/>
      <c r="Q608" s="1287"/>
      <c r="R608" s="311"/>
      <c r="T608" s="264"/>
      <c r="U608" s="184"/>
      <c r="V608" s="179"/>
      <c r="W608" s="180"/>
      <c r="X608" s="264"/>
      <c r="Y608" s="184"/>
      <c r="Z608" s="181"/>
      <c r="AA608" s="264"/>
      <c r="AC608" s="114"/>
      <c r="AD608" s="114"/>
      <c r="AE608" s="114"/>
      <c r="AF608" s="114"/>
    </row>
    <row r="609" spans="1:94" x14ac:dyDescent="0.2">
      <c r="A609" s="118">
        <f t="shared" si="53"/>
        <v>23</v>
      </c>
      <c r="B609" s="228" t="s">
        <v>543</v>
      </c>
      <c r="C609" s="225"/>
      <c r="D609" s="168"/>
      <c r="E609" s="233"/>
      <c r="F609" s="183"/>
      <c r="G609" s="233"/>
      <c r="H609" s="174"/>
      <c r="I609" s="308"/>
      <c r="J609" s="168"/>
      <c r="K609" s="233"/>
      <c r="L609" s="1368">
        <v>-0.15</v>
      </c>
      <c r="M609" s="233"/>
      <c r="N609" s="174"/>
      <c r="O609" s="227"/>
      <c r="P609" s="262"/>
      <c r="Q609" s="1287"/>
      <c r="R609" s="311"/>
      <c r="T609" s="264"/>
      <c r="U609" s="178"/>
      <c r="V609" s="179"/>
      <c r="W609" s="180"/>
      <c r="X609" s="264"/>
      <c r="Y609" s="178"/>
      <c r="Z609" s="181"/>
      <c r="AA609" s="264"/>
      <c r="AB609" s="264"/>
      <c r="AC609" s="242"/>
      <c r="AH609" s="168"/>
      <c r="AT609" s="168"/>
      <c r="BF609" s="168"/>
      <c r="BR609" s="168"/>
      <c r="CD609" s="168"/>
    </row>
    <row r="610" spans="1:94" x14ac:dyDescent="0.2">
      <c r="A610" s="118">
        <f t="shared" si="53"/>
        <v>24</v>
      </c>
      <c r="B610" s="234" t="s">
        <v>148</v>
      </c>
      <c r="C610" s="225"/>
      <c r="D610" s="172">
        <f>SUMIF($AH$8:$CP$8,1,$AH610:$CP610)+'Unbilled to E-13c'!P99</f>
        <v>58850.865428360245</v>
      </c>
      <c r="E610" s="233" t="s">
        <v>555</v>
      </c>
      <c r="F610" s="183">
        <v>14.4</v>
      </c>
      <c r="G610" s="233" t="s">
        <v>375</v>
      </c>
      <c r="H610" s="174">
        <f>ROUND(D610*F610,2)</f>
        <v>847452.46</v>
      </c>
      <c r="I610" s="308"/>
      <c r="J610" s="172">
        <f>D610</f>
        <v>58850.865428360245</v>
      </c>
      <c r="K610" s="233" t="s">
        <v>555</v>
      </c>
      <c r="L610" s="183">
        <f>ROUND(F610*(1+'Exhibit MJC-2 - Old E-8a'!V24)+L609,2)</f>
        <v>14.65</v>
      </c>
      <c r="M610" s="233" t="s">
        <v>375</v>
      </c>
      <c r="N610" s="174">
        <f>ROUND(J610*L610,2)</f>
        <v>862165.18</v>
      </c>
      <c r="O610" s="227"/>
      <c r="P610" s="262"/>
      <c r="Q610" s="1287"/>
      <c r="R610" s="311"/>
      <c r="T610" s="264"/>
      <c r="U610" s="184" t="s">
        <v>138</v>
      </c>
      <c r="V610" s="179">
        <v>256</v>
      </c>
      <c r="W610" s="180">
        <v>230</v>
      </c>
      <c r="X610" s="264"/>
      <c r="Y610" s="184"/>
      <c r="Z610" s="181"/>
      <c r="AA610" s="264"/>
      <c r="AB610" s="182">
        <f>SUM(AH610:AS610)</f>
        <v>58642.703817743866</v>
      </c>
      <c r="AC610" s="182">
        <f>SUM(AT610:BE610)</f>
        <v>58687.68079517669</v>
      </c>
      <c r="AD610" s="182">
        <f>SUM(BF610:BQ610)</f>
        <v>58990.137275477646</v>
      </c>
      <c r="AE610" s="182">
        <f>SUM(BR610:CC610)</f>
        <v>59446.679428360243</v>
      </c>
      <c r="AF610" s="182">
        <f>SUM(CD610:CO610)</f>
        <v>60055.502803415962</v>
      </c>
      <c r="AH610" s="168">
        <v>11888.276153381106</v>
      </c>
      <c r="AI610" s="168">
        <v>7753.8874030391435</v>
      </c>
      <c r="AJ610" s="168">
        <v>0</v>
      </c>
      <c r="AK610" s="168">
        <v>6896.6012273244623</v>
      </c>
      <c r="AL610" s="168">
        <v>2374.2942838392282</v>
      </c>
      <c r="AM610" s="168">
        <v>1358.4048422617432</v>
      </c>
      <c r="AN610" s="168">
        <v>4311.1515285027808</v>
      </c>
      <c r="AO610" s="168">
        <v>2907.3349098469066</v>
      </c>
      <c r="AP610" s="168">
        <v>7974.302241828992</v>
      </c>
      <c r="AQ610" s="168">
        <v>5653.6216013001595</v>
      </c>
      <c r="AR610" s="168">
        <v>3447.2907131745601</v>
      </c>
      <c r="AS610" s="168">
        <v>4077.5389132447867</v>
      </c>
      <c r="AT610" s="168">
        <v>11915.461083149046</v>
      </c>
      <c r="AU610" s="168">
        <v>7632.0891699213444</v>
      </c>
      <c r="AV610" s="168">
        <v>0</v>
      </c>
      <c r="AW610" s="168">
        <v>6876.6141769384985</v>
      </c>
      <c r="AX610" s="168">
        <v>2294.9684092344241</v>
      </c>
      <c r="AY610" s="168">
        <v>1314.5262787664726</v>
      </c>
      <c r="AZ610" s="168">
        <v>4353.3112961773741</v>
      </c>
      <c r="BA610" s="168">
        <v>2917.6931973065034</v>
      </c>
      <c r="BB610" s="168">
        <v>7989.1014888477275</v>
      </c>
      <c r="BC610" s="168">
        <v>5713.8249126594128</v>
      </c>
      <c r="BD610" s="168">
        <v>3572.6925175954348</v>
      </c>
      <c r="BE610" s="168">
        <v>4107.3982645804426</v>
      </c>
      <c r="BF610" s="168">
        <v>11940.005723384424</v>
      </c>
      <c r="BG610" s="168">
        <v>7749.6997704750111</v>
      </c>
      <c r="BH610" s="168">
        <v>0</v>
      </c>
      <c r="BI610" s="168">
        <v>6889.8827977334267</v>
      </c>
      <c r="BJ610" s="168">
        <v>2312.4154052208091</v>
      </c>
      <c r="BK610" s="168">
        <v>1335.6396559233917</v>
      </c>
      <c r="BL610" s="168">
        <v>4383.8290938024566</v>
      </c>
      <c r="BM610" s="168">
        <v>2942.0896459956934</v>
      </c>
      <c r="BN610" s="168">
        <v>8017.1212361577036</v>
      </c>
      <c r="BO610" s="168">
        <v>5688.5732377000377</v>
      </c>
      <c r="BP610" s="168">
        <v>3572.9334880728152</v>
      </c>
      <c r="BQ610" s="168">
        <v>4157.9472210118756</v>
      </c>
      <c r="BR610" s="168">
        <v>12032.921996206296</v>
      </c>
      <c r="BS610" s="168">
        <v>7730.8668488618214</v>
      </c>
      <c r="BT610" s="168">
        <v>0</v>
      </c>
      <c r="BU610" s="168">
        <v>7001.5853429596573</v>
      </c>
      <c r="BV610" s="168">
        <v>2291.7136478913162</v>
      </c>
      <c r="BW610" s="168">
        <v>1355.7398200944394</v>
      </c>
      <c r="BX610" s="168">
        <v>4451.184013834958</v>
      </c>
      <c r="BY610" s="168">
        <v>2974.4823914982871</v>
      </c>
      <c r="BZ610" s="168">
        <v>8081.0352484604837</v>
      </c>
      <c r="CA610" s="168">
        <v>5756.9030468855799</v>
      </c>
      <c r="CB610" s="168">
        <v>3606.6584716804368</v>
      </c>
      <c r="CC610" s="168">
        <v>4163.5885999869724</v>
      </c>
      <c r="CD610" s="168">
        <v>12140.963228654256</v>
      </c>
      <c r="CE610" s="168">
        <v>7808.3228782300102</v>
      </c>
      <c r="CF610" s="168">
        <v>0</v>
      </c>
      <c r="CG610" s="168">
        <v>7110.5253997745567</v>
      </c>
      <c r="CH610" s="168">
        <v>2348.1810545397229</v>
      </c>
      <c r="CI610" s="168">
        <v>1352.9129124897108</v>
      </c>
      <c r="CJ610" s="168">
        <v>4474.14400622024</v>
      </c>
      <c r="CK610" s="168">
        <v>2989.9561505872944</v>
      </c>
      <c r="CL610" s="168">
        <v>8218.8973880891681</v>
      </c>
      <c r="CM610" s="168">
        <v>5791.6723989079574</v>
      </c>
      <c r="CN610" s="168">
        <v>3644.2241928543654</v>
      </c>
      <c r="CO610" s="168">
        <v>4175.7031930686844</v>
      </c>
      <c r="CP610" s="266"/>
    </row>
    <row r="611" spans="1:94" x14ac:dyDescent="0.2">
      <c r="A611" s="118">
        <f t="shared" si="53"/>
        <v>25</v>
      </c>
      <c r="B611" s="234" t="s">
        <v>216</v>
      </c>
      <c r="C611" s="225"/>
      <c r="D611" s="172">
        <f>SUMIF($AH$8:$CP$8,1,$AH611:$CP611)+'Unbilled to E-13c'!P100</f>
        <v>5674.456056108409</v>
      </c>
      <c r="E611" s="233" t="s">
        <v>555</v>
      </c>
      <c r="F611" s="183">
        <v>14.4</v>
      </c>
      <c r="G611" s="233" t="s">
        <v>375</v>
      </c>
      <c r="H611" s="187">
        <f>ROUND(D611*F611,2)</f>
        <v>81712.17</v>
      </c>
      <c r="I611" s="308"/>
      <c r="J611" s="172">
        <f>D611</f>
        <v>5674.456056108409</v>
      </c>
      <c r="K611" s="233" t="s">
        <v>555</v>
      </c>
      <c r="L611" s="183">
        <f>L610</f>
        <v>14.65</v>
      </c>
      <c r="M611" s="233" t="s">
        <v>375</v>
      </c>
      <c r="N611" s="187">
        <f>ROUND(J611*L611,2)</f>
        <v>83130.78</v>
      </c>
      <c r="O611" s="227"/>
      <c r="P611" s="262"/>
      <c r="Q611" s="1287"/>
      <c r="R611" s="311"/>
      <c r="T611" s="264"/>
      <c r="U611" s="184" t="s">
        <v>138</v>
      </c>
      <c r="V611" s="179">
        <v>256</v>
      </c>
      <c r="W611" s="180">
        <v>230</v>
      </c>
      <c r="X611" s="264"/>
      <c r="Y611" s="184"/>
      <c r="Z611" s="181"/>
      <c r="AA611" s="264"/>
      <c r="AB611" s="182">
        <f>SUM(AH611:AS611)</f>
        <v>5657.0608350623897</v>
      </c>
      <c r="AC611" s="182">
        <f>SUM(AT611:BE611)</f>
        <v>5649.9112996697459</v>
      </c>
      <c r="AD611" s="182">
        <f>SUM(BF611:BQ611)</f>
        <v>5683.1903018634566</v>
      </c>
      <c r="AE611" s="182">
        <f>SUM(BR611:CC611)</f>
        <v>5731.9040561084093</v>
      </c>
      <c r="AF611" s="182">
        <f>SUM(CD611:CO611)</f>
        <v>5768.3822651282117</v>
      </c>
      <c r="AH611" s="168">
        <v>1143.5230736456767</v>
      </c>
      <c r="AI611" s="168">
        <v>433.44172641466491</v>
      </c>
      <c r="AJ611" s="168">
        <v>324.24377449344365</v>
      </c>
      <c r="AK611" s="168">
        <v>370.04828216331038</v>
      </c>
      <c r="AL611" s="168">
        <v>279.02691145795717</v>
      </c>
      <c r="AM611" s="168">
        <v>420.04459452974521</v>
      </c>
      <c r="AN611" s="168">
        <v>363.13349412076514</v>
      </c>
      <c r="AO611" s="168">
        <v>559.147472582099</v>
      </c>
      <c r="AP611" s="168">
        <v>377.78570734843419</v>
      </c>
      <c r="AQ611" s="168">
        <v>586.25134965298832</v>
      </c>
      <c r="AR611" s="168">
        <v>420.59475212273264</v>
      </c>
      <c r="AS611" s="168">
        <v>379.81969653057251</v>
      </c>
      <c r="AT611" s="168">
        <v>1146.1379686938737</v>
      </c>
      <c r="AU611" s="168">
        <v>426.63321428484699</v>
      </c>
      <c r="AV611" s="168">
        <v>314.68223710408779</v>
      </c>
      <c r="AW611" s="168">
        <v>368.97584468040458</v>
      </c>
      <c r="AX611" s="168">
        <v>269.70453977878651</v>
      </c>
      <c r="AY611" s="168">
        <v>406.47650875847313</v>
      </c>
      <c r="AZ611" s="168">
        <v>366.68466221257916</v>
      </c>
      <c r="BA611" s="168">
        <v>561.13960986002189</v>
      </c>
      <c r="BB611" s="168">
        <v>378.48682750084953</v>
      </c>
      <c r="BC611" s="168">
        <v>592.49412199024994</v>
      </c>
      <c r="BD611" s="168">
        <v>435.89469205659736</v>
      </c>
      <c r="BE611" s="168">
        <v>382.60107274897467</v>
      </c>
      <c r="BF611" s="168">
        <v>1148.4988965593916</v>
      </c>
      <c r="BG611" s="168">
        <v>433.20763806725404</v>
      </c>
      <c r="BH611" s="168">
        <v>319.02538513319104</v>
      </c>
      <c r="BI611" s="168">
        <v>369.68779396817638</v>
      </c>
      <c r="BJ611" s="168">
        <v>271.75490962444377</v>
      </c>
      <c r="BK611" s="168">
        <v>413.00516624784541</v>
      </c>
      <c r="BL611" s="168">
        <v>369.25521312251567</v>
      </c>
      <c r="BM611" s="168">
        <v>565.83160890641216</v>
      </c>
      <c r="BN611" s="168">
        <v>379.81427405807904</v>
      </c>
      <c r="BO611" s="168">
        <v>589.8756537640553</v>
      </c>
      <c r="BP611" s="168">
        <v>435.9240922223031</v>
      </c>
      <c r="BQ611" s="168">
        <v>387.30967018978873</v>
      </c>
      <c r="BR611" s="168">
        <v>1157.4364330464414</v>
      </c>
      <c r="BS611" s="168">
        <v>432.1548791563813</v>
      </c>
      <c r="BT611" s="168">
        <v>323.42145512233685</v>
      </c>
      <c r="BU611" s="168">
        <v>375.68137451774686</v>
      </c>
      <c r="BV611" s="168">
        <v>269.32204043517879</v>
      </c>
      <c r="BW611" s="168">
        <v>419.220519025263</v>
      </c>
      <c r="BX611" s="168">
        <v>374.92859929229405</v>
      </c>
      <c r="BY611" s="168">
        <v>572.06148002185409</v>
      </c>
      <c r="BZ611" s="168">
        <v>382.8422255471292</v>
      </c>
      <c r="CA611" s="168">
        <v>596.96110193896379</v>
      </c>
      <c r="CB611" s="168">
        <v>440.03878758773351</v>
      </c>
      <c r="CC611" s="168">
        <v>387.83516041708617</v>
      </c>
      <c r="CD611" s="168">
        <v>1167.8288264107412</v>
      </c>
      <c r="CE611" s="168">
        <v>436.48466541010157</v>
      </c>
      <c r="CF611" s="168">
        <v>312.8118750707938</v>
      </c>
      <c r="CG611" s="168">
        <v>381.52672928806555</v>
      </c>
      <c r="CH611" s="168">
        <v>275.95808643098854</v>
      </c>
      <c r="CI611" s="168">
        <v>418.34638546679872</v>
      </c>
      <c r="CJ611" s="168">
        <v>376.86254714931806</v>
      </c>
      <c r="CK611" s="168">
        <v>575.03744032716952</v>
      </c>
      <c r="CL611" s="168">
        <v>389.37349867382295</v>
      </c>
      <c r="CM611" s="168">
        <v>600.56650410188729</v>
      </c>
      <c r="CN611" s="168">
        <v>444.62208110721463</v>
      </c>
      <c r="CO611" s="168">
        <v>388.96362569130861</v>
      </c>
    </row>
    <row r="612" spans="1:94" x14ac:dyDescent="0.2">
      <c r="A612" s="118">
        <f t="shared" si="53"/>
        <v>26</v>
      </c>
      <c r="B612" s="227"/>
      <c r="C612" s="225" t="s">
        <v>121</v>
      </c>
      <c r="D612" s="309">
        <f>SUM(D610:D611)</f>
        <v>64525.321484468652</v>
      </c>
      <c r="E612" s="233" t="s">
        <v>649</v>
      </c>
      <c r="F612" s="197"/>
      <c r="G612" s="230"/>
      <c r="H612" s="300">
        <f>SUM(H610:H611)</f>
        <v>929164.63</v>
      </c>
      <c r="I612" s="308"/>
      <c r="J612" s="309">
        <f>SUM(J610:J611)</f>
        <v>64525.321484468652</v>
      </c>
      <c r="K612" s="233" t="s">
        <v>649</v>
      </c>
      <c r="L612" s="197"/>
      <c r="M612" s="230"/>
      <c r="N612" s="300">
        <f>SUM(N610:N611)</f>
        <v>945295.96000000008</v>
      </c>
      <c r="O612" s="227"/>
      <c r="P612" s="262"/>
      <c r="Q612" s="1022"/>
      <c r="T612" s="264"/>
      <c r="U612" s="178"/>
      <c r="V612" s="179"/>
      <c r="W612" s="180"/>
      <c r="X612" s="264"/>
      <c r="Y612" s="178" t="s">
        <v>138</v>
      </c>
      <c r="Z612" s="181" t="s">
        <v>141</v>
      </c>
      <c r="AA612" s="264"/>
      <c r="AB612" s="309">
        <f>SUM(AB610:AB611)</f>
        <v>64299.764652806254</v>
      </c>
      <c r="AC612" s="309">
        <f>SUM(AC610:AC611)</f>
        <v>64337.592094846434</v>
      </c>
      <c r="AD612" s="309">
        <f>SUM(AD610:AD611)</f>
        <v>64673.327577341101</v>
      </c>
      <c r="AE612" s="309">
        <f>SUM(AE610:AE611)</f>
        <v>65178.583484468654</v>
      </c>
      <c r="AF612" s="309">
        <f>SUM(AF610:AF611)</f>
        <v>65823.885068544172</v>
      </c>
      <c r="AH612" s="1206">
        <f t="shared" ref="AH612:CO612" si="55">SUM(AH610:AH611)</f>
        <v>13031.799227026782</v>
      </c>
      <c r="AI612" s="1206">
        <f t="shared" si="55"/>
        <v>8187.3291294538085</v>
      </c>
      <c r="AJ612" s="1206">
        <f t="shared" si="55"/>
        <v>324.24377449344365</v>
      </c>
      <c r="AK612" s="1206">
        <f t="shared" si="55"/>
        <v>7266.6495094877728</v>
      </c>
      <c r="AL612" s="1206">
        <f t="shared" si="55"/>
        <v>2653.3211952971856</v>
      </c>
      <c r="AM612" s="1206">
        <f t="shared" si="55"/>
        <v>1778.4494367914883</v>
      </c>
      <c r="AN612" s="1206">
        <f t="shared" si="55"/>
        <v>4674.285022623546</v>
      </c>
      <c r="AO612" s="1206">
        <f t="shared" si="55"/>
        <v>3466.4823824290056</v>
      </c>
      <c r="AP612" s="1206">
        <f t="shared" si="55"/>
        <v>8352.0879491774267</v>
      </c>
      <c r="AQ612" s="1206">
        <f t="shared" si="55"/>
        <v>6239.8729509531477</v>
      </c>
      <c r="AR612" s="1206">
        <f t="shared" si="55"/>
        <v>3867.8854652972927</v>
      </c>
      <c r="AS612" s="1206">
        <f t="shared" si="55"/>
        <v>4457.3586097753596</v>
      </c>
      <c r="AT612" s="1206">
        <f t="shared" si="55"/>
        <v>13061.599051842921</v>
      </c>
      <c r="AU612" s="1206">
        <f t="shared" si="55"/>
        <v>8058.7223842061912</v>
      </c>
      <c r="AV612" s="1206">
        <f t="shared" si="55"/>
        <v>314.68223710408779</v>
      </c>
      <c r="AW612" s="1206">
        <f t="shared" si="55"/>
        <v>7245.5900216189029</v>
      </c>
      <c r="AX612" s="1206">
        <f t="shared" si="55"/>
        <v>2564.6729490132107</v>
      </c>
      <c r="AY612" s="1206">
        <f t="shared" si="55"/>
        <v>1721.0027875249457</v>
      </c>
      <c r="AZ612" s="1206">
        <f t="shared" si="55"/>
        <v>4719.9959583899536</v>
      </c>
      <c r="BA612" s="1206">
        <f t="shared" si="55"/>
        <v>3478.8328071665255</v>
      </c>
      <c r="BB612" s="1206">
        <f t="shared" si="55"/>
        <v>8367.5883163485778</v>
      </c>
      <c r="BC612" s="1206">
        <f t="shared" si="55"/>
        <v>6306.3190346496631</v>
      </c>
      <c r="BD612" s="1206">
        <f t="shared" si="55"/>
        <v>4008.587209652032</v>
      </c>
      <c r="BE612" s="1206">
        <f t="shared" si="55"/>
        <v>4489.9993373294174</v>
      </c>
      <c r="BF612" s="1206">
        <f t="shared" si="55"/>
        <v>13088.504619943815</v>
      </c>
      <c r="BG612" s="1206">
        <f t="shared" si="55"/>
        <v>8182.9074085422653</v>
      </c>
      <c r="BH612" s="1206">
        <f t="shared" si="55"/>
        <v>319.02538513319104</v>
      </c>
      <c r="BI612" s="1206">
        <f t="shared" si="55"/>
        <v>7259.570591701603</v>
      </c>
      <c r="BJ612" s="1206">
        <f t="shared" si="55"/>
        <v>2584.170314845253</v>
      </c>
      <c r="BK612" s="1206">
        <f t="shared" si="55"/>
        <v>1748.6448221712371</v>
      </c>
      <c r="BL612" s="1206">
        <f t="shared" si="55"/>
        <v>4753.0843069249722</v>
      </c>
      <c r="BM612" s="1206">
        <f t="shared" si="55"/>
        <v>3507.9212549021058</v>
      </c>
      <c r="BN612" s="1206">
        <f t="shared" si="55"/>
        <v>8396.9355102157824</v>
      </c>
      <c r="BO612" s="1206">
        <f t="shared" si="55"/>
        <v>6278.4488914640933</v>
      </c>
      <c r="BP612" s="1206">
        <f t="shared" si="55"/>
        <v>4008.8575802951182</v>
      </c>
      <c r="BQ612" s="1206">
        <f t="shared" si="55"/>
        <v>4545.2568912016641</v>
      </c>
      <c r="BR612" s="1206">
        <f t="shared" si="55"/>
        <v>13190.358429252738</v>
      </c>
      <c r="BS612" s="1206">
        <f t="shared" si="55"/>
        <v>8163.0217280182023</v>
      </c>
      <c r="BT612" s="1206">
        <f t="shared" si="55"/>
        <v>323.42145512233685</v>
      </c>
      <c r="BU612" s="1206">
        <f t="shared" si="55"/>
        <v>7377.2667174774042</v>
      </c>
      <c r="BV612" s="1206">
        <f t="shared" si="55"/>
        <v>2561.0356883264949</v>
      </c>
      <c r="BW612" s="1206">
        <f t="shared" si="55"/>
        <v>1774.9603391197024</v>
      </c>
      <c r="BX612" s="1206">
        <f t="shared" si="55"/>
        <v>4826.1126131272522</v>
      </c>
      <c r="BY612" s="1206">
        <f t="shared" si="55"/>
        <v>3546.5438715201412</v>
      </c>
      <c r="BZ612" s="1206">
        <f t="shared" si="55"/>
        <v>8463.8774740076133</v>
      </c>
      <c r="CA612" s="1206">
        <f t="shared" si="55"/>
        <v>6353.8641488245439</v>
      </c>
      <c r="CB612" s="1206">
        <f t="shared" si="55"/>
        <v>4046.6972592681705</v>
      </c>
      <c r="CC612" s="1206">
        <f t="shared" si="55"/>
        <v>4551.4237604040591</v>
      </c>
      <c r="CD612" s="1206">
        <f t="shared" si="55"/>
        <v>13308.792055064998</v>
      </c>
      <c r="CE612" s="1206">
        <f t="shared" si="55"/>
        <v>8244.8075436401123</v>
      </c>
      <c r="CF612" s="1206">
        <f t="shared" si="55"/>
        <v>312.8118750707938</v>
      </c>
      <c r="CG612" s="1206">
        <f t="shared" si="55"/>
        <v>7492.052129062622</v>
      </c>
      <c r="CH612" s="1206">
        <f t="shared" si="55"/>
        <v>2624.1391409707117</v>
      </c>
      <c r="CI612" s="1206">
        <f t="shared" si="55"/>
        <v>1771.2592979565095</v>
      </c>
      <c r="CJ612" s="1206">
        <f t="shared" si="55"/>
        <v>4851.0065533695579</v>
      </c>
      <c r="CK612" s="1206">
        <f t="shared" si="55"/>
        <v>3564.9935909144638</v>
      </c>
      <c r="CL612" s="1206">
        <f t="shared" si="55"/>
        <v>8608.2708867629917</v>
      </c>
      <c r="CM612" s="1206">
        <f t="shared" si="55"/>
        <v>6392.2389030098448</v>
      </c>
      <c r="CN612" s="1206">
        <f t="shared" si="55"/>
        <v>4088.8462739615798</v>
      </c>
      <c r="CO612" s="1206">
        <f t="shared" si="55"/>
        <v>4564.6668187599935</v>
      </c>
    </row>
    <row r="613" spans="1:94" x14ac:dyDescent="0.2">
      <c r="A613" s="118">
        <f t="shared" si="53"/>
        <v>27</v>
      </c>
      <c r="B613" s="246" t="s">
        <v>563</v>
      </c>
      <c r="C613" s="225"/>
      <c r="D613" s="247"/>
      <c r="E613" s="230"/>
      <c r="F613" s="197"/>
      <c r="G613" s="230"/>
      <c r="H613" s="203"/>
      <c r="I613" s="308"/>
      <c r="J613" s="247"/>
      <c r="K613" s="230"/>
      <c r="L613" s="197"/>
      <c r="M613" s="230"/>
      <c r="N613" s="203"/>
      <c r="O613" s="227"/>
      <c r="Q613" s="176"/>
      <c r="T613" s="264"/>
      <c r="U613" s="178"/>
      <c r="V613" s="179"/>
      <c r="W613" s="180"/>
      <c r="X613" s="264"/>
      <c r="Y613" s="178"/>
      <c r="Z613" s="181"/>
      <c r="AA613" s="264"/>
      <c r="AB613" s="193">
        <f>SUM(AH613:AS613)</f>
        <v>897039.45655294578</v>
      </c>
      <c r="AC613" s="193">
        <f>SUM(AT613:BE613)</f>
        <v>895746.14413557388</v>
      </c>
      <c r="AD613" s="193">
        <f>SUM(BF613:BQ613)</f>
        <v>901728.10122106131</v>
      </c>
      <c r="AE613" s="193">
        <f>SUM(BR613:CC613)</f>
        <v>913944.22720888746</v>
      </c>
      <c r="AF613" s="193">
        <f>SUM(CD613:CO613)</f>
        <v>915157.05938494357</v>
      </c>
      <c r="AH613" s="1207">
        <v>59956.691271816497</v>
      </c>
      <c r="AI613" s="1207">
        <v>18043.643723005996</v>
      </c>
      <c r="AJ613" s="1207">
        <v>93629.180495636654</v>
      </c>
      <c r="AK613" s="1207">
        <v>82112.239012774022</v>
      </c>
      <c r="AL613" s="1207">
        <v>97537.626581723947</v>
      </c>
      <c r="AM613" s="1207">
        <v>87050.520375453227</v>
      </c>
      <c r="AN613" s="1207">
        <v>80409.486520371152</v>
      </c>
      <c r="AO613" s="1207">
        <v>78771.551896169389</v>
      </c>
      <c r="AP613" s="1207">
        <v>76069.781787941349</v>
      </c>
      <c r="AQ613" s="1207">
        <v>65444.397415082763</v>
      </c>
      <c r="AR613" s="1207">
        <v>51876.045304020437</v>
      </c>
      <c r="AS613" s="1207">
        <v>106138.29216895033</v>
      </c>
      <c r="AT613" s="1207">
        <v>62649.919076627091</v>
      </c>
      <c r="AU613" s="1207">
        <v>18486.921108467643</v>
      </c>
      <c r="AV613" s="1207">
        <v>92868.97293094499</v>
      </c>
      <c r="AW613" s="1207">
        <v>82883.396107591499</v>
      </c>
      <c r="AX613" s="1207">
        <v>97223.375565008129</v>
      </c>
      <c r="AY613" s="1207">
        <v>85203.628819715959</v>
      </c>
      <c r="AZ613" s="1207">
        <v>81182.907861890955</v>
      </c>
      <c r="BA613" s="1207">
        <v>77690.739467601379</v>
      </c>
      <c r="BB613" s="1207">
        <v>75662.411653022573</v>
      </c>
      <c r="BC613" s="1207">
        <v>65566.696159170067</v>
      </c>
      <c r="BD613" s="1207">
        <v>51290.216535786705</v>
      </c>
      <c r="BE613" s="1207">
        <v>105036.95884974686</v>
      </c>
      <c r="BF613" s="1207">
        <v>62181.327791991025</v>
      </c>
      <c r="BG613" s="1207">
        <v>18673.740442643008</v>
      </c>
      <c r="BH613" s="1207">
        <v>94264.287661759197</v>
      </c>
      <c r="BI613" s="1207">
        <v>82518.225336227624</v>
      </c>
      <c r="BJ613" s="1207">
        <v>97851.590212040071</v>
      </c>
      <c r="BK613" s="1207">
        <v>86412.012852289641</v>
      </c>
      <c r="BL613" s="1207">
        <v>81703.637813410023</v>
      </c>
      <c r="BM613" s="1207">
        <v>78332.53725083622</v>
      </c>
      <c r="BN613" s="1207">
        <v>75998.851665244511</v>
      </c>
      <c r="BO613" s="1207">
        <v>65281.570239116758</v>
      </c>
      <c r="BP613" s="1207">
        <v>51358.694554889749</v>
      </c>
      <c r="BQ613" s="1207">
        <v>107151.62540061331</v>
      </c>
      <c r="BR613" s="1207">
        <v>62996.04280221177</v>
      </c>
      <c r="BS613" s="1207">
        <v>18876.548372514277</v>
      </c>
      <c r="BT613" s="1207">
        <v>96444.487557049084</v>
      </c>
      <c r="BU613" s="1207">
        <v>84642.19181105966</v>
      </c>
      <c r="BV613" s="1207">
        <v>97581.704289200643</v>
      </c>
      <c r="BW613" s="1207">
        <v>88374.065870030667</v>
      </c>
      <c r="BX613" s="1207">
        <v>83419.734215117613</v>
      </c>
      <c r="BY613" s="1207">
        <v>79478.661637883895</v>
      </c>
      <c r="BZ613" s="1207">
        <v>76813.679607995116</v>
      </c>
      <c r="CA613" s="1207">
        <v>66301.282748639962</v>
      </c>
      <c r="CB613" s="1207">
        <v>52034.59675435449</v>
      </c>
      <c r="CC613" s="1207">
        <v>106981.23154283033</v>
      </c>
      <c r="CD613" s="1207">
        <v>63247.458824060741</v>
      </c>
      <c r="CE613" s="1207">
        <v>18609.604988550396</v>
      </c>
      <c r="CF613" s="1207">
        <v>94831.16546722826</v>
      </c>
      <c r="CG613" s="1207">
        <v>85572.010505654078</v>
      </c>
      <c r="CH613" s="1207">
        <v>98814.634602857477</v>
      </c>
      <c r="CI613" s="1207">
        <v>87383.871920701218</v>
      </c>
      <c r="CJ613" s="1207">
        <v>83210.960228256023</v>
      </c>
      <c r="CK613" s="1207">
        <v>79491.377507574129</v>
      </c>
      <c r="CL613" s="1207">
        <v>77910.814501067216</v>
      </c>
      <c r="CM613" s="1207">
        <v>66459.448843646634</v>
      </c>
      <c r="CN613" s="1207">
        <v>52620.274228985385</v>
      </c>
      <c r="CO613" s="1207">
        <v>107005.43776636198</v>
      </c>
    </row>
    <row r="614" spans="1:94" x14ac:dyDescent="0.2">
      <c r="A614" s="118">
        <f t="shared" si="53"/>
        <v>28</v>
      </c>
      <c r="B614" s="232" t="s">
        <v>601</v>
      </c>
      <c r="C614" s="263"/>
      <c r="D614" s="103">
        <f>+D596</f>
        <v>253660.31999999995</v>
      </c>
      <c r="E614" s="233" t="s">
        <v>596</v>
      </c>
      <c r="F614" s="183">
        <v>-1.3</v>
      </c>
      <c r="G614" s="230"/>
      <c r="H614" s="203">
        <f>+D614*F614</f>
        <v>-329758.41599999997</v>
      </c>
      <c r="I614" s="308"/>
      <c r="J614" s="103">
        <f>+J596</f>
        <v>253660.31999999995</v>
      </c>
      <c r="K614" s="233" t="s">
        <v>596</v>
      </c>
      <c r="L614" s="310">
        <f>ROUND(-DVC!G29,2)</f>
        <v>-1.34</v>
      </c>
      <c r="M614" s="230"/>
      <c r="N614" s="203">
        <f>ROUND(+J614*L614,2)</f>
        <v>-339904.83</v>
      </c>
      <c r="O614" s="227"/>
      <c r="Q614" s="227"/>
      <c r="T614" s="264"/>
      <c r="U614" s="184" t="s">
        <v>138</v>
      </c>
      <c r="V614" s="179">
        <v>256</v>
      </c>
      <c r="W614" s="180">
        <v>230</v>
      </c>
      <c r="X614" s="264"/>
      <c r="Y614" s="184" t="s">
        <v>138</v>
      </c>
      <c r="Z614" s="181" t="s">
        <v>146</v>
      </c>
      <c r="AA614" s="264"/>
      <c r="AB614" s="264"/>
      <c r="AD614" s="245"/>
    </row>
    <row r="615" spans="1:94" x14ac:dyDescent="0.2">
      <c r="A615" s="118">
        <f t="shared" si="53"/>
        <v>29</v>
      </c>
      <c r="B615" s="234" t="s">
        <v>582</v>
      </c>
      <c r="C615" s="263"/>
      <c r="D615" s="172">
        <f>SUM(H596,H601:H602,H610,H614,H616)</f>
        <v>4070297.8871999998</v>
      </c>
      <c r="E615" s="233" t="s">
        <v>10</v>
      </c>
      <c r="F615" s="249">
        <v>0.01</v>
      </c>
      <c r="G615" s="233" t="s">
        <v>375</v>
      </c>
      <c r="H615" s="174">
        <f>-F615*D615</f>
        <v>-40702.978872</v>
      </c>
      <c r="I615" s="308"/>
      <c r="J615" s="185">
        <f>SUM(N596,N601:N602,N610,N614,N616)</f>
        <v>4185861.3100000005</v>
      </c>
      <c r="K615" s="233" t="s">
        <v>10</v>
      </c>
      <c r="L615" s="249">
        <v>0.01</v>
      </c>
      <c r="M615" s="233" t="s">
        <v>375</v>
      </c>
      <c r="N615" s="174">
        <f>-ROUND(L615*J615,2)</f>
        <v>-41858.61</v>
      </c>
      <c r="O615" s="227"/>
      <c r="Q615" s="227"/>
      <c r="T615" s="264"/>
      <c r="U615" s="184" t="s">
        <v>138</v>
      </c>
      <c r="V615" s="179">
        <v>256</v>
      </c>
      <c r="W615" s="180">
        <v>230</v>
      </c>
      <c r="X615" s="264"/>
      <c r="Y615" s="184" t="s">
        <v>138</v>
      </c>
      <c r="Z615" s="181" t="s">
        <v>417</v>
      </c>
      <c r="AA615" s="264"/>
      <c r="AB615" s="182">
        <f>SUM(AH615:AS615)</f>
        <v>-30020.056616603648</v>
      </c>
      <c r="AC615" s="182">
        <f>SUM(AT615:BE615)</f>
        <v>-30922.657185651657</v>
      </c>
      <c r="AD615" s="182">
        <f>SUM(BF615:BQ615)</f>
        <v>-31041.525562292583</v>
      </c>
      <c r="AE615" s="182">
        <f>SUM(BR615:CC615)</f>
        <v>-31220.598569890724</v>
      </c>
      <c r="AF615" s="182">
        <f>SUM(CD615:CO615)</f>
        <v>-31452.791537557321</v>
      </c>
      <c r="AH615" s="174">
        <v>-5773.9177685776149</v>
      </c>
      <c r="AI615" s="174">
        <v>-3739.3812377094478</v>
      </c>
      <c r="AJ615" s="174">
        <v>-893.09571000000017</v>
      </c>
      <c r="AK615" s="174">
        <v>-3056.8030218033859</v>
      </c>
      <c r="AL615" s="174">
        <v>-1426.0419526994724</v>
      </c>
      <c r="AM615" s="174">
        <v>-1239.8519648897941</v>
      </c>
      <c r="AN615" s="174">
        <v>-2317.1451783614111</v>
      </c>
      <c r="AO615" s="174">
        <v>-1923.8369664417746</v>
      </c>
      <c r="AP615" s="174">
        <v>-3509.2738687729325</v>
      </c>
      <c r="AQ615" s="174">
        <v>-2250.8511745238793</v>
      </c>
      <c r="AR615" s="174">
        <v>-1725.2571494502834</v>
      </c>
      <c r="AS615" s="174">
        <v>-2164.6006233736525</v>
      </c>
      <c r="AT615" s="174">
        <v>-5950.7870274517754</v>
      </c>
      <c r="AU615" s="174">
        <v>-3834.834600312206</v>
      </c>
      <c r="AV615" s="174">
        <v>-919.51865999999995</v>
      </c>
      <c r="AW615" s="174">
        <v>-3145.4445815981881</v>
      </c>
      <c r="AX615" s="174">
        <v>-1457.6580161132831</v>
      </c>
      <c r="AY615" s="174">
        <v>-1270.7118419265005</v>
      </c>
      <c r="AZ615" s="174">
        <v>-2392.0214090561626</v>
      </c>
      <c r="BA615" s="174">
        <v>-1982.61848859733</v>
      </c>
      <c r="BB615" s="174">
        <v>-3616.23402009655</v>
      </c>
      <c r="BC615" s="174">
        <v>-2326.0564915907862</v>
      </c>
      <c r="BD615" s="174">
        <v>-1793.5589937786151</v>
      </c>
      <c r="BE615" s="174">
        <v>-2233.2130551302612</v>
      </c>
      <c r="BF615" s="174">
        <v>-5973.3124780783401</v>
      </c>
      <c r="BG615" s="174">
        <v>-3861.325823697824</v>
      </c>
      <c r="BH615" s="174">
        <v>-919.51865999999995</v>
      </c>
      <c r="BI615" s="174">
        <v>-3155.6713577510677</v>
      </c>
      <c r="BJ615" s="174">
        <v>-1462.1838720359033</v>
      </c>
      <c r="BK615" s="174">
        <v>-1275.7086477817065</v>
      </c>
      <c r="BL615" s="174">
        <v>-2402.4349781886349</v>
      </c>
      <c r="BM615" s="174">
        <v>-1990.6420548639769</v>
      </c>
      <c r="BN615" s="174">
        <v>-3630.1287957625213</v>
      </c>
      <c r="BO615" s="174">
        <v>-2327.6133576615985</v>
      </c>
      <c r="BP615" s="174">
        <v>-1797.3016562859098</v>
      </c>
      <c r="BQ615" s="174">
        <v>-2245.6838801851072</v>
      </c>
      <c r="BR615" s="174">
        <v>-6014.7910247518194</v>
      </c>
      <c r="BS615" s="174">
        <v>-3874.6779838364755</v>
      </c>
      <c r="BT615" s="174">
        <v>-919.51865999999995</v>
      </c>
      <c r="BU615" s="174">
        <v>-3183.4826880437918</v>
      </c>
      <c r="BV615" s="174">
        <v>-1462.6368032462856</v>
      </c>
      <c r="BW615" s="174">
        <v>-1281.6478166286345</v>
      </c>
      <c r="BX615" s="174">
        <v>-2421.0079443222494</v>
      </c>
      <c r="BY615" s="174">
        <v>-2002.1316992476832</v>
      </c>
      <c r="BZ615" s="174">
        <v>-3653.9838283045001</v>
      </c>
      <c r="CA615" s="174">
        <v>-2344.3536225720518</v>
      </c>
      <c r="CB615" s="174">
        <v>-1807.4513346526587</v>
      </c>
      <c r="CC615" s="174">
        <v>-2254.9151642845763</v>
      </c>
      <c r="CD615" s="174">
        <v>-6066.3272847434928</v>
      </c>
      <c r="CE615" s="174">
        <v>-3905.4753861085646</v>
      </c>
      <c r="CF615" s="174">
        <v>-919.51865999999995</v>
      </c>
      <c r="CG615" s="174">
        <v>-3214.4364771895362</v>
      </c>
      <c r="CH615" s="174">
        <v>-1474.4409157999341</v>
      </c>
      <c r="CI615" s="174">
        <v>-1285.3745088017117</v>
      </c>
      <c r="CJ615" s="174">
        <v>-2436.1900286546602</v>
      </c>
      <c r="CK615" s="174">
        <v>-2013.2994909467513</v>
      </c>
      <c r="CL615" s="174">
        <v>-3692.0648365705297</v>
      </c>
      <c r="CM615" s="174">
        <v>-2358.625421594978</v>
      </c>
      <c r="CN615" s="174">
        <v>-1819.6686195324908</v>
      </c>
      <c r="CO615" s="174">
        <v>-2267.3699076146713</v>
      </c>
    </row>
    <row r="616" spans="1:94" x14ac:dyDescent="0.2">
      <c r="A616" s="118">
        <f>+A614+1</f>
        <v>29</v>
      </c>
      <c r="B616" s="234" t="s">
        <v>650</v>
      </c>
      <c r="C616" s="263"/>
      <c r="D616" s="172">
        <f>SUMIF($AH$8:$CP$8,1,$AH616:$CP616)</f>
        <v>253660.31999999995</v>
      </c>
      <c r="E616" s="233" t="s">
        <v>10</v>
      </c>
      <c r="F616" s="173">
        <v>2.5099999999999998</v>
      </c>
      <c r="G616" s="233" t="s">
        <v>375</v>
      </c>
      <c r="H616" s="174">
        <f>F616*D616</f>
        <v>636687.40319999983</v>
      </c>
      <c r="I616" s="308"/>
      <c r="J616" s="172">
        <f>SUMIF($AH$8:$CP$8,1,$AH616:$CP616)</f>
        <v>253660.31999999995</v>
      </c>
      <c r="K616" s="233" t="s">
        <v>10</v>
      </c>
      <c r="L616" s="1066">
        <f>ROUND('MFR E-14G'!G22,2)</f>
        <v>2.64</v>
      </c>
      <c r="M616" s="233" t="s">
        <v>375</v>
      </c>
      <c r="N616" s="329">
        <f>ROUND(L616*J616,2)</f>
        <v>669663.24</v>
      </c>
      <c r="O616" s="227"/>
      <c r="Q616" s="262"/>
      <c r="T616" s="264"/>
      <c r="U616" s="184" t="s">
        <v>138</v>
      </c>
      <c r="V616" s="179">
        <v>256</v>
      </c>
      <c r="W616" s="180">
        <v>230</v>
      </c>
      <c r="X616" s="264"/>
      <c r="Y616" s="184" t="s">
        <v>138</v>
      </c>
      <c r="Z616" s="181" t="s">
        <v>146</v>
      </c>
      <c r="AA616" s="264"/>
      <c r="AB616" s="182">
        <f>SUM(AH616:AS616)</f>
        <v>253660.31999999995</v>
      </c>
      <c r="AC616" s="182">
        <f>SUM(AT616:BE616)</f>
        <v>253660.31999999995</v>
      </c>
      <c r="AD616" s="182">
        <f>SUM(BF616:BQ616)</f>
        <v>253660.31999999995</v>
      </c>
      <c r="AE616" s="182">
        <f>SUM(BR616:CC616)</f>
        <v>253660.31999999995</v>
      </c>
      <c r="AF616" s="182">
        <f>SUM(CD616:CO616)</f>
        <v>253660.31999999995</v>
      </c>
      <c r="AH616" s="174">
        <v>21138.36</v>
      </c>
      <c r="AI616" s="174">
        <v>21138.36</v>
      </c>
      <c r="AJ616" s="174">
        <v>21138.36</v>
      </c>
      <c r="AK616" s="174">
        <v>21138.36</v>
      </c>
      <c r="AL616" s="174">
        <v>21138.36</v>
      </c>
      <c r="AM616" s="174">
        <v>21138.36</v>
      </c>
      <c r="AN616" s="174">
        <v>21138.36</v>
      </c>
      <c r="AO616" s="174">
        <v>21138.36</v>
      </c>
      <c r="AP616" s="174">
        <v>21138.36</v>
      </c>
      <c r="AQ616" s="174">
        <v>21138.36</v>
      </c>
      <c r="AR616" s="174">
        <v>21138.36</v>
      </c>
      <c r="AS616" s="174">
        <v>21138.36</v>
      </c>
      <c r="AT616" s="174">
        <v>21138.36</v>
      </c>
      <c r="AU616" s="174">
        <v>21138.36</v>
      </c>
      <c r="AV616" s="174">
        <v>21138.36</v>
      </c>
      <c r="AW616" s="174">
        <v>21138.36</v>
      </c>
      <c r="AX616" s="174">
        <v>21138.36</v>
      </c>
      <c r="AY616" s="174">
        <v>21138.36</v>
      </c>
      <c r="AZ616" s="174">
        <v>21138.36</v>
      </c>
      <c r="BA616" s="174">
        <v>21138.36</v>
      </c>
      <c r="BB616" s="174">
        <v>21138.36</v>
      </c>
      <c r="BC616" s="174">
        <v>21138.36</v>
      </c>
      <c r="BD616" s="174">
        <v>21138.36</v>
      </c>
      <c r="BE616" s="174">
        <v>21138.36</v>
      </c>
      <c r="BF616" s="174">
        <v>21138.36</v>
      </c>
      <c r="BG616" s="174">
        <v>21138.36</v>
      </c>
      <c r="BH616" s="174">
        <v>21138.36</v>
      </c>
      <c r="BI616" s="174">
        <v>21138.36</v>
      </c>
      <c r="BJ616" s="174">
        <v>21138.36</v>
      </c>
      <c r="BK616" s="174">
        <v>21138.36</v>
      </c>
      <c r="BL616" s="174">
        <v>21138.36</v>
      </c>
      <c r="BM616" s="174">
        <v>21138.36</v>
      </c>
      <c r="BN616" s="174">
        <v>21138.36</v>
      </c>
      <c r="BO616" s="174">
        <v>21138.36</v>
      </c>
      <c r="BP616" s="174">
        <v>21138.36</v>
      </c>
      <c r="BQ616" s="174">
        <v>21138.36</v>
      </c>
      <c r="BR616" s="174">
        <v>21138.36</v>
      </c>
      <c r="BS616" s="174">
        <v>21138.36</v>
      </c>
      <c r="BT616" s="174">
        <v>21138.36</v>
      </c>
      <c r="BU616" s="174">
        <v>21138.36</v>
      </c>
      <c r="BV616" s="174">
        <v>21138.36</v>
      </c>
      <c r="BW616" s="174">
        <v>21138.36</v>
      </c>
      <c r="BX616" s="174">
        <v>21138.36</v>
      </c>
      <c r="BY616" s="174">
        <v>21138.36</v>
      </c>
      <c r="BZ616" s="174">
        <v>21138.36</v>
      </c>
      <c r="CA616" s="174">
        <v>21138.36</v>
      </c>
      <c r="CB616" s="174">
        <v>21138.36</v>
      </c>
      <c r="CC616" s="174">
        <v>21138.36</v>
      </c>
      <c r="CD616" s="174">
        <v>21138.36</v>
      </c>
      <c r="CE616" s="174">
        <v>21138.36</v>
      </c>
      <c r="CF616" s="174">
        <v>21138.36</v>
      </c>
      <c r="CG616" s="174">
        <v>21138.36</v>
      </c>
      <c r="CH616" s="174">
        <v>21138.36</v>
      </c>
      <c r="CI616" s="174">
        <v>21138.36</v>
      </c>
      <c r="CJ616" s="174">
        <v>21138.36</v>
      </c>
      <c r="CK616" s="174">
        <v>21138.36</v>
      </c>
      <c r="CL616" s="174">
        <v>21138.36</v>
      </c>
      <c r="CM616" s="174">
        <v>21138.36</v>
      </c>
      <c r="CN616" s="174">
        <v>21138.36</v>
      </c>
      <c r="CO616" s="174">
        <v>21138.36</v>
      </c>
    </row>
    <row r="617" spans="1:94" x14ac:dyDescent="0.2">
      <c r="A617" s="118">
        <f>+A615+1</f>
        <v>30</v>
      </c>
      <c r="B617" s="234" t="s">
        <v>583</v>
      </c>
      <c r="C617" s="263"/>
      <c r="D617" s="172">
        <f>SUM(H597,H604:H605,H611)</f>
        <v>714346.34</v>
      </c>
      <c r="E617" s="233" t="s">
        <v>10</v>
      </c>
      <c r="F617" s="249">
        <v>0.02</v>
      </c>
      <c r="G617" s="233" t="s">
        <v>375</v>
      </c>
      <c r="H617" s="174">
        <f>-F617*D617</f>
        <v>-14286.926799999999</v>
      </c>
      <c r="I617" s="308"/>
      <c r="J617" s="172">
        <f>SUM(N597,N604:N605,N611)</f>
        <v>731706.24</v>
      </c>
      <c r="K617" s="233" t="s">
        <v>10</v>
      </c>
      <c r="L617" s="249">
        <v>0.02</v>
      </c>
      <c r="M617" s="233" t="s">
        <v>375</v>
      </c>
      <c r="N617" s="174">
        <f>-L617*J617</f>
        <v>-14634.1248</v>
      </c>
      <c r="O617" s="227"/>
      <c r="Q617" s="227"/>
      <c r="T617" s="264"/>
      <c r="U617" s="184" t="s">
        <v>138</v>
      </c>
      <c r="V617" s="179">
        <v>256</v>
      </c>
      <c r="W617" s="180">
        <v>230</v>
      </c>
      <c r="X617" s="264"/>
      <c r="Y617" s="184" t="s">
        <v>138</v>
      </c>
      <c r="Z617" s="181" t="s">
        <v>417</v>
      </c>
      <c r="AA617" s="264"/>
      <c r="AB617" s="182">
        <f>SUM(AH617:AS617)</f>
        <v>0</v>
      </c>
      <c r="AC617" s="182">
        <f>SUM(AT617:BE617)</f>
        <v>0</v>
      </c>
      <c r="AD617" s="182">
        <f>SUM(BF617:BQ617)</f>
        <v>0</v>
      </c>
      <c r="AE617" s="182">
        <f>SUM(BR617:CC617)</f>
        <v>0</v>
      </c>
      <c r="AF617" s="182">
        <f>SUM(CD617:CO617)</f>
        <v>0</v>
      </c>
      <c r="AH617" s="174">
        <v>0</v>
      </c>
      <c r="AI617" s="174">
        <v>0</v>
      </c>
      <c r="AJ617" s="174">
        <v>0</v>
      </c>
      <c r="AK617" s="174">
        <v>0</v>
      </c>
      <c r="AL617" s="174">
        <v>0</v>
      </c>
      <c r="AM617" s="174">
        <v>0</v>
      </c>
      <c r="AN617" s="174">
        <v>0</v>
      </c>
      <c r="AO617" s="174">
        <v>0</v>
      </c>
      <c r="AP617" s="174">
        <v>0</v>
      </c>
      <c r="AQ617" s="174">
        <v>0</v>
      </c>
      <c r="AR617" s="174">
        <v>0</v>
      </c>
      <c r="AS617" s="174">
        <v>0</v>
      </c>
      <c r="AT617" s="174">
        <v>0</v>
      </c>
      <c r="AU617" s="174">
        <v>0</v>
      </c>
      <c r="AV617" s="174">
        <v>0</v>
      </c>
      <c r="AW617" s="174">
        <v>0</v>
      </c>
      <c r="AX617" s="174">
        <v>0</v>
      </c>
      <c r="AY617" s="174">
        <v>0</v>
      </c>
      <c r="AZ617" s="174">
        <v>0</v>
      </c>
      <c r="BA617" s="174">
        <v>0</v>
      </c>
      <c r="BB617" s="174">
        <v>0</v>
      </c>
      <c r="BC617" s="174">
        <v>0</v>
      </c>
      <c r="BD617" s="174">
        <v>0</v>
      </c>
      <c r="BE617" s="174">
        <v>0</v>
      </c>
      <c r="BF617" s="174">
        <v>0</v>
      </c>
      <c r="BG617" s="174">
        <v>0</v>
      </c>
      <c r="BH617" s="174">
        <v>0</v>
      </c>
      <c r="BI617" s="174">
        <v>0</v>
      </c>
      <c r="BJ617" s="174">
        <v>0</v>
      </c>
      <c r="BK617" s="174">
        <v>0</v>
      </c>
      <c r="BL617" s="174">
        <v>0</v>
      </c>
      <c r="BM617" s="174">
        <v>0</v>
      </c>
      <c r="BN617" s="174">
        <v>0</v>
      </c>
      <c r="BO617" s="174">
        <v>0</v>
      </c>
      <c r="BP617" s="174">
        <v>0</v>
      </c>
      <c r="BQ617" s="174">
        <v>0</v>
      </c>
      <c r="BR617" s="174">
        <v>0</v>
      </c>
      <c r="BS617" s="174">
        <v>0</v>
      </c>
      <c r="BT617" s="174">
        <v>0</v>
      </c>
      <c r="BU617" s="174">
        <v>0</v>
      </c>
      <c r="BV617" s="174">
        <v>0</v>
      </c>
      <c r="BW617" s="174">
        <v>0</v>
      </c>
      <c r="BX617" s="174">
        <v>0</v>
      </c>
      <c r="BY617" s="174">
        <v>0</v>
      </c>
      <c r="BZ617" s="174">
        <v>0</v>
      </c>
      <c r="CA617" s="174">
        <v>0</v>
      </c>
      <c r="CB617" s="174">
        <v>0</v>
      </c>
      <c r="CC617" s="174">
        <v>0</v>
      </c>
      <c r="CD617" s="174">
        <v>0</v>
      </c>
      <c r="CE617" s="174">
        <v>0</v>
      </c>
      <c r="CF617" s="174">
        <v>0</v>
      </c>
      <c r="CG617" s="174">
        <v>0</v>
      </c>
      <c r="CH617" s="174">
        <v>0</v>
      </c>
      <c r="CI617" s="174">
        <v>0</v>
      </c>
      <c r="CJ617" s="174">
        <v>0</v>
      </c>
      <c r="CK617" s="174">
        <v>0</v>
      </c>
      <c r="CL617" s="174">
        <v>0</v>
      </c>
      <c r="CM617" s="174">
        <v>0</v>
      </c>
      <c r="CN617" s="174">
        <v>0</v>
      </c>
      <c r="CO617" s="174">
        <v>0</v>
      </c>
    </row>
    <row r="618" spans="1:94" x14ac:dyDescent="0.2">
      <c r="A618" s="118">
        <f t="shared" si="53"/>
        <v>31</v>
      </c>
      <c r="B618" s="223"/>
      <c r="C618" s="263" t="s">
        <v>121</v>
      </c>
      <c r="E618" s="227"/>
      <c r="F618" s="203"/>
      <c r="G618" s="227"/>
      <c r="H618" s="300">
        <f>SUM(H614:H617)</f>
        <v>251939.08152799986</v>
      </c>
      <c r="I618" s="308"/>
      <c r="K618" s="227"/>
      <c r="L618" s="203"/>
      <c r="M618" s="227"/>
      <c r="N618" s="300">
        <f>SUM(N614:N617)</f>
        <v>273265.6752</v>
      </c>
      <c r="O618" s="227"/>
      <c r="Q618" s="176"/>
      <c r="T618" s="264"/>
      <c r="U618" s="184"/>
      <c r="V618" s="179"/>
      <c r="W618" s="180"/>
      <c r="X618" s="264"/>
      <c r="Y618" s="184"/>
      <c r="Z618" s="181"/>
      <c r="AA618" s="264"/>
      <c r="AB618" s="264"/>
      <c r="AD618" s="245"/>
    </row>
    <row r="619" spans="1:94" x14ac:dyDescent="0.2">
      <c r="A619" s="118">
        <f t="shared" si="53"/>
        <v>32</v>
      </c>
      <c r="B619" s="223"/>
      <c r="C619" s="263"/>
      <c r="E619" s="227"/>
      <c r="F619" s="197"/>
      <c r="G619" s="227"/>
      <c r="H619" s="203"/>
      <c r="I619" s="308"/>
      <c r="K619" s="227"/>
      <c r="L619" s="197"/>
      <c r="M619" s="227"/>
      <c r="N619" s="203"/>
      <c r="O619" s="227"/>
      <c r="Q619" s="227"/>
      <c r="U619" s="184"/>
      <c r="V619" s="179"/>
      <c r="W619" s="180"/>
      <c r="Y619" s="184"/>
      <c r="Z619" s="181"/>
    </row>
    <row r="620" spans="1:94" ht="10.8" thickBot="1" x14ac:dyDescent="0.25">
      <c r="A620" s="118">
        <f t="shared" si="53"/>
        <v>33</v>
      </c>
      <c r="B620" s="246" t="s">
        <v>651</v>
      </c>
      <c r="C620" s="227"/>
      <c r="D620" s="227"/>
      <c r="E620" s="227"/>
      <c r="F620" s="197"/>
      <c r="G620" s="227"/>
      <c r="H620" s="330">
        <f>H618+H612+H606+H592</f>
        <v>4764977.9615279995</v>
      </c>
      <c r="I620" s="308"/>
      <c r="J620" s="227"/>
      <c r="K620" s="227"/>
      <c r="L620" s="197"/>
      <c r="M620" s="227"/>
      <c r="N620" s="330">
        <f>N618+N612+N606+N592</f>
        <v>4897015.7252000002</v>
      </c>
      <c r="O620" s="227"/>
      <c r="P620" s="227"/>
      <c r="Q620" s="939">
        <f>(N620-H620)/H620</f>
        <v>2.7710047084805359E-2</v>
      </c>
      <c r="U620" s="184"/>
      <c r="V620" s="179"/>
      <c r="W620" s="180"/>
      <c r="Y620" s="184" t="s">
        <v>138</v>
      </c>
      <c r="Z620" s="181" t="s">
        <v>121</v>
      </c>
    </row>
    <row r="621" spans="1:94" ht="10.8" thickTop="1" x14ac:dyDescent="0.2">
      <c r="A621" s="118">
        <f t="shared" si="53"/>
        <v>34</v>
      </c>
      <c r="B621" s="227"/>
      <c r="C621" s="227"/>
      <c r="D621" s="227"/>
      <c r="E621" s="227"/>
      <c r="F621" s="197"/>
      <c r="G621" s="227"/>
      <c r="H621" s="203"/>
      <c r="I621" s="308"/>
      <c r="J621" s="227"/>
      <c r="K621" s="227"/>
      <c r="L621" s="197"/>
      <c r="M621" s="227"/>
      <c r="N621" s="203"/>
      <c r="O621" s="227"/>
      <c r="P621" s="227"/>
      <c r="Q621" s="227"/>
      <c r="U621" s="178"/>
      <c r="V621" s="179"/>
      <c r="W621" s="180"/>
      <c r="Y621" s="178"/>
      <c r="Z621" s="181"/>
    </row>
    <row r="622" spans="1:94" x14ac:dyDescent="0.2">
      <c r="A622" s="118">
        <f t="shared" si="53"/>
        <v>35</v>
      </c>
      <c r="B622" s="227"/>
      <c r="C622" s="227"/>
      <c r="E622" s="227"/>
      <c r="F622" s="197"/>
      <c r="G622" s="227"/>
      <c r="H622" s="1299"/>
      <c r="I622" s="308"/>
      <c r="J622" s="234" t="s">
        <v>573</v>
      </c>
      <c r="K622" s="225"/>
      <c r="L622" s="197"/>
      <c r="M622" s="223"/>
      <c r="N622" s="174">
        <f>N620-H620</f>
        <v>132037.76367200073</v>
      </c>
      <c r="O622" s="227"/>
      <c r="P622" s="928"/>
      <c r="Q622" s="227"/>
      <c r="U622" s="178"/>
      <c r="V622" s="179"/>
      <c r="W622" s="180"/>
      <c r="Y622" s="178"/>
      <c r="Z622" s="181"/>
    </row>
    <row r="623" spans="1:94" x14ac:dyDescent="0.2">
      <c r="A623" s="118">
        <f t="shared" si="53"/>
        <v>36</v>
      </c>
      <c r="B623" s="234"/>
      <c r="C623" s="223"/>
      <c r="D623" s="168"/>
      <c r="E623" s="225"/>
      <c r="F623" s="183"/>
      <c r="G623" s="233"/>
      <c r="H623" s="1300"/>
      <c r="I623" s="308"/>
      <c r="J623" s="168"/>
      <c r="K623" s="225"/>
      <c r="L623" s="183"/>
      <c r="M623" s="233"/>
      <c r="N623" s="174"/>
      <c r="O623" s="227"/>
      <c r="P623" s="227"/>
      <c r="Q623" s="227"/>
      <c r="U623" s="184"/>
      <c r="V623" s="179"/>
      <c r="W623" s="180"/>
      <c r="Y623" s="184"/>
      <c r="Z623" s="181"/>
    </row>
    <row r="624" spans="1:94" x14ac:dyDescent="0.2">
      <c r="A624" s="118">
        <f t="shared" si="53"/>
        <v>37</v>
      </c>
      <c r="B624" s="243"/>
      <c r="C624" s="223"/>
      <c r="D624" s="168"/>
      <c r="E624" s="225"/>
      <c r="F624" s="183"/>
      <c r="G624" s="233"/>
      <c r="H624" s="1299"/>
      <c r="I624" s="308"/>
      <c r="J624" s="171" t="s">
        <v>652</v>
      </c>
      <c r="M624" s="233"/>
      <c r="N624" s="174">
        <f>-ROUND((H620-(H620*(1+'Exhibit MJC-2 - Old E-8a'!V24))),2)</f>
        <v>132038.32</v>
      </c>
      <c r="O624" s="227"/>
      <c r="P624" s="227"/>
      <c r="Q624" s="939">
        <f>N624/H620</f>
        <v>2.7710163838335758E-2</v>
      </c>
      <c r="U624" s="184"/>
      <c r="V624" s="179"/>
      <c r="W624" s="180"/>
      <c r="Y624" s="184"/>
      <c r="Z624" s="181"/>
    </row>
    <row r="625" spans="1:93" x14ac:dyDescent="0.2">
      <c r="A625" s="118">
        <f t="shared" si="53"/>
        <v>38</v>
      </c>
      <c r="B625" s="243"/>
      <c r="C625" s="223"/>
      <c r="D625" s="168"/>
      <c r="E625" s="233"/>
      <c r="F625" s="205"/>
      <c r="G625" s="233"/>
      <c r="H625" s="1300"/>
      <c r="I625" s="308"/>
      <c r="M625" s="233"/>
      <c r="N625" s="174"/>
      <c r="O625" s="227"/>
      <c r="P625" s="227"/>
      <c r="Q625" s="227"/>
      <c r="U625" s="184"/>
      <c r="V625" s="179"/>
      <c r="W625" s="180"/>
      <c r="Y625" s="184"/>
      <c r="Z625" s="181"/>
    </row>
    <row r="626" spans="1:93" x14ac:dyDescent="0.2">
      <c r="A626" s="118">
        <f t="shared" si="53"/>
        <v>39</v>
      </c>
      <c r="B626" s="243"/>
      <c r="C626" s="223"/>
      <c r="D626" s="168"/>
      <c r="E626" s="233"/>
      <c r="F626" s="205"/>
      <c r="G626" s="233"/>
      <c r="H626" s="1300"/>
      <c r="I626" s="308"/>
      <c r="J626" s="171" t="s">
        <v>575</v>
      </c>
      <c r="N626" s="214">
        <f>N622-N624</f>
        <v>-0.55632799927843735</v>
      </c>
      <c r="O626" s="227"/>
      <c r="P626" s="227"/>
      <c r="Q626" s="227"/>
      <c r="U626" s="184"/>
      <c r="V626" s="179"/>
      <c r="W626" s="180"/>
      <c r="Y626" s="184"/>
      <c r="Z626" s="181"/>
    </row>
    <row r="627" spans="1:93" x14ac:dyDescent="0.2">
      <c r="A627" s="118">
        <f t="shared" si="53"/>
        <v>40</v>
      </c>
      <c r="B627" s="243"/>
      <c r="C627" s="223"/>
      <c r="D627" s="168"/>
      <c r="E627" s="233"/>
      <c r="F627" s="205"/>
      <c r="G627" s="233"/>
      <c r="H627" s="1150"/>
      <c r="I627" s="308"/>
      <c r="O627" s="227"/>
      <c r="P627" s="227"/>
      <c r="Q627" s="227"/>
      <c r="U627" s="184"/>
      <c r="V627" s="179"/>
      <c r="W627" s="180"/>
      <c r="Y627" s="184"/>
      <c r="Z627" s="181"/>
    </row>
    <row r="628" spans="1:93" x14ac:dyDescent="0.2">
      <c r="A628" s="118">
        <f t="shared" si="53"/>
        <v>41</v>
      </c>
      <c r="B628" s="243"/>
      <c r="C628" s="223"/>
      <c r="D628" s="168"/>
      <c r="E628" s="233"/>
      <c r="F628" s="205"/>
      <c r="G628" s="233"/>
      <c r="H628" s="174"/>
      <c r="I628" s="308"/>
      <c r="N628" s="732">
        <f>N626/N624</f>
        <v>-4.2133828973167584E-6</v>
      </c>
      <c r="O628" s="227"/>
      <c r="P628" s="227"/>
      <c r="Q628" s="227"/>
      <c r="U628" s="184"/>
      <c r="V628" s="179"/>
      <c r="W628" s="180"/>
      <c r="Y628" s="184"/>
      <c r="Z628" s="181"/>
    </row>
    <row r="629" spans="1:93" x14ac:dyDescent="0.2">
      <c r="A629" s="118">
        <f t="shared" si="53"/>
        <v>42</v>
      </c>
      <c r="B629" s="243"/>
      <c r="C629" s="223"/>
      <c r="D629" s="168"/>
      <c r="E629" s="233"/>
      <c r="F629" s="205"/>
      <c r="G629" s="233"/>
      <c r="H629" s="174"/>
      <c r="I629" s="308"/>
      <c r="J629" s="168"/>
      <c r="K629" s="233"/>
      <c r="L629" s="205"/>
      <c r="M629" s="233"/>
      <c r="N629" s="174"/>
      <c r="O629" s="227"/>
      <c r="P629" s="227"/>
      <c r="Q629" s="227"/>
      <c r="U629" s="184"/>
      <c r="V629" s="179"/>
      <c r="W629" s="180"/>
      <c r="Y629" s="184"/>
      <c r="Z629" s="181"/>
    </row>
    <row r="630" spans="1:93" x14ac:dyDescent="0.2">
      <c r="A630" s="118">
        <f t="shared" si="53"/>
        <v>43</v>
      </c>
      <c r="B630" s="243"/>
      <c r="C630" s="223"/>
      <c r="D630" s="168"/>
      <c r="E630" s="233"/>
      <c r="F630" s="205"/>
      <c r="G630" s="233"/>
      <c r="H630" s="174"/>
      <c r="I630" s="308"/>
      <c r="J630" s="168"/>
      <c r="K630" s="233"/>
      <c r="L630" s="205"/>
      <c r="M630" s="233"/>
      <c r="N630" s="174"/>
      <c r="O630" s="227"/>
      <c r="P630" s="227"/>
      <c r="Q630" s="227"/>
      <c r="U630" s="184"/>
      <c r="V630" s="179"/>
      <c r="W630" s="180"/>
      <c r="Y630" s="184"/>
      <c r="Z630" s="181"/>
    </row>
    <row r="631" spans="1:93" x14ac:dyDescent="0.2">
      <c r="A631" s="118">
        <f t="shared" si="53"/>
        <v>44</v>
      </c>
      <c r="B631" s="243"/>
      <c r="C631" s="223"/>
      <c r="D631" s="168"/>
      <c r="E631" s="233"/>
      <c r="F631" s="205"/>
      <c r="G631" s="233"/>
      <c r="H631" s="174"/>
      <c r="I631" s="308"/>
      <c r="J631" s="168"/>
      <c r="K631" s="233"/>
      <c r="L631" s="205"/>
      <c r="M631" s="233"/>
      <c r="N631" s="174"/>
      <c r="O631" s="227"/>
      <c r="P631" s="227"/>
      <c r="Q631" s="227"/>
      <c r="U631" s="184"/>
      <c r="V631" s="179"/>
      <c r="W631" s="180"/>
      <c r="Y631" s="184"/>
      <c r="Z631" s="181"/>
    </row>
    <row r="632" spans="1:93" x14ac:dyDescent="0.2">
      <c r="A632" s="118">
        <f t="shared" si="53"/>
        <v>45</v>
      </c>
      <c r="B632" s="243"/>
      <c r="C632" s="223"/>
      <c r="D632" s="168"/>
      <c r="E632" s="233"/>
      <c r="F632" s="205"/>
      <c r="G632" s="233"/>
      <c r="H632" s="174"/>
      <c r="I632" s="308"/>
      <c r="J632" s="168"/>
      <c r="K632" s="233"/>
      <c r="L632" s="205"/>
      <c r="M632" s="233"/>
      <c r="N632" s="174"/>
      <c r="O632" s="227"/>
      <c r="P632" s="227"/>
      <c r="Q632" s="227"/>
      <c r="U632" s="184"/>
      <c r="V632" s="179"/>
      <c r="W632" s="180"/>
      <c r="Y632" s="184"/>
      <c r="Z632" s="181"/>
    </row>
    <row r="633" spans="1:93" x14ac:dyDescent="0.2">
      <c r="A633" s="215"/>
      <c r="B633" s="215" t="s">
        <v>98</v>
      </c>
      <c r="C633" s="215"/>
      <c r="D633" s="215"/>
      <c r="E633" s="215"/>
      <c r="F633" s="299"/>
      <c r="G633" s="215"/>
      <c r="H633" s="300"/>
      <c r="I633" s="215"/>
      <c r="J633" s="215"/>
      <c r="K633" s="215"/>
      <c r="L633" s="299"/>
      <c r="M633" s="215"/>
      <c r="N633" s="300" t="s">
        <v>99</v>
      </c>
      <c r="O633" s="215"/>
      <c r="P633" s="215"/>
      <c r="Q633" s="215"/>
      <c r="Y633" s="101"/>
    </row>
    <row r="634" spans="1:93" x14ac:dyDescent="0.2">
      <c r="A634" s="216"/>
      <c r="B634" s="216"/>
      <c r="C634" s="216"/>
      <c r="D634" s="216"/>
      <c r="E634" s="216"/>
      <c r="F634" s="216"/>
      <c r="G634" s="216"/>
      <c r="H634" s="216"/>
      <c r="I634" s="216"/>
      <c r="J634" s="216"/>
      <c r="K634" s="216"/>
      <c r="L634" s="216"/>
      <c r="M634" s="216"/>
      <c r="N634" s="216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7"/>
      <c r="AA634" s="216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  <c r="AO634" s="216"/>
      <c r="AP634" s="216"/>
      <c r="AQ634" s="216"/>
      <c r="AR634" s="216"/>
      <c r="AS634" s="216"/>
      <c r="AT634" s="216"/>
      <c r="AU634" s="216"/>
      <c r="AV634" s="216"/>
      <c r="AW634" s="216"/>
      <c r="AX634" s="216"/>
      <c r="AY634" s="216"/>
      <c r="AZ634" s="216"/>
      <c r="BA634" s="216"/>
      <c r="BB634" s="216"/>
      <c r="BC634" s="216"/>
      <c r="BD634" s="216"/>
      <c r="BE634" s="216"/>
      <c r="BF634" s="216"/>
      <c r="BG634" s="216"/>
      <c r="BH634" s="216"/>
      <c r="BI634" s="216"/>
      <c r="BJ634" s="216"/>
      <c r="BK634" s="216"/>
      <c r="BL634" s="216"/>
      <c r="BM634" s="216"/>
      <c r="BN634" s="216"/>
      <c r="BO634" s="216"/>
      <c r="BP634" s="216"/>
      <c r="BQ634" s="216"/>
      <c r="BR634" s="216"/>
      <c r="BS634" s="216"/>
      <c r="BT634" s="216"/>
      <c r="BU634" s="216"/>
      <c r="BV634" s="216"/>
      <c r="BW634" s="216"/>
      <c r="BX634" s="216"/>
      <c r="BY634" s="216"/>
      <c r="BZ634" s="216"/>
      <c r="CA634" s="216"/>
      <c r="CB634" s="216"/>
      <c r="CC634" s="216"/>
      <c r="CD634" s="216"/>
      <c r="CE634" s="216"/>
      <c r="CF634" s="216"/>
      <c r="CG634" s="216"/>
      <c r="CH634" s="216"/>
      <c r="CI634" s="216"/>
      <c r="CJ634" s="216"/>
      <c r="CK634" s="216"/>
      <c r="CL634" s="216"/>
      <c r="CM634" s="216"/>
      <c r="CN634" s="216"/>
      <c r="CO634" s="216"/>
    </row>
    <row r="635" spans="1:93" ht="13.8" x14ac:dyDescent="0.3">
      <c r="A635" s="12" t="s">
        <v>667</v>
      </c>
      <c r="C635" s="102"/>
      <c r="D635" s="1280"/>
      <c r="F635" s="104"/>
      <c r="G635" s="104"/>
      <c r="H635" s="361" t="s">
        <v>668</v>
      </c>
      <c r="I635" s="104"/>
      <c r="J635" s="104"/>
      <c r="K635" s="104"/>
      <c r="L635" s="104"/>
      <c r="N635" s="105"/>
      <c r="Q635" s="106" t="str">
        <f>'MFR E-13c'!Q539</f>
        <v>Page 25 of 39</v>
      </c>
      <c r="R635" s="105"/>
      <c r="S635" s="105"/>
      <c r="U635" s="114"/>
      <c r="V635" s="114"/>
      <c r="W635" s="114"/>
      <c r="Y635" s="114"/>
      <c r="Z635" s="218"/>
      <c r="AC635" s="114"/>
    </row>
    <row r="636" spans="1:93" ht="10.8" thickBot="1" x14ac:dyDescent="0.25">
      <c r="A636" s="108"/>
      <c r="B636" s="109"/>
      <c r="C636" s="109"/>
      <c r="D636" s="109"/>
      <c r="E636" s="110" t="s">
        <v>416</v>
      </c>
      <c r="F636" s="109"/>
      <c r="G636" s="109" t="s">
        <v>416</v>
      </c>
      <c r="H636" s="109" t="s">
        <v>416</v>
      </c>
      <c r="I636" s="109" t="s">
        <v>416</v>
      </c>
      <c r="J636" s="109"/>
      <c r="K636" s="109"/>
      <c r="L636" s="109"/>
      <c r="M636" s="111"/>
      <c r="N636" s="111"/>
      <c r="O636" s="109"/>
      <c r="P636" s="112"/>
      <c r="Q636" s="109"/>
      <c r="U636" s="114"/>
      <c r="V636" s="114"/>
      <c r="W636" s="114"/>
      <c r="Y636" s="114"/>
      <c r="Z636" s="218"/>
      <c r="AC636" s="114"/>
    </row>
    <row r="637" spans="1:93" x14ac:dyDescent="0.2">
      <c r="A637" s="113"/>
      <c r="M637" s="105"/>
      <c r="N637" s="105"/>
      <c r="P637" s="114"/>
      <c r="U637" s="114"/>
      <c r="V637" s="114"/>
      <c r="W637" s="114"/>
      <c r="Y637" s="114"/>
      <c r="Z637" s="218"/>
      <c r="AC637" s="114"/>
    </row>
    <row r="638" spans="1:93" ht="13.8" x14ac:dyDescent="0.2">
      <c r="A638" s="100"/>
      <c r="C638" s="1278" t="s">
        <v>4</v>
      </c>
      <c r="D638" s="1386" t="s">
        <v>669</v>
      </c>
      <c r="E638" s="1386"/>
      <c r="F638" s="1386"/>
      <c r="G638" s="1386"/>
      <c r="H638" s="1386"/>
      <c r="I638" s="1386"/>
      <c r="J638" s="1386"/>
      <c r="K638" s="1386"/>
      <c r="L638" s="1386"/>
      <c r="M638" s="1386"/>
      <c r="N638" s="1386"/>
      <c r="O638" s="1279"/>
      <c r="P638" s="1279"/>
      <c r="U638" s="114"/>
      <c r="V638" s="114"/>
      <c r="W638" s="114"/>
      <c r="Y638" s="114"/>
      <c r="Z638" s="218"/>
      <c r="AC638" s="114"/>
    </row>
    <row r="639" spans="1:93" ht="13.8" x14ac:dyDescent="0.2">
      <c r="C639" s="1279"/>
      <c r="D639" s="1386" t="s">
        <v>670</v>
      </c>
      <c r="E639" s="1386"/>
      <c r="F639" s="1386"/>
      <c r="G639" s="1386"/>
      <c r="H639" s="1386"/>
      <c r="I639" s="1386"/>
      <c r="J639" s="1386"/>
      <c r="K639" s="1386"/>
      <c r="L639" s="1386"/>
      <c r="M639" s="1386"/>
      <c r="N639" s="1386"/>
      <c r="O639" s="1279"/>
      <c r="P639" s="1279"/>
      <c r="U639" s="114"/>
      <c r="V639" s="114"/>
      <c r="W639" s="114"/>
      <c r="Y639" s="114"/>
      <c r="Z639" s="218"/>
      <c r="AC639" s="114"/>
    </row>
    <row r="640" spans="1:93" ht="13.8" x14ac:dyDescent="0.3">
      <c r="A640" s="100"/>
      <c r="C640" s="21"/>
      <c r="D640" s="1386" t="s">
        <v>671</v>
      </c>
      <c r="E640" s="1386"/>
      <c r="F640" s="1386"/>
      <c r="G640" s="1386"/>
      <c r="H640" s="1386"/>
      <c r="I640" s="1386"/>
      <c r="J640" s="1386"/>
      <c r="K640" s="1386"/>
      <c r="L640" s="1386"/>
      <c r="M640" s="1386"/>
      <c r="N640" s="1386"/>
      <c r="O640" s="107"/>
      <c r="U640" s="114"/>
      <c r="V640" s="114"/>
      <c r="W640" s="114"/>
      <c r="Y640" s="114"/>
      <c r="Z640" s="218"/>
      <c r="AC640" s="114"/>
    </row>
    <row r="641" spans="1:93" x14ac:dyDescent="0.2">
      <c r="U641" s="114"/>
      <c r="V641" s="114"/>
      <c r="W641" s="114"/>
      <c r="Y641" s="114"/>
      <c r="Z641" s="218"/>
      <c r="AC641" s="114"/>
    </row>
    <row r="642" spans="1:93" x14ac:dyDescent="0.2">
      <c r="A642" s="100"/>
      <c r="C642" s="119"/>
      <c r="O642" s="100"/>
      <c r="U642" s="114"/>
      <c r="V642" s="114"/>
      <c r="W642" s="114"/>
      <c r="Y642" s="114"/>
      <c r="Z642" s="218"/>
      <c r="AC642" s="114"/>
    </row>
    <row r="643" spans="1:93" ht="10.8" thickBot="1" x14ac:dyDescent="0.25">
      <c r="A643" s="123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23"/>
      <c r="O643" s="109"/>
      <c r="P643" s="109"/>
      <c r="Q643" s="109"/>
      <c r="U643" s="114"/>
      <c r="V643" s="114"/>
      <c r="W643" s="114"/>
      <c r="Y643" s="114"/>
      <c r="Z643" s="218"/>
      <c r="AC643" s="114"/>
    </row>
    <row r="644" spans="1:93" ht="15.6" x14ac:dyDescent="0.2">
      <c r="B644" s="1369"/>
      <c r="C644" s="125"/>
      <c r="D644" s="125"/>
      <c r="E644" s="125"/>
      <c r="F644" s="276"/>
      <c r="G644" s="125"/>
      <c r="H644" s="277"/>
      <c r="I644" s="126" t="s">
        <v>654</v>
      </c>
      <c r="J644" s="125"/>
      <c r="K644" s="125"/>
      <c r="L644" s="276"/>
      <c r="M644" s="125"/>
      <c r="N644" s="277"/>
      <c r="U644" s="127" t="s">
        <v>530</v>
      </c>
      <c r="V644" s="128"/>
      <c r="W644" s="129"/>
      <c r="Y644" s="130" t="s">
        <v>531</v>
      </c>
      <c r="Z644" s="131"/>
    </row>
    <row r="645" spans="1:93" x14ac:dyDescent="0.2">
      <c r="A645" s="101" t="s">
        <v>30</v>
      </c>
      <c r="B645" s="101" t="s">
        <v>532</v>
      </c>
      <c r="C645" s="132"/>
      <c r="D645" s="133" t="s">
        <v>533</v>
      </c>
      <c r="E645" s="134"/>
      <c r="F645" s="278"/>
      <c r="G645" s="133"/>
      <c r="H645" s="279"/>
      <c r="I645" s="135"/>
      <c r="J645" s="136" t="s">
        <v>534</v>
      </c>
      <c r="K645" s="133"/>
      <c r="L645" s="278"/>
      <c r="M645" s="134"/>
      <c r="N645" s="280"/>
      <c r="O645" s="137"/>
      <c r="Q645" s="118" t="s">
        <v>332</v>
      </c>
      <c r="U645" s="138"/>
      <c r="V645" s="139"/>
      <c r="W645" s="140"/>
      <c r="Y645" s="138"/>
      <c r="Z645" s="141"/>
    </row>
    <row r="646" spans="1:93" x14ac:dyDescent="0.2">
      <c r="A646" s="101" t="s">
        <v>39</v>
      </c>
      <c r="B646" s="102" t="s">
        <v>535</v>
      </c>
      <c r="C646" s="104"/>
      <c r="D646" s="142" t="s">
        <v>536</v>
      </c>
      <c r="E646" s="143"/>
      <c r="F646" s="281" t="s">
        <v>537</v>
      </c>
      <c r="G646" s="142"/>
      <c r="H646" s="282" t="s">
        <v>538</v>
      </c>
      <c r="I646" s="144"/>
      <c r="J646" s="142" t="s">
        <v>536</v>
      </c>
      <c r="K646" s="143"/>
      <c r="L646" s="281" t="s">
        <v>537</v>
      </c>
      <c r="M646" s="142"/>
      <c r="N646" s="282" t="s">
        <v>538</v>
      </c>
      <c r="O646" s="132"/>
      <c r="Q646" s="145" t="s">
        <v>539</v>
      </c>
      <c r="R646" s="132"/>
      <c r="S646" s="132"/>
      <c r="U646" s="138" t="s">
        <v>128</v>
      </c>
      <c r="V646" s="146" t="s">
        <v>343</v>
      </c>
      <c r="W646" s="147" t="s">
        <v>344</v>
      </c>
      <c r="Y646" s="148" t="s">
        <v>128</v>
      </c>
      <c r="Z646" s="149"/>
      <c r="AH646" s="116"/>
      <c r="AI646" s="116"/>
      <c r="AJ646" s="116"/>
      <c r="AK646" s="116"/>
      <c r="AL646" s="116"/>
      <c r="AM646" s="116"/>
      <c r="AN646" s="116"/>
      <c r="AO646" s="116"/>
      <c r="AP646" s="116"/>
      <c r="AQ646" s="116"/>
      <c r="AR646" s="116"/>
      <c r="AS646" s="116"/>
      <c r="AT646" s="116"/>
      <c r="AU646" s="116"/>
      <c r="AV646" s="116"/>
      <c r="AW646" s="116"/>
      <c r="AX646" s="116"/>
      <c r="AY646" s="116"/>
      <c r="AZ646" s="116"/>
      <c r="BA646" s="116"/>
      <c r="BB646" s="116"/>
      <c r="BC646" s="116"/>
      <c r="BD646" s="116"/>
      <c r="BE646" s="116"/>
      <c r="BF646" s="116"/>
      <c r="BG646" s="116"/>
      <c r="BH646" s="116"/>
      <c r="BI646" s="116"/>
      <c r="BJ646" s="116"/>
      <c r="BK646" s="116"/>
      <c r="BL646" s="116"/>
      <c r="BM646" s="116"/>
      <c r="BN646" s="116"/>
      <c r="BO646" s="116"/>
      <c r="BP646" s="116"/>
      <c r="BQ646" s="116"/>
      <c r="BR646" s="116"/>
      <c r="BS646" s="116"/>
      <c r="BT646" s="116"/>
      <c r="BU646" s="116"/>
      <c r="BV646" s="116"/>
      <c r="BW646" s="116"/>
      <c r="BX646" s="116"/>
      <c r="BY646" s="116"/>
      <c r="BZ646" s="116"/>
      <c r="CA646" s="116"/>
      <c r="CB646" s="116"/>
      <c r="CC646" s="116"/>
      <c r="CD646" s="116"/>
      <c r="CE646" s="116"/>
      <c r="CF646" s="116"/>
      <c r="CG646" s="116"/>
      <c r="CH646" s="116"/>
      <c r="CI646" s="116"/>
      <c r="CJ646" s="116"/>
      <c r="CK646" s="116"/>
      <c r="CL646" s="116"/>
      <c r="CM646" s="116"/>
      <c r="CN646" s="116"/>
      <c r="CO646" s="116"/>
    </row>
    <row r="647" spans="1:93" ht="10.8" thickBot="1" x14ac:dyDescent="0.25">
      <c r="A647" s="109"/>
      <c r="B647" s="1370" t="s">
        <v>140</v>
      </c>
      <c r="C647" s="150"/>
      <c r="D647" s="220" t="str">
        <f>+$D$15</f>
        <v>Jan '26-Dec '26</v>
      </c>
      <c r="E647" s="221"/>
      <c r="F647" s="152">
        <f>+$L$15</f>
        <v>46023</v>
      </c>
      <c r="G647" s="153"/>
      <c r="H647" s="153"/>
      <c r="I647" s="153"/>
      <c r="J647" s="153"/>
      <c r="K647" s="151"/>
      <c r="L647" s="152">
        <f>+$L$15</f>
        <v>46023</v>
      </c>
      <c r="M647" s="154"/>
      <c r="N647" s="283"/>
      <c r="O647" s="155"/>
      <c r="P647" s="109"/>
      <c r="Q647" s="156"/>
      <c r="R647" s="132"/>
      <c r="S647" s="132"/>
      <c r="U647" s="157" t="s">
        <v>144</v>
      </c>
      <c r="V647" s="158" t="s">
        <v>540</v>
      </c>
      <c r="W647" s="159" t="s">
        <v>540</v>
      </c>
      <c r="Y647" s="160" t="s">
        <v>144</v>
      </c>
      <c r="Z647" s="159" t="s">
        <v>541</v>
      </c>
      <c r="AH647" s="116"/>
      <c r="AI647" s="116"/>
      <c r="AJ647" s="116"/>
      <c r="AK647" s="116"/>
      <c r="AL647" s="116"/>
      <c r="AM647" s="116"/>
      <c r="AN647" s="116"/>
      <c r="AO647" s="116"/>
      <c r="AP647" s="116"/>
      <c r="AQ647" s="116"/>
      <c r="AR647" s="116"/>
      <c r="AS647" s="116"/>
      <c r="AT647" s="116"/>
      <c r="AU647" s="116"/>
      <c r="AV647" s="116"/>
      <c r="AW647" s="116"/>
      <c r="AX647" s="116"/>
      <c r="AY647" s="116"/>
      <c r="AZ647" s="116"/>
      <c r="BA647" s="116"/>
      <c r="BB647" s="116"/>
      <c r="BC647" s="116"/>
      <c r="BD647" s="116"/>
      <c r="BE647" s="116"/>
      <c r="BF647" s="116"/>
      <c r="BG647" s="116"/>
      <c r="BH647" s="116"/>
      <c r="BI647" s="116"/>
      <c r="BJ647" s="116"/>
      <c r="BK647" s="116"/>
      <c r="BL647" s="116"/>
      <c r="BM647" s="116"/>
      <c r="BN647" s="116"/>
      <c r="BO647" s="116"/>
      <c r="BP647" s="116"/>
      <c r="BQ647" s="116"/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</row>
    <row r="648" spans="1:93" x14ac:dyDescent="0.2">
      <c r="A648" s="118">
        <v>1</v>
      </c>
      <c r="F648" s="197"/>
      <c r="H648" s="203"/>
      <c r="I648" s="308"/>
      <c r="L648" s="197"/>
      <c r="N648" s="203"/>
      <c r="O648" s="227"/>
      <c r="P648" s="227"/>
      <c r="Q648" s="230"/>
      <c r="R648" s="132"/>
      <c r="S648" s="132"/>
      <c r="U648" s="163"/>
      <c r="V648" s="139"/>
      <c r="W648" s="140"/>
      <c r="Y648" s="163"/>
      <c r="Z648" s="141"/>
      <c r="AH648" s="116"/>
      <c r="AI648" s="116"/>
      <c r="AJ648" s="116"/>
      <c r="AK648" s="116"/>
      <c r="AL648" s="116"/>
      <c r="AM648" s="116"/>
      <c r="AN648" s="116"/>
      <c r="AO648" s="116"/>
      <c r="AP648" s="116"/>
      <c r="AQ648" s="116"/>
      <c r="AR648" s="116"/>
      <c r="AS648" s="116"/>
      <c r="AT648" s="116"/>
      <c r="AU648" s="116"/>
      <c r="AV648" s="116"/>
      <c r="AW648" s="116"/>
      <c r="AX648" s="116"/>
      <c r="AY648" s="116"/>
      <c r="AZ648" s="116"/>
      <c r="BA648" s="116"/>
      <c r="BB648" s="116"/>
      <c r="BC648" s="116"/>
      <c r="BD648" s="116"/>
      <c r="BE648" s="116"/>
      <c r="BF648" s="116"/>
      <c r="BG648" s="116"/>
      <c r="BH648" s="116"/>
      <c r="BI648" s="116"/>
      <c r="BJ648" s="116"/>
      <c r="BK648" s="116"/>
      <c r="BL648" s="116"/>
      <c r="BM648" s="116"/>
      <c r="BN648" s="116"/>
      <c r="BO648" s="116"/>
      <c r="BP648" s="116"/>
      <c r="BQ648" s="116"/>
      <c r="BR648" s="116"/>
      <c r="BS648" s="116"/>
      <c r="BT648" s="116"/>
      <c r="BU648" s="116"/>
      <c r="BV648" s="116"/>
      <c r="BW648" s="116"/>
      <c r="BX648" s="116"/>
      <c r="BY648" s="116"/>
      <c r="BZ648" s="116"/>
      <c r="CA648" s="116"/>
      <c r="CB648" s="116"/>
      <c r="CC648" s="116"/>
      <c r="CD648" s="116"/>
      <c r="CE648" s="116"/>
      <c r="CF648" s="116"/>
      <c r="CG648" s="116"/>
      <c r="CH648" s="116"/>
      <c r="CI648" s="116"/>
      <c r="CJ648" s="116"/>
      <c r="CK648" s="116"/>
      <c r="CL648" s="116"/>
      <c r="CM648" s="116"/>
      <c r="CN648" s="116"/>
      <c r="CO648" s="116"/>
    </row>
    <row r="649" spans="1:93" x14ac:dyDescent="0.2">
      <c r="A649" s="118">
        <f t="shared" ref="A649:A690" si="56">+A648+1</f>
        <v>2</v>
      </c>
      <c r="B649" s="222" t="s">
        <v>542</v>
      </c>
      <c r="C649" s="225"/>
      <c r="D649" s="226"/>
      <c r="E649" s="225"/>
      <c r="F649" s="284"/>
      <c r="G649" s="227"/>
      <c r="H649" s="285"/>
      <c r="I649" s="308"/>
      <c r="J649" s="226"/>
      <c r="K649" s="225"/>
      <c r="L649" s="1368">
        <v>-7.97</v>
      </c>
      <c r="M649" s="227"/>
      <c r="N649" s="285"/>
      <c r="O649" s="227"/>
      <c r="P649" s="227"/>
      <c r="Q649" s="227"/>
      <c r="R649" s="227"/>
      <c r="S649" s="227"/>
      <c r="T649" s="227"/>
      <c r="U649" s="163"/>
      <c r="V649" s="139"/>
      <c r="W649" s="140"/>
      <c r="X649" s="227"/>
      <c r="Y649" s="163"/>
      <c r="Z649" s="141"/>
      <c r="AA649" s="227"/>
      <c r="AH649" s="116"/>
      <c r="AI649" s="116"/>
      <c r="AJ649" s="116"/>
      <c r="AK649" s="116"/>
      <c r="AL649" s="116"/>
      <c r="AM649" s="116"/>
      <c r="AN649" s="116"/>
      <c r="AO649" s="116"/>
      <c r="AP649" s="116"/>
      <c r="AQ649" s="116"/>
      <c r="AR649" s="116"/>
      <c r="AS649" s="116"/>
      <c r="AT649" s="116"/>
      <c r="AU649" s="116"/>
      <c r="AV649" s="116"/>
      <c r="AW649" s="116"/>
      <c r="AX649" s="116"/>
      <c r="AY649" s="116"/>
      <c r="AZ649" s="116"/>
      <c r="BA649" s="116"/>
      <c r="BB649" s="116"/>
      <c r="BC649" s="116"/>
      <c r="BD649" s="116"/>
      <c r="BE649" s="116"/>
      <c r="BF649" s="116"/>
      <c r="BG649" s="116"/>
      <c r="BH649" s="116"/>
      <c r="BI649" s="116"/>
      <c r="BJ649" s="116"/>
      <c r="BK649" s="116"/>
      <c r="BL649" s="116"/>
      <c r="BM649" s="116"/>
      <c r="BN649" s="116"/>
      <c r="BO649" s="116"/>
      <c r="BP649" s="116"/>
      <c r="BQ649" s="116"/>
      <c r="BR649" s="116"/>
      <c r="BS649" s="116"/>
      <c r="BT649" s="116"/>
      <c r="BU649" s="116"/>
      <c r="BV649" s="116"/>
      <c r="BW649" s="116"/>
      <c r="BX649" s="116"/>
      <c r="BY649" s="116"/>
      <c r="BZ649" s="116"/>
      <c r="CA649" s="116"/>
      <c r="CB649" s="116"/>
      <c r="CC649" s="116"/>
      <c r="CD649" s="116"/>
      <c r="CE649" s="116"/>
      <c r="CF649" s="116"/>
      <c r="CG649" s="116"/>
      <c r="CH649" s="116"/>
      <c r="CI649" s="116"/>
      <c r="CJ649" s="116"/>
      <c r="CK649" s="116"/>
      <c r="CL649" s="116"/>
      <c r="CM649" s="116"/>
      <c r="CN649" s="116"/>
      <c r="CO649" s="116"/>
    </row>
    <row r="650" spans="1:93" x14ac:dyDescent="0.2">
      <c r="A650" s="118">
        <f t="shared" si="56"/>
        <v>3</v>
      </c>
      <c r="B650" s="234" t="s">
        <v>148</v>
      </c>
      <c r="C650" s="225"/>
      <c r="D650" s="172">
        <f>SUMIF($AH$8:$CP$8,1,$AH650:$CP650)</f>
        <v>21.138365549049947</v>
      </c>
      <c r="E650" s="233" t="s">
        <v>545</v>
      </c>
      <c r="F650" s="183">
        <v>665.44</v>
      </c>
      <c r="G650" s="233" t="s">
        <v>375</v>
      </c>
      <c r="H650" s="174">
        <f>ROUND(D650*F650,2)</f>
        <v>14066.31</v>
      </c>
      <c r="I650" s="308"/>
      <c r="J650" s="172">
        <f>SUMIF($AH$8:$CP$8,1,$AH650:$CP650)</f>
        <v>21.138365549049947</v>
      </c>
      <c r="K650" s="233" t="s">
        <v>545</v>
      </c>
      <c r="L650" s="183">
        <f>ROUND(F650*(1+'Exhibit MJC-2 - Old E-8a'!V27)+L649,2)</f>
        <v>684.44</v>
      </c>
      <c r="M650" s="233" t="s">
        <v>375</v>
      </c>
      <c r="N650" s="174">
        <f>ROUND(J650*L650,2)</f>
        <v>14467.94</v>
      </c>
      <c r="O650" s="227"/>
      <c r="P650" s="262"/>
      <c r="Q650" s="939"/>
      <c r="R650" s="227"/>
      <c r="S650" s="227"/>
      <c r="T650" s="227"/>
      <c r="U650" s="184" t="s">
        <v>140</v>
      </c>
      <c r="V650" s="179">
        <v>257</v>
      </c>
      <c r="W650" s="180">
        <v>231</v>
      </c>
      <c r="X650" s="227"/>
      <c r="Y650" s="184"/>
      <c r="Z650" s="181"/>
      <c r="AA650" s="227"/>
      <c r="AB650" s="182">
        <f>SUM(AH650:AS650)</f>
        <v>21.614491421088225</v>
      </c>
      <c r="AC650" s="182">
        <f>SUM(AT650:BE650)</f>
        <v>21.543771166469419</v>
      </c>
      <c r="AD650" s="182">
        <f>SUM(BF650:BQ650)</f>
        <v>21.287282548950024</v>
      </c>
      <c r="AE650" s="182">
        <f>SUM(BR650:CC650)</f>
        <v>21.138365549049947</v>
      </c>
      <c r="AF650" s="182">
        <f>SUM(CD650:CO650)</f>
        <v>21.149842857734786</v>
      </c>
      <c r="AH650" s="168">
        <v>3.2640286161412924</v>
      </c>
      <c r="AI650" s="168">
        <v>1.1599502527490877</v>
      </c>
      <c r="AJ650" s="168">
        <v>1.1431830251674604</v>
      </c>
      <c r="AK650" s="168">
        <v>1.8165774897600169</v>
      </c>
      <c r="AL650" s="168">
        <v>1.718769152440446</v>
      </c>
      <c r="AM650" s="168">
        <v>1.8263725146794578</v>
      </c>
      <c r="AN650" s="168">
        <v>1.9191263261319378</v>
      </c>
      <c r="AO650" s="168">
        <v>1.8206991403956994</v>
      </c>
      <c r="AP650" s="168">
        <v>1.8659031003607569</v>
      </c>
      <c r="AQ650" s="168">
        <v>1.8421811694976649</v>
      </c>
      <c r="AR650" s="168">
        <v>1.9871536267508132</v>
      </c>
      <c r="AS650" s="168">
        <v>1.2505470070135902</v>
      </c>
      <c r="AT650" s="168">
        <v>3.2228505879036176</v>
      </c>
      <c r="AU650" s="168">
        <v>1.1673399174863106</v>
      </c>
      <c r="AV650" s="168">
        <v>1.147150117155582</v>
      </c>
      <c r="AW650" s="168">
        <v>1.8160827436429183</v>
      </c>
      <c r="AX650" s="168">
        <v>1.7120650354986462</v>
      </c>
      <c r="AY650" s="168">
        <v>1.8271576265162941</v>
      </c>
      <c r="AZ650" s="168">
        <v>1.9169980885242244</v>
      </c>
      <c r="BA650" s="168">
        <v>1.8166699171121332</v>
      </c>
      <c r="BB650" s="168">
        <v>1.8592524953695253</v>
      </c>
      <c r="BC650" s="168">
        <v>1.8335246148916431</v>
      </c>
      <c r="BD650" s="168">
        <v>1.975409285145183</v>
      </c>
      <c r="BE650" s="168">
        <v>1.2492707372233416</v>
      </c>
      <c r="BF650" s="168">
        <v>3.1678844822759133</v>
      </c>
      <c r="BG650" s="168">
        <v>1.1471482181823451</v>
      </c>
      <c r="BH650" s="168">
        <v>1.1267306419613285</v>
      </c>
      <c r="BI650" s="168">
        <v>1.7825395030275808</v>
      </c>
      <c r="BJ650" s="168">
        <v>1.6794668040971019</v>
      </c>
      <c r="BK650" s="168">
        <v>1.8133198345370389</v>
      </c>
      <c r="BL650" s="168">
        <v>1.9018038424692301</v>
      </c>
      <c r="BM650" s="168">
        <v>1.8023536545889345</v>
      </c>
      <c r="BN650" s="168">
        <v>1.8438452455550105</v>
      </c>
      <c r="BO650" s="168">
        <v>1.8179605514779431</v>
      </c>
      <c r="BP650" s="168">
        <v>1.9579517627138965</v>
      </c>
      <c r="BQ650" s="168">
        <v>1.2462780080637046</v>
      </c>
      <c r="BR650" s="168">
        <v>3.1087476735688977</v>
      </c>
      <c r="BS650" s="168">
        <v>1.1273780430396649</v>
      </c>
      <c r="BT650" s="168">
        <v>1.1088077565430425</v>
      </c>
      <c r="BU650" s="168">
        <v>1.756409962377327</v>
      </c>
      <c r="BV650" s="168">
        <v>1.6567351481831074</v>
      </c>
      <c r="BW650" s="168">
        <v>1.8078812800493216</v>
      </c>
      <c r="BX650" s="168">
        <v>1.897108193034889</v>
      </c>
      <c r="BY650" s="168">
        <v>1.799789958957148</v>
      </c>
      <c r="BZ650" s="168">
        <v>1.8430473320077652</v>
      </c>
      <c r="CA650" s="168">
        <v>1.8192251706742266</v>
      </c>
      <c r="CB650" s="168">
        <v>1.9606570664496947</v>
      </c>
      <c r="CC650" s="168">
        <v>1.2525779641648638</v>
      </c>
      <c r="CD650" s="168">
        <v>3.0963542613566197</v>
      </c>
      <c r="CE650" s="168">
        <v>1.1229939256348647</v>
      </c>
      <c r="CF650" s="168">
        <v>1.1045473813739233</v>
      </c>
      <c r="CG650" s="168">
        <v>1.7498973511547944</v>
      </c>
      <c r="CH650" s="168">
        <v>1.6511471496844055</v>
      </c>
      <c r="CI650" s="168">
        <v>1.8134920222861735</v>
      </c>
      <c r="CJ650" s="168">
        <v>1.9034594197011612</v>
      </c>
      <c r="CK650" s="168">
        <v>1.8063221297165057</v>
      </c>
      <c r="CL650" s="168">
        <v>1.8494451300090495</v>
      </c>
      <c r="CM650" s="168">
        <v>1.8252071733513322</v>
      </c>
      <c r="CN650" s="168">
        <v>1.9667151715666153</v>
      </c>
      <c r="CO650" s="168">
        <v>1.2602617418993418</v>
      </c>
    </row>
    <row r="651" spans="1:93" x14ac:dyDescent="0.2">
      <c r="A651" s="118">
        <f t="shared" si="56"/>
        <v>4</v>
      </c>
      <c r="B651" s="234" t="s">
        <v>216</v>
      </c>
      <c r="C651" s="225"/>
      <c r="D651" s="172">
        <f>SUMIF($AH$8:$CP$8,1,$AH651:$CP651)</f>
        <v>9.688417543314559</v>
      </c>
      <c r="E651" s="233" t="s">
        <v>545</v>
      </c>
      <c r="F651" s="183">
        <v>1539.64</v>
      </c>
      <c r="G651" s="233" t="s">
        <v>375</v>
      </c>
      <c r="H651" s="174">
        <f>ROUND(D651*F651,2)</f>
        <v>14916.68</v>
      </c>
      <c r="I651" s="308"/>
      <c r="J651" s="172">
        <f>SUMIF($AH$8:$CP$8,1,$AH651:$CP651)</f>
        <v>9.688417543314559</v>
      </c>
      <c r="K651" s="233" t="s">
        <v>545</v>
      </c>
      <c r="L651" s="183">
        <f>ROUND(F651*(1+'Exhibit MJC-2 - Old E-8a'!V27)+(L649*(F651/F650)),2)</f>
        <v>1583.59</v>
      </c>
      <c r="M651" s="233" t="s">
        <v>375</v>
      </c>
      <c r="N651" s="174">
        <f>ROUND(J651*L651,2)</f>
        <v>15342.48</v>
      </c>
      <c r="O651" s="227"/>
      <c r="P651" s="262"/>
      <c r="Q651" s="939"/>
      <c r="R651" s="227"/>
      <c r="S651" s="227"/>
      <c r="T651" s="227"/>
      <c r="U651" s="184" t="s">
        <v>140</v>
      </c>
      <c r="V651" s="179">
        <v>257</v>
      </c>
      <c r="W651" s="180">
        <v>231</v>
      </c>
      <c r="X651" s="227"/>
      <c r="Y651" s="184"/>
      <c r="Z651" s="181"/>
      <c r="AA651" s="227"/>
      <c r="AB651" s="182">
        <f>SUM(AH651:AS651)</f>
        <v>9.9066419013321028</v>
      </c>
      <c r="AC651" s="182">
        <f>SUM(AT651:BE651)</f>
        <v>9.8742284512984835</v>
      </c>
      <c r="AD651" s="182">
        <f>SUM(BF651:BQ651)</f>
        <v>9.7566711682687632</v>
      </c>
      <c r="AE651" s="182">
        <f>SUM(BR651:CC651)</f>
        <v>9.688417543314559</v>
      </c>
      <c r="AF651" s="182">
        <f>SUM(CD651:CO651)</f>
        <v>9.6936779764617746</v>
      </c>
      <c r="AH651" s="168">
        <v>1.4960131157314258</v>
      </c>
      <c r="AI651" s="168">
        <v>0.5316438658433319</v>
      </c>
      <c r="AJ651" s="168">
        <v>0.52395888653508604</v>
      </c>
      <c r="AK651" s="168">
        <v>0.83259801614000772</v>
      </c>
      <c r="AL651" s="168">
        <v>0.78776919486853769</v>
      </c>
      <c r="AM651" s="168">
        <v>0.83708740256141811</v>
      </c>
      <c r="AN651" s="168">
        <v>0.87959956614380475</v>
      </c>
      <c r="AO651" s="168">
        <v>0.83448710601469545</v>
      </c>
      <c r="AP651" s="168">
        <v>0.85520558766534682</v>
      </c>
      <c r="AQ651" s="168">
        <v>0.84433303601976295</v>
      </c>
      <c r="AR651" s="168">
        <v>0.91077874559412275</v>
      </c>
      <c r="AS651" s="168">
        <v>0.5731673782145621</v>
      </c>
      <c r="AT651" s="168">
        <v>1.4771398527891577</v>
      </c>
      <c r="AU651" s="168">
        <v>0.53503079551455901</v>
      </c>
      <c r="AV651" s="168">
        <v>0.52577713702964168</v>
      </c>
      <c r="AW651" s="168">
        <v>0.83237125750300422</v>
      </c>
      <c r="AX651" s="168">
        <v>0.78469647460354608</v>
      </c>
      <c r="AY651" s="168">
        <v>0.83744724548663463</v>
      </c>
      <c r="AZ651" s="168">
        <v>0.87862412390693612</v>
      </c>
      <c r="BA651" s="168">
        <v>0.8326403786763944</v>
      </c>
      <c r="BB651" s="168">
        <v>0.8521573937110325</v>
      </c>
      <c r="BC651" s="168">
        <v>0.8403654484920029</v>
      </c>
      <c r="BD651" s="168">
        <v>0.90539592235820887</v>
      </c>
      <c r="BE651" s="168">
        <v>0.57258242122736491</v>
      </c>
      <c r="BF651" s="168">
        <v>1.4519470543764601</v>
      </c>
      <c r="BG651" s="168">
        <v>0.52577626666690813</v>
      </c>
      <c r="BH651" s="168">
        <v>0.51641821089894213</v>
      </c>
      <c r="BI651" s="168">
        <v>0.81699727222097451</v>
      </c>
      <c r="BJ651" s="168">
        <v>0.76975561854450503</v>
      </c>
      <c r="BK651" s="168">
        <v>0.83110492416280946</v>
      </c>
      <c r="BL651" s="168">
        <v>0.87166009446506376</v>
      </c>
      <c r="BM651" s="168">
        <v>0.82607875835326161</v>
      </c>
      <c r="BN651" s="168">
        <v>0.8450957375460465</v>
      </c>
      <c r="BO651" s="168">
        <v>0.83323191942739061</v>
      </c>
      <c r="BP651" s="168">
        <v>0.8973945579105358</v>
      </c>
      <c r="BQ651" s="168">
        <v>0.5712107536958646</v>
      </c>
      <c r="BR651" s="168">
        <v>1.4248426837190782</v>
      </c>
      <c r="BS651" s="168">
        <v>0.51671493639317978</v>
      </c>
      <c r="BT651" s="168">
        <v>0.50820355508222781</v>
      </c>
      <c r="BU651" s="168">
        <v>0.8050212327562748</v>
      </c>
      <c r="BV651" s="168">
        <v>0.75933694291725762</v>
      </c>
      <c r="BW651" s="168">
        <v>0.82861225335593902</v>
      </c>
      <c r="BX651" s="168">
        <v>0.86950792180765746</v>
      </c>
      <c r="BY651" s="168">
        <v>0.82490373118869287</v>
      </c>
      <c r="BZ651" s="168">
        <v>0.84473002717022572</v>
      </c>
      <c r="CA651" s="168">
        <v>0.83381153655902052</v>
      </c>
      <c r="CB651" s="168">
        <v>0.8986344887894433</v>
      </c>
      <c r="CC651" s="168">
        <v>0.57409823357556256</v>
      </c>
      <c r="CD651" s="168">
        <v>1.4191623697884506</v>
      </c>
      <c r="CE651" s="168">
        <v>0.514705549249313</v>
      </c>
      <c r="CF651" s="168">
        <v>0.50625088312971478</v>
      </c>
      <c r="CG651" s="168">
        <v>0.80203628594594745</v>
      </c>
      <c r="CH651" s="168">
        <v>0.75677577693868581</v>
      </c>
      <c r="CI651" s="168">
        <v>0.83118384354782948</v>
      </c>
      <c r="CJ651" s="168">
        <v>0.87241890069636552</v>
      </c>
      <c r="CK651" s="168">
        <v>0.82789764278673172</v>
      </c>
      <c r="CL651" s="168">
        <v>0.84766235125414768</v>
      </c>
      <c r="CM651" s="168">
        <v>0.83655328778602722</v>
      </c>
      <c r="CN651" s="168">
        <v>0.90141112030136528</v>
      </c>
      <c r="CO651" s="168">
        <v>0.57761996503719826</v>
      </c>
    </row>
    <row r="652" spans="1:93" x14ac:dyDescent="0.2">
      <c r="A652" s="118">
        <f t="shared" si="56"/>
        <v>5</v>
      </c>
      <c r="B652" s="234"/>
      <c r="C652" s="225" t="s">
        <v>121</v>
      </c>
      <c r="D652" s="204">
        <f>SUM(D650:D651)</f>
        <v>30.826783092364508</v>
      </c>
      <c r="E652" s="233" t="s">
        <v>581</v>
      </c>
      <c r="F652" s="183"/>
      <c r="G652" s="233"/>
      <c r="H652" s="206">
        <f>SUM(H650:H651)</f>
        <v>28982.989999999998</v>
      </c>
      <c r="I652" s="308"/>
      <c r="J652" s="204">
        <f>SUM(J650:J651)</f>
        <v>30.826783092364508</v>
      </c>
      <c r="K652" s="233" t="s">
        <v>581</v>
      </c>
      <c r="L652" s="183"/>
      <c r="M652" s="233"/>
      <c r="N652" s="206">
        <f>SUM(N650:N651)</f>
        <v>29810.42</v>
      </c>
      <c r="O652" s="227"/>
      <c r="P652" s="262"/>
      <c r="Q652" s="1022"/>
      <c r="R652" s="227"/>
      <c r="S652" s="227"/>
      <c r="T652" s="227"/>
      <c r="U652" s="178"/>
      <c r="V652" s="179"/>
      <c r="W652" s="180"/>
      <c r="X652" s="227"/>
      <c r="Y652" s="184" t="s">
        <v>140</v>
      </c>
      <c r="Z652" s="181" t="s">
        <v>451</v>
      </c>
      <c r="AA652" s="227"/>
      <c r="AB652" s="204">
        <f>SUM(AB650:AB651)</f>
        <v>31.521133322420326</v>
      </c>
      <c r="AC652" s="204">
        <f>SUM(AC650:AC651)</f>
        <v>31.417999617767904</v>
      </c>
      <c r="AD652" s="204">
        <f>SUM(AD650:AD651)</f>
        <v>31.043953717218788</v>
      </c>
      <c r="AE652" s="204">
        <f>SUM(AE650:AE651)</f>
        <v>30.826783092364508</v>
      </c>
      <c r="AF652" s="204">
        <f>SUM(AF650:AF651)</f>
        <v>30.843520834196561</v>
      </c>
      <c r="AH652" s="204">
        <f t="shared" ref="AH652:CO652" si="57">SUM(AH650:AH651)</f>
        <v>4.7600417318727182</v>
      </c>
      <c r="AI652" s="204">
        <f t="shared" si="57"/>
        <v>1.6915941185924197</v>
      </c>
      <c r="AJ652" s="204">
        <f t="shared" si="57"/>
        <v>1.6671419117025463</v>
      </c>
      <c r="AK652" s="204">
        <f t="shared" si="57"/>
        <v>2.6491755059000246</v>
      </c>
      <c r="AL652" s="204">
        <f t="shared" si="57"/>
        <v>2.5065383473089837</v>
      </c>
      <c r="AM652" s="204">
        <f t="shared" si="57"/>
        <v>2.6634599172408757</v>
      </c>
      <c r="AN652" s="204">
        <f t="shared" si="57"/>
        <v>2.7987258922757423</v>
      </c>
      <c r="AO652" s="204">
        <f t="shared" si="57"/>
        <v>2.6551862464103948</v>
      </c>
      <c r="AP652" s="204">
        <f t="shared" si="57"/>
        <v>2.7211086880261037</v>
      </c>
      <c r="AQ652" s="204">
        <f t="shared" si="57"/>
        <v>2.6865142055174278</v>
      </c>
      <c r="AR652" s="204">
        <f t="shared" si="57"/>
        <v>2.8979323723449362</v>
      </c>
      <c r="AS652" s="204">
        <f t="shared" si="57"/>
        <v>1.8237143852281523</v>
      </c>
      <c r="AT652" s="204">
        <f t="shared" si="57"/>
        <v>4.6999904406927753</v>
      </c>
      <c r="AU652" s="204">
        <f t="shared" si="57"/>
        <v>1.7023707130008696</v>
      </c>
      <c r="AV652" s="204">
        <f t="shared" si="57"/>
        <v>1.6729272541852236</v>
      </c>
      <c r="AW652" s="204">
        <f t="shared" si="57"/>
        <v>2.6484540011459226</v>
      </c>
      <c r="AX652" s="204">
        <f t="shared" si="57"/>
        <v>2.4967615101021923</v>
      </c>
      <c r="AY652" s="204">
        <f t="shared" si="57"/>
        <v>2.6646048720029287</v>
      </c>
      <c r="AZ652" s="204">
        <f t="shared" si="57"/>
        <v>2.7956222124311605</v>
      </c>
      <c r="BA652" s="204">
        <f t="shared" si="57"/>
        <v>2.6493102957885277</v>
      </c>
      <c r="BB652" s="204">
        <f t="shared" si="57"/>
        <v>2.7114098890805578</v>
      </c>
      <c r="BC652" s="204">
        <f t="shared" si="57"/>
        <v>2.673890063383646</v>
      </c>
      <c r="BD652" s="204">
        <f t="shared" si="57"/>
        <v>2.8808052075033919</v>
      </c>
      <c r="BE652" s="204">
        <f t="shared" si="57"/>
        <v>1.8218531584507065</v>
      </c>
      <c r="BF652" s="204">
        <f t="shared" si="57"/>
        <v>4.6198315366523737</v>
      </c>
      <c r="BG652" s="204">
        <f t="shared" si="57"/>
        <v>1.6729244848492533</v>
      </c>
      <c r="BH652" s="204">
        <f t="shared" si="57"/>
        <v>1.6431488528602707</v>
      </c>
      <c r="BI652" s="204">
        <f t="shared" si="57"/>
        <v>2.5995367752485552</v>
      </c>
      <c r="BJ652" s="204">
        <f t="shared" si="57"/>
        <v>2.4492224226416068</v>
      </c>
      <c r="BK652" s="204">
        <f t="shared" si="57"/>
        <v>2.6444247586998486</v>
      </c>
      <c r="BL652" s="204">
        <f t="shared" si="57"/>
        <v>2.7734639369342937</v>
      </c>
      <c r="BM652" s="204">
        <f t="shared" si="57"/>
        <v>2.6284324129421961</v>
      </c>
      <c r="BN652" s="204">
        <f t="shared" si="57"/>
        <v>2.6889409831010571</v>
      </c>
      <c r="BO652" s="204">
        <f t="shared" si="57"/>
        <v>2.6511924709053338</v>
      </c>
      <c r="BP652" s="204">
        <f t="shared" si="57"/>
        <v>2.8553463206244323</v>
      </c>
      <c r="BQ652" s="204">
        <f t="shared" si="57"/>
        <v>1.8174887617595692</v>
      </c>
      <c r="BR652" s="204">
        <f t="shared" si="57"/>
        <v>4.5335903572879754</v>
      </c>
      <c r="BS652" s="204">
        <f t="shared" si="57"/>
        <v>1.6440929794328447</v>
      </c>
      <c r="BT652" s="204">
        <f t="shared" si="57"/>
        <v>1.6170113116252702</v>
      </c>
      <c r="BU652" s="204">
        <f t="shared" si="57"/>
        <v>2.561431195133602</v>
      </c>
      <c r="BV652" s="204">
        <f t="shared" si="57"/>
        <v>2.4160720911003652</v>
      </c>
      <c r="BW652" s="204">
        <f t="shared" si="57"/>
        <v>2.6364935334052606</v>
      </c>
      <c r="BX652" s="204">
        <f t="shared" si="57"/>
        <v>2.7666161148425465</v>
      </c>
      <c r="BY652" s="204">
        <f t="shared" si="57"/>
        <v>2.6246936901458406</v>
      </c>
      <c r="BZ652" s="204">
        <f t="shared" si="57"/>
        <v>2.687777359177991</v>
      </c>
      <c r="CA652" s="204">
        <f t="shared" si="57"/>
        <v>2.6530367072332472</v>
      </c>
      <c r="CB652" s="204">
        <f t="shared" si="57"/>
        <v>2.859291555239138</v>
      </c>
      <c r="CC652" s="204">
        <f t="shared" si="57"/>
        <v>1.8266761977404262</v>
      </c>
      <c r="CD652" s="204">
        <f t="shared" si="57"/>
        <v>4.5155166311450703</v>
      </c>
      <c r="CE652" s="204">
        <f t="shared" si="57"/>
        <v>1.6376994748841778</v>
      </c>
      <c r="CF652" s="204">
        <f t="shared" si="57"/>
        <v>1.6107982645036381</v>
      </c>
      <c r="CG652" s="204">
        <f t="shared" si="57"/>
        <v>2.5519336371007419</v>
      </c>
      <c r="CH652" s="204">
        <f t="shared" si="57"/>
        <v>2.4079229266230913</v>
      </c>
      <c r="CI652" s="204">
        <f t="shared" si="57"/>
        <v>2.644675865834003</v>
      </c>
      <c r="CJ652" s="204">
        <f t="shared" si="57"/>
        <v>2.7758783203975268</v>
      </c>
      <c r="CK652" s="204">
        <f t="shared" si="57"/>
        <v>2.6342197725032372</v>
      </c>
      <c r="CL652" s="204">
        <f t="shared" si="57"/>
        <v>2.6971074812631972</v>
      </c>
      <c r="CM652" s="204">
        <f t="shared" si="57"/>
        <v>2.6617604611373595</v>
      </c>
      <c r="CN652" s="204">
        <f t="shared" si="57"/>
        <v>2.8681262918679806</v>
      </c>
      <c r="CO652" s="204">
        <f t="shared" si="57"/>
        <v>1.8378817069365401</v>
      </c>
    </row>
    <row r="653" spans="1:93" x14ac:dyDescent="0.2">
      <c r="A653" s="118">
        <f t="shared" si="56"/>
        <v>6</v>
      </c>
      <c r="B653" s="227"/>
      <c r="C653" s="263"/>
      <c r="D653" s="227"/>
      <c r="E653" s="230"/>
      <c r="F653" s="197"/>
      <c r="G653" s="230"/>
      <c r="H653" s="203"/>
      <c r="I653" s="308"/>
      <c r="J653" s="227"/>
      <c r="K653" s="230"/>
      <c r="L653" s="197"/>
      <c r="M653" s="230"/>
      <c r="N653" s="203"/>
      <c r="O653" s="227"/>
      <c r="P653" s="262"/>
      <c r="Q653" s="331"/>
      <c r="R653" s="227"/>
      <c r="S653" s="227"/>
      <c r="T653" s="227"/>
      <c r="U653" s="178"/>
      <c r="V653" s="179"/>
      <c r="W653" s="180"/>
      <c r="X653" s="227"/>
      <c r="Y653" s="178"/>
      <c r="Z653" s="181"/>
      <c r="AA653" s="227"/>
      <c r="AB653" s="193">
        <f>SUM(AH653:AS653)</f>
        <v>0</v>
      </c>
      <c r="AC653" s="193">
        <f>SUM(AT653:BE653)</f>
        <v>0</v>
      </c>
      <c r="AD653" s="193">
        <f>SUM(BF653:BQ653)</f>
        <v>0</v>
      </c>
      <c r="AE653" s="193">
        <f>SUM(BR653:CC653)</f>
        <v>0</v>
      </c>
      <c r="AF653" s="193">
        <f>SUM(CD653:CO653)</f>
        <v>0</v>
      </c>
      <c r="AH653" s="193">
        <v>0</v>
      </c>
      <c r="AI653" s="193">
        <v>0</v>
      </c>
      <c r="AJ653" s="193">
        <v>0</v>
      </c>
      <c r="AK653" s="193">
        <v>0</v>
      </c>
      <c r="AL653" s="193">
        <v>0</v>
      </c>
      <c r="AM653" s="193">
        <v>0</v>
      </c>
      <c r="AN653" s="193">
        <v>0</v>
      </c>
      <c r="AO653" s="193">
        <v>0</v>
      </c>
      <c r="AP653" s="193">
        <v>0</v>
      </c>
      <c r="AQ653" s="193">
        <v>0</v>
      </c>
      <c r="AR653" s="193">
        <v>0</v>
      </c>
      <c r="AS653" s="193">
        <v>0</v>
      </c>
      <c r="AT653" s="193">
        <v>0</v>
      </c>
      <c r="AU653" s="193">
        <v>0</v>
      </c>
      <c r="AV653" s="193">
        <v>0</v>
      </c>
      <c r="AW653" s="193">
        <v>0</v>
      </c>
      <c r="AX653" s="193">
        <v>0</v>
      </c>
      <c r="AY653" s="193">
        <v>0</v>
      </c>
      <c r="AZ653" s="193">
        <v>0</v>
      </c>
      <c r="BA653" s="193">
        <v>0</v>
      </c>
      <c r="BB653" s="193">
        <v>0</v>
      </c>
      <c r="BC653" s="193">
        <v>0</v>
      </c>
      <c r="BD653" s="193">
        <v>0</v>
      </c>
      <c r="BE653" s="193">
        <v>0</v>
      </c>
      <c r="BF653" s="193">
        <v>0</v>
      </c>
      <c r="BG653" s="193">
        <v>0</v>
      </c>
      <c r="BH653" s="193">
        <v>0</v>
      </c>
      <c r="BI653" s="193">
        <v>0</v>
      </c>
      <c r="BJ653" s="193">
        <v>0</v>
      </c>
      <c r="BK653" s="193">
        <v>0</v>
      </c>
      <c r="BL653" s="193">
        <v>0</v>
      </c>
      <c r="BM653" s="193">
        <v>0</v>
      </c>
      <c r="BN653" s="193">
        <v>0</v>
      </c>
      <c r="BO653" s="193">
        <v>0</v>
      </c>
      <c r="BP653" s="193">
        <v>0</v>
      </c>
      <c r="BQ653" s="193">
        <v>0</v>
      </c>
      <c r="BR653" s="193">
        <v>0</v>
      </c>
      <c r="BS653" s="193">
        <v>0</v>
      </c>
      <c r="BT653" s="193">
        <v>0</v>
      </c>
      <c r="BU653" s="193">
        <v>0</v>
      </c>
      <c r="BV653" s="193">
        <v>0</v>
      </c>
      <c r="BW653" s="193">
        <v>0</v>
      </c>
      <c r="BX653" s="193">
        <v>0</v>
      </c>
      <c r="BY653" s="193">
        <v>0</v>
      </c>
      <c r="BZ653" s="193">
        <v>0</v>
      </c>
      <c r="CA653" s="193">
        <v>0</v>
      </c>
      <c r="CB653" s="193">
        <v>0</v>
      </c>
      <c r="CC653" s="193">
        <v>0</v>
      </c>
      <c r="CD653" s="193">
        <v>0</v>
      </c>
      <c r="CE653" s="193">
        <v>0</v>
      </c>
      <c r="CF653" s="193">
        <v>0</v>
      </c>
      <c r="CG653" s="193">
        <v>0</v>
      </c>
      <c r="CH653" s="193">
        <v>0</v>
      </c>
      <c r="CI653" s="193">
        <v>0</v>
      </c>
      <c r="CJ653" s="193">
        <v>0</v>
      </c>
      <c r="CK653" s="193">
        <v>0</v>
      </c>
      <c r="CL653" s="193">
        <v>0</v>
      </c>
      <c r="CM653" s="193">
        <v>0</v>
      </c>
      <c r="CN653" s="193">
        <v>0</v>
      </c>
      <c r="CO653" s="193">
        <v>0</v>
      </c>
    </row>
    <row r="654" spans="1:93" x14ac:dyDescent="0.2">
      <c r="A654" s="118">
        <f t="shared" si="56"/>
        <v>7</v>
      </c>
      <c r="B654" s="239" t="s">
        <v>594</v>
      </c>
      <c r="C654" s="225"/>
      <c r="D654" s="168"/>
      <c r="E654" s="233"/>
      <c r="F654" s="183"/>
      <c r="G654" s="233"/>
      <c r="H654" s="174"/>
      <c r="I654" s="308"/>
      <c r="J654" s="168"/>
      <c r="K654" s="233"/>
      <c r="L654" s="183"/>
      <c r="M654" s="233"/>
      <c r="N654" s="174"/>
      <c r="O654" s="227"/>
      <c r="P654" s="262"/>
      <c r="Q654" s="331"/>
      <c r="R654" s="230"/>
      <c r="S654" s="230"/>
      <c r="T654" s="227"/>
      <c r="U654" s="184"/>
      <c r="V654" s="179"/>
      <c r="W654" s="180"/>
      <c r="X654" s="227"/>
      <c r="Y654" s="184"/>
      <c r="Z654" s="181"/>
      <c r="AA654" s="227"/>
    </row>
    <row r="655" spans="1:93" x14ac:dyDescent="0.2">
      <c r="A655" s="118">
        <f t="shared" si="56"/>
        <v>8</v>
      </c>
      <c r="B655" s="228" t="s">
        <v>642</v>
      </c>
      <c r="C655" s="225"/>
      <c r="D655" s="168"/>
      <c r="E655" s="233"/>
      <c r="F655" s="183"/>
      <c r="G655" s="233"/>
      <c r="H655" s="174"/>
      <c r="I655" s="308"/>
      <c r="J655" s="168"/>
      <c r="K655" s="233"/>
      <c r="L655" s="1368">
        <v>-2.95</v>
      </c>
      <c r="M655" s="233"/>
      <c r="N655" s="174"/>
      <c r="O655" s="227"/>
      <c r="P655" s="262"/>
      <c r="Q655" s="331"/>
      <c r="R655" s="259"/>
      <c r="S655" s="259"/>
      <c r="T655" s="227"/>
      <c r="U655" s="184"/>
      <c r="V655" s="179"/>
      <c r="W655" s="180"/>
      <c r="X655" s="227"/>
      <c r="Y655" s="184"/>
      <c r="Z655" s="181"/>
      <c r="AA655" s="227"/>
    </row>
    <row r="656" spans="1:93" x14ac:dyDescent="0.2">
      <c r="A656" s="118">
        <f t="shared" si="56"/>
        <v>9</v>
      </c>
      <c r="B656" s="227" t="s">
        <v>643</v>
      </c>
      <c r="C656" s="263"/>
      <c r="D656" s="172">
        <f>SUMIF($AH$8:$CP$8,1,$AH656:$CP656)</f>
        <v>339240</v>
      </c>
      <c r="E656" s="233" t="s">
        <v>596</v>
      </c>
      <c r="F656" s="183">
        <v>3.43</v>
      </c>
      <c r="G656" s="233" t="s">
        <v>375</v>
      </c>
      <c r="H656" s="174">
        <f>ROUND(D656*F656,2)</f>
        <v>1163593.2</v>
      </c>
      <c r="I656" s="308"/>
      <c r="J656" s="172">
        <f>SUMIF($AH$8:$CP$8,1,$AH656:$CP656)</f>
        <v>339240</v>
      </c>
      <c r="K656" s="233" t="s">
        <v>596</v>
      </c>
      <c r="L656" s="183">
        <f>ROUND('MFR E-14D2'!I34+L655,2)</f>
        <v>3.57</v>
      </c>
      <c r="M656" s="233" t="s">
        <v>375</v>
      </c>
      <c r="N656" s="174">
        <f>ROUND(J656*L656,2)</f>
        <v>1211086.8</v>
      </c>
      <c r="O656" s="227"/>
      <c r="P656" s="262"/>
      <c r="Q656" s="1022"/>
      <c r="R656" s="227"/>
      <c r="S656" s="227"/>
      <c r="T656" s="286"/>
      <c r="U656" s="184" t="s">
        <v>140</v>
      </c>
      <c r="V656" s="179">
        <v>257</v>
      </c>
      <c r="W656" s="180">
        <v>231</v>
      </c>
      <c r="X656" s="286"/>
      <c r="Y656" s="184"/>
      <c r="Z656" s="181"/>
      <c r="AA656" s="286"/>
      <c r="AB656" s="182">
        <f>SUM(AH656:AS656)</f>
        <v>339240</v>
      </c>
      <c r="AC656" s="182">
        <f>SUM(AT656:BE656)</f>
        <v>339240</v>
      </c>
      <c r="AD656" s="182">
        <f>SUM(BF656:BQ656)</f>
        <v>339240</v>
      </c>
      <c r="AE656" s="182">
        <f>SUM(BR656:CC656)</f>
        <v>339240</v>
      </c>
      <c r="AF656" s="182">
        <f>SUM(CD656:CO656)</f>
        <v>339240</v>
      </c>
      <c r="AH656" s="174">
        <v>28270</v>
      </c>
      <c r="AI656" s="174">
        <v>28270</v>
      </c>
      <c r="AJ656" s="174">
        <v>28270</v>
      </c>
      <c r="AK656" s="174">
        <v>28270</v>
      </c>
      <c r="AL656" s="174">
        <v>28270</v>
      </c>
      <c r="AM656" s="174">
        <v>28270</v>
      </c>
      <c r="AN656" s="174">
        <v>28270</v>
      </c>
      <c r="AO656" s="174">
        <v>28270</v>
      </c>
      <c r="AP656" s="174">
        <v>28270</v>
      </c>
      <c r="AQ656" s="174">
        <v>28270</v>
      </c>
      <c r="AR656" s="174">
        <v>28270</v>
      </c>
      <c r="AS656" s="174">
        <v>28270</v>
      </c>
      <c r="AT656" s="174">
        <v>28270</v>
      </c>
      <c r="AU656" s="174">
        <v>28270</v>
      </c>
      <c r="AV656" s="174">
        <v>28270</v>
      </c>
      <c r="AW656" s="174">
        <v>28270</v>
      </c>
      <c r="AX656" s="174">
        <v>28270</v>
      </c>
      <c r="AY656" s="174">
        <v>28270</v>
      </c>
      <c r="AZ656" s="174">
        <v>28270</v>
      </c>
      <c r="BA656" s="174">
        <v>28270</v>
      </c>
      <c r="BB656" s="174">
        <v>28270</v>
      </c>
      <c r="BC656" s="174">
        <v>28270</v>
      </c>
      <c r="BD656" s="174">
        <v>28270</v>
      </c>
      <c r="BE656" s="174">
        <v>28270</v>
      </c>
      <c r="BF656" s="174">
        <v>28270</v>
      </c>
      <c r="BG656" s="174">
        <v>28270</v>
      </c>
      <c r="BH656" s="174">
        <v>28270</v>
      </c>
      <c r="BI656" s="174">
        <v>28270</v>
      </c>
      <c r="BJ656" s="174">
        <v>28270</v>
      </c>
      <c r="BK656" s="174">
        <v>28270</v>
      </c>
      <c r="BL656" s="174">
        <v>28270</v>
      </c>
      <c r="BM656" s="174">
        <v>28270</v>
      </c>
      <c r="BN656" s="174">
        <v>28270</v>
      </c>
      <c r="BO656" s="174">
        <v>28270</v>
      </c>
      <c r="BP656" s="174">
        <v>28270</v>
      </c>
      <c r="BQ656" s="174">
        <v>28270</v>
      </c>
      <c r="BR656" s="174">
        <v>28270</v>
      </c>
      <c r="BS656" s="174">
        <v>28270</v>
      </c>
      <c r="BT656" s="174">
        <v>28270</v>
      </c>
      <c r="BU656" s="174">
        <v>28270</v>
      </c>
      <c r="BV656" s="174">
        <v>28270</v>
      </c>
      <c r="BW656" s="174">
        <v>28270</v>
      </c>
      <c r="BX656" s="174">
        <v>28270</v>
      </c>
      <c r="BY656" s="174">
        <v>28270</v>
      </c>
      <c r="BZ656" s="174">
        <v>28270</v>
      </c>
      <c r="CA656" s="174">
        <v>28270</v>
      </c>
      <c r="CB656" s="174">
        <v>28270</v>
      </c>
      <c r="CC656" s="174">
        <v>28270</v>
      </c>
      <c r="CD656" s="174">
        <v>28270</v>
      </c>
      <c r="CE656" s="174">
        <v>28270</v>
      </c>
      <c r="CF656" s="174">
        <v>28270</v>
      </c>
      <c r="CG656" s="174">
        <v>28270</v>
      </c>
      <c r="CH656" s="174">
        <v>28270</v>
      </c>
      <c r="CI656" s="174">
        <v>28270</v>
      </c>
      <c r="CJ656" s="174">
        <v>28270</v>
      </c>
      <c r="CK656" s="174">
        <v>28270</v>
      </c>
      <c r="CL656" s="174">
        <v>28270</v>
      </c>
      <c r="CM656" s="174">
        <v>28270</v>
      </c>
      <c r="CN656" s="174">
        <v>28270</v>
      </c>
      <c r="CO656" s="174">
        <v>28270</v>
      </c>
    </row>
    <row r="657" spans="1:93" x14ac:dyDescent="0.2">
      <c r="A657" s="118">
        <f t="shared" si="56"/>
        <v>10</v>
      </c>
      <c r="B657" s="227" t="s">
        <v>644</v>
      </c>
      <c r="C657" s="263"/>
      <c r="D657" s="172">
        <f>SUMIF($AH$8:$CP$8,1,$AH657:$CP657)</f>
        <v>120000</v>
      </c>
      <c r="E657" s="233" t="s">
        <v>596</v>
      </c>
      <c r="F657" s="183">
        <v>0</v>
      </c>
      <c r="G657" s="233" t="s">
        <v>375</v>
      </c>
      <c r="H657" s="174">
        <f>ROUND(D657*F657,2)</f>
        <v>0</v>
      </c>
      <c r="I657" s="308"/>
      <c r="J657" s="172">
        <f>SUMIF($AH$8:$CP$8,1,$AH657:$CP657)</f>
        <v>120000</v>
      </c>
      <c r="K657" s="233" t="s">
        <v>596</v>
      </c>
      <c r="L657" s="183">
        <v>0</v>
      </c>
      <c r="M657" s="233" t="s">
        <v>375</v>
      </c>
      <c r="N657" s="174">
        <f>ROUND(J657*L657,2)</f>
        <v>0</v>
      </c>
      <c r="O657" s="227"/>
      <c r="P657" s="262"/>
      <c r="Q657" s="1303"/>
      <c r="R657" s="227"/>
      <c r="S657" s="227"/>
      <c r="T657" s="227"/>
      <c r="U657" s="184" t="s">
        <v>140</v>
      </c>
      <c r="V657" s="179">
        <v>257</v>
      </c>
      <c r="W657" s="180">
        <v>231</v>
      </c>
      <c r="X657" s="227"/>
      <c r="Y657" s="184"/>
      <c r="Z657" s="181"/>
      <c r="AA657" s="227"/>
      <c r="AB657" s="182">
        <f>SUM(AH657:AS657)</f>
        <v>120000</v>
      </c>
      <c r="AC657" s="182">
        <f>SUM(AT657:BE657)</f>
        <v>120000</v>
      </c>
      <c r="AD657" s="182">
        <f>SUM(BF657:BQ657)</f>
        <v>120000</v>
      </c>
      <c r="AE657" s="182">
        <f>SUM(BR657:CC657)</f>
        <v>120000</v>
      </c>
      <c r="AF657" s="182">
        <f>SUM(CD657:CO657)</f>
        <v>120000</v>
      </c>
      <c r="AH657" s="174">
        <v>10000</v>
      </c>
      <c r="AI657" s="174">
        <v>10000</v>
      </c>
      <c r="AJ657" s="174">
        <v>10000</v>
      </c>
      <c r="AK657" s="174">
        <v>10000</v>
      </c>
      <c r="AL657" s="174">
        <v>10000</v>
      </c>
      <c r="AM657" s="174">
        <v>10000</v>
      </c>
      <c r="AN657" s="174">
        <v>10000</v>
      </c>
      <c r="AO657" s="174">
        <v>10000</v>
      </c>
      <c r="AP657" s="174">
        <v>10000</v>
      </c>
      <c r="AQ657" s="174">
        <v>10000</v>
      </c>
      <c r="AR657" s="174">
        <v>10000</v>
      </c>
      <c r="AS657" s="174">
        <v>10000</v>
      </c>
      <c r="AT657" s="174">
        <v>10000</v>
      </c>
      <c r="AU657" s="174">
        <v>10000</v>
      </c>
      <c r="AV657" s="174">
        <v>10000</v>
      </c>
      <c r="AW657" s="174">
        <v>10000</v>
      </c>
      <c r="AX657" s="174">
        <v>10000</v>
      </c>
      <c r="AY657" s="174">
        <v>10000</v>
      </c>
      <c r="AZ657" s="174">
        <v>10000</v>
      </c>
      <c r="BA657" s="174">
        <v>10000</v>
      </c>
      <c r="BB657" s="174">
        <v>10000</v>
      </c>
      <c r="BC657" s="174">
        <v>10000</v>
      </c>
      <c r="BD657" s="174">
        <v>10000</v>
      </c>
      <c r="BE657" s="174">
        <v>10000</v>
      </c>
      <c r="BF657" s="174">
        <v>10000</v>
      </c>
      <c r="BG657" s="174">
        <v>10000</v>
      </c>
      <c r="BH657" s="174">
        <v>10000</v>
      </c>
      <c r="BI657" s="174">
        <v>10000</v>
      </c>
      <c r="BJ657" s="174">
        <v>10000</v>
      </c>
      <c r="BK657" s="174">
        <v>10000</v>
      </c>
      <c r="BL657" s="174">
        <v>10000</v>
      </c>
      <c r="BM657" s="174">
        <v>10000</v>
      </c>
      <c r="BN657" s="174">
        <v>10000</v>
      </c>
      <c r="BO657" s="174">
        <v>10000</v>
      </c>
      <c r="BP657" s="174">
        <v>10000</v>
      </c>
      <c r="BQ657" s="174">
        <v>10000</v>
      </c>
      <c r="BR657" s="174">
        <v>10000</v>
      </c>
      <c r="BS657" s="174">
        <v>10000</v>
      </c>
      <c r="BT657" s="174">
        <v>10000</v>
      </c>
      <c r="BU657" s="174">
        <v>10000</v>
      </c>
      <c r="BV657" s="174">
        <v>10000</v>
      </c>
      <c r="BW657" s="174">
        <v>10000</v>
      </c>
      <c r="BX657" s="174">
        <v>10000</v>
      </c>
      <c r="BY657" s="174">
        <v>10000</v>
      </c>
      <c r="BZ657" s="174">
        <v>10000</v>
      </c>
      <c r="CA657" s="174">
        <v>10000</v>
      </c>
      <c r="CB657" s="174">
        <v>10000</v>
      </c>
      <c r="CC657" s="174">
        <v>10000</v>
      </c>
      <c r="CD657" s="174">
        <v>10000</v>
      </c>
      <c r="CE657" s="174">
        <v>10000</v>
      </c>
      <c r="CF657" s="174">
        <v>10000</v>
      </c>
      <c r="CG657" s="174">
        <v>10000</v>
      </c>
      <c r="CH657" s="174">
        <v>10000</v>
      </c>
      <c r="CI657" s="174">
        <v>10000</v>
      </c>
      <c r="CJ657" s="174">
        <v>10000</v>
      </c>
      <c r="CK657" s="174">
        <v>10000</v>
      </c>
      <c r="CL657" s="174">
        <v>10000</v>
      </c>
      <c r="CM657" s="174">
        <v>10000</v>
      </c>
      <c r="CN657" s="174">
        <v>10000</v>
      </c>
      <c r="CO657" s="174">
        <v>10000</v>
      </c>
    </row>
    <row r="658" spans="1:93" x14ac:dyDescent="0.2">
      <c r="A658" s="118">
        <f t="shared" si="56"/>
        <v>11</v>
      </c>
      <c r="B658" s="227"/>
      <c r="C658" s="263"/>
      <c r="D658" s="172"/>
      <c r="E658" s="233"/>
      <c r="F658" s="183"/>
      <c r="G658" s="233"/>
      <c r="H658" s="174"/>
      <c r="I658" s="308"/>
      <c r="J658" s="172"/>
      <c r="K658" s="233"/>
      <c r="L658" s="183"/>
      <c r="M658" s="233"/>
      <c r="N658" s="174"/>
      <c r="O658" s="227"/>
      <c r="P658" s="262"/>
      <c r="Q658" s="1303"/>
      <c r="R658" s="227"/>
      <c r="S658" s="227"/>
      <c r="T658" s="227"/>
      <c r="U658" s="184"/>
      <c r="V658" s="179"/>
      <c r="W658" s="180"/>
      <c r="X658" s="227"/>
      <c r="Y658" s="184"/>
      <c r="Z658" s="181"/>
      <c r="AA658" s="227"/>
      <c r="AB658" s="182"/>
      <c r="AC658" s="182"/>
      <c r="AD658" s="182"/>
      <c r="AE658" s="182"/>
      <c r="AF658" s="182"/>
      <c r="AH658" s="174"/>
      <c r="AI658" s="174"/>
      <c r="AJ658" s="174"/>
      <c r="AK658" s="174"/>
      <c r="AL658" s="174"/>
      <c r="AM658" s="174"/>
      <c r="AN658" s="174"/>
      <c r="AO658" s="174"/>
      <c r="AP658" s="174"/>
      <c r="AQ658" s="174"/>
      <c r="AR658" s="174"/>
      <c r="AS658" s="174"/>
      <c r="AT658" s="174"/>
      <c r="AU658" s="174"/>
      <c r="AV658" s="174"/>
      <c r="AW658" s="174"/>
      <c r="AX658" s="174"/>
      <c r="AY658" s="174"/>
      <c r="AZ658" s="174"/>
      <c r="BA658" s="174"/>
      <c r="BB658" s="174"/>
      <c r="BC658" s="174"/>
      <c r="BD658" s="174"/>
      <c r="BE658" s="174"/>
      <c r="BF658" s="174"/>
      <c r="BG658" s="174"/>
      <c r="BH658" s="174"/>
      <c r="BI658" s="174"/>
      <c r="BJ658" s="174"/>
      <c r="BK658" s="174"/>
      <c r="BL658" s="174"/>
      <c r="BM658" s="174"/>
      <c r="BN658" s="174"/>
      <c r="BO658" s="174"/>
      <c r="BP658" s="174"/>
      <c r="BQ658" s="174"/>
      <c r="BR658" s="174"/>
      <c r="BS658" s="174"/>
      <c r="BT658" s="174"/>
      <c r="BU658" s="174"/>
      <c r="BV658" s="174"/>
      <c r="BW658" s="174"/>
      <c r="BX658" s="174"/>
      <c r="BY658" s="174"/>
      <c r="BZ658" s="174"/>
      <c r="CA658" s="174"/>
      <c r="CB658" s="174"/>
      <c r="CC658" s="174"/>
      <c r="CD658" s="174"/>
      <c r="CE658" s="174"/>
      <c r="CF658" s="174"/>
      <c r="CG658" s="174"/>
      <c r="CH658" s="174"/>
      <c r="CI658" s="174"/>
      <c r="CJ658" s="174"/>
      <c r="CK658" s="174"/>
      <c r="CL658" s="174"/>
      <c r="CM658" s="174"/>
      <c r="CN658" s="174"/>
      <c r="CO658" s="174"/>
    </row>
    <row r="659" spans="1:93" x14ac:dyDescent="0.2">
      <c r="A659" s="118">
        <f t="shared" si="56"/>
        <v>12</v>
      </c>
      <c r="B659" s="227" t="s">
        <v>655</v>
      </c>
      <c r="C659" s="263"/>
      <c r="D659" s="227"/>
      <c r="E659" s="230"/>
      <c r="F659" s="197"/>
      <c r="G659" s="230"/>
      <c r="H659" s="203"/>
      <c r="I659" s="308"/>
      <c r="J659" s="227"/>
      <c r="K659" s="230"/>
      <c r="L659" s="197"/>
      <c r="M659" s="230"/>
      <c r="N659" s="203"/>
      <c r="O659" s="227"/>
      <c r="P659" s="262"/>
      <c r="Q659" s="1303"/>
      <c r="R659" s="227"/>
      <c r="S659" s="227"/>
      <c r="T659" s="227"/>
      <c r="U659" s="184"/>
      <c r="V659" s="179"/>
      <c r="W659" s="180"/>
      <c r="X659" s="227"/>
      <c r="Y659" s="184"/>
      <c r="Z659" s="181"/>
      <c r="AA659" s="227"/>
      <c r="AC659" s="260"/>
      <c r="AD659" s="260"/>
      <c r="AE659" s="260"/>
      <c r="AF659" s="114"/>
    </row>
    <row r="660" spans="1:93" x14ac:dyDescent="0.2">
      <c r="A660" s="118">
        <f t="shared" si="56"/>
        <v>13</v>
      </c>
      <c r="B660" s="227" t="s">
        <v>656</v>
      </c>
      <c r="C660" s="263"/>
      <c r="D660" s="227"/>
      <c r="E660" s="230"/>
      <c r="F660" s="197"/>
      <c r="G660" s="230"/>
      <c r="H660" s="203"/>
      <c r="I660" s="308"/>
      <c r="J660" s="227"/>
      <c r="K660" s="230"/>
      <c r="L660" s="197"/>
      <c r="M660" s="230"/>
      <c r="N660" s="203"/>
      <c r="O660" s="227"/>
      <c r="P660" s="262"/>
      <c r="Q660" s="1303"/>
      <c r="R660" s="227"/>
      <c r="S660" s="227"/>
      <c r="T660" s="227"/>
      <c r="U660" s="184"/>
      <c r="V660" s="179"/>
      <c r="W660" s="180"/>
      <c r="X660" s="227"/>
      <c r="Y660" s="184"/>
      <c r="Z660" s="181"/>
      <c r="AA660" s="227"/>
      <c r="AB660" s="107" t="s">
        <v>646</v>
      </c>
      <c r="AC660" s="114"/>
      <c r="AD660" s="114"/>
      <c r="AE660" s="114"/>
      <c r="AF660" s="114"/>
      <c r="AH660" s="101">
        <v>1</v>
      </c>
      <c r="AI660" s="101">
        <v>1.2</v>
      </c>
      <c r="AJ660" s="101">
        <v>0.8</v>
      </c>
      <c r="AK660" s="101">
        <v>0.8</v>
      </c>
      <c r="AL660" s="101">
        <v>0.8</v>
      </c>
      <c r="AM660" s="101">
        <v>1</v>
      </c>
      <c r="AN660" s="101">
        <v>1.2</v>
      </c>
      <c r="AO660" s="101">
        <v>1.2</v>
      </c>
      <c r="AP660" s="101">
        <v>1</v>
      </c>
      <c r="AQ660" s="101">
        <v>0.8</v>
      </c>
      <c r="AR660" s="101">
        <v>1</v>
      </c>
      <c r="AS660" s="101">
        <v>1</v>
      </c>
      <c r="AT660" s="101">
        <v>1</v>
      </c>
      <c r="AU660" s="101">
        <v>1.2</v>
      </c>
      <c r="AV660" s="101">
        <v>0.8</v>
      </c>
      <c r="AW660" s="101">
        <v>0.8</v>
      </c>
      <c r="AX660" s="101">
        <v>0.8</v>
      </c>
      <c r="AY660" s="101">
        <v>1</v>
      </c>
      <c r="AZ660" s="101">
        <v>1.2</v>
      </c>
      <c r="BA660" s="101">
        <v>1.2</v>
      </c>
      <c r="BB660" s="101">
        <v>1</v>
      </c>
      <c r="BC660" s="101">
        <v>0.8</v>
      </c>
      <c r="BD660" s="101">
        <v>1</v>
      </c>
      <c r="BE660" s="101">
        <v>1</v>
      </c>
      <c r="BF660" s="101">
        <v>1</v>
      </c>
      <c r="BG660" s="101">
        <v>1.2</v>
      </c>
      <c r="BH660" s="101">
        <v>0.8</v>
      </c>
      <c r="BI660" s="101">
        <v>0.8</v>
      </c>
      <c r="BJ660" s="101">
        <v>0.8</v>
      </c>
      <c r="BK660" s="101">
        <v>1</v>
      </c>
      <c r="BL660" s="101">
        <v>1.2</v>
      </c>
      <c r="BM660" s="101">
        <v>1.2</v>
      </c>
      <c r="BN660" s="101">
        <v>1</v>
      </c>
      <c r="BO660" s="101">
        <v>0.8</v>
      </c>
      <c r="BP660" s="101">
        <v>1</v>
      </c>
      <c r="BQ660" s="101">
        <v>1</v>
      </c>
      <c r="BR660" s="101">
        <v>1</v>
      </c>
      <c r="BS660" s="101">
        <v>1.2</v>
      </c>
      <c r="BT660" s="101">
        <v>0.8</v>
      </c>
      <c r="BU660" s="101">
        <v>0.8</v>
      </c>
      <c r="BV660" s="101">
        <v>0.8</v>
      </c>
      <c r="BW660" s="101">
        <v>1</v>
      </c>
      <c r="BX660" s="101">
        <v>1.2</v>
      </c>
      <c r="BY660" s="101">
        <v>1.2</v>
      </c>
      <c r="BZ660" s="101">
        <v>1</v>
      </c>
      <c r="CA660" s="101">
        <v>0.8</v>
      </c>
      <c r="CB660" s="101">
        <v>1</v>
      </c>
      <c r="CC660" s="101">
        <v>1</v>
      </c>
      <c r="CD660" s="101">
        <v>1</v>
      </c>
      <c r="CE660" s="101">
        <v>1.2</v>
      </c>
      <c r="CF660" s="101">
        <v>0.8</v>
      </c>
      <c r="CG660" s="101">
        <v>0.8</v>
      </c>
      <c r="CH660" s="101">
        <v>0.8</v>
      </c>
      <c r="CI660" s="101">
        <v>1</v>
      </c>
      <c r="CJ660" s="101">
        <v>1.2</v>
      </c>
      <c r="CK660" s="101">
        <v>1.2</v>
      </c>
      <c r="CL660" s="101">
        <v>1</v>
      </c>
      <c r="CM660" s="101">
        <v>0.8</v>
      </c>
      <c r="CN660" s="101">
        <v>1</v>
      </c>
      <c r="CO660" s="101">
        <v>1</v>
      </c>
    </row>
    <row r="661" spans="1:93" x14ac:dyDescent="0.2">
      <c r="A661" s="118">
        <f t="shared" si="56"/>
        <v>14</v>
      </c>
      <c r="B661" s="227" t="s">
        <v>643</v>
      </c>
      <c r="C661" s="263"/>
      <c r="D661" s="227"/>
      <c r="E661" s="230"/>
      <c r="F661" s="197"/>
      <c r="G661" s="230"/>
      <c r="H661" s="203"/>
      <c r="I661" s="308"/>
      <c r="J661" s="227"/>
      <c r="K661" s="230"/>
      <c r="L661" s="1368">
        <v>-0.17599999999999999</v>
      </c>
      <c r="M661" s="230"/>
      <c r="N661" s="203"/>
      <c r="O661" s="227"/>
      <c r="P661" s="262"/>
      <c r="Q661" s="1303"/>
      <c r="R661" s="227"/>
      <c r="S661" s="227"/>
      <c r="T661" s="227"/>
      <c r="U661" s="184"/>
      <c r="V661" s="179"/>
      <c r="W661" s="180"/>
      <c r="X661" s="227"/>
      <c r="Y661" s="184"/>
      <c r="Z661" s="181"/>
      <c r="AA661" s="227"/>
      <c r="AC661" s="114"/>
      <c r="AD661" s="114"/>
      <c r="AE661" s="114"/>
      <c r="AF661" s="114"/>
    </row>
    <row r="662" spans="1:93" x14ac:dyDescent="0.2">
      <c r="A662" s="118">
        <f t="shared" si="56"/>
        <v>15</v>
      </c>
      <c r="B662" s="227" t="s">
        <v>647</v>
      </c>
      <c r="C662" s="263"/>
      <c r="D662" s="172">
        <f>SUMIF($AH$8:$CP$8,1,$AH662:$CP662)</f>
        <v>66270</v>
      </c>
      <c r="E662" s="233" t="s">
        <v>596</v>
      </c>
      <c r="F662" s="201">
        <v>1.9570000000000001</v>
      </c>
      <c r="G662" s="233" t="s">
        <v>375</v>
      </c>
      <c r="H662" s="174">
        <f>ROUND(D662*F662,2)</f>
        <v>129690.39</v>
      </c>
      <c r="I662" s="308"/>
      <c r="J662" s="172">
        <f>SUMIF($AH$8:$CP$8,1,$AH662:$CP662)</f>
        <v>66270</v>
      </c>
      <c r="K662" s="233" t="s">
        <v>596</v>
      </c>
      <c r="L662" s="201">
        <f>ROUND('MFR E-14D2'!I41+L661,3)</f>
        <v>2.0339999999999998</v>
      </c>
      <c r="M662" s="233" t="s">
        <v>375</v>
      </c>
      <c r="N662" s="174">
        <f>ROUND(J662*L662,2)</f>
        <v>134793.18</v>
      </c>
      <c r="O662" s="227"/>
      <c r="P662" s="262"/>
      <c r="Q662" s="1022"/>
      <c r="R662" s="227"/>
      <c r="S662" s="227"/>
      <c r="T662" s="227"/>
      <c r="U662" s="184" t="s">
        <v>140</v>
      </c>
      <c r="V662" s="179">
        <v>257</v>
      </c>
      <c r="W662" s="180">
        <v>231</v>
      </c>
      <c r="X662" s="227"/>
      <c r="Y662" s="184"/>
      <c r="Z662" s="181"/>
      <c r="AA662" s="227"/>
      <c r="AB662" s="182">
        <f>SUM(AH662:AS662)</f>
        <v>66270</v>
      </c>
      <c r="AC662" s="182">
        <f>SUM(AT662:BE662)</f>
        <v>66270</v>
      </c>
      <c r="AD662" s="182">
        <f>SUM(BF662:BQ662)</f>
        <v>66270</v>
      </c>
      <c r="AE662" s="182">
        <f>SUM(BR662:CC662)</f>
        <v>66270</v>
      </c>
      <c r="AF662" s="182">
        <f>SUM(CD662:CO662)</f>
        <v>66270</v>
      </c>
      <c r="AH662" s="174">
        <v>0</v>
      </c>
      <c r="AI662" s="174">
        <v>9500</v>
      </c>
      <c r="AJ662" s="174">
        <v>0</v>
      </c>
      <c r="AK662" s="174">
        <v>9500</v>
      </c>
      <c r="AL662" s="174">
        <v>0</v>
      </c>
      <c r="AM662" s="174">
        <v>9500</v>
      </c>
      <c r="AN662" s="174">
        <v>0</v>
      </c>
      <c r="AO662" s="174">
        <v>0</v>
      </c>
      <c r="AP662" s="174">
        <v>0</v>
      </c>
      <c r="AQ662" s="174">
        <v>9500</v>
      </c>
      <c r="AR662" s="174">
        <v>9500</v>
      </c>
      <c r="AS662" s="174">
        <v>18770</v>
      </c>
      <c r="AT662" s="174">
        <v>0</v>
      </c>
      <c r="AU662" s="174">
        <v>9500</v>
      </c>
      <c r="AV662" s="174">
        <v>0</v>
      </c>
      <c r="AW662" s="174">
        <v>9500</v>
      </c>
      <c r="AX662" s="174">
        <v>0</v>
      </c>
      <c r="AY662" s="174">
        <v>9500</v>
      </c>
      <c r="AZ662" s="174">
        <v>0</v>
      </c>
      <c r="BA662" s="174">
        <v>0</v>
      </c>
      <c r="BB662" s="174">
        <v>0</v>
      </c>
      <c r="BC662" s="174">
        <v>9500</v>
      </c>
      <c r="BD662" s="174">
        <v>9500</v>
      </c>
      <c r="BE662" s="174">
        <v>18770</v>
      </c>
      <c r="BF662" s="174">
        <v>0</v>
      </c>
      <c r="BG662" s="174">
        <v>9500</v>
      </c>
      <c r="BH662" s="174">
        <v>0</v>
      </c>
      <c r="BI662" s="174">
        <v>9500</v>
      </c>
      <c r="BJ662" s="174">
        <v>0</v>
      </c>
      <c r="BK662" s="174">
        <v>9500</v>
      </c>
      <c r="BL662" s="174">
        <v>0</v>
      </c>
      <c r="BM662" s="174">
        <v>0</v>
      </c>
      <c r="BN662" s="174">
        <v>0</v>
      </c>
      <c r="BO662" s="174">
        <v>9500</v>
      </c>
      <c r="BP662" s="174">
        <v>9500</v>
      </c>
      <c r="BQ662" s="174">
        <v>18770</v>
      </c>
      <c r="BR662" s="174">
        <v>0</v>
      </c>
      <c r="BS662" s="174">
        <v>9500</v>
      </c>
      <c r="BT662" s="174">
        <v>0</v>
      </c>
      <c r="BU662" s="174">
        <v>9500</v>
      </c>
      <c r="BV662" s="174">
        <v>0</v>
      </c>
      <c r="BW662" s="174">
        <v>9500</v>
      </c>
      <c r="BX662" s="174">
        <v>0</v>
      </c>
      <c r="BY662" s="174">
        <v>0</v>
      </c>
      <c r="BZ662" s="174">
        <v>0</v>
      </c>
      <c r="CA662" s="174">
        <v>9500</v>
      </c>
      <c r="CB662" s="174">
        <v>9500</v>
      </c>
      <c r="CC662" s="174">
        <v>18770</v>
      </c>
      <c r="CD662" s="174">
        <v>0</v>
      </c>
      <c r="CE662" s="174">
        <v>9500</v>
      </c>
      <c r="CF662" s="174">
        <v>0</v>
      </c>
      <c r="CG662" s="174">
        <v>9500</v>
      </c>
      <c r="CH662" s="174">
        <v>0</v>
      </c>
      <c r="CI662" s="174">
        <v>9500</v>
      </c>
      <c r="CJ662" s="174">
        <v>0</v>
      </c>
      <c r="CK662" s="174">
        <v>0</v>
      </c>
      <c r="CL662" s="174">
        <v>0</v>
      </c>
      <c r="CM662" s="174">
        <v>9500</v>
      </c>
      <c r="CN662" s="174">
        <v>9500</v>
      </c>
      <c r="CO662" s="174">
        <v>18770</v>
      </c>
    </row>
    <row r="663" spans="1:93" x14ac:dyDescent="0.2">
      <c r="A663" s="118">
        <f t="shared" si="56"/>
        <v>16</v>
      </c>
      <c r="B663" s="227" t="s">
        <v>648</v>
      </c>
      <c r="C663" s="263"/>
      <c r="D663" s="172">
        <f>+J663</f>
        <v>2165383.2056423929</v>
      </c>
      <c r="E663" s="233" t="s">
        <v>596</v>
      </c>
      <c r="F663" s="201">
        <v>0.93100000000000005</v>
      </c>
      <c r="G663" s="233" t="s">
        <v>375</v>
      </c>
      <c r="H663" s="174">
        <f>ROUND(D663*F663,2)</f>
        <v>2015971.76</v>
      </c>
      <c r="I663" s="308"/>
      <c r="J663" s="172">
        <f>+(BR663*BR$660)+(BS663*BS$660)+(BT663*BT$660)+(BU663*BU$660)+(BV663*BV$660)+(BW663*BW$660)+(BX663*BX$660)+(BY663*BY$660)+(BZ663*BZ$660)+(CA663*CA$660)+(CB663*CB$660)+(CC663*CC$660)</f>
        <v>2165383.2056423929</v>
      </c>
      <c r="K663" s="233" t="s">
        <v>596</v>
      </c>
      <c r="L663" s="201">
        <f>ROUND('MFR E-14D2'!I44+(L661*(F663/F662)),3)</f>
        <v>0.96799999999999997</v>
      </c>
      <c r="M663" s="233" t="s">
        <v>375</v>
      </c>
      <c r="N663" s="174">
        <f>ROUND(J663*L663,2)</f>
        <v>2096090.94</v>
      </c>
      <c r="O663" s="227"/>
      <c r="P663" s="262"/>
      <c r="Q663" s="1022"/>
      <c r="R663" s="227"/>
      <c r="S663" s="227"/>
      <c r="T663" s="227"/>
      <c r="U663" s="184" t="s">
        <v>140</v>
      </c>
      <c r="V663" s="179">
        <v>257</v>
      </c>
      <c r="W663" s="180">
        <v>231</v>
      </c>
      <c r="X663" s="227"/>
      <c r="Y663" s="184"/>
      <c r="Z663" s="181"/>
      <c r="AA663" s="227"/>
      <c r="AB663" s="182">
        <f>SUM(AH663:AS663)</f>
        <v>2155611.5617177049</v>
      </c>
      <c r="AC663" s="182">
        <f>SUM(AT663:BE663)</f>
        <v>2165986.0504672928</v>
      </c>
      <c r="AD663" s="182">
        <f>SUM(BF663:BQ663)</f>
        <v>2175142.1463157851</v>
      </c>
      <c r="AE663" s="182">
        <f>SUM(BR663:CC663)</f>
        <v>2209219.1152746989</v>
      </c>
      <c r="AF663" s="182">
        <f>SUM(CD663:CO663)</f>
        <v>2213764.563422475</v>
      </c>
      <c r="AH663" s="174">
        <v>408209.43327690981</v>
      </c>
      <c r="AI663" s="174">
        <v>144316.42700406109</v>
      </c>
      <c r="AJ663" s="174">
        <v>195160.4248927093</v>
      </c>
      <c r="AK663" s="174">
        <v>146598.99274677126</v>
      </c>
      <c r="AL663" s="174">
        <v>148935.06372425158</v>
      </c>
      <c r="AM663" s="174">
        <v>143964.26527702837</v>
      </c>
      <c r="AN663" s="174">
        <v>172057.35093017775</v>
      </c>
      <c r="AO663" s="174">
        <v>134119.38314785575</v>
      </c>
      <c r="AP663" s="174">
        <v>241223.81112318084</v>
      </c>
      <c r="AQ663" s="174">
        <v>173659.75164300666</v>
      </c>
      <c r="AR663" s="174">
        <v>220641.27959528056</v>
      </c>
      <c r="AS663" s="174">
        <v>26725.378356471534</v>
      </c>
      <c r="AT663" s="174">
        <v>410174.05633248138</v>
      </c>
      <c r="AU663" s="174">
        <v>145010.99052140521</v>
      </c>
      <c r="AV663" s="174">
        <v>196099.68949323907</v>
      </c>
      <c r="AW663" s="174">
        <v>147304.5417556754</v>
      </c>
      <c r="AX663" s="174">
        <v>149651.85573375225</v>
      </c>
      <c r="AY663" s="174">
        <v>144657.13391671458</v>
      </c>
      <c r="AZ663" s="174">
        <v>172885.42546977004</v>
      </c>
      <c r="BA663" s="174">
        <v>134764.87051500479</v>
      </c>
      <c r="BB663" s="174">
        <v>242384.76876465685</v>
      </c>
      <c r="BC663" s="174">
        <v>174495.53818807466</v>
      </c>
      <c r="BD663" s="174">
        <v>221703.17799734327</v>
      </c>
      <c r="BE663" s="174">
        <v>26854.001779175182</v>
      </c>
      <c r="BF663" s="174">
        <v>411907.95160550717</v>
      </c>
      <c r="BG663" s="174">
        <v>145623.98363279316</v>
      </c>
      <c r="BH663" s="174">
        <v>196928.64568733476</v>
      </c>
      <c r="BI663" s="174">
        <v>147927.23020879002</v>
      </c>
      <c r="BJ663" s="174">
        <v>150284.4667954474</v>
      </c>
      <c r="BK663" s="174">
        <v>145268.63119899115</v>
      </c>
      <c r="BL663" s="174">
        <v>173616.24990239606</v>
      </c>
      <c r="BM663" s="174">
        <v>135334.55104049982</v>
      </c>
      <c r="BN663" s="174">
        <v>243409.38209240435</v>
      </c>
      <c r="BO663" s="174">
        <v>175233.16891863249</v>
      </c>
      <c r="BP663" s="174">
        <v>222640.36572633218</v>
      </c>
      <c r="BQ663" s="174">
        <v>26967.519506656707</v>
      </c>
      <c r="BR663" s="174">
        <v>418361.12732304161</v>
      </c>
      <c r="BS663" s="174">
        <v>147905.40877014952</v>
      </c>
      <c r="BT663" s="174">
        <v>200013.83777814812</v>
      </c>
      <c r="BU663" s="174">
        <v>150244.7392693088</v>
      </c>
      <c r="BV663" s="174">
        <v>152638.90561622501</v>
      </c>
      <c r="BW663" s="174">
        <v>147544.48919036737</v>
      </c>
      <c r="BX663" s="174">
        <v>176336.21722439749</v>
      </c>
      <c r="BY663" s="174">
        <v>137454.77628770354</v>
      </c>
      <c r="BZ663" s="174">
        <v>247222.76687367979</v>
      </c>
      <c r="CA663" s="174">
        <v>177978.46778010076</v>
      </c>
      <c r="CB663" s="174">
        <v>226128.37171468016</v>
      </c>
      <c r="CC663" s="174">
        <v>27390.007446897205</v>
      </c>
      <c r="CD663" s="174">
        <v>419221.90152065002</v>
      </c>
      <c r="CE663" s="174">
        <v>148209.7227975323</v>
      </c>
      <c r="CF663" s="174">
        <v>200425.36442218823</v>
      </c>
      <c r="CG663" s="174">
        <v>150553.86644782309</v>
      </c>
      <c r="CH663" s="174">
        <v>152952.9587701266</v>
      </c>
      <c r="CI663" s="174">
        <v>147848.0606290118</v>
      </c>
      <c r="CJ663" s="174">
        <v>176699.0273804506</v>
      </c>
      <c r="CK663" s="174">
        <v>137737.58823422345</v>
      </c>
      <c r="CL663" s="174">
        <v>247731.42545806561</v>
      </c>
      <c r="CM663" s="174">
        <v>178344.65685166977</v>
      </c>
      <c r="CN663" s="174">
        <v>226593.62877373025</v>
      </c>
      <c r="CO663" s="174">
        <v>27446.362137002972</v>
      </c>
    </row>
    <row r="664" spans="1:93" x14ac:dyDescent="0.2">
      <c r="A664" s="118">
        <f t="shared" si="56"/>
        <v>17</v>
      </c>
      <c r="B664" s="227" t="s">
        <v>644</v>
      </c>
      <c r="C664" s="263"/>
      <c r="D664" s="172"/>
      <c r="E664" s="230"/>
      <c r="F664" s="197"/>
      <c r="G664" s="230"/>
      <c r="H664" s="203"/>
      <c r="I664" s="308"/>
      <c r="J664" s="172"/>
      <c r="K664" s="230"/>
      <c r="L664" s="197"/>
      <c r="M664" s="230"/>
      <c r="N664" s="203"/>
      <c r="O664" s="227"/>
      <c r="P664" s="262"/>
      <c r="Q664" s="1303"/>
      <c r="R664" s="227"/>
      <c r="S664" s="227"/>
      <c r="T664" s="227"/>
      <c r="U664" s="184" t="s">
        <v>140</v>
      </c>
      <c r="V664" s="179">
        <v>257</v>
      </c>
      <c r="W664" s="180">
        <v>231</v>
      </c>
      <c r="X664" s="227"/>
      <c r="Y664" s="184"/>
      <c r="Z664" s="181"/>
      <c r="AA664" s="227"/>
      <c r="AB664" s="182">
        <f>SUM(AH664:AS664)</f>
        <v>0</v>
      </c>
      <c r="AC664" s="182">
        <f>SUM(AT664:BE664)</f>
        <v>0</v>
      </c>
      <c r="AD664" s="182">
        <f>SUM(BF664:BQ664)</f>
        <v>0</v>
      </c>
      <c r="AE664" s="182">
        <f>SUM(BR664:CC664)</f>
        <v>0</v>
      </c>
      <c r="AF664" s="182">
        <f>SUM(CD664:CO664)</f>
        <v>0</v>
      </c>
    </row>
    <row r="665" spans="1:93" x14ac:dyDescent="0.2">
      <c r="A665" s="118">
        <f t="shared" si="56"/>
        <v>18</v>
      </c>
      <c r="B665" s="227" t="s">
        <v>647</v>
      </c>
      <c r="C665" s="263"/>
      <c r="D665" s="172">
        <f>SUMIF($AH$8:$CP$8,1,$AH665:$CP665)</f>
        <v>110000</v>
      </c>
      <c r="E665" s="233" t="s">
        <v>596</v>
      </c>
      <c r="F665" s="201">
        <v>1.9570000000000001</v>
      </c>
      <c r="G665" s="233" t="s">
        <v>375</v>
      </c>
      <c r="H665" s="174">
        <f>ROUND(D665*F665,2)</f>
        <v>215270</v>
      </c>
      <c r="I665" s="308"/>
      <c r="J665" s="172">
        <f>SUMIF($AH$8:$CP$8,1,$AH665:$CP665)</f>
        <v>110000</v>
      </c>
      <c r="K665" s="233" t="s">
        <v>596</v>
      </c>
      <c r="L665" s="201">
        <f>L662</f>
        <v>2.0339999999999998</v>
      </c>
      <c r="M665" s="233" t="s">
        <v>375</v>
      </c>
      <c r="N665" s="174">
        <f>ROUND(J665*L665,2)</f>
        <v>223740</v>
      </c>
      <c r="O665" s="227"/>
      <c r="P665" s="262"/>
      <c r="Q665" s="1303"/>
      <c r="R665" s="227"/>
      <c r="S665" s="227"/>
      <c r="T665" s="227"/>
      <c r="U665" s="184" t="s">
        <v>140</v>
      </c>
      <c r="V665" s="179">
        <v>257</v>
      </c>
      <c r="W665" s="180">
        <v>231</v>
      </c>
      <c r="X665" s="227"/>
      <c r="Y665" s="184"/>
      <c r="Z665" s="181"/>
      <c r="AA665" s="227"/>
      <c r="AB665" s="182">
        <f>SUM(AH665:AS665)</f>
        <v>110000</v>
      </c>
      <c r="AC665" s="182">
        <f>SUM(AT665:BE665)</f>
        <v>110000</v>
      </c>
      <c r="AD665" s="182">
        <f>SUM(BF665:BQ665)</f>
        <v>110000</v>
      </c>
      <c r="AE665" s="182">
        <f>SUM(BR665:CC665)</f>
        <v>110000</v>
      </c>
      <c r="AF665" s="182">
        <f>SUM(CD665:CO665)</f>
        <v>110000</v>
      </c>
      <c r="AH665" s="174">
        <v>10000</v>
      </c>
      <c r="AI665" s="174">
        <v>0</v>
      </c>
      <c r="AJ665" s="174">
        <v>10000</v>
      </c>
      <c r="AK665" s="174">
        <v>10000</v>
      </c>
      <c r="AL665" s="174">
        <v>10000</v>
      </c>
      <c r="AM665" s="174">
        <v>10000</v>
      </c>
      <c r="AN665" s="174">
        <v>10000</v>
      </c>
      <c r="AO665" s="174">
        <v>10000</v>
      </c>
      <c r="AP665" s="174">
        <v>10000</v>
      </c>
      <c r="AQ665" s="174">
        <v>10000</v>
      </c>
      <c r="AR665" s="174">
        <v>10000</v>
      </c>
      <c r="AS665" s="174">
        <v>10000</v>
      </c>
      <c r="AT665" s="174">
        <v>10000</v>
      </c>
      <c r="AU665" s="174">
        <v>0</v>
      </c>
      <c r="AV665" s="174">
        <v>10000</v>
      </c>
      <c r="AW665" s="174">
        <v>10000</v>
      </c>
      <c r="AX665" s="174">
        <v>10000</v>
      </c>
      <c r="AY665" s="174">
        <v>10000</v>
      </c>
      <c r="AZ665" s="174">
        <v>10000</v>
      </c>
      <c r="BA665" s="174">
        <v>10000</v>
      </c>
      <c r="BB665" s="174">
        <v>10000</v>
      </c>
      <c r="BC665" s="174">
        <v>10000</v>
      </c>
      <c r="BD665" s="174">
        <v>10000</v>
      </c>
      <c r="BE665" s="174">
        <v>10000</v>
      </c>
      <c r="BF665" s="174">
        <v>10000</v>
      </c>
      <c r="BG665" s="174">
        <v>0</v>
      </c>
      <c r="BH665" s="174">
        <v>10000</v>
      </c>
      <c r="BI665" s="174">
        <v>10000</v>
      </c>
      <c r="BJ665" s="174">
        <v>10000</v>
      </c>
      <c r="BK665" s="174">
        <v>10000</v>
      </c>
      <c r="BL665" s="174">
        <v>10000</v>
      </c>
      <c r="BM665" s="174">
        <v>10000</v>
      </c>
      <c r="BN665" s="174">
        <v>10000</v>
      </c>
      <c r="BO665" s="174">
        <v>10000</v>
      </c>
      <c r="BP665" s="174">
        <v>10000</v>
      </c>
      <c r="BQ665" s="174">
        <v>10000</v>
      </c>
      <c r="BR665" s="174">
        <v>10000</v>
      </c>
      <c r="BS665" s="174">
        <v>0</v>
      </c>
      <c r="BT665" s="174">
        <v>10000</v>
      </c>
      <c r="BU665" s="174">
        <v>10000</v>
      </c>
      <c r="BV665" s="174">
        <v>10000</v>
      </c>
      <c r="BW665" s="174">
        <v>10000</v>
      </c>
      <c r="BX665" s="174">
        <v>10000</v>
      </c>
      <c r="BY665" s="174">
        <v>10000</v>
      </c>
      <c r="BZ665" s="174">
        <v>10000</v>
      </c>
      <c r="CA665" s="174">
        <v>10000</v>
      </c>
      <c r="CB665" s="174">
        <v>10000</v>
      </c>
      <c r="CC665" s="174">
        <v>10000</v>
      </c>
      <c r="CD665" s="174">
        <v>10000</v>
      </c>
      <c r="CE665" s="174">
        <v>0</v>
      </c>
      <c r="CF665" s="174">
        <v>10000</v>
      </c>
      <c r="CG665" s="174">
        <v>10000</v>
      </c>
      <c r="CH665" s="174">
        <v>10000</v>
      </c>
      <c r="CI665" s="174">
        <v>10000</v>
      </c>
      <c r="CJ665" s="174">
        <v>10000</v>
      </c>
      <c r="CK665" s="174">
        <v>10000</v>
      </c>
      <c r="CL665" s="174">
        <v>10000</v>
      </c>
      <c r="CM665" s="174">
        <v>10000</v>
      </c>
      <c r="CN665" s="174">
        <v>10000</v>
      </c>
      <c r="CO665" s="174">
        <v>10000</v>
      </c>
    </row>
    <row r="666" spans="1:93" x14ac:dyDescent="0.2">
      <c r="A666" s="118">
        <f t="shared" si="56"/>
        <v>19</v>
      </c>
      <c r="B666" s="227" t="s">
        <v>648</v>
      </c>
      <c r="C666" s="263"/>
      <c r="D666" s="172">
        <f>+J666</f>
        <v>45130.40121168919</v>
      </c>
      <c r="E666" s="233" t="s">
        <v>596</v>
      </c>
      <c r="F666" s="201">
        <v>0.93100000000000005</v>
      </c>
      <c r="G666" s="233" t="s">
        <v>375</v>
      </c>
      <c r="H666" s="174">
        <f>ROUND(D666*F666,2)</f>
        <v>42016.4</v>
      </c>
      <c r="I666" s="308"/>
      <c r="J666" s="172">
        <f>+(BR666*BR$660)+(BS666*BS$660)+(BT666*BT$660)+(BU666*BU$660)+(BV666*BV$660)+(BW666*BW$660)+(BX666*BX$660)+(BY666*BY$660)+(BZ666*BZ$660)+(CA666*CA$660)+(CB666*CB$660)+(CC666*CC$660)</f>
        <v>45130.40121168919</v>
      </c>
      <c r="K666" s="233" t="s">
        <v>596</v>
      </c>
      <c r="L666" s="201">
        <f>L663</f>
        <v>0.96799999999999997</v>
      </c>
      <c r="M666" s="233" t="s">
        <v>375</v>
      </c>
      <c r="N666" s="174">
        <f>ROUND(J666*L666,2)</f>
        <v>43686.23</v>
      </c>
      <c r="O666" s="227"/>
      <c r="P666" s="262"/>
      <c r="Q666" s="1303"/>
      <c r="R666" s="227"/>
      <c r="S666" s="227"/>
      <c r="T666" s="227"/>
      <c r="U666" s="184" t="s">
        <v>140</v>
      </c>
      <c r="V666" s="179">
        <v>257</v>
      </c>
      <c r="W666" s="180">
        <v>231</v>
      </c>
      <c r="X666" s="227"/>
      <c r="Y666" s="184"/>
      <c r="Z666" s="181"/>
      <c r="AA666" s="227"/>
      <c r="AB666" s="182">
        <f>SUM(AH666:AS666)</f>
        <v>36696.07885589153</v>
      </c>
      <c r="AC666" s="182">
        <f>SUM(AT666:BE666)</f>
        <v>36872.689087533203</v>
      </c>
      <c r="AD666" s="182">
        <f>SUM(BF666:BQ666)</f>
        <v>37028.557993246737</v>
      </c>
      <c r="AE666" s="182">
        <f>SUM(BR666:CC666)</f>
        <v>37608.667676407662</v>
      </c>
      <c r="AF666" s="182">
        <f>SUM(CD666:CO666)</f>
        <v>37686.047166585027</v>
      </c>
      <c r="AH666" s="174">
        <v>0</v>
      </c>
      <c r="AI666" s="174">
        <v>36696.07885589153</v>
      </c>
      <c r="AJ666" s="174">
        <v>0</v>
      </c>
      <c r="AK666" s="174">
        <v>0</v>
      </c>
      <c r="AL666" s="174">
        <v>0</v>
      </c>
      <c r="AM666" s="174">
        <v>0</v>
      </c>
      <c r="AN666" s="174">
        <v>0</v>
      </c>
      <c r="AO666" s="174">
        <v>0</v>
      </c>
      <c r="AP666" s="174">
        <v>0</v>
      </c>
      <c r="AQ666" s="174">
        <v>0</v>
      </c>
      <c r="AR666" s="174">
        <v>0</v>
      </c>
      <c r="AS666" s="174">
        <v>0</v>
      </c>
      <c r="AT666" s="174">
        <v>0</v>
      </c>
      <c r="AU666" s="174">
        <v>36872.689087533203</v>
      </c>
      <c r="AV666" s="174">
        <v>0</v>
      </c>
      <c r="AW666" s="174">
        <v>0</v>
      </c>
      <c r="AX666" s="174">
        <v>0</v>
      </c>
      <c r="AY666" s="174">
        <v>0</v>
      </c>
      <c r="AZ666" s="174">
        <v>0</v>
      </c>
      <c r="BA666" s="174">
        <v>0</v>
      </c>
      <c r="BB666" s="174">
        <v>0</v>
      </c>
      <c r="BC666" s="174">
        <v>0</v>
      </c>
      <c r="BD666" s="174">
        <v>0</v>
      </c>
      <c r="BE666" s="174">
        <v>0</v>
      </c>
      <c r="BF666" s="174">
        <v>0</v>
      </c>
      <c r="BG666" s="174">
        <v>37028.557993246737</v>
      </c>
      <c r="BH666" s="174">
        <v>0</v>
      </c>
      <c r="BI666" s="174">
        <v>0</v>
      </c>
      <c r="BJ666" s="174">
        <v>0</v>
      </c>
      <c r="BK666" s="174">
        <v>0</v>
      </c>
      <c r="BL666" s="174">
        <v>0</v>
      </c>
      <c r="BM666" s="174">
        <v>0</v>
      </c>
      <c r="BN666" s="174">
        <v>0</v>
      </c>
      <c r="BO666" s="174">
        <v>0</v>
      </c>
      <c r="BP666" s="174">
        <v>0</v>
      </c>
      <c r="BQ666" s="174">
        <v>0</v>
      </c>
      <c r="BR666" s="174">
        <v>0</v>
      </c>
      <c r="BS666" s="174">
        <v>37608.667676407662</v>
      </c>
      <c r="BT666" s="174">
        <v>0</v>
      </c>
      <c r="BU666" s="174">
        <v>0</v>
      </c>
      <c r="BV666" s="174">
        <v>0</v>
      </c>
      <c r="BW666" s="174">
        <v>0</v>
      </c>
      <c r="BX666" s="174">
        <v>0</v>
      </c>
      <c r="BY666" s="174">
        <v>0</v>
      </c>
      <c r="BZ666" s="174">
        <v>0</v>
      </c>
      <c r="CA666" s="174">
        <v>0</v>
      </c>
      <c r="CB666" s="174">
        <v>0</v>
      </c>
      <c r="CC666" s="174">
        <v>0</v>
      </c>
      <c r="CD666" s="174">
        <v>0</v>
      </c>
      <c r="CE666" s="174">
        <v>37686.047166585027</v>
      </c>
      <c r="CF666" s="174">
        <v>0</v>
      </c>
      <c r="CG666" s="174">
        <v>0</v>
      </c>
      <c r="CH666" s="174">
        <v>0</v>
      </c>
      <c r="CI666" s="174">
        <v>0</v>
      </c>
      <c r="CJ666" s="174">
        <v>0</v>
      </c>
      <c r="CK666" s="174">
        <v>0</v>
      </c>
      <c r="CL666" s="174">
        <v>0</v>
      </c>
      <c r="CM666" s="174">
        <v>0</v>
      </c>
      <c r="CN666" s="174">
        <v>0</v>
      </c>
      <c r="CO666" s="174">
        <v>0</v>
      </c>
    </row>
    <row r="667" spans="1:93" x14ac:dyDescent="0.2">
      <c r="A667" s="118">
        <f t="shared" si="56"/>
        <v>20</v>
      </c>
      <c r="B667" s="227"/>
      <c r="C667" s="225" t="s">
        <v>121</v>
      </c>
      <c r="D667" s="227"/>
      <c r="E667" s="230"/>
      <c r="F667" s="326"/>
      <c r="G667" s="230"/>
      <c r="H667" s="300">
        <f>SUM(H656:H666)</f>
        <v>3566541.7499999995</v>
      </c>
      <c r="I667" s="308"/>
      <c r="J667" s="227"/>
      <c r="K667" s="230"/>
      <c r="L667" s="326"/>
      <c r="M667" s="230"/>
      <c r="N667" s="300">
        <f>SUM(N656:N666)</f>
        <v>3709397.15</v>
      </c>
      <c r="O667" s="227"/>
      <c r="P667" s="262"/>
      <c r="Q667" s="1022"/>
      <c r="R667" s="227"/>
      <c r="S667" s="227"/>
      <c r="T667" s="227"/>
      <c r="U667" s="178"/>
      <c r="V667" s="179"/>
      <c r="W667" s="180"/>
      <c r="X667" s="227"/>
      <c r="Y667" s="184" t="s">
        <v>140</v>
      </c>
      <c r="Z667" s="181" t="s">
        <v>146</v>
      </c>
      <c r="AA667" s="227"/>
      <c r="AB667" s="324">
        <f>SUM(AB656:AB657)</f>
        <v>459240</v>
      </c>
      <c r="AC667" s="324">
        <f>SUM(AC656:AC657)</f>
        <v>459240</v>
      </c>
      <c r="AD667" s="324">
        <f>SUM(AD656:AD657)</f>
        <v>459240</v>
      </c>
      <c r="AE667" s="324">
        <f>SUM(AE656:AE657)</f>
        <v>459240</v>
      </c>
      <c r="AF667" s="324">
        <f>SUM(AF656:AF657)</f>
        <v>459240</v>
      </c>
      <c r="AH667" s="247"/>
      <c r="AI667" s="247"/>
      <c r="AJ667" s="247"/>
      <c r="AK667" s="247"/>
      <c r="AL667" s="247"/>
      <c r="AM667" s="247"/>
      <c r="AN667" s="247"/>
      <c r="AO667" s="247"/>
      <c r="AP667" s="247"/>
      <c r="AQ667" s="247"/>
      <c r="AR667" s="247"/>
      <c r="AS667" s="247"/>
      <c r="AT667" s="247"/>
      <c r="AU667" s="247"/>
      <c r="AV667" s="247"/>
      <c r="AW667" s="247"/>
      <c r="AX667" s="247"/>
      <c r="AY667" s="247"/>
      <c r="AZ667" s="247"/>
      <c r="BA667" s="247"/>
      <c r="BB667" s="247"/>
      <c r="BC667" s="247"/>
      <c r="BD667" s="247"/>
      <c r="BE667" s="247"/>
      <c r="BF667" s="247"/>
      <c r="BG667" s="247"/>
      <c r="BH667" s="247"/>
      <c r="BI667" s="247"/>
      <c r="BJ667" s="247"/>
      <c r="BK667" s="247"/>
      <c r="BL667" s="247"/>
      <c r="BM667" s="247"/>
      <c r="BN667" s="247"/>
      <c r="BO667" s="247"/>
      <c r="BP667" s="247"/>
      <c r="BQ667" s="247"/>
      <c r="BR667" s="247"/>
      <c r="BS667" s="247"/>
      <c r="BT667" s="247"/>
      <c r="BU667" s="247"/>
      <c r="BV667" s="247"/>
      <c r="BW667" s="247"/>
      <c r="BX667" s="247"/>
      <c r="BY667" s="247"/>
      <c r="BZ667" s="247"/>
      <c r="CA667" s="247"/>
      <c r="CB667" s="247"/>
      <c r="CC667" s="247"/>
      <c r="CD667" s="247"/>
      <c r="CE667" s="247"/>
      <c r="CF667" s="247"/>
      <c r="CG667" s="247"/>
      <c r="CH667" s="247"/>
      <c r="CI667" s="247"/>
      <c r="CJ667" s="247"/>
      <c r="CK667" s="247"/>
      <c r="CL667" s="247"/>
      <c r="CM667" s="247"/>
      <c r="CN667" s="247"/>
      <c r="CO667" s="247"/>
    </row>
    <row r="668" spans="1:93" x14ac:dyDescent="0.2">
      <c r="A668" s="118">
        <f t="shared" si="56"/>
        <v>21</v>
      </c>
      <c r="B668" s="227"/>
      <c r="C668" s="263"/>
      <c r="D668" s="227"/>
      <c r="E668" s="230"/>
      <c r="F668" s="197"/>
      <c r="G668" s="230"/>
      <c r="H668" s="203"/>
      <c r="I668" s="308"/>
      <c r="J668" s="227"/>
      <c r="K668" s="230"/>
      <c r="L668" s="197"/>
      <c r="M668" s="230"/>
      <c r="N668" s="203"/>
      <c r="O668" s="227"/>
      <c r="P668" s="262"/>
      <c r="Q668" s="1303"/>
      <c r="T668" s="264"/>
      <c r="U668" s="184"/>
      <c r="V668" s="179"/>
      <c r="W668" s="180"/>
      <c r="X668" s="264"/>
      <c r="Y668" s="184"/>
      <c r="Z668" s="181"/>
      <c r="AA668" s="264"/>
      <c r="AC668" s="114"/>
      <c r="AD668" s="114"/>
      <c r="AE668" s="114"/>
      <c r="AF668" s="114"/>
    </row>
    <row r="669" spans="1:93" x14ac:dyDescent="0.2">
      <c r="A669" s="118">
        <f t="shared" si="56"/>
        <v>22</v>
      </c>
      <c r="B669" s="286" t="s">
        <v>551</v>
      </c>
      <c r="C669" s="263"/>
      <c r="D669" s="227"/>
      <c r="E669" s="230"/>
      <c r="F669" s="197"/>
      <c r="G669" s="230"/>
      <c r="H669" s="203"/>
      <c r="I669" s="308"/>
      <c r="J669" s="227"/>
      <c r="K669" s="230"/>
      <c r="L669" s="197"/>
      <c r="M669" s="230"/>
      <c r="N669" s="203"/>
      <c r="O669" s="227"/>
      <c r="P669" s="262"/>
      <c r="Q669" s="1303"/>
      <c r="T669" s="264"/>
      <c r="U669" s="184"/>
      <c r="V669" s="179"/>
      <c r="W669" s="180"/>
      <c r="X669" s="264"/>
      <c r="Y669" s="184"/>
      <c r="Z669" s="181"/>
      <c r="AA669" s="264"/>
      <c r="AC669" s="114"/>
      <c r="AD669" s="114"/>
      <c r="AE669" s="114"/>
      <c r="AF669" s="114"/>
    </row>
    <row r="670" spans="1:93" x14ac:dyDescent="0.2">
      <c r="A670" s="118">
        <f t="shared" si="56"/>
        <v>23</v>
      </c>
      <c r="B670" s="228" t="s">
        <v>543</v>
      </c>
      <c r="C670" s="225"/>
      <c r="D670" s="168"/>
      <c r="E670" s="233"/>
      <c r="F670" s="183"/>
      <c r="G670" s="233"/>
      <c r="H670" s="174"/>
      <c r="I670" s="308"/>
      <c r="J670" s="168"/>
      <c r="K670" s="233"/>
      <c r="L670" s="1368">
        <v>-0.04</v>
      </c>
      <c r="M670" s="233"/>
      <c r="N670" s="174"/>
      <c r="O670" s="227"/>
      <c r="P670" s="262"/>
      <c r="Q670" s="1303"/>
      <c r="T670" s="264"/>
      <c r="U670" s="178"/>
      <c r="V670" s="179"/>
      <c r="W670" s="180"/>
      <c r="X670" s="264"/>
      <c r="Y670" s="178"/>
      <c r="Z670" s="181"/>
      <c r="AA670" s="264"/>
      <c r="AB670" s="264"/>
      <c r="AC670" s="242"/>
      <c r="AH670" s="168"/>
      <c r="AT670" s="168"/>
      <c r="BF670" s="168"/>
      <c r="BR670" s="168"/>
      <c r="CD670" s="168"/>
    </row>
    <row r="671" spans="1:93" x14ac:dyDescent="0.2">
      <c r="A671" s="118">
        <f t="shared" si="56"/>
        <v>24</v>
      </c>
      <c r="B671" s="234" t="s">
        <v>148</v>
      </c>
      <c r="C671" s="225"/>
      <c r="D671" s="172">
        <f>SUMIF($AH$8:$CP$8,1,$AH671:$CP671)+'Unbilled to E-13c'!P102</f>
        <v>53277.281498330427</v>
      </c>
      <c r="E671" s="233" t="s">
        <v>555</v>
      </c>
      <c r="F671" s="183">
        <v>16.559999999999999</v>
      </c>
      <c r="G671" s="233" t="s">
        <v>375</v>
      </c>
      <c r="H671" s="174">
        <f>ROUND(D671*F671,2)</f>
        <v>882271.78</v>
      </c>
      <c r="I671" s="308"/>
      <c r="J671" s="172">
        <f>D671</f>
        <v>53277.281498330427</v>
      </c>
      <c r="K671" s="233" t="s">
        <v>555</v>
      </c>
      <c r="L671" s="183">
        <f>ROUND(F671*(1+'Exhibit MJC-2 - Old E-8a'!V27)+L670,2)</f>
        <v>17.190000000000001</v>
      </c>
      <c r="M671" s="233" t="s">
        <v>375</v>
      </c>
      <c r="N671" s="174">
        <f>ROUND(J671*L671,2)</f>
        <v>915836.47</v>
      </c>
      <c r="O671" s="227"/>
      <c r="P671" s="262"/>
      <c r="Q671" s="1303"/>
      <c r="T671" s="264"/>
      <c r="U671" s="184" t="s">
        <v>140</v>
      </c>
      <c r="V671" s="179">
        <v>257</v>
      </c>
      <c r="W671" s="180">
        <v>231</v>
      </c>
      <c r="X671" s="264"/>
      <c r="Y671" s="184"/>
      <c r="Z671" s="181"/>
      <c r="AA671" s="264"/>
      <c r="AB671" s="182">
        <f>SUM(AH671:AS671)</f>
        <v>51961.170644248145</v>
      </c>
      <c r="AC671" s="182">
        <f>SUM(AT671:BE671)</f>
        <v>52230.838333769076</v>
      </c>
      <c r="AD671" s="182">
        <f>SUM(BF671:BQ671)</f>
        <v>52444.266772806724</v>
      </c>
      <c r="AE671" s="182">
        <f>SUM(BR671:CC671)</f>
        <v>53277.282498330424</v>
      </c>
      <c r="AF671" s="182">
        <f>SUM(CD671:CO671)</f>
        <v>53386.596307825348</v>
      </c>
      <c r="AH671" s="168">
        <v>8551.3131374138375</v>
      </c>
      <c r="AI671" s="168">
        <v>3470.4411967973738</v>
      </c>
      <c r="AJ671" s="168">
        <v>2686.9563494775834</v>
      </c>
      <c r="AK671" s="168">
        <v>3865.1771528501099</v>
      </c>
      <c r="AL671" s="168">
        <v>4325.8336911183142</v>
      </c>
      <c r="AM671" s="168">
        <v>4590.8086777166554</v>
      </c>
      <c r="AN671" s="168">
        <v>4502.5702346955095</v>
      </c>
      <c r="AO671" s="168">
        <v>3175.028281097289</v>
      </c>
      <c r="AP671" s="168">
        <v>6197.6898934329874</v>
      </c>
      <c r="AQ671" s="168">
        <v>6458.5314491515201</v>
      </c>
      <c r="AR671" s="168">
        <v>3400.751121192553</v>
      </c>
      <c r="AS671" s="168">
        <v>736.06945930441725</v>
      </c>
      <c r="AT671" s="168">
        <v>9010.1637463301522</v>
      </c>
      <c r="AU671" s="168">
        <v>3527.879177594878</v>
      </c>
      <c r="AV671" s="168">
        <v>2675.5745628004779</v>
      </c>
      <c r="AW671" s="168">
        <v>3901.7121586360686</v>
      </c>
      <c r="AX671" s="168">
        <v>4311.0951371945175</v>
      </c>
      <c r="AY671" s="168">
        <v>4492.6599482942129</v>
      </c>
      <c r="AZ671" s="168">
        <v>4517.186047693689</v>
      </c>
      <c r="BA671" s="168">
        <v>3127.0738635052039</v>
      </c>
      <c r="BB671" s="168">
        <v>6135.2162787205552</v>
      </c>
      <c r="BC671" s="168">
        <v>6440.3713416882856</v>
      </c>
      <c r="BD671" s="168">
        <v>3362.6649596474131</v>
      </c>
      <c r="BE671" s="168">
        <v>729.24111166362025</v>
      </c>
      <c r="BF671" s="168">
        <v>8980.9069112333964</v>
      </c>
      <c r="BG671" s="168">
        <v>3569.8302231100265</v>
      </c>
      <c r="BH671" s="168">
        <v>2716.3130845670448</v>
      </c>
      <c r="BI671" s="168">
        <v>3891.6589692236425</v>
      </c>
      <c r="BJ671" s="168">
        <v>4340.8497827766532</v>
      </c>
      <c r="BK671" s="168">
        <v>4550.9457427171992</v>
      </c>
      <c r="BL671" s="168">
        <v>4544.5030455234828</v>
      </c>
      <c r="BM671" s="168">
        <v>3152.7638592884819</v>
      </c>
      <c r="BN671" s="168">
        <v>6162.7077965233921</v>
      </c>
      <c r="BO671" s="168">
        <v>6420.809228973837</v>
      </c>
      <c r="BP671" s="168">
        <v>3367.9362706923812</v>
      </c>
      <c r="BQ671" s="168">
        <v>745.04185817719292</v>
      </c>
      <c r="BR671" s="168">
        <v>9126.2486781632233</v>
      </c>
      <c r="BS671" s="168">
        <v>3608.762376275236</v>
      </c>
      <c r="BT671" s="168">
        <v>2785.7241367315874</v>
      </c>
      <c r="BU671" s="168">
        <v>3995.1992723745084</v>
      </c>
      <c r="BV671" s="168">
        <v>4348.9129807048012</v>
      </c>
      <c r="BW671" s="168">
        <v>4657.6481527397727</v>
      </c>
      <c r="BX671" s="168">
        <v>4640.8882930979862</v>
      </c>
      <c r="BY671" s="168">
        <v>3199.8142647659356</v>
      </c>
      <c r="BZ671" s="168">
        <v>6235.1607462146703</v>
      </c>
      <c r="CA671" s="168">
        <v>6524.4372059310699</v>
      </c>
      <c r="CB671" s="168">
        <v>3413.1007912902919</v>
      </c>
      <c r="CC671" s="168">
        <v>741.3856000413349</v>
      </c>
      <c r="CD671" s="168">
        <v>9164.9805089052152</v>
      </c>
      <c r="CE671" s="168">
        <v>3585.8311967812815</v>
      </c>
      <c r="CF671" s="168">
        <v>2743.1116713257416</v>
      </c>
      <c r="CG671" s="168">
        <v>4032.1902209192858</v>
      </c>
      <c r="CH671" s="168">
        <v>4389.9180638207135</v>
      </c>
      <c r="CI671" s="168">
        <v>4606.5798505982602</v>
      </c>
      <c r="CJ671" s="168">
        <v>4626.5367629247121</v>
      </c>
      <c r="CK671" s="168">
        <v>3199.0798366871813</v>
      </c>
      <c r="CL671" s="168">
        <v>6309.4408406172333</v>
      </c>
      <c r="CM671" s="168">
        <v>6537.020228336286</v>
      </c>
      <c r="CN671" s="168">
        <v>3450.6761512066046</v>
      </c>
      <c r="CO671" s="168">
        <v>741.23097570282664</v>
      </c>
    </row>
    <row r="672" spans="1:93" x14ac:dyDescent="0.2">
      <c r="A672" s="118">
        <f t="shared" si="56"/>
        <v>25</v>
      </c>
      <c r="B672" s="234" t="s">
        <v>657</v>
      </c>
      <c r="C672" s="225"/>
      <c r="D672" s="172">
        <f>SUMIF($AH$8:$CP$8,1,$AH672:$CP672)+'Unbilled to E-13c'!P103</f>
        <v>2295.9191679622527</v>
      </c>
      <c r="E672" s="233" t="s">
        <v>555</v>
      </c>
      <c r="F672" s="183">
        <v>16.559999999999999</v>
      </c>
      <c r="G672" s="233" t="s">
        <v>375</v>
      </c>
      <c r="H672" s="174">
        <f>ROUND(D672*F672,2)</f>
        <v>38020.42</v>
      </c>
      <c r="I672" s="308"/>
      <c r="J672" s="172">
        <f>D672</f>
        <v>2295.9191679622527</v>
      </c>
      <c r="K672" s="233" t="s">
        <v>555</v>
      </c>
      <c r="L672" s="183">
        <f>L671</f>
        <v>17.190000000000001</v>
      </c>
      <c r="M672" s="233" t="s">
        <v>375</v>
      </c>
      <c r="N672" s="174">
        <f>ROUND(J672*L672,2)</f>
        <v>39466.85</v>
      </c>
      <c r="O672" s="227"/>
      <c r="P672" s="262"/>
      <c r="Q672" s="1303"/>
      <c r="T672" s="264"/>
      <c r="U672" s="184" t="s">
        <v>140</v>
      </c>
      <c r="V672" s="179">
        <v>257</v>
      </c>
      <c r="W672" s="180">
        <v>231</v>
      </c>
      <c r="X672" s="264"/>
      <c r="Y672" s="184"/>
      <c r="Z672" s="181"/>
      <c r="AA672" s="264"/>
      <c r="AB672" s="182">
        <f>SUM(AH672:AS672)</f>
        <v>2263.5239068903361</v>
      </c>
      <c r="AC672" s="182">
        <f>SUM(AT672:BE672)</f>
        <v>2254.8278569547751</v>
      </c>
      <c r="AD672" s="182">
        <f>SUM(BF672:BQ672)</f>
        <v>2271.7222225832224</v>
      </c>
      <c r="AE672" s="182">
        <f>SUM(BR672:CC672)</f>
        <v>2295.9171679622527</v>
      </c>
      <c r="AF672" s="182">
        <f>SUM(CD672:CO672)</f>
        <v>2300.9447091023085</v>
      </c>
      <c r="AH672" s="168">
        <v>0</v>
      </c>
      <c r="AI672" s="168">
        <v>467.88797423612243</v>
      </c>
      <c r="AJ672" s="168">
        <v>0</v>
      </c>
      <c r="AK672" s="168">
        <v>17.256222167856134</v>
      </c>
      <c r="AL672" s="168">
        <v>0</v>
      </c>
      <c r="AM672" s="168">
        <v>0</v>
      </c>
      <c r="AN672" s="168">
        <v>0</v>
      </c>
      <c r="AO672" s="168">
        <v>378.80804892008018</v>
      </c>
      <c r="AP672" s="168">
        <v>426.35829784827348</v>
      </c>
      <c r="AQ672" s="168">
        <v>436.07221760390422</v>
      </c>
      <c r="AR672" s="168">
        <v>194.94336356039139</v>
      </c>
      <c r="AS672" s="168">
        <v>342.19778255370812</v>
      </c>
      <c r="AT672" s="168">
        <v>0</v>
      </c>
      <c r="AU672" s="168">
        <v>475.63181398317175</v>
      </c>
      <c r="AV672" s="168">
        <v>0</v>
      </c>
      <c r="AW672" s="168">
        <v>17.419334012880235</v>
      </c>
      <c r="AX672" s="168">
        <v>0</v>
      </c>
      <c r="AY672" s="168">
        <v>0</v>
      </c>
      <c r="AZ672" s="168">
        <v>0</v>
      </c>
      <c r="BA672" s="168">
        <v>373.08667646072092</v>
      </c>
      <c r="BB672" s="168">
        <v>422.06054425181742</v>
      </c>
      <c r="BC672" s="168">
        <v>434.84606915270211</v>
      </c>
      <c r="BD672" s="168">
        <v>192.76012692468296</v>
      </c>
      <c r="BE672" s="168">
        <v>339.02329216879974</v>
      </c>
      <c r="BF672" s="168">
        <v>0</v>
      </c>
      <c r="BG672" s="168">
        <v>481.28769131694833</v>
      </c>
      <c r="BH672" s="168">
        <v>0</v>
      </c>
      <c r="BI672" s="168">
        <v>17.3744511878153</v>
      </c>
      <c r="BJ672" s="168">
        <v>0</v>
      </c>
      <c r="BK672" s="168">
        <v>0</v>
      </c>
      <c r="BL672" s="168">
        <v>0</v>
      </c>
      <c r="BM672" s="168">
        <v>376.15171283767739</v>
      </c>
      <c r="BN672" s="168">
        <v>423.95177097293856</v>
      </c>
      <c r="BO672" s="168">
        <v>433.52525900575625</v>
      </c>
      <c r="BP672" s="168">
        <v>193.06229755371703</v>
      </c>
      <c r="BQ672" s="168">
        <v>346.36903970836948</v>
      </c>
      <c r="BR672" s="168">
        <v>0</v>
      </c>
      <c r="BS672" s="168">
        <v>486.53655889434168</v>
      </c>
      <c r="BT672" s="168">
        <v>0</v>
      </c>
      <c r="BU672" s="168">
        <v>17.836710588572913</v>
      </c>
      <c r="BV672" s="168">
        <v>0</v>
      </c>
      <c r="BW672" s="168">
        <v>0</v>
      </c>
      <c r="BX672" s="168">
        <v>0</v>
      </c>
      <c r="BY672" s="168">
        <v>381.76522891434468</v>
      </c>
      <c r="BZ672" s="168">
        <v>428.93603395408445</v>
      </c>
      <c r="CA672" s="168">
        <v>440.5220944432433</v>
      </c>
      <c r="CB672" s="168">
        <v>195.65129135102316</v>
      </c>
      <c r="CC672" s="168">
        <v>344.66924981664249</v>
      </c>
      <c r="CD672" s="168">
        <v>0</v>
      </c>
      <c r="CE672" s="168">
        <v>483.44495684380917</v>
      </c>
      <c r="CF672" s="168">
        <v>0</v>
      </c>
      <c r="CG672" s="168">
        <v>18.001858006413187</v>
      </c>
      <c r="CH672" s="168">
        <v>0</v>
      </c>
      <c r="CI672" s="168">
        <v>0</v>
      </c>
      <c r="CJ672" s="168">
        <v>0</v>
      </c>
      <c r="CK672" s="168">
        <v>381.67760535859821</v>
      </c>
      <c r="CL672" s="168">
        <v>434.04599188325449</v>
      </c>
      <c r="CM672" s="168">
        <v>441.37168486911673</v>
      </c>
      <c r="CN672" s="168">
        <v>197.80524698847938</v>
      </c>
      <c r="CO672" s="168">
        <v>344.59736515263756</v>
      </c>
    </row>
    <row r="673" spans="1:93" x14ac:dyDescent="0.2">
      <c r="A673" s="118">
        <f t="shared" si="56"/>
        <v>26</v>
      </c>
      <c r="B673" s="227"/>
      <c r="C673" s="225" t="s">
        <v>121</v>
      </c>
      <c r="D673" s="309">
        <f>SUM(D671:D672)</f>
        <v>55573.20066629268</v>
      </c>
      <c r="E673" s="230" t="s">
        <v>606</v>
      </c>
      <c r="F673" s="197"/>
      <c r="G673" s="230"/>
      <c r="H673" s="300">
        <f>SUM(H671:H672)</f>
        <v>920292.20000000007</v>
      </c>
      <c r="I673" s="308"/>
      <c r="J673" s="309">
        <f>SUM(J671:J672)</f>
        <v>55573.20066629268</v>
      </c>
      <c r="K673" s="230" t="s">
        <v>606</v>
      </c>
      <c r="L673" s="197"/>
      <c r="M673" s="230"/>
      <c r="N673" s="300">
        <f>SUM(N671:N672)</f>
        <v>955303.32</v>
      </c>
      <c r="O673" s="227"/>
      <c r="P673" s="262"/>
      <c r="Q673" s="1022"/>
      <c r="T673" s="264"/>
      <c r="U673" s="178"/>
      <c r="V673" s="179"/>
      <c r="W673" s="180"/>
      <c r="X673" s="264"/>
      <c r="Y673" s="178" t="s">
        <v>140</v>
      </c>
      <c r="Z673" s="181" t="s">
        <v>141</v>
      </c>
      <c r="AA673" s="264"/>
      <c r="AB673" s="309">
        <f>SUM(AB671:AB672)</f>
        <v>54224.694551138484</v>
      </c>
      <c r="AC673" s="309">
        <f>SUM(AC671:AC672)</f>
        <v>54485.666190723852</v>
      </c>
      <c r="AD673" s="309">
        <f>SUM(AD671:AD672)</f>
        <v>54715.988995389947</v>
      </c>
      <c r="AE673" s="309">
        <f>SUM(AE671:AE672)</f>
        <v>55573.199666292676</v>
      </c>
      <c r="AF673" s="309">
        <f>SUM(AF671:AF672)</f>
        <v>55687.541016927658</v>
      </c>
      <c r="AH673" s="309">
        <f t="shared" ref="AH673:CO673" si="58">SUM(AH671:AH672)</f>
        <v>8551.3131374138375</v>
      </c>
      <c r="AI673" s="309">
        <f t="shared" si="58"/>
        <v>3938.3291710334961</v>
      </c>
      <c r="AJ673" s="309">
        <f t="shared" si="58"/>
        <v>2686.9563494775834</v>
      </c>
      <c r="AK673" s="309">
        <f t="shared" si="58"/>
        <v>3882.4333750179662</v>
      </c>
      <c r="AL673" s="309">
        <f t="shared" si="58"/>
        <v>4325.8336911183142</v>
      </c>
      <c r="AM673" s="309">
        <f t="shared" si="58"/>
        <v>4590.8086777166554</v>
      </c>
      <c r="AN673" s="309">
        <f t="shared" si="58"/>
        <v>4502.5702346955095</v>
      </c>
      <c r="AO673" s="309">
        <f t="shared" si="58"/>
        <v>3553.8363300173692</v>
      </c>
      <c r="AP673" s="309">
        <f t="shared" si="58"/>
        <v>6624.0481912812611</v>
      </c>
      <c r="AQ673" s="309">
        <f t="shared" si="58"/>
        <v>6894.6036667554245</v>
      </c>
      <c r="AR673" s="309">
        <f t="shared" si="58"/>
        <v>3595.6944847529444</v>
      </c>
      <c r="AS673" s="309">
        <f t="shared" si="58"/>
        <v>1078.2672418581253</v>
      </c>
      <c r="AT673" s="309">
        <f t="shared" si="58"/>
        <v>9010.1637463301522</v>
      </c>
      <c r="AU673" s="309">
        <f t="shared" si="58"/>
        <v>4003.5109915780499</v>
      </c>
      <c r="AV673" s="309">
        <f t="shared" si="58"/>
        <v>2675.5745628004779</v>
      </c>
      <c r="AW673" s="309">
        <f t="shared" si="58"/>
        <v>3919.131492648949</v>
      </c>
      <c r="AX673" s="309">
        <f t="shared" si="58"/>
        <v>4311.0951371945175</v>
      </c>
      <c r="AY673" s="309">
        <f t="shared" si="58"/>
        <v>4492.6599482942129</v>
      </c>
      <c r="AZ673" s="309">
        <f t="shared" si="58"/>
        <v>4517.186047693689</v>
      </c>
      <c r="BA673" s="309">
        <f t="shared" si="58"/>
        <v>3500.1605399659247</v>
      </c>
      <c r="BB673" s="309">
        <f t="shared" si="58"/>
        <v>6557.2768229723724</v>
      </c>
      <c r="BC673" s="309">
        <f t="shared" si="58"/>
        <v>6875.2174108409881</v>
      </c>
      <c r="BD673" s="309">
        <f t="shared" si="58"/>
        <v>3555.425086572096</v>
      </c>
      <c r="BE673" s="309">
        <f t="shared" si="58"/>
        <v>1068.2644038324199</v>
      </c>
      <c r="BF673" s="309">
        <f t="shared" si="58"/>
        <v>8980.9069112333964</v>
      </c>
      <c r="BG673" s="309">
        <f t="shared" si="58"/>
        <v>4051.1179144269749</v>
      </c>
      <c r="BH673" s="309">
        <f t="shared" si="58"/>
        <v>2716.3130845670448</v>
      </c>
      <c r="BI673" s="309">
        <f t="shared" si="58"/>
        <v>3909.0334204114579</v>
      </c>
      <c r="BJ673" s="309">
        <f t="shared" si="58"/>
        <v>4340.8497827766532</v>
      </c>
      <c r="BK673" s="309">
        <f t="shared" si="58"/>
        <v>4550.9457427171992</v>
      </c>
      <c r="BL673" s="309">
        <f t="shared" si="58"/>
        <v>4544.5030455234828</v>
      </c>
      <c r="BM673" s="309">
        <f t="shared" si="58"/>
        <v>3528.9155721261591</v>
      </c>
      <c r="BN673" s="309">
        <f t="shared" si="58"/>
        <v>6586.659567496331</v>
      </c>
      <c r="BO673" s="309">
        <f t="shared" si="58"/>
        <v>6854.3344879795932</v>
      </c>
      <c r="BP673" s="309">
        <f t="shared" si="58"/>
        <v>3560.9985682460983</v>
      </c>
      <c r="BQ673" s="309">
        <f t="shared" si="58"/>
        <v>1091.4108978855625</v>
      </c>
      <c r="BR673" s="309">
        <f t="shared" si="58"/>
        <v>9126.2486781632233</v>
      </c>
      <c r="BS673" s="309">
        <f t="shared" si="58"/>
        <v>4095.2989351695778</v>
      </c>
      <c r="BT673" s="309">
        <f t="shared" si="58"/>
        <v>2785.7241367315874</v>
      </c>
      <c r="BU673" s="309">
        <f t="shared" si="58"/>
        <v>4013.0359829630811</v>
      </c>
      <c r="BV673" s="309">
        <f t="shared" si="58"/>
        <v>4348.9129807048012</v>
      </c>
      <c r="BW673" s="309">
        <f t="shared" si="58"/>
        <v>4657.6481527397727</v>
      </c>
      <c r="BX673" s="309">
        <f t="shared" si="58"/>
        <v>4640.8882930979862</v>
      </c>
      <c r="BY673" s="309">
        <f t="shared" si="58"/>
        <v>3581.5794936802804</v>
      </c>
      <c r="BZ673" s="309">
        <f t="shared" si="58"/>
        <v>6664.0967801687548</v>
      </c>
      <c r="CA673" s="309">
        <f t="shared" si="58"/>
        <v>6964.959300374313</v>
      </c>
      <c r="CB673" s="309">
        <f t="shared" si="58"/>
        <v>3608.7520826413152</v>
      </c>
      <c r="CC673" s="309">
        <f t="shared" si="58"/>
        <v>1086.0548498579774</v>
      </c>
      <c r="CD673" s="309">
        <f t="shared" si="58"/>
        <v>9164.9805089052152</v>
      </c>
      <c r="CE673" s="309">
        <f t="shared" si="58"/>
        <v>4069.2761536250905</v>
      </c>
      <c r="CF673" s="309">
        <f t="shared" si="58"/>
        <v>2743.1116713257416</v>
      </c>
      <c r="CG673" s="309">
        <f t="shared" si="58"/>
        <v>4050.1920789256992</v>
      </c>
      <c r="CH673" s="309">
        <f t="shared" si="58"/>
        <v>4389.9180638207135</v>
      </c>
      <c r="CI673" s="309">
        <f t="shared" si="58"/>
        <v>4606.5798505982602</v>
      </c>
      <c r="CJ673" s="309">
        <f t="shared" si="58"/>
        <v>4626.5367629247121</v>
      </c>
      <c r="CK673" s="309">
        <f t="shared" si="58"/>
        <v>3580.7574420457795</v>
      </c>
      <c r="CL673" s="309">
        <f t="shared" si="58"/>
        <v>6743.4868325004882</v>
      </c>
      <c r="CM673" s="309">
        <f t="shared" si="58"/>
        <v>6978.3919132054025</v>
      </c>
      <c r="CN673" s="309">
        <f t="shared" si="58"/>
        <v>3648.4813981950838</v>
      </c>
      <c r="CO673" s="309">
        <f t="shared" si="58"/>
        <v>1085.8283408554641</v>
      </c>
    </row>
    <row r="674" spans="1:93" x14ac:dyDescent="0.2">
      <c r="A674" s="118">
        <f t="shared" si="56"/>
        <v>27</v>
      </c>
      <c r="B674" s="246" t="s">
        <v>563</v>
      </c>
      <c r="C674" s="263"/>
      <c r="D674" s="227"/>
      <c r="E674" s="230"/>
      <c r="F674" s="197"/>
      <c r="G674" s="230"/>
      <c r="H674" s="203"/>
      <c r="I674" s="308"/>
      <c r="J674" s="227"/>
      <c r="K674" s="230"/>
      <c r="L674" s="197"/>
      <c r="M674" s="230"/>
      <c r="N674" s="203"/>
      <c r="O674" s="227"/>
      <c r="Q674" s="327"/>
      <c r="T674" s="264"/>
      <c r="U674" s="178"/>
      <c r="V674" s="179"/>
      <c r="W674" s="180"/>
      <c r="X674" s="264"/>
      <c r="Y674" s="178"/>
      <c r="Z674" s="181"/>
      <c r="AA674" s="264"/>
      <c r="AB674" s="193">
        <f>SUM(AH674:AS674)</f>
        <v>0</v>
      </c>
      <c r="AC674" s="193">
        <f>SUM(AT674:BE674)</f>
        <v>0</v>
      </c>
      <c r="AD674" s="193">
        <f>SUM(BF674:BQ674)</f>
        <v>0</v>
      </c>
      <c r="AE674" s="193">
        <f>SUM(BR674:CC674)</f>
        <v>0</v>
      </c>
      <c r="AF674" s="193">
        <f>SUM(CD674:CO674)</f>
        <v>0</v>
      </c>
      <c r="AH674" s="328">
        <v>0</v>
      </c>
      <c r="AI674" s="328">
        <v>0</v>
      </c>
      <c r="AJ674" s="328">
        <v>0</v>
      </c>
      <c r="AK674" s="328">
        <v>0</v>
      </c>
      <c r="AL674" s="328">
        <v>0</v>
      </c>
      <c r="AM674" s="328">
        <v>0</v>
      </c>
      <c r="AN674" s="328">
        <v>0</v>
      </c>
      <c r="AO674" s="328">
        <v>0</v>
      </c>
      <c r="AP674" s="328">
        <v>0</v>
      </c>
      <c r="AQ674" s="328">
        <v>0</v>
      </c>
      <c r="AR674" s="328">
        <v>0</v>
      </c>
      <c r="AS674" s="328">
        <v>0</v>
      </c>
      <c r="AT674" s="328">
        <v>0</v>
      </c>
      <c r="AU674" s="328">
        <v>0</v>
      </c>
      <c r="AV674" s="328">
        <v>0</v>
      </c>
      <c r="AW674" s="328">
        <v>0</v>
      </c>
      <c r="AX674" s="328">
        <v>0</v>
      </c>
      <c r="AY674" s="328">
        <v>0</v>
      </c>
      <c r="AZ674" s="328">
        <v>0</v>
      </c>
      <c r="BA674" s="328">
        <v>0</v>
      </c>
      <c r="BB674" s="328">
        <v>0</v>
      </c>
      <c r="BC674" s="328">
        <v>0</v>
      </c>
      <c r="BD674" s="328">
        <v>0</v>
      </c>
      <c r="BE674" s="328">
        <v>0</v>
      </c>
      <c r="BF674" s="328">
        <v>0</v>
      </c>
      <c r="BG674" s="328">
        <v>0</v>
      </c>
      <c r="BH674" s="328">
        <v>0</v>
      </c>
      <c r="BI674" s="328">
        <v>0</v>
      </c>
      <c r="BJ674" s="328">
        <v>0</v>
      </c>
      <c r="BK674" s="328">
        <v>0</v>
      </c>
      <c r="BL674" s="328">
        <v>0</v>
      </c>
      <c r="BM674" s="328">
        <v>0</v>
      </c>
      <c r="BN674" s="328">
        <v>0</v>
      </c>
      <c r="BO674" s="328">
        <v>0</v>
      </c>
      <c r="BP674" s="328">
        <v>0</v>
      </c>
      <c r="BQ674" s="328">
        <v>0</v>
      </c>
      <c r="BR674" s="328">
        <v>0</v>
      </c>
      <c r="BS674" s="328">
        <v>0</v>
      </c>
      <c r="BT674" s="328">
        <v>0</v>
      </c>
      <c r="BU674" s="328">
        <v>0</v>
      </c>
      <c r="BV674" s="328">
        <v>0</v>
      </c>
      <c r="BW674" s="328">
        <v>0</v>
      </c>
      <c r="BX674" s="328">
        <v>0</v>
      </c>
      <c r="BY674" s="328">
        <v>0</v>
      </c>
      <c r="BZ674" s="328">
        <v>0</v>
      </c>
      <c r="CA674" s="328">
        <v>0</v>
      </c>
      <c r="CB674" s="328">
        <v>0</v>
      </c>
      <c r="CC674" s="328">
        <v>0</v>
      </c>
      <c r="CD674" s="328">
        <v>0</v>
      </c>
      <c r="CE674" s="328">
        <v>0</v>
      </c>
      <c r="CF674" s="328">
        <v>0</v>
      </c>
      <c r="CG674" s="328">
        <v>0</v>
      </c>
      <c r="CH674" s="328">
        <v>0</v>
      </c>
      <c r="CI674" s="328">
        <v>0</v>
      </c>
      <c r="CJ674" s="328">
        <v>0</v>
      </c>
      <c r="CK674" s="328">
        <v>0</v>
      </c>
      <c r="CL674" s="328">
        <v>0</v>
      </c>
      <c r="CM674" s="328">
        <v>0</v>
      </c>
      <c r="CN674" s="328">
        <v>0</v>
      </c>
      <c r="CO674" s="328">
        <v>0</v>
      </c>
    </row>
    <row r="675" spans="1:93" x14ac:dyDescent="0.2">
      <c r="A675" s="118">
        <f t="shared" si="56"/>
        <v>28</v>
      </c>
      <c r="B675" s="232" t="s">
        <v>601</v>
      </c>
      <c r="C675" s="263"/>
      <c r="D675" s="103">
        <f>+D656</f>
        <v>339240</v>
      </c>
      <c r="E675" s="233" t="s">
        <v>596</v>
      </c>
      <c r="F675" s="183">
        <v>-1.3</v>
      </c>
      <c r="G675" s="230"/>
      <c r="H675" s="203">
        <f>+D675*F675</f>
        <v>-441012</v>
      </c>
      <c r="I675" s="308"/>
      <c r="J675" s="103">
        <f>+J656</f>
        <v>339240</v>
      </c>
      <c r="K675" s="233" t="s">
        <v>596</v>
      </c>
      <c r="L675" s="310">
        <f>ROUND(-DVC!G29,2)</f>
        <v>-1.34</v>
      </c>
      <c r="M675" s="230"/>
      <c r="N675" s="174">
        <f>ROUND(L675*J675,2)</f>
        <v>-454581.6</v>
      </c>
      <c r="O675" s="227"/>
      <c r="Q675" s="227"/>
      <c r="T675" s="264"/>
      <c r="U675" s="184" t="s">
        <v>140</v>
      </c>
      <c r="V675" s="179">
        <v>257</v>
      </c>
      <c r="W675" s="180">
        <v>231</v>
      </c>
      <c r="X675" s="264"/>
      <c r="Y675" s="184" t="s">
        <v>140</v>
      </c>
      <c r="Z675" s="181" t="s">
        <v>146</v>
      </c>
      <c r="AA675" s="264"/>
      <c r="AB675" s="264"/>
      <c r="AD675" s="245"/>
    </row>
    <row r="676" spans="1:93" x14ac:dyDescent="0.2">
      <c r="A676" s="118">
        <f t="shared" si="56"/>
        <v>29</v>
      </c>
      <c r="B676" s="234" t="s">
        <v>582</v>
      </c>
      <c r="C676" s="263"/>
      <c r="D676" s="172">
        <f>SUM(H656,H662:H663,H671,H675)</f>
        <v>3750515.13</v>
      </c>
      <c r="E676" s="233" t="s">
        <v>10</v>
      </c>
      <c r="F676" s="249">
        <v>0.01</v>
      </c>
      <c r="G676" s="233" t="s">
        <v>375</v>
      </c>
      <c r="H676" s="174">
        <f>-F676*D676</f>
        <v>-37505.151299999998</v>
      </c>
      <c r="I676" s="308"/>
      <c r="J676" s="172">
        <f>SUM(N656,N662:N663,N671,N675)</f>
        <v>3903225.7899999996</v>
      </c>
      <c r="K676" s="233" t="s">
        <v>10</v>
      </c>
      <c r="L676" s="249">
        <v>0.01</v>
      </c>
      <c r="M676" s="233" t="s">
        <v>375</v>
      </c>
      <c r="N676" s="174">
        <f>ROUND(L676*-J676,2)</f>
        <v>-39032.26</v>
      </c>
      <c r="O676" s="227"/>
      <c r="Q676" s="227"/>
      <c r="T676" s="264"/>
      <c r="U676" s="184" t="s">
        <v>140</v>
      </c>
      <c r="V676" s="179">
        <v>257</v>
      </c>
      <c r="W676" s="180">
        <v>231</v>
      </c>
      <c r="X676" s="264"/>
      <c r="Y676" s="184" t="s">
        <v>140</v>
      </c>
      <c r="Z676" s="181" t="s">
        <v>417</v>
      </c>
      <c r="AA676" s="264"/>
      <c r="AB676" s="182">
        <f>SUM(AH676:AS676)</f>
        <v>-27312.706235266138</v>
      </c>
      <c r="AC676" s="182">
        <f>SUM(AT676:BE676)</f>
        <v>-28233.98809953122</v>
      </c>
      <c r="AD676" s="182">
        <f>SUM(BF676:BQ676)</f>
        <v>-28327.85724614092</v>
      </c>
      <c r="AE676" s="182">
        <f>SUM(BR676:CC676)</f>
        <v>-28682.389307103404</v>
      </c>
      <c r="AF676" s="182">
        <f>SUM(CD676:CO676)</f>
        <v>-28729.438828307961</v>
      </c>
      <c r="AH676" s="174">
        <v>-4383.3001385040689</v>
      </c>
      <c r="AI676" s="174">
        <v>-2203.027834046753</v>
      </c>
      <c r="AJ676" s="174">
        <v>-1839.8932973553542</v>
      </c>
      <c r="AK676" s="174">
        <v>-1859.0478974156827</v>
      </c>
      <c r="AL676" s="174">
        <v>-1791.1689335315241</v>
      </c>
      <c r="AM676" s="174">
        <v>-2141.8983218762123</v>
      </c>
      <c r="AN676" s="174">
        <v>-2431.4671817551052</v>
      </c>
      <c r="AO676" s="174">
        <v>-1937.2865175128366</v>
      </c>
      <c r="AP676" s="174">
        <v>-2897.2114928084902</v>
      </c>
      <c r="AQ676" s="174">
        <v>-2348.7209373927135</v>
      </c>
      <c r="AR676" s="174">
        <v>-2529.535342269427</v>
      </c>
      <c r="AS676" s="174">
        <v>-950.14834079796708</v>
      </c>
      <c r="AT676" s="174">
        <v>-4589.3330229848061</v>
      </c>
      <c r="AU676" s="174">
        <v>-2282.1654592394311</v>
      </c>
      <c r="AV676" s="174">
        <v>-1898.4159106550485</v>
      </c>
      <c r="AW676" s="174">
        <v>-1923.2325667946959</v>
      </c>
      <c r="AX676" s="174">
        <v>-1846.5728276362802</v>
      </c>
      <c r="AY676" s="174">
        <v>-2197.4445700006186</v>
      </c>
      <c r="AZ676" s="174">
        <v>-2512.8818514805575</v>
      </c>
      <c r="BA676" s="174">
        <v>-1994.0026843697276</v>
      </c>
      <c r="BB676" s="174">
        <v>-2983.4465330716398</v>
      </c>
      <c r="BC676" s="174">
        <v>-2421.0116627910706</v>
      </c>
      <c r="BD676" s="174">
        <v>-2607.259440925518</v>
      </c>
      <c r="BE676" s="174">
        <v>-978.22156958182131</v>
      </c>
      <c r="BF676" s="174">
        <v>-4598.0441417199982</v>
      </c>
      <c r="BG676" s="174">
        <v>-2293.1294218458916</v>
      </c>
      <c r="BH676" s="174">
        <v>-1908.6904918896519</v>
      </c>
      <c r="BI676" s="174">
        <v>-1925.5149929211939</v>
      </c>
      <c r="BJ676" s="174">
        <v>-1854.2353505739243</v>
      </c>
      <c r="BK676" s="174">
        <v>-2209.6890809299448</v>
      </c>
      <c r="BL676" s="174">
        <v>-2522.9186163338218</v>
      </c>
      <c r="BM676" s="174">
        <v>-2002.4141658766766</v>
      </c>
      <c r="BN676" s="174">
        <v>-2994.5813340278814</v>
      </c>
      <c r="BO676" s="174">
        <v>-2422.6921696959171</v>
      </c>
      <c r="BP676" s="174">
        <v>-2614.7869418792698</v>
      </c>
      <c r="BQ676" s="174">
        <v>-981.1605384467515</v>
      </c>
      <c r="BR676" s="174">
        <v>-4664.4554551821657</v>
      </c>
      <c r="BS676" s="174">
        <v>-2318.2651807240254</v>
      </c>
      <c r="BT676" s="174">
        <v>-1935.938908300948</v>
      </c>
      <c r="BU676" s="174">
        <v>-1952.8555042209262</v>
      </c>
      <c r="BV676" s="174">
        <v>-1869.0256518291262</v>
      </c>
      <c r="BW676" s="174">
        <v>-2240.5234393271821</v>
      </c>
      <c r="BX676" s="174">
        <v>-2559.5669584595371</v>
      </c>
      <c r="BY676" s="174">
        <v>-2027.2270928485837</v>
      </c>
      <c r="BZ676" s="174">
        <v>-3032.0297346092907</v>
      </c>
      <c r="CA676" s="174">
        <v>-2452.5358507842911</v>
      </c>
      <c r="CB676" s="174">
        <v>-2646.218121878384</v>
      </c>
      <c r="CC676" s="174">
        <v>-983.74740893893818</v>
      </c>
      <c r="CD676" s="174">
        <v>-4675.9003371109593</v>
      </c>
      <c r="CE676" s="174">
        <v>-2317.8577693688994</v>
      </c>
      <c r="CF676" s="174">
        <v>-1932.6383528510758</v>
      </c>
      <c r="CG676" s="174">
        <v>-1959.6015507290304</v>
      </c>
      <c r="CH676" s="174">
        <v>-1876.3370770100469</v>
      </c>
      <c r="CI676" s="174">
        <v>-2235.9056074041932</v>
      </c>
      <c r="CJ676" s="174">
        <v>-2560.8176683986503</v>
      </c>
      <c r="CK676" s="174">
        <v>-2029.5995449792522</v>
      </c>
      <c r="CL676" s="174">
        <v>-3045.664017725242</v>
      </c>
      <c r="CM676" s="174">
        <v>-2456.3508860326865</v>
      </c>
      <c r="CN676" s="174">
        <v>-2654.6290188890794</v>
      </c>
      <c r="CO676" s="174">
        <v>-984.13699780884951</v>
      </c>
    </row>
    <row r="677" spans="1:93" x14ac:dyDescent="0.2">
      <c r="A677" s="118">
        <f t="shared" si="56"/>
        <v>30</v>
      </c>
      <c r="B677" s="234" t="s">
        <v>583</v>
      </c>
      <c r="C677" s="263"/>
      <c r="D677" s="172">
        <f>SUM(H657,H665:H666,H672)</f>
        <v>295306.82</v>
      </c>
      <c r="E677" s="233" t="s">
        <v>10</v>
      </c>
      <c r="F677" s="249">
        <v>0.02</v>
      </c>
      <c r="G677" s="233" t="s">
        <v>375</v>
      </c>
      <c r="H677" s="174">
        <f>-F677*D677</f>
        <v>-5906.1364000000003</v>
      </c>
      <c r="I677" s="308"/>
      <c r="J677" s="172">
        <f>SUM(N657,N665:N666,N672)</f>
        <v>306893.07999999996</v>
      </c>
      <c r="K677" s="233" t="s">
        <v>10</v>
      </c>
      <c r="L677" s="249">
        <v>0.02</v>
      </c>
      <c r="M677" s="233" t="s">
        <v>375</v>
      </c>
      <c r="N677" s="174">
        <f>ROUND(L677*-J677,2)</f>
        <v>-6137.86</v>
      </c>
      <c r="O677" s="227"/>
      <c r="Q677" s="227"/>
      <c r="T677" s="264"/>
      <c r="U677" s="184" t="s">
        <v>140</v>
      </c>
      <c r="V677" s="179">
        <v>257</v>
      </c>
      <c r="W677" s="180">
        <v>231</v>
      </c>
      <c r="X677" s="264"/>
      <c r="Y677" s="184" t="s">
        <v>140</v>
      </c>
      <c r="Z677" s="181" t="s">
        <v>417</v>
      </c>
      <c r="AA677" s="264"/>
      <c r="AB677" s="182">
        <f>SUM(AH677:AS677)</f>
        <v>0</v>
      </c>
      <c r="AC677" s="182">
        <f>SUM(AT677:BE677)</f>
        <v>0</v>
      </c>
      <c r="AD677" s="182">
        <f>SUM(BF677:BQ677)</f>
        <v>0</v>
      </c>
      <c r="AE677" s="182">
        <f>SUM(BR677:CC677)</f>
        <v>0</v>
      </c>
      <c r="AF677" s="182">
        <f>SUM(CD677:CO677)</f>
        <v>0</v>
      </c>
      <c r="AH677" s="174">
        <v>0</v>
      </c>
      <c r="AI677" s="174">
        <v>0</v>
      </c>
      <c r="AJ677" s="174">
        <v>0</v>
      </c>
      <c r="AK677" s="174">
        <v>0</v>
      </c>
      <c r="AL677" s="174">
        <v>0</v>
      </c>
      <c r="AM677" s="174">
        <v>0</v>
      </c>
      <c r="AN677" s="174">
        <v>0</v>
      </c>
      <c r="AO677" s="174">
        <v>0</v>
      </c>
      <c r="AP677" s="174">
        <v>0</v>
      </c>
      <c r="AQ677" s="174">
        <v>0</v>
      </c>
      <c r="AR677" s="174">
        <v>0</v>
      </c>
      <c r="AS677" s="174">
        <v>0</v>
      </c>
      <c r="AT677" s="174">
        <v>0</v>
      </c>
      <c r="AU677" s="174">
        <v>0</v>
      </c>
      <c r="AV677" s="174">
        <v>0</v>
      </c>
      <c r="AW677" s="174">
        <v>0</v>
      </c>
      <c r="AX677" s="174">
        <v>0</v>
      </c>
      <c r="AY677" s="174">
        <v>0</v>
      </c>
      <c r="AZ677" s="174">
        <v>0</v>
      </c>
      <c r="BA677" s="174">
        <v>0</v>
      </c>
      <c r="BB677" s="174">
        <v>0</v>
      </c>
      <c r="BC677" s="174">
        <v>0</v>
      </c>
      <c r="BD677" s="174">
        <v>0</v>
      </c>
      <c r="BE677" s="174">
        <v>0</v>
      </c>
      <c r="BF677" s="174">
        <v>0</v>
      </c>
      <c r="BG677" s="174">
        <v>0</v>
      </c>
      <c r="BH677" s="174">
        <v>0</v>
      </c>
      <c r="BI677" s="174">
        <v>0</v>
      </c>
      <c r="BJ677" s="174">
        <v>0</v>
      </c>
      <c r="BK677" s="174">
        <v>0</v>
      </c>
      <c r="BL677" s="174">
        <v>0</v>
      </c>
      <c r="BM677" s="174">
        <v>0</v>
      </c>
      <c r="BN677" s="174">
        <v>0</v>
      </c>
      <c r="BO677" s="174">
        <v>0</v>
      </c>
      <c r="BP677" s="174">
        <v>0</v>
      </c>
      <c r="BQ677" s="174">
        <v>0</v>
      </c>
      <c r="BR677" s="174">
        <v>0</v>
      </c>
      <c r="BS677" s="174">
        <v>0</v>
      </c>
      <c r="BT677" s="174">
        <v>0</v>
      </c>
      <c r="BU677" s="174">
        <v>0</v>
      </c>
      <c r="BV677" s="174">
        <v>0</v>
      </c>
      <c r="BW677" s="174">
        <v>0</v>
      </c>
      <c r="BX677" s="174">
        <v>0</v>
      </c>
      <c r="BY677" s="174">
        <v>0</v>
      </c>
      <c r="BZ677" s="174">
        <v>0</v>
      </c>
      <c r="CA677" s="174">
        <v>0</v>
      </c>
      <c r="CB677" s="174">
        <v>0</v>
      </c>
      <c r="CC677" s="174">
        <v>0</v>
      </c>
      <c r="CD677" s="174">
        <v>0</v>
      </c>
      <c r="CE677" s="174">
        <v>0</v>
      </c>
      <c r="CF677" s="174">
        <v>0</v>
      </c>
      <c r="CG677" s="174">
        <v>0</v>
      </c>
      <c r="CH677" s="174">
        <v>0</v>
      </c>
      <c r="CI677" s="174">
        <v>0</v>
      </c>
      <c r="CJ677" s="174">
        <v>0</v>
      </c>
      <c r="CK677" s="174">
        <v>0</v>
      </c>
      <c r="CL677" s="174">
        <v>0</v>
      </c>
      <c r="CM677" s="174">
        <v>0</v>
      </c>
      <c r="CN677" s="174">
        <v>0</v>
      </c>
      <c r="CO677" s="174">
        <v>0</v>
      </c>
    </row>
    <row r="678" spans="1:93" x14ac:dyDescent="0.2">
      <c r="A678" s="118">
        <f t="shared" si="56"/>
        <v>31</v>
      </c>
      <c r="B678" s="223"/>
      <c r="C678" s="225" t="s">
        <v>121</v>
      </c>
      <c r="D678" s="227"/>
      <c r="E678" s="227"/>
      <c r="F678" s="203"/>
      <c r="G678" s="227"/>
      <c r="H678" s="300">
        <f>SUM(H675:H677)</f>
        <v>-484423.28770000004</v>
      </c>
      <c r="I678" s="308"/>
      <c r="J678" s="227"/>
      <c r="K678" s="227"/>
      <c r="L678" s="203"/>
      <c r="M678" s="227"/>
      <c r="N678" s="300">
        <f>SUM(N675:N677)</f>
        <v>-499751.72</v>
      </c>
      <c r="O678" s="227"/>
      <c r="Q678" s="176"/>
      <c r="T678" s="264"/>
      <c r="U678" s="184"/>
      <c r="V678" s="179"/>
      <c r="W678" s="180"/>
      <c r="X678" s="264"/>
      <c r="Y678" s="184"/>
      <c r="Z678" s="181"/>
      <c r="AA678" s="264"/>
      <c r="AB678" s="264"/>
      <c r="AD678" s="245"/>
    </row>
    <row r="679" spans="1:93" x14ac:dyDescent="0.2">
      <c r="A679" s="118">
        <f t="shared" si="56"/>
        <v>32</v>
      </c>
      <c r="B679" s="223"/>
      <c r="C679" s="225"/>
      <c r="D679" s="227"/>
      <c r="E679" s="227"/>
      <c r="F679" s="197"/>
      <c r="G679" s="227"/>
      <c r="H679" s="203"/>
      <c r="I679" s="308"/>
      <c r="J679" s="227"/>
      <c r="K679" s="227"/>
      <c r="L679" s="197"/>
      <c r="M679" s="227"/>
      <c r="N679" s="203"/>
      <c r="O679" s="227"/>
      <c r="Q679" s="227"/>
      <c r="U679" s="184"/>
      <c r="V679" s="179"/>
      <c r="W679" s="180"/>
      <c r="Y679" s="184"/>
      <c r="Z679" s="181"/>
    </row>
    <row r="680" spans="1:93" ht="10.8" thickBot="1" x14ac:dyDescent="0.25">
      <c r="A680" s="118">
        <f t="shared" si="56"/>
        <v>33</v>
      </c>
      <c r="B680" s="246" t="s">
        <v>658</v>
      </c>
      <c r="C680" s="227"/>
      <c r="D680" s="227"/>
      <c r="E680" s="227"/>
      <c r="F680" s="197"/>
      <c r="G680" s="227"/>
      <c r="H680" s="330">
        <f>+H678+H673+H667+H652</f>
        <v>4031393.6522999997</v>
      </c>
      <c r="I680" s="308"/>
      <c r="J680" s="227"/>
      <c r="K680" s="227"/>
      <c r="L680" s="197"/>
      <c r="M680" s="227"/>
      <c r="N680" s="330">
        <f>+N678+N673+N667+N652</f>
        <v>4194759.17</v>
      </c>
      <c r="O680" s="227"/>
      <c r="P680" s="227"/>
      <c r="Q680" s="939">
        <f>(N680-H680)/H680</f>
        <v>4.0523335548439073E-2</v>
      </c>
      <c r="U680" s="184"/>
      <c r="V680" s="179"/>
      <c r="W680" s="180"/>
      <c r="Y680" s="184" t="s">
        <v>140</v>
      </c>
      <c r="Z680" s="181" t="s">
        <v>121</v>
      </c>
    </row>
    <row r="681" spans="1:93" ht="10.8" thickTop="1" x14ac:dyDescent="0.2">
      <c r="A681" s="118">
        <f t="shared" si="56"/>
        <v>34</v>
      </c>
      <c r="B681" s="227"/>
      <c r="C681" s="227"/>
      <c r="D681" s="227"/>
      <c r="E681" s="227"/>
      <c r="F681" s="197"/>
      <c r="G681" s="227"/>
      <c r="H681" s="203"/>
      <c r="I681" s="308"/>
      <c r="J681" s="227"/>
      <c r="K681" s="227"/>
      <c r="L681" s="197"/>
      <c r="M681" s="227"/>
      <c r="N681" s="203"/>
      <c r="O681" s="227"/>
      <c r="P681" s="227"/>
      <c r="Q681" s="227"/>
      <c r="U681" s="178"/>
      <c r="V681" s="179"/>
      <c r="W681" s="180"/>
      <c r="Y681" s="178"/>
      <c r="Z681" s="181"/>
    </row>
    <row r="682" spans="1:93" x14ac:dyDescent="0.2">
      <c r="A682" s="118">
        <f t="shared" si="56"/>
        <v>35</v>
      </c>
      <c r="B682" s="227"/>
      <c r="C682" s="227"/>
      <c r="D682" s="227"/>
      <c r="E682" s="227"/>
      <c r="F682" s="197"/>
      <c r="G682" s="227"/>
      <c r="H682" s="1301"/>
      <c r="I682" s="308"/>
      <c r="J682" s="234" t="s">
        <v>573</v>
      </c>
      <c r="K682" s="225"/>
      <c r="L682" s="197"/>
      <c r="M682" s="223"/>
      <c r="N682" s="174">
        <f>N680-H680</f>
        <v>163365.5177000002</v>
      </c>
      <c r="O682" s="227"/>
      <c r="P682" s="227"/>
      <c r="Q682" s="227"/>
      <c r="U682" s="178"/>
      <c r="V682" s="179"/>
      <c r="W682" s="180"/>
      <c r="Y682" s="178"/>
      <c r="Z682" s="181"/>
    </row>
    <row r="683" spans="1:93" x14ac:dyDescent="0.2">
      <c r="A683" s="118">
        <f t="shared" si="56"/>
        <v>36</v>
      </c>
      <c r="B683" s="234"/>
      <c r="C683" s="223"/>
      <c r="D683" s="168"/>
      <c r="E683" s="225"/>
      <c r="F683" s="183"/>
      <c r="G683" s="233"/>
      <c r="H683" s="1301"/>
      <c r="I683" s="308"/>
      <c r="J683" s="168"/>
      <c r="K683" s="225"/>
      <c r="L683" s="183"/>
      <c r="M683" s="233"/>
      <c r="N683" s="174"/>
      <c r="O683" s="227"/>
      <c r="P683" s="227"/>
      <c r="Q683" s="227"/>
      <c r="U683" s="184"/>
      <c r="V683" s="179"/>
      <c r="W683" s="180"/>
      <c r="Y683" s="184"/>
      <c r="Z683" s="181"/>
    </row>
    <row r="684" spans="1:93" x14ac:dyDescent="0.2">
      <c r="A684" s="118">
        <f t="shared" si="56"/>
        <v>37</v>
      </c>
      <c r="B684" s="243"/>
      <c r="C684" s="223"/>
      <c r="D684" s="168"/>
      <c r="E684" s="225"/>
      <c r="F684" s="183"/>
      <c r="G684" s="233"/>
      <c r="H684" s="1302"/>
      <c r="I684" s="308"/>
      <c r="J684" s="171" t="s">
        <v>659</v>
      </c>
      <c r="M684" s="233"/>
      <c r="N684" s="174">
        <f>-ROUND((H680-(H680*(1+'Exhibit MJC-2 - Old E-8a'!V27))),2)</f>
        <v>163366.16</v>
      </c>
      <c r="O684" s="227"/>
      <c r="P684" s="227"/>
      <c r="Q684" s="939">
        <f>N684/H680</f>
        <v>4.0523494872994101E-2</v>
      </c>
      <c r="U684" s="184"/>
      <c r="V684" s="179"/>
      <c r="W684" s="180"/>
      <c r="Y684" s="184"/>
      <c r="Z684" s="181"/>
    </row>
    <row r="685" spans="1:93" x14ac:dyDescent="0.2">
      <c r="A685" s="118">
        <f t="shared" si="56"/>
        <v>38</v>
      </c>
      <c r="B685" s="243"/>
      <c r="C685" s="223"/>
      <c r="D685" s="168"/>
      <c r="E685" s="233"/>
      <c r="F685" s="205"/>
      <c r="G685" s="233"/>
      <c r="H685" s="1302"/>
      <c r="I685" s="308"/>
      <c r="M685" s="233"/>
      <c r="N685" s="174"/>
      <c r="O685" s="227"/>
      <c r="P685" s="227"/>
      <c r="Q685" s="227"/>
      <c r="U685" s="184"/>
      <c r="V685" s="179"/>
      <c r="W685" s="180"/>
      <c r="Y685" s="184"/>
      <c r="Z685" s="181"/>
    </row>
    <row r="686" spans="1:93" x14ac:dyDescent="0.2">
      <c r="A686" s="118">
        <f t="shared" si="56"/>
        <v>39</v>
      </c>
      <c r="B686" s="243"/>
      <c r="C686" s="223"/>
      <c r="D686" s="168"/>
      <c r="E686" s="233"/>
      <c r="F686" s="205"/>
      <c r="G686" s="233"/>
      <c r="H686" s="1302"/>
      <c r="I686" s="308"/>
      <c r="J686" s="171" t="s">
        <v>575</v>
      </c>
      <c r="N686" s="214">
        <f>N682-N684</f>
        <v>-0.64229999980307184</v>
      </c>
      <c r="O686" s="227"/>
      <c r="P686" s="227"/>
      <c r="Q686" s="227"/>
      <c r="U686" s="184"/>
      <c r="V686" s="179"/>
      <c r="W686" s="180"/>
      <c r="Y686" s="184"/>
      <c r="Z686" s="181"/>
    </row>
    <row r="687" spans="1:93" x14ac:dyDescent="0.2">
      <c r="A687" s="118">
        <f t="shared" si="56"/>
        <v>40</v>
      </c>
      <c r="B687" s="243"/>
      <c r="C687" s="223"/>
      <c r="D687" s="168"/>
      <c r="E687" s="233"/>
      <c r="F687" s="205"/>
      <c r="G687" s="233"/>
      <c r="H687" s="1150"/>
      <c r="I687" s="308"/>
      <c r="J687" s="168"/>
      <c r="K687" s="233"/>
      <c r="L687" s="205"/>
      <c r="M687" s="233"/>
      <c r="N687" s="174"/>
      <c r="O687" s="227"/>
      <c r="P687" s="227"/>
      <c r="Q687" s="227"/>
      <c r="U687" s="184"/>
      <c r="V687" s="179"/>
      <c r="W687" s="180"/>
      <c r="Y687" s="184"/>
      <c r="Z687" s="181"/>
    </row>
    <row r="688" spans="1:93" x14ac:dyDescent="0.2">
      <c r="A688" s="118">
        <f t="shared" si="56"/>
        <v>41</v>
      </c>
      <c r="B688" s="243"/>
      <c r="C688" s="223"/>
      <c r="D688" s="168"/>
      <c r="E688" s="233"/>
      <c r="F688" s="205"/>
      <c r="G688" s="233"/>
      <c r="H688" s="174"/>
      <c r="I688" s="308"/>
      <c r="J688" s="168"/>
      <c r="K688" s="233"/>
      <c r="L688" s="205"/>
      <c r="M688" s="233"/>
      <c r="N688" s="732">
        <f>N686/N684</f>
        <v>-3.9316587952062522E-6</v>
      </c>
      <c r="O688" s="227"/>
      <c r="P688" s="227"/>
      <c r="Q688" s="227"/>
      <c r="U688" s="184"/>
      <c r="V688" s="179"/>
      <c r="W688" s="180"/>
      <c r="Y688" s="184"/>
      <c r="Z688" s="181"/>
    </row>
    <row r="689" spans="1:93" x14ac:dyDescent="0.2">
      <c r="A689" s="118">
        <f t="shared" si="56"/>
        <v>42</v>
      </c>
      <c r="B689" s="243"/>
      <c r="C689" s="223"/>
      <c r="D689" s="168"/>
      <c r="E689" s="233"/>
      <c r="F689" s="205"/>
      <c r="G689" s="233"/>
      <c r="H689" s="174"/>
      <c r="I689" s="308"/>
      <c r="J689" s="168"/>
      <c r="K689" s="233"/>
      <c r="L689" s="205"/>
      <c r="M689" s="233"/>
      <c r="N689" s="174"/>
      <c r="O689" s="227"/>
      <c r="P689" s="227"/>
      <c r="Q689" s="227"/>
      <c r="U689" s="184"/>
      <c r="V689" s="179"/>
      <c r="W689" s="180"/>
      <c r="Y689" s="184"/>
      <c r="Z689" s="181"/>
    </row>
    <row r="690" spans="1:93" x14ac:dyDescent="0.2">
      <c r="A690" s="118">
        <f t="shared" si="56"/>
        <v>43</v>
      </c>
      <c r="B690" s="243"/>
      <c r="C690" s="223"/>
      <c r="D690" s="168"/>
      <c r="E690" s="233"/>
      <c r="F690" s="205"/>
      <c r="G690" s="233"/>
      <c r="H690" s="174"/>
      <c r="I690" s="308"/>
      <c r="J690" s="168"/>
      <c r="K690" s="233"/>
      <c r="L690" s="205"/>
      <c r="M690" s="233"/>
      <c r="N690" s="174"/>
      <c r="O690" s="227"/>
      <c r="P690" s="227"/>
      <c r="Q690" s="227"/>
      <c r="U690" s="184"/>
      <c r="V690" s="179"/>
      <c r="W690" s="180"/>
      <c r="Y690" s="184"/>
      <c r="Z690" s="181"/>
    </row>
    <row r="691" spans="1:93" x14ac:dyDescent="0.2">
      <c r="A691" s="215"/>
      <c r="B691" s="215" t="s">
        <v>98</v>
      </c>
      <c r="C691" s="215"/>
      <c r="D691" s="215"/>
      <c r="E691" s="215"/>
      <c r="F691" s="299"/>
      <c r="G691" s="215"/>
      <c r="H691" s="300"/>
      <c r="I691" s="215"/>
      <c r="J691" s="215"/>
      <c r="K691" s="215"/>
      <c r="L691" s="299"/>
      <c r="M691" s="215"/>
      <c r="N691" s="300" t="s">
        <v>99</v>
      </c>
      <c r="O691" s="215"/>
      <c r="P691" s="215"/>
      <c r="Q691" s="215"/>
      <c r="Y691" s="101"/>
    </row>
    <row r="692" spans="1:93" x14ac:dyDescent="0.2">
      <c r="A692" s="216"/>
      <c r="B692" s="216"/>
      <c r="C692" s="216"/>
      <c r="D692" s="216"/>
      <c r="E692" s="216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7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  <c r="AO692" s="216"/>
      <c r="AP692" s="216"/>
      <c r="AQ692" s="216"/>
      <c r="AR692" s="216"/>
      <c r="AS692" s="216"/>
      <c r="AT692" s="216"/>
      <c r="AU692" s="216"/>
      <c r="AV692" s="216"/>
      <c r="AW692" s="216"/>
      <c r="AX692" s="216"/>
      <c r="AY692" s="216"/>
      <c r="AZ692" s="216"/>
      <c r="BA692" s="216"/>
      <c r="BB692" s="216"/>
      <c r="BC692" s="216"/>
      <c r="BD692" s="216"/>
      <c r="BE692" s="216"/>
      <c r="BF692" s="216"/>
      <c r="BG692" s="216"/>
      <c r="BH692" s="216"/>
      <c r="BI692" s="216"/>
      <c r="BJ692" s="216"/>
      <c r="BK692" s="216"/>
      <c r="BL692" s="216"/>
      <c r="BM692" s="216"/>
      <c r="BN692" s="216"/>
      <c r="BO692" s="216"/>
      <c r="BP692" s="216"/>
      <c r="BQ692" s="216"/>
      <c r="BR692" s="216"/>
      <c r="BS692" s="216"/>
      <c r="BT692" s="216"/>
      <c r="BU692" s="216"/>
      <c r="BV692" s="216"/>
      <c r="BW692" s="216"/>
      <c r="BX692" s="216"/>
      <c r="BY692" s="216"/>
      <c r="BZ692" s="216"/>
      <c r="CA692" s="216"/>
      <c r="CB692" s="216"/>
      <c r="CC692" s="216"/>
      <c r="CD692" s="216"/>
      <c r="CE692" s="216"/>
      <c r="CF692" s="216"/>
      <c r="CG692" s="216"/>
      <c r="CH692" s="216"/>
      <c r="CI692" s="216"/>
      <c r="CJ692" s="216"/>
      <c r="CK692" s="216"/>
      <c r="CL692" s="216"/>
      <c r="CM692" s="216"/>
      <c r="CN692" s="216"/>
      <c r="CO692" s="216"/>
    </row>
    <row r="693" spans="1:93" ht="13.8" x14ac:dyDescent="0.3">
      <c r="A693" s="12" t="s">
        <v>667</v>
      </c>
      <c r="C693" s="102"/>
      <c r="D693" s="1280"/>
      <c r="F693" s="104"/>
      <c r="G693" s="104"/>
      <c r="H693" s="361" t="s">
        <v>668</v>
      </c>
      <c r="I693" s="104"/>
      <c r="J693" s="104"/>
      <c r="K693" s="104"/>
      <c r="L693" s="104"/>
      <c r="N693" s="105"/>
      <c r="Q693" s="106" t="str">
        <f>'MFR E-13c'!Q590</f>
        <v>Page 26 of 39</v>
      </c>
      <c r="R693" s="105"/>
      <c r="S693" s="105"/>
      <c r="U693" s="114"/>
      <c r="V693" s="114"/>
      <c r="W693" s="114"/>
      <c r="Y693" s="114"/>
      <c r="Z693" s="218"/>
      <c r="AC693" s="114"/>
    </row>
    <row r="694" spans="1:93" ht="10.8" thickBot="1" x14ac:dyDescent="0.25">
      <c r="A694" s="108"/>
      <c r="B694" s="109"/>
      <c r="C694" s="109"/>
      <c r="D694" s="109"/>
      <c r="E694" s="110" t="s">
        <v>416</v>
      </c>
      <c r="F694" s="109"/>
      <c r="G694" s="109" t="s">
        <v>416</v>
      </c>
      <c r="H694" s="109" t="s">
        <v>416</v>
      </c>
      <c r="I694" s="109" t="s">
        <v>416</v>
      </c>
      <c r="J694" s="109"/>
      <c r="K694" s="109"/>
      <c r="L694" s="109"/>
      <c r="M694" s="111"/>
      <c r="N694" s="111"/>
      <c r="O694" s="109"/>
      <c r="P694" s="112"/>
      <c r="Q694" s="109"/>
      <c r="U694" s="114"/>
      <c r="V694" s="114"/>
      <c r="W694" s="114"/>
      <c r="Y694" s="114"/>
      <c r="Z694" s="218"/>
      <c r="AC694" s="114"/>
    </row>
    <row r="695" spans="1:93" x14ac:dyDescent="0.2">
      <c r="A695" s="113"/>
      <c r="M695" s="105"/>
      <c r="N695" s="105"/>
      <c r="P695" s="114"/>
      <c r="U695" s="114"/>
      <c r="V695" s="114"/>
      <c r="W695" s="114"/>
      <c r="Y695" s="114"/>
      <c r="Z695" s="218"/>
      <c r="AC695" s="114"/>
    </row>
    <row r="696" spans="1:93" ht="13.8" x14ac:dyDescent="0.2">
      <c r="A696" s="100"/>
      <c r="C696" s="1278" t="s">
        <v>4</v>
      </c>
      <c r="D696" s="1386" t="s">
        <v>669</v>
      </c>
      <c r="E696" s="1386"/>
      <c r="F696" s="1386"/>
      <c r="G696" s="1386"/>
      <c r="H696" s="1386"/>
      <c r="I696" s="1386"/>
      <c r="J696" s="1386"/>
      <c r="K696" s="1386"/>
      <c r="L696" s="1386"/>
      <c r="M696" s="1386"/>
      <c r="N696" s="1386"/>
      <c r="O696" s="1279"/>
      <c r="P696" s="1279"/>
      <c r="U696" s="114"/>
      <c r="V696" s="114"/>
      <c r="W696" s="114"/>
      <c r="Y696" s="114"/>
      <c r="Z696" s="218"/>
      <c r="AC696" s="114"/>
    </row>
    <row r="697" spans="1:93" ht="13.8" x14ac:dyDescent="0.2">
      <c r="C697" s="1279"/>
      <c r="D697" s="1386" t="s">
        <v>670</v>
      </c>
      <c r="E697" s="1386"/>
      <c r="F697" s="1386"/>
      <c r="G697" s="1386"/>
      <c r="H697" s="1386"/>
      <c r="I697" s="1386"/>
      <c r="J697" s="1386"/>
      <c r="K697" s="1386"/>
      <c r="L697" s="1386"/>
      <c r="M697" s="1386"/>
      <c r="N697" s="1386"/>
      <c r="O697" s="1279"/>
      <c r="P697" s="1279"/>
      <c r="U697" s="114"/>
      <c r="V697" s="114"/>
      <c r="W697" s="114"/>
      <c r="Y697" s="114"/>
      <c r="Z697" s="218"/>
      <c r="AC697" s="114"/>
    </row>
    <row r="698" spans="1:93" ht="13.8" x14ac:dyDescent="0.3">
      <c r="A698" s="100"/>
      <c r="C698" s="21"/>
      <c r="D698" s="1386" t="s">
        <v>671</v>
      </c>
      <c r="E698" s="1386"/>
      <c r="F698" s="1386"/>
      <c r="G698" s="1386"/>
      <c r="H698" s="1386"/>
      <c r="I698" s="1386"/>
      <c r="J698" s="1386"/>
      <c r="K698" s="1386"/>
      <c r="L698" s="1386"/>
      <c r="M698" s="1386"/>
      <c r="N698" s="1386"/>
      <c r="O698" s="107"/>
      <c r="U698" s="114"/>
      <c r="V698" s="114"/>
      <c r="W698" s="114"/>
      <c r="Y698" s="114"/>
      <c r="Z698" s="218"/>
      <c r="AC698" s="114"/>
    </row>
    <row r="699" spans="1:93" x14ac:dyDescent="0.2">
      <c r="U699" s="114"/>
      <c r="V699" s="114"/>
      <c r="W699" s="114"/>
      <c r="Y699" s="114"/>
      <c r="Z699" s="218"/>
      <c r="AC699" s="114"/>
    </row>
    <row r="700" spans="1:93" x14ac:dyDescent="0.2">
      <c r="A700" s="100"/>
      <c r="C700" s="119"/>
      <c r="O700" s="100"/>
      <c r="U700" s="114"/>
      <c r="V700" s="114"/>
      <c r="W700" s="114"/>
      <c r="Y700" s="114"/>
      <c r="Z700" s="218"/>
      <c r="AC700" s="114"/>
    </row>
    <row r="701" spans="1:93" ht="10.8" thickBot="1" x14ac:dyDescent="0.25">
      <c r="A701" s="123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23"/>
      <c r="O701" s="109"/>
      <c r="P701" s="109"/>
      <c r="Q701" s="109"/>
      <c r="U701" s="114"/>
      <c r="V701" s="114"/>
      <c r="W701" s="114"/>
      <c r="Y701" s="114"/>
      <c r="Z701" s="218"/>
      <c r="AC701" s="114"/>
    </row>
    <row r="702" spans="1:93" ht="15.6" x14ac:dyDescent="0.2">
      <c r="B702" s="1369"/>
      <c r="C702" s="125"/>
      <c r="D702" s="125"/>
      <c r="E702" s="125"/>
      <c r="F702" s="276"/>
      <c r="G702" s="125"/>
      <c r="H702" s="277"/>
      <c r="I702" s="126" t="s">
        <v>661</v>
      </c>
      <c r="J702" s="125"/>
      <c r="K702" s="125"/>
      <c r="L702" s="276"/>
      <c r="M702" s="125"/>
      <c r="N702" s="277"/>
      <c r="U702" s="127" t="s">
        <v>530</v>
      </c>
      <c r="V702" s="128"/>
      <c r="W702" s="129"/>
      <c r="Y702" s="130" t="s">
        <v>531</v>
      </c>
      <c r="Z702" s="131"/>
    </row>
    <row r="703" spans="1:93" x14ac:dyDescent="0.2">
      <c r="A703" s="101" t="s">
        <v>30</v>
      </c>
      <c r="B703" s="101" t="s">
        <v>532</v>
      </c>
      <c r="C703" s="132"/>
      <c r="D703" s="133" t="s">
        <v>533</v>
      </c>
      <c r="E703" s="134"/>
      <c r="F703" s="278"/>
      <c r="G703" s="133"/>
      <c r="H703" s="279"/>
      <c r="I703" s="135"/>
      <c r="J703" s="136" t="s">
        <v>534</v>
      </c>
      <c r="K703" s="133"/>
      <c r="L703" s="278"/>
      <c r="M703" s="134"/>
      <c r="N703" s="280"/>
      <c r="O703" s="137"/>
      <c r="Q703" s="118" t="s">
        <v>332</v>
      </c>
      <c r="U703" s="138"/>
      <c r="V703" s="139"/>
      <c r="W703" s="140"/>
      <c r="Y703" s="138"/>
      <c r="Z703" s="141"/>
      <c r="AH703" s="116"/>
      <c r="AI703" s="116"/>
      <c r="AJ703" s="116"/>
      <c r="AK703" s="116"/>
      <c r="AL703" s="116"/>
      <c r="AM703" s="116"/>
      <c r="AN703" s="116"/>
      <c r="AO703" s="116"/>
      <c r="AP703" s="116"/>
      <c r="AQ703" s="116"/>
      <c r="AR703" s="116"/>
      <c r="AS703" s="116"/>
      <c r="AT703" s="116"/>
      <c r="AU703" s="116"/>
      <c r="AV703" s="116"/>
      <c r="AW703" s="116"/>
      <c r="AX703" s="116"/>
      <c r="AY703" s="116"/>
      <c r="AZ703" s="116"/>
      <c r="BA703" s="116"/>
      <c r="BB703" s="116"/>
      <c r="BC703" s="116"/>
      <c r="BD703" s="116"/>
      <c r="BE703" s="116"/>
      <c r="BF703" s="116"/>
      <c r="BG703" s="116"/>
      <c r="BH703" s="116"/>
      <c r="BI703" s="116"/>
      <c r="BJ703" s="116"/>
      <c r="BK703" s="116"/>
      <c r="BL703" s="116"/>
      <c r="BM703" s="116"/>
      <c r="BN703" s="116"/>
      <c r="BO703" s="116"/>
      <c r="BP703" s="116"/>
      <c r="BQ703" s="116"/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</row>
    <row r="704" spans="1:93" x14ac:dyDescent="0.2">
      <c r="A704" s="101" t="s">
        <v>39</v>
      </c>
      <c r="B704" s="102" t="s">
        <v>535</v>
      </c>
      <c r="C704" s="104"/>
      <c r="D704" s="142" t="s">
        <v>536</v>
      </c>
      <c r="E704" s="143"/>
      <c r="F704" s="281" t="s">
        <v>537</v>
      </c>
      <c r="G704" s="142"/>
      <c r="H704" s="282" t="s">
        <v>538</v>
      </c>
      <c r="I704" s="144"/>
      <c r="J704" s="142" t="s">
        <v>536</v>
      </c>
      <c r="K704" s="143"/>
      <c r="L704" s="281" t="s">
        <v>537</v>
      </c>
      <c r="M704" s="142"/>
      <c r="N704" s="282" t="s">
        <v>538</v>
      </c>
      <c r="O704" s="132"/>
      <c r="Q704" s="145" t="s">
        <v>539</v>
      </c>
      <c r="R704" s="132"/>
      <c r="S704" s="132"/>
      <c r="U704" s="138" t="s">
        <v>128</v>
      </c>
      <c r="V704" s="146" t="s">
        <v>343</v>
      </c>
      <c r="W704" s="147" t="s">
        <v>344</v>
      </c>
      <c r="Y704" s="148" t="s">
        <v>128</v>
      </c>
      <c r="Z704" s="149"/>
      <c r="AH704" s="116"/>
      <c r="AI704" s="116"/>
      <c r="AJ704" s="116"/>
      <c r="AK704" s="116"/>
      <c r="AL704" s="116"/>
      <c r="AM704" s="116"/>
      <c r="AN704" s="116"/>
      <c r="AO704" s="116"/>
      <c r="AP704" s="116"/>
      <c r="AQ704" s="116"/>
      <c r="AR704" s="116"/>
      <c r="AS704" s="116"/>
      <c r="AT704" s="116"/>
      <c r="AU704" s="116"/>
      <c r="AV704" s="116"/>
      <c r="AW704" s="116"/>
      <c r="AX704" s="116"/>
      <c r="AY704" s="116"/>
      <c r="AZ704" s="116"/>
      <c r="BA704" s="116"/>
      <c r="BB704" s="116"/>
      <c r="BC704" s="116"/>
      <c r="BD704" s="116"/>
      <c r="BE704" s="116"/>
      <c r="BF704" s="116"/>
      <c r="BG704" s="116"/>
      <c r="BH704" s="116"/>
      <c r="BI704" s="116"/>
      <c r="BJ704" s="116"/>
      <c r="BK704" s="116"/>
      <c r="BL704" s="116"/>
      <c r="BM704" s="116"/>
      <c r="BN704" s="116"/>
      <c r="BO704" s="116"/>
      <c r="BP704" s="116"/>
      <c r="BQ704" s="116"/>
      <c r="BR704" s="116"/>
      <c r="BS704" s="116"/>
      <c r="BT704" s="116"/>
      <c r="BU704" s="116"/>
      <c r="BV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I704" s="116"/>
      <c r="CJ704" s="116"/>
      <c r="CK704" s="116"/>
      <c r="CL704" s="116"/>
      <c r="CM704" s="116"/>
      <c r="CN704" s="116"/>
      <c r="CO704" s="116"/>
    </row>
    <row r="705" spans="1:93" ht="10.8" thickBot="1" x14ac:dyDescent="0.25">
      <c r="A705" s="109"/>
      <c r="B705" s="1370" t="s">
        <v>139</v>
      </c>
      <c r="C705" s="150"/>
      <c r="D705" s="220" t="str">
        <f>+$D$15</f>
        <v>Jan '26-Dec '26</v>
      </c>
      <c r="E705" s="221"/>
      <c r="F705" s="152">
        <f>+$L$15</f>
        <v>46023</v>
      </c>
      <c r="G705" s="153"/>
      <c r="H705" s="153"/>
      <c r="I705" s="153"/>
      <c r="J705" s="153"/>
      <c r="K705" s="151"/>
      <c r="L705" s="152">
        <f>+$L$15</f>
        <v>46023</v>
      </c>
      <c r="M705" s="154"/>
      <c r="N705" s="283"/>
      <c r="O705" s="155"/>
      <c r="P705" s="109"/>
      <c r="Q705" s="156"/>
      <c r="R705" s="132"/>
      <c r="S705" s="132"/>
      <c r="U705" s="157" t="s">
        <v>144</v>
      </c>
      <c r="V705" s="158" t="s">
        <v>540</v>
      </c>
      <c r="W705" s="159" t="s">
        <v>540</v>
      </c>
      <c r="Y705" s="160" t="s">
        <v>144</v>
      </c>
      <c r="Z705" s="159" t="s">
        <v>541</v>
      </c>
      <c r="AH705" s="116"/>
      <c r="AI705" s="116"/>
      <c r="AJ705" s="116"/>
      <c r="AK705" s="116"/>
      <c r="AL705" s="116"/>
      <c r="AM705" s="116"/>
      <c r="AN705" s="116"/>
      <c r="AO705" s="116"/>
      <c r="AP705" s="116"/>
      <c r="AQ705" s="116"/>
      <c r="AR705" s="116"/>
      <c r="AS705" s="116"/>
      <c r="AT705" s="116"/>
      <c r="AU705" s="116"/>
      <c r="AV705" s="116"/>
      <c r="AW705" s="116"/>
      <c r="AX705" s="116"/>
      <c r="AY705" s="116"/>
      <c r="AZ705" s="116"/>
      <c r="BA705" s="116"/>
      <c r="BB705" s="116"/>
      <c r="BC705" s="116"/>
      <c r="BD705" s="116"/>
      <c r="BE705" s="116"/>
      <c r="BF705" s="116"/>
      <c r="BG705" s="116"/>
      <c r="BH705" s="116"/>
      <c r="BI705" s="116"/>
      <c r="BJ705" s="116"/>
      <c r="BK705" s="116"/>
      <c r="BL705" s="116"/>
      <c r="BM705" s="116"/>
      <c r="BN705" s="116"/>
      <c r="BO705" s="116"/>
      <c r="BP705" s="116"/>
      <c r="BQ705" s="116"/>
      <c r="BR705" s="116"/>
      <c r="BS705" s="116"/>
      <c r="BT705" s="116"/>
      <c r="BU705" s="116"/>
      <c r="BV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I705" s="116"/>
      <c r="CJ705" s="116"/>
      <c r="CK705" s="116"/>
      <c r="CL705" s="116"/>
      <c r="CM705" s="116"/>
      <c r="CN705" s="116"/>
      <c r="CO705" s="116"/>
    </row>
    <row r="706" spans="1:93" x14ac:dyDescent="0.2">
      <c r="A706" s="118">
        <v>1</v>
      </c>
      <c r="F706" s="197"/>
      <c r="H706" s="203"/>
      <c r="I706" s="308"/>
      <c r="L706" s="197"/>
      <c r="N706" s="203"/>
      <c r="O706" s="227"/>
      <c r="P706" s="227"/>
      <c r="Q706" s="230"/>
      <c r="R706" s="132"/>
      <c r="S706" s="132"/>
      <c r="U706" s="163"/>
      <c r="V706" s="139"/>
      <c r="W706" s="140"/>
      <c r="Y706" s="163"/>
      <c r="Z706" s="141"/>
      <c r="AH706" s="116"/>
      <c r="AI706" s="116"/>
      <c r="AJ706" s="116"/>
      <c r="AK706" s="116"/>
      <c r="AL706" s="116"/>
      <c r="AM706" s="116"/>
      <c r="AN706" s="116"/>
      <c r="AO706" s="116"/>
      <c r="AP706" s="116"/>
      <c r="AQ706" s="116"/>
      <c r="AR706" s="116"/>
      <c r="AS706" s="116"/>
      <c r="AT706" s="116"/>
      <c r="AU706" s="116"/>
      <c r="AV706" s="116"/>
      <c r="AW706" s="116"/>
      <c r="AX706" s="116"/>
      <c r="AY706" s="116"/>
      <c r="AZ706" s="116"/>
      <c r="BA706" s="116"/>
      <c r="BB706" s="116"/>
      <c r="BC706" s="116"/>
      <c r="BD706" s="116"/>
      <c r="BE706" s="116"/>
      <c r="BF706" s="116"/>
      <c r="BG706" s="116"/>
      <c r="BH706" s="116"/>
      <c r="BI706" s="116"/>
      <c r="BJ706" s="116"/>
      <c r="BK706" s="116"/>
      <c r="BL706" s="116"/>
      <c r="BM706" s="116"/>
      <c r="BN706" s="116"/>
      <c r="BO706" s="116"/>
      <c r="BP706" s="116"/>
      <c r="BQ706" s="116"/>
      <c r="BR706" s="116"/>
      <c r="BS706" s="116"/>
      <c r="BT706" s="116"/>
      <c r="BU706" s="116"/>
      <c r="BV706" s="116"/>
      <c r="BW706" s="116"/>
      <c r="BX706" s="116"/>
      <c r="BY706" s="116"/>
      <c r="BZ706" s="116"/>
      <c r="CA706" s="116"/>
      <c r="CB706" s="116"/>
      <c r="CC706" s="116"/>
      <c r="CD706" s="116"/>
      <c r="CE706" s="116"/>
      <c r="CF706" s="116"/>
      <c r="CG706" s="116"/>
      <c r="CH706" s="116"/>
      <c r="CI706" s="116"/>
      <c r="CJ706" s="116"/>
      <c r="CK706" s="116"/>
      <c r="CL706" s="116"/>
      <c r="CM706" s="116"/>
      <c r="CN706" s="116"/>
      <c r="CO706" s="116"/>
    </row>
    <row r="707" spans="1:93" x14ac:dyDescent="0.2">
      <c r="A707" s="118">
        <f t="shared" ref="A707:A750" si="59">+A706+1</f>
        <v>2</v>
      </c>
      <c r="B707" s="222" t="s">
        <v>542</v>
      </c>
      <c r="C707" s="223"/>
      <c r="D707" s="226"/>
      <c r="E707" s="225"/>
      <c r="F707" s="284"/>
      <c r="G707" s="227"/>
      <c r="H707" s="285"/>
      <c r="I707" s="308"/>
      <c r="J707" s="226"/>
      <c r="K707" s="225"/>
      <c r="L707" s="1368">
        <v>-8.65</v>
      </c>
      <c r="M707" s="227"/>
      <c r="N707" s="285"/>
      <c r="O707" s="227"/>
      <c r="P707" s="227"/>
      <c r="Q707" s="227"/>
      <c r="R707" s="227"/>
      <c r="S707" s="227"/>
      <c r="T707" s="227"/>
      <c r="U707" s="163"/>
      <c r="V707" s="139"/>
      <c r="W707" s="140"/>
      <c r="X707" s="227"/>
      <c r="Y707" s="163"/>
      <c r="Z707" s="141"/>
      <c r="AA707" s="227"/>
      <c r="AH707" s="116"/>
      <c r="AI707" s="116"/>
      <c r="AJ707" s="116"/>
      <c r="AK707" s="116"/>
      <c r="AL707" s="116"/>
      <c r="AM707" s="116"/>
      <c r="AN707" s="116"/>
      <c r="AO707" s="116"/>
      <c r="AP707" s="116"/>
      <c r="AQ707" s="116"/>
      <c r="AR707" s="116"/>
      <c r="AS707" s="116"/>
      <c r="AT707" s="116"/>
      <c r="AU707" s="116"/>
      <c r="AV707" s="116"/>
      <c r="AW707" s="116"/>
      <c r="AX707" s="116"/>
      <c r="AY707" s="116"/>
      <c r="AZ707" s="116"/>
      <c r="BA707" s="116"/>
      <c r="BB707" s="116"/>
      <c r="BC707" s="116"/>
      <c r="BD707" s="116"/>
      <c r="BE707" s="116"/>
      <c r="BF707" s="116"/>
      <c r="BG707" s="116"/>
      <c r="BH707" s="116"/>
      <c r="BI707" s="116"/>
      <c r="BJ707" s="116"/>
      <c r="BK707" s="116"/>
      <c r="BL707" s="116"/>
      <c r="BM707" s="116"/>
      <c r="BN707" s="116"/>
      <c r="BO707" s="116"/>
      <c r="BP707" s="116"/>
      <c r="BQ707" s="116"/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I707" s="116"/>
      <c r="CJ707" s="116"/>
      <c r="CK707" s="116"/>
      <c r="CL707" s="116"/>
      <c r="CM707" s="116"/>
      <c r="CN707" s="116"/>
      <c r="CO707" s="116"/>
    </row>
    <row r="708" spans="1:93" x14ac:dyDescent="0.2">
      <c r="A708" s="118">
        <f t="shared" si="59"/>
        <v>3</v>
      </c>
      <c r="B708" s="234" t="s">
        <v>148</v>
      </c>
      <c r="C708" s="223"/>
      <c r="D708" s="172">
        <f>SUMIF($AH$8:$CP$8,1,$AH708:$CP708)</f>
        <v>0</v>
      </c>
      <c r="E708" s="233" t="s">
        <v>545</v>
      </c>
      <c r="F708" s="183">
        <v>432.09</v>
      </c>
      <c r="G708" s="227"/>
      <c r="H708" s="174">
        <f>ROUND(D708*F708,2)</f>
        <v>0</v>
      </c>
      <c r="I708" s="308"/>
      <c r="J708" s="172">
        <f>SUMIF($AH$8:$CP$8,1,$AH708:$CP708)</f>
        <v>0</v>
      </c>
      <c r="K708" s="233" t="s">
        <v>545</v>
      </c>
      <c r="L708" s="183">
        <f>ROUND(F708*(1+'Exhibit MJC-2 - Old E-8a'!V27)+L707,2)</f>
        <v>440.95</v>
      </c>
      <c r="M708" s="227"/>
      <c r="N708" s="174">
        <f>ROUND(J708*L708,2)</f>
        <v>0</v>
      </c>
      <c r="O708" s="227"/>
      <c r="P708" s="262"/>
      <c r="Q708" s="262"/>
      <c r="R708" s="227"/>
      <c r="S708" s="227"/>
      <c r="T708" s="227"/>
      <c r="U708" s="184" t="s">
        <v>139</v>
      </c>
      <c r="V708" s="179">
        <v>258</v>
      </c>
      <c r="W708" s="180">
        <v>232</v>
      </c>
      <c r="X708" s="227"/>
      <c r="Y708" s="184"/>
      <c r="Z708" s="181"/>
      <c r="AA708" s="227"/>
      <c r="AB708" s="182">
        <f>SUM(AH708:AS708)</f>
        <v>8.9645961239810248</v>
      </c>
      <c r="AC708" s="182">
        <f>SUM(AT708:BE708)</f>
        <v>0</v>
      </c>
      <c r="AD708" s="182">
        <f>SUM(BF708:BQ708)</f>
        <v>0</v>
      </c>
      <c r="AE708" s="182">
        <f>SUM(BR708:CC708)</f>
        <v>0</v>
      </c>
      <c r="AF708" s="182">
        <f>SUM(CD708:CO708)</f>
        <v>0</v>
      </c>
      <c r="AH708" s="174">
        <v>1.7453486350199965</v>
      </c>
      <c r="AI708" s="174">
        <v>0</v>
      </c>
      <c r="AJ708" s="174">
        <v>0.76410670953033377</v>
      </c>
      <c r="AK708" s="174">
        <v>0.8094702934694521</v>
      </c>
      <c r="AL708" s="174">
        <v>0.76588671723330048</v>
      </c>
      <c r="AM708" s="174">
        <v>0.7859564280350787</v>
      </c>
      <c r="AN708" s="174">
        <v>0.83439150063148904</v>
      </c>
      <c r="AO708" s="174">
        <v>0.78303010546717244</v>
      </c>
      <c r="AP708" s="174">
        <v>0.80721258383699923</v>
      </c>
      <c r="AQ708" s="174">
        <v>0.79604716794553532</v>
      </c>
      <c r="AR708" s="174">
        <v>0.87314598281166655</v>
      </c>
      <c r="AS708" s="174">
        <v>0</v>
      </c>
      <c r="AT708" s="174">
        <v>0</v>
      </c>
      <c r="AU708" s="174">
        <v>0</v>
      </c>
      <c r="AV708" s="174">
        <v>0</v>
      </c>
      <c r="AW708" s="174">
        <v>0</v>
      </c>
      <c r="AX708" s="174">
        <v>0</v>
      </c>
      <c r="AY708" s="174">
        <v>0</v>
      </c>
      <c r="AZ708" s="174">
        <v>0</v>
      </c>
      <c r="BA708" s="174">
        <v>0</v>
      </c>
      <c r="BB708" s="174">
        <v>0</v>
      </c>
      <c r="BC708" s="174">
        <v>0</v>
      </c>
      <c r="BD708" s="174">
        <v>0</v>
      </c>
      <c r="BE708" s="174">
        <v>0</v>
      </c>
      <c r="BF708" s="174">
        <v>0</v>
      </c>
      <c r="BG708" s="174">
        <v>0</v>
      </c>
      <c r="BH708" s="174">
        <v>0</v>
      </c>
      <c r="BI708" s="174">
        <v>0</v>
      </c>
      <c r="BJ708" s="174">
        <v>0</v>
      </c>
      <c r="BK708" s="174">
        <v>0</v>
      </c>
      <c r="BL708" s="174">
        <v>0</v>
      </c>
      <c r="BM708" s="174">
        <v>0</v>
      </c>
      <c r="BN708" s="174">
        <v>0</v>
      </c>
      <c r="BO708" s="174">
        <v>0</v>
      </c>
      <c r="BP708" s="174">
        <v>0</v>
      </c>
      <c r="BQ708" s="174">
        <v>0</v>
      </c>
      <c r="BR708" s="174">
        <v>0</v>
      </c>
      <c r="BS708" s="174">
        <v>0</v>
      </c>
      <c r="BT708" s="174">
        <v>0</v>
      </c>
      <c r="BU708" s="174">
        <v>0</v>
      </c>
      <c r="BV708" s="174">
        <v>0</v>
      </c>
      <c r="BW708" s="174">
        <v>0</v>
      </c>
      <c r="BX708" s="174">
        <v>0</v>
      </c>
      <c r="BY708" s="174">
        <v>0</v>
      </c>
      <c r="BZ708" s="174">
        <v>0</v>
      </c>
      <c r="CA708" s="174">
        <v>0</v>
      </c>
      <c r="CB708" s="174">
        <v>0</v>
      </c>
      <c r="CC708" s="174">
        <v>0</v>
      </c>
      <c r="CD708" s="174">
        <v>0</v>
      </c>
      <c r="CE708" s="174">
        <v>0</v>
      </c>
      <c r="CF708" s="174">
        <v>0</v>
      </c>
      <c r="CG708" s="174">
        <v>0</v>
      </c>
      <c r="CH708" s="174">
        <v>0</v>
      </c>
      <c r="CI708" s="174">
        <v>0</v>
      </c>
      <c r="CJ708" s="174">
        <v>0</v>
      </c>
      <c r="CK708" s="174">
        <v>0</v>
      </c>
      <c r="CL708" s="174">
        <v>0</v>
      </c>
      <c r="CM708" s="174">
        <v>0</v>
      </c>
      <c r="CN708" s="174">
        <v>0</v>
      </c>
      <c r="CO708" s="174">
        <v>0</v>
      </c>
    </row>
    <row r="709" spans="1:93" x14ac:dyDescent="0.2">
      <c r="A709" s="118">
        <f t="shared" si="59"/>
        <v>4</v>
      </c>
      <c r="B709" s="234" t="s">
        <v>662</v>
      </c>
      <c r="C709" s="223"/>
      <c r="D709" s="172">
        <f>SUMIF($AH$8:$CP$8,1,$AH709:$CP709)</f>
        <v>10.227736050487131</v>
      </c>
      <c r="E709" s="233" t="s">
        <v>545</v>
      </c>
      <c r="F709" s="183">
        <v>145.94</v>
      </c>
      <c r="G709" s="233" t="s">
        <v>375</v>
      </c>
      <c r="H709" s="174">
        <f>ROUND(D709*F709,2)</f>
        <v>1492.64</v>
      </c>
      <c r="I709" s="308"/>
      <c r="J709" s="172">
        <f>SUMIF($AH$8:$CP$8,1,$AH709:$CP709)</f>
        <v>10.227736050487131</v>
      </c>
      <c r="K709" s="233" t="s">
        <v>545</v>
      </c>
      <c r="L709" s="183">
        <f>L591</f>
        <v>146.87</v>
      </c>
      <c r="M709" s="233" t="s">
        <v>375</v>
      </c>
      <c r="N709" s="174">
        <f>ROUND(J709*L709,2)</f>
        <v>1502.15</v>
      </c>
      <c r="O709" s="227"/>
      <c r="P709" s="262"/>
      <c r="Q709" s="262"/>
      <c r="R709" s="227"/>
      <c r="S709" s="227"/>
      <c r="T709" s="227"/>
      <c r="U709" s="184" t="s">
        <v>139</v>
      </c>
      <c r="V709" s="179">
        <v>258</v>
      </c>
      <c r="W709" s="180">
        <v>232</v>
      </c>
      <c r="X709" s="227"/>
      <c r="Y709" s="184"/>
      <c r="Z709" s="181"/>
      <c r="AA709" s="227"/>
      <c r="AB709" s="182">
        <f>SUM(AH709:AS709)</f>
        <v>10.652497427287825</v>
      </c>
      <c r="AC709" s="182">
        <f>SUM(AT709:BE709)</f>
        <v>10.550831409834363</v>
      </c>
      <c r="AD709" s="182">
        <f>SUM(BF709:BQ709)</f>
        <v>10.348876101185279</v>
      </c>
      <c r="AE709" s="182">
        <f>SUM(BR709:CC709)</f>
        <v>10.227736050487131</v>
      </c>
      <c r="AF709" s="182">
        <f>SUM(CD709:CO709)</f>
        <v>10.197856552823401</v>
      </c>
      <c r="AH709" s="168">
        <v>1.9040166927490871</v>
      </c>
      <c r="AI709" s="168">
        <v>0</v>
      </c>
      <c r="AJ709" s="168">
        <v>0.83357095585127317</v>
      </c>
      <c r="AK709" s="168">
        <v>0.88305850196667501</v>
      </c>
      <c r="AL709" s="168">
        <v>0.83551278243632776</v>
      </c>
      <c r="AM709" s="168">
        <v>0.85740701240190398</v>
      </c>
      <c r="AN709" s="168">
        <v>0.9102452734161699</v>
      </c>
      <c r="AO709" s="168">
        <v>0.85421466050964268</v>
      </c>
      <c r="AP709" s="168">
        <v>0.88059554600399914</v>
      </c>
      <c r="AQ709" s="168">
        <v>0.86841509230422032</v>
      </c>
      <c r="AR709" s="168">
        <v>0.95252289033999982</v>
      </c>
      <c r="AS709" s="168">
        <v>0.8729380193085271</v>
      </c>
      <c r="AT709" s="168">
        <v>1.87999617627711</v>
      </c>
      <c r="AU709" s="168">
        <v>0</v>
      </c>
      <c r="AV709" s="168">
        <v>0.83646362709261191</v>
      </c>
      <c r="AW709" s="168">
        <v>0.88281800038197433</v>
      </c>
      <c r="AX709" s="168">
        <v>0.83225383670073072</v>
      </c>
      <c r="AY709" s="168">
        <v>0.85162970745415356</v>
      </c>
      <c r="AZ709" s="168">
        <v>0.90211518908963373</v>
      </c>
      <c r="BA709" s="168">
        <v>0.84489992242992851</v>
      </c>
      <c r="BB709" s="168">
        <v>0.86929027303325501</v>
      </c>
      <c r="BC709" s="168">
        <v>0.85572568646925418</v>
      </c>
      <c r="BD709" s="168">
        <v>0.93730389615450882</v>
      </c>
      <c r="BE709" s="168">
        <v>0.85833509475120162</v>
      </c>
      <c r="BF709" s="168">
        <v>1.8479326146609492</v>
      </c>
      <c r="BG709" s="168">
        <v>0</v>
      </c>
      <c r="BH709" s="168">
        <v>0.82157442643013534</v>
      </c>
      <c r="BI709" s="168">
        <v>0.86651225841618507</v>
      </c>
      <c r="BJ709" s="168">
        <v>0.81640747421386872</v>
      </c>
      <c r="BK709" s="168">
        <v>0.83515713813422066</v>
      </c>
      <c r="BL709" s="168">
        <v>0.88446591139235486</v>
      </c>
      <c r="BM709" s="168">
        <v>0.82810715712821326</v>
      </c>
      <c r="BN709" s="168">
        <v>0.85161284297279494</v>
      </c>
      <c r="BO709" s="168">
        <v>0.83800208321663627</v>
      </c>
      <c r="BP709" s="168">
        <v>0.91791101112378559</v>
      </c>
      <c r="BQ709" s="168">
        <v>0.8411931834961337</v>
      </c>
      <c r="BR709" s="168">
        <v>1.8134361429151904</v>
      </c>
      <c r="BS709" s="168">
        <v>0</v>
      </c>
      <c r="BT709" s="168">
        <v>0.80850565581263523</v>
      </c>
      <c r="BU709" s="168">
        <v>0.85381039837786743</v>
      </c>
      <c r="BV709" s="168">
        <v>0.80535736370012168</v>
      </c>
      <c r="BW709" s="168">
        <v>0.82472941754430695</v>
      </c>
      <c r="BX709" s="168">
        <v>0.87437931217779752</v>
      </c>
      <c r="BY709" s="168">
        <v>0.81979655791740336</v>
      </c>
      <c r="BZ709" s="168">
        <v>0.84451403279361725</v>
      </c>
      <c r="CA709" s="168">
        <v>0.83249058331096237</v>
      </c>
      <c r="CB709" s="168">
        <v>0.91317375363471465</v>
      </c>
      <c r="CC709" s="168">
        <v>0.83754283230251447</v>
      </c>
      <c r="CD709" s="168">
        <v>1.806206652458028</v>
      </c>
      <c r="CE709" s="168">
        <v>0</v>
      </c>
      <c r="CF709" s="168">
        <v>0.80539913225181903</v>
      </c>
      <c r="CG709" s="168">
        <v>0.85064454570024739</v>
      </c>
      <c r="CH709" s="168">
        <v>0.80264097554103042</v>
      </c>
      <c r="CI709" s="168">
        <v>0.82241447650361155</v>
      </c>
      <c r="CJ709" s="168">
        <v>0.87242018850979641</v>
      </c>
      <c r="CK709" s="168">
        <v>0.81818600582750811</v>
      </c>
      <c r="CL709" s="168">
        <v>0.84271125814053849</v>
      </c>
      <c r="CM709" s="168">
        <v>0.8304483030812656</v>
      </c>
      <c r="CN709" s="168">
        <v>0.91089203812725428</v>
      </c>
      <c r="CO709" s="168">
        <v>0.83589297668230134</v>
      </c>
    </row>
    <row r="710" spans="1:93" x14ac:dyDescent="0.2">
      <c r="A710" s="118">
        <f t="shared" si="59"/>
        <v>5</v>
      </c>
      <c r="B710" s="234" t="s">
        <v>216</v>
      </c>
      <c r="C710" s="223"/>
      <c r="D710" s="172">
        <f>SUMIF($AH$8:$CP$8,1,$AH710:$CP710)</f>
        <v>0</v>
      </c>
      <c r="E710" s="233" t="s">
        <v>545</v>
      </c>
      <c r="F710" s="183">
        <v>1488.73</v>
      </c>
      <c r="G710" s="233" t="s">
        <v>375</v>
      </c>
      <c r="H710" s="187">
        <f>ROUND(D710*F710,2)</f>
        <v>0</v>
      </c>
      <c r="I710" s="308"/>
      <c r="J710" s="172">
        <f>SUMIF($AH$8:$CP$8,1,$AH710:$CP710)</f>
        <v>0</v>
      </c>
      <c r="K710" s="233" t="s">
        <v>545</v>
      </c>
      <c r="L710" s="183">
        <f>ROUND(F710*(1+'Exhibit MJC-2 - Old E-8a'!V27)+(L707*(F710/F708)),2)</f>
        <v>1519.26</v>
      </c>
      <c r="M710" s="233" t="s">
        <v>375</v>
      </c>
      <c r="N710" s="187">
        <f>ROUND(J710*L710,2)</f>
        <v>0</v>
      </c>
      <c r="O710" s="227"/>
      <c r="P710" s="262"/>
      <c r="Q710" s="1287"/>
      <c r="R710" s="227"/>
      <c r="S710" s="227"/>
      <c r="T710" s="227"/>
      <c r="U710" s="184" t="s">
        <v>139</v>
      </c>
      <c r="V710" s="179">
        <v>258</v>
      </c>
      <c r="W710" s="180">
        <v>232</v>
      </c>
      <c r="X710" s="227"/>
      <c r="Y710" s="184"/>
      <c r="Z710" s="181"/>
      <c r="AA710" s="227"/>
      <c r="AB710" s="182">
        <f>SUM(AH710:AS710)</f>
        <v>0</v>
      </c>
      <c r="AC710" s="182">
        <f>SUM(AT710:BE710)</f>
        <v>0</v>
      </c>
      <c r="AD710" s="182">
        <f>SUM(BF710:BQ710)</f>
        <v>0</v>
      </c>
      <c r="AE710" s="182">
        <f>SUM(BR710:CC710)</f>
        <v>0</v>
      </c>
      <c r="AF710" s="182">
        <f>SUM(CD710:CO710)</f>
        <v>0</v>
      </c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  <c r="AX710" s="168"/>
      <c r="AY710" s="168"/>
      <c r="AZ710" s="168"/>
      <c r="BA710" s="168"/>
      <c r="BB710" s="168"/>
      <c r="BC710" s="168"/>
      <c r="BD710" s="168"/>
      <c r="BE710" s="168"/>
      <c r="BF710" s="168"/>
      <c r="BG710" s="168"/>
      <c r="BH710" s="168"/>
      <c r="BI710" s="168"/>
      <c r="BJ710" s="168"/>
      <c r="BK710" s="168"/>
      <c r="BL710" s="168"/>
      <c r="BM710" s="168"/>
      <c r="BN710" s="168"/>
      <c r="BO710" s="168"/>
      <c r="BP710" s="168"/>
      <c r="BQ710" s="168"/>
      <c r="BR710" s="168"/>
      <c r="BS710" s="168"/>
      <c r="BT710" s="168"/>
      <c r="BU710" s="168"/>
      <c r="BV710" s="168"/>
      <c r="BW710" s="168"/>
      <c r="BX710" s="168"/>
      <c r="BY710" s="168"/>
      <c r="BZ710" s="168"/>
      <c r="CA710" s="168"/>
      <c r="CB710" s="168"/>
      <c r="CC710" s="168"/>
      <c r="CD710" s="168"/>
      <c r="CE710" s="168"/>
      <c r="CF710" s="168"/>
      <c r="CG710" s="168"/>
      <c r="CH710" s="168"/>
      <c r="CI710" s="168"/>
      <c r="CJ710" s="168"/>
      <c r="CK710" s="168"/>
      <c r="CL710" s="168"/>
      <c r="CM710" s="168"/>
      <c r="CN710" s="168"/>
      <c r="CO710" s="168"/>
    </row>
    <row r="711" spans="1:93" x14ac:dyDescent="0.2">
      <c r="A711" s="118">
        <f>+A710+1</f>
        <v>6</v>
      </c>
      <c r="B711" s="234"/>
      <c r="C711" s="225" t="s">
        <v>121</v>
      </c>
      <c r="D711" s="204">
        <f>SUM(D708:D710)</f>
        <v>10.227736050487131</v>
      </c>
      <c r="E711" s="233" t="s">
        <v>581</v>
      </c>
      <c r="F711" s="183"/>
      <c r="G711" s="223"/>
      <c r="H711" s="206">
        <f>SUM(H708:H710)</f>
        <v>1492.64</v>
      </c>
      <c r="I711" s="308"/>
      <c r="J711" s="204">
        <f>SUM(J708:J710)</f>
        <v>10.227736050487131</v>
      </c>
      <c r="K711" s="233" t="s">
        <v>581</v>
      </c>
      <c r="L711" s="183"/>
      <c r="M711" s="223"/>
      <c r="N711" s="206">
        <f>SUM(N708:N710)</f>
        <v>1502.15</v>
      </c>
      <c r="O711" s="227"/>
      <c r="P711" s="262"/>
      <c r="Q711" s="1022"/>
      <c r="R711" s="227"/>
      <c r="S711" s="227"/>
      <c r="T711" s="227"/>
      <c r="U711" s="178"/>
      <c r="V711" s="179"/>
      <c r="W711" s="180"/>
      <c r="X711" s="227"/>
      <c r="Y711" s="178" t="s">
        <v>139</v>
      </c>
      <c r="Z711" s="181" t="s">
        <v>451</v>
      </c>
      <c r="AA711" s="227"/>
      <c r="AB711" s="204">
        <f>SUM(AB708:AB710)</f>
        <v>19.617093551268852</v>
      </c>
      <c r="AC711" s="204">
        <f>SUM(AC708:AC710)</f>
        <v>10.550831409834363</v>
      </c>
      <c r="AD711" s="204">
        <f>SUM(AD708:AD710)</f>
        <v>10.348876101185279</v>
      </c>
      <c r="AE711" s="204">
        <f>SUM(AE708:AE710)</f>
        <v>10.227736050487131</v>
      </c>
      <c r="AF711" s="204">
        <f>SUM(AF708:AF710)</f>
        <v>10.197856552823401</v>
      </c>
      <c r="AH711" s="204">
        <f t="shared" ref="AH711:CO711" si="60">SUM(AH708:AH710)</f>
        <v>3.6493653277690834</v>
      </c>
      <c r="AI711" s="204">
        <f t="shared" si="60"/>
        <v>0</v>
      </c>
      <c r="AJ711" s="204">
        <f t="shared" si="60"/>
        <v>1.5976776653816069</v>
      </c>
      <c r="AK711" s="204">
        <f t="shared" si="60"/>
        <v>1.692528795436127</v>
      </c>
      <c r="AL711" s="204">
        <f t="shared" si="60"/>
        <v>1.6013994996696281</v>
      </c>
      <c r="AM711" s="204">
        <f t="shared" si="60"/>
        <v>1.6433634404369828</v>
      </c>
      <c r="AN711" s="204">
        <f t="shared" si="60"/>
        <v>1.7446367740476589</v>
      </c>
      <c r="AO711" s="204">
        <f t="shared" si="60"/>
        <v>1.6372447659768152</v>
      </c>
      <c r="AP711" s="204">
        <f t="shared" si="60"/>
        <v>1.6878081298409984</v>
      </c>
      <c r="AQ711" s="204">
        <f t="shared" si="60"/>
        <v>1.6644622602497556</v>
      </c>
      <c r="AR711" s="204">
        <f t="shared" si="60"/>
        <v>1.8256688731516664</v>
      </c>
      <c r="AS711" s="204">
        <f t="shared" si="60"/>
        <v>0.8729380193085271</v>
      </c>
      <c r="AT711" s="204">
        <f t="shared" si="60"/>
        <v>1.87999617627711</v>
      </c>
      <c r="AU711" s="204">
        <f t="shared" si="60"/>
        <v>0</v>
      </c>
      <c r="AV711" s="204">
        <f t="shared" si="60"/>
        <v>0.83646362709261191</v>
      </c>
      <c r="AW711" s="204">
        <f t="shared" si="60"/>
        <v>0.88281800038197433</v>
      </c>
      <c r="AX711" s="204">
        <f t="shared" si="60"/>
        <v>0.83225383670073072</v>
      </c>
      <c r="AY711" s="204">
        <f t="shared" si="60"/>
        <v>0.85162970745415356</v>
      </c>
      <c r="AZ711" s="204">
        <f t="shared" si="60"/>
        <v>0.90211518908963373</v>
      </c>
      <c r="BA711" s="204">
        <f t="shared" si="60"/>
        <v>0.84489992242992851</v>
      </c>
      <c r="BB711" s="204">
        <f t="shared" si="60"/>
        <v>0.86929027303325501</v>
      </c>
      <c r="BC711" s="204">
        <f t="shared" si="60"/>
        <v>0.85572568646925418</v>
      </c>
      <c r="BD711" s="204">
        <f t="shared" si="60"/>
        <v>0.93730389615450882</v>
      </c>
      <c r="BE711" s="204">
        <f t="shared" si="60"/>
        <v>0.85833509475120162</v>
      </c>
      <c r="BF711" s="204">
        <f t="shared" si="60"/>
        <v>1.8479326146609492</v>
      </c>
      <c r="BG711" s="204">
        <f t="shared" si="60"/>
        <v>0</v>
      </c>
      <c r="BH711" s="204">
        <f t="shared" si="60"/>
        <v>0.82157442643013534</v>
      </c>
      <c r="BI711" s="204">
        <f t="shared" si="60"/>
        <v>0.86651225841618507</v>
      </c>
      <c r="BJ711" s="204">
        <f t="shared" si="60"/>
        <v>0.81640747421386872</v>
      </c>
      <c r="BK711" s="204">
        <f t="shared" si="60"/>
        <v>0.83515713813422066</v>
      </c>
      <c r="BL711" s="204">
        <f t="shared" si="60"/>
        <v>0.88446591139235486</v>
      </c>
      <c r="BM711" s="204">
        <f t="shared" si="60"/>
        <v>0.82810715712821326</v>
      </c>
      <c r="BN711" s="204">
        <f t="shared" si="60"/>
        <v>0.85161284297279494</v>
      </c>
      <c r="BO711" s="204">
        <f t="shared" si="60"/>
        <v>0.83800208321663627</v>
      </c>
      <c r="BP711" s="204">
        <f t="shared" si="60"/>
        <v>0.91791101112378559</v>
      </c>
      <c r="BQ711" s="204">
        <f t="shared" si="60"/>
        <v>0.8411931834961337</v>
      </c>
      <c r="BR711" s="204">
        <f t="shared" si="60"/>
        <v>1.8134361429151904</v>
      </c>
      <c r="BS711" s="204">
        <f t="shared" si="60"/>
        <v>0</v>
      </c>
      <c r="BT711" s="204">
        <f t="shared" si="60"/>
        <v>0.80850565581263523</v>
      </c>
      <c r="BU711" s="204">
        <f t="shared" si="60"/>
        <v>0.85381039837786743</v>
      </c>
      <c r="BV711" s="204">
        <f t="shared" si="60"/>
        <v>0.80535736370012168</v>
      </c>
      <c r="BW711" s="204">
        <f t="shared" si="60"/>
        <v>0.82472941754430695</v>
      </c>
      <c r="BX711" s="204">
        <f t="shared" si="60"/>
        <v>0.87437931217779752</v>
      </c>
      <c r="BY711" s="204">
        <f t="shared" si="60"/>
        <v>0.81979655791740336</v>
      </c>
      <c r="BZ711" s="204">
        <f t="shared" si="60"/>
        <v>0.84451403279361725</v>
      </c>
      <c r="CA711" s="204">
        <f t="shared" si="60"/>
        <v>0.83249058331096237</v>
      </c>
      <c r="CB711" s="204">
        <f t="shared" si="60"/>
        <v>0.91317375363471465</v>
      </c>
      <c r="CC711" s="204">
        <f t="shared" si="60"/>
        <v>0.83754283230251447</v>
      </c>
      <c r="CD711" s="204">
        <f t="shared" si="60"/>
        <v>1.806206652458028</v>
      </c>
      <c r="CE711" s="204">
        <f t="shared" si="60"/>
        <v>0</v>
      </c>
      <c r="CF711" s="204">
        <f t="shared" si="60"/>
        <v>0.80539913225181903</v>
      </c>
      <c r="CG711" s="204">
        <f t="shared" si="60"/>
        <v>0.85064454570024739</v>
      </c>
      <c r="CH711" s="204">
        <f t="shared" si="60"/>
        <v>0.80264097554103042</v>
      </c>
      <c r="CI711" s="204">
        <f t="shared" si="60"/>
        <v>0.82241447650361155</v>
      </c>
      <c r="CJ711" s="204">
        <f t="shared" si="60"/>
        <v>0.87242018850979641</v>
      </c>
      <c r="CK711" s="204">
        <f t="shared" si="60"/>
        <v>0.81818600582750811</v>
      </c>
      <c r="CL711" s="204">
        <f t="shared" si="60"/>
        <v>0.84271125814053849</v>
      </c>
      <c r="CM711" s="204">
        <f t="shared" si="60"/>
        <v>0.8304483030812656</v>
      </c>
      <c r="CN711" s="204">
        <f t="shared" si="60"/>
        <v>0.91089203812725428</v>
      </c>
      <c r="CO711" s="204">
        <f t="shared" si="60"/>
        <v>0.83589297668230134</v>
      </c>
    </row>
    <row r="712" spans="1:93" x14ac:dyDescent="0.2">
      <c r="A712" s="118">
        <f t="shared" si="59"/>
        <v>7</v>
      </c>
      <c r="B712" s="227"/>
      <c r="C712" s="263"/>
      <c r="D712" s="227"/>
      <c r="E712" s="230"/>
      <c r="F712" s="197"/>
      <c r="G712" s="227"/>
      <c r="H712" s="203"/>
      <c r="I712" s="308"/>
      <c r="J712" s="227"/>
      <c r="K712" s="230"/>
      <c r="L712" s="197"/>
      <c r="M712" s="227"/>
      <c r="N712" s="203"/>
      <c r="O712" s="227"/>
      <c r="P712" s="262"/>
      <c r="Q712" s="1287"/>
      <c r="R712" s="227"/>
      <c r="S712" s="227"/>
      <c r="T712" s="227"/>
      <c r="U712" s="178"/>
      <c r="V712" s="179"/>
      <c r="W712" s="180"/>
      <c r="X712" s="227"/>
      <c r="Y712" s="178"/>
      <c r="Z712" s="181"/>
      <c r="AA712" s="227"/>
      <c r="AB712" s="193">
        <f>SUM(AH712:AS712)</f>
        <v>-8.964596123981023</v>
      </c>
      <c r="AC712" s="193">
        <f>SUM(AT712:BE712)</f>
        <v>0</v>
      </c>
      <c r="AD712" s="193">
        <f>SUM(BF712:BQ712)</f>
        <v>0</v>
      </c>
      <c r="AE712" s="193">
        <f>SUM(BR712:CC712)</f>
        <v>0</v>
      </c>
      <c r="AF712" s="193">
        <f>SUM(CD712:CO712)</f>
        <v>0</v>
      </c>
      <c r="AH712" s="193">
        <v>-1.7453486350199963</v>
      </c>
      <c r="AI712" s="193">
        <v>0</v>
      </c>
      <c r="AJ712" s="193">
        <v>-0.76410670953033377</v>
      </c>
      <c r="AK712" s="193">
        <v>-0.80947029346945198</v>
      </c>
      <c r="AL712" s="193">
        <v>-0.76588671723330037</v>
      </c>
      <c r="AM712" s="193">
        <v>-0.78595642803507881</v>
      </c>
      <c r="AN712" s="193">
        <v>-0.83439150063148904</v>
      </c>
      <c r="AO712" s="193">
        <v>-0.78303010546717255</v>
      </c>
      <c r="AP712" s="193">
        <v>-0.80721258383699923</v>
      </c>
      <c r="AQ712" s="193">
        <v>-0.79604716794553532</v>
      </c>
      <c r="AR712" s="193">
        <v>-0.87314598281166655</v>
      </c>
      <c r="AS712" s="193">
        <v>0</v>
      </c>
      <c r="AT712" s="193">
        <v>0</v>
      </c>
      <c r="AU712" s="193">
        <v>0</v>
      </c>
      <c r="AV712" s="193">
        <v>0</v>
      </c>
      <c r="AW712" s="193">
        <v>0</v>
      </c>
      <c r="AX712" s="193">
        <v>0</v>
      </c>
      <c r="AY712" s="193">
        <v>0</v>
      </c>
      <c r="AZ712" s="193">
        <v>0</v>
      </c>
      <c r="BA712" s="193">
        <v>0</v>
      </c>
      <c r="BB712" s="193">
        <v>0</v>
      </c>
      <c r="BC712" s="193">
        <v>0</v>
      </c>
      <c r="BD712" s="193">
        <v>0</v>
      </c>
      <c r="BE712" s="193">
        <v>0</v>
      </c>
      <c r="BF712" s="193">
        <v>0</v>
      </c>
      <c r="BG712" s="193">
        <v>0</v>
      </c>
      <c r="BH712" s="193">
        <v>0</v>
      </c>
      <c r="BI712" s="193">
        <v>0</v>
      </c>
      <c r="BJ712" s="193">
        <v>0</v>
      </c>
      <c r="BK712" s="193">
        <v>0</v>
      </c>
      <c r="BL712" s="193">
        <v>0</v>
      </c>
      <c r="BM712" s="193">
        <v>0</v>
      </c>
      <c r="BN712" s="193">
        <v>0</v>
      </c>
      <c r="BO712" s="193">
        <v>0</v>
      </c>
      <c r="BP712" s="193">
        <v>0</v>
      </c>
      <c r="BQ712" s="193">
        <v>0</v>
      </c>
      <c r="BR712" s="193">
        <v>0</v>
      </c>
      <c r="BS712" s="193">
        <v>0</v>
      </c>
      <c r="BT712" s="193">
        <v>0</v>
      </c>
      <c r="BU712" s="193">
        <v>0</v>
      </c>
      <c r="BV712" s="193">
        <v>0</v>
      </c>
      <c r="BW712" s="193">
        <v>0</v>
      </c>
      <c r="BX712" s="193">
        <v>0</v>
      </c>
      <c r="BY712" s="193">
        <v>0</v>
      </c>
      <c r="BZ712" s="193">
        <v>0</v>
      </c>
      <c r="CA712" s="193">
        <v>0</v>
      </c>
      <c r="CB712" s="193">
        <v>0</v>
      </c>
      <c r="CC712" s="193">
        <v>0</v>
      </c>
      <c r="CD712" s="193">
        <v>0</v>
      </c>
      <c r="CE712" s="193">
        <v>0</v>
      </c>
      <c r="CF712" s="193">
        <v>0</v>
      </c>
      <c r="CG712" s="193">
        <v>0</v>
      </c>
      <c r="CH712" s="193">
        <v>0</v>
      </c>
      <c r="CI712" s="193">
        <v>0</v>
      </c>
      <c r="CJ712" s="193">
        <v>0</v>
      </c>
      <c r="CK712" s="193">
        <v>0</v>
      </c>
      <c r="CL712" s="193">
        <v>0</v>
      </c>
      <c r="CM712" s="193">
        <v>0</v>
      </c>
      <c r="CN712" s="193">
        <v>0</v>
      </c>
      <c r="CO712" s="193">
        <v>0</v>
      </c>
    </row>
    <row r="713" spans="1:93" x14ac:dyDescent="0.2">
      <c r="A713" s="118">
        <f t="shared" si="59"/>
        <v>8</v>
      </c>
      <c r="B713" s="239" t="s">
        <v>594</v>
      </c>
      <c r="C713" s="225"/>
      <c r="D713" s="168"/>
      <c r="E713" s="233"/>
      <c r="F713" s="183"/>
      <c r="G713" s="223"/>
      <c r="H713" s="174"/>
      <c r="I713" s="308"/>
      <c r="J713" s="168"/>
      <c r="K713" s="233"/>
      <c r="L713" s="183"/>
      <c r="M713" s="223"/>
      <c r="N713" s="174"/>
      <c r="O713" s="227"/>
      <c r="P713" s="262"/>
      <c r="Q713" s="1287"/>
      <c r="R713" s="230"/>
      <c r="S713" s="230"/>
      <c r="T713" s="227"/>
      <c r="U713" s="184"/>
      <c r="V713" s="179"/>
      <c r="W713" s="180"/>
      <c r="X713" s="227"/>
      <c r="Y713" s="184"/>
      <c r="Z713" s="181"/>
      <c r="AA713" s="227"/>
    </row>
    <row r="714" spans="1:93" x14ac:dyDescent="0.2">
      <c r="A714" s="118">
        <f t="shared" si="59"/>
        <v>9</v>
      </c>
      <c r="B714" s="228" t="s">
        <v>642</v>
      </c>
      <c r="C714" s="225"/>
      <c r="D714" s="168"/>
      <c r="E714" s="233"/>
      <c r="F714" s="183"/>
      <c r="G714" s="223"/>
      <c r="H714" s="174"/>
      <c r="I714" s="308"/>
      <c r="J714" s="168"/>
      <c r="K714" s="233"/>
      <c r="L714" s="1368">
        <f>L655</f>
        <v>-2.95</v>
      </c>
      <c r="M714" s="223"/>
      <c r="N714" s="174"/>
      <c r="O714" s="227"/>
      <c r="P714" s="262"/>
      <c r="Q714" s="1287"/>
      <c r="R714" s="332"/>
      <c r="S714" s="259"/>
      <c r="T714" s="227"/>
      <c r="U714" s="184"/>
      <c r="V714" s="179"/>
      <c r="W714" s="180"/>
      <c r="X714" s="227"/>
      <c r="Y714" s="184"/>
      <c r="Z714" s="181"/>
      <c r="AA714" s="227"/>
    </row>
    <row r="715" spans="1:93" x14ac:dyDescent="0.2">
      <c r="A715" s="118">
        <f t="shared" si="59"/>
        <v>10</v>
      </c>
      <c r="B715" s="227" t="s">
        <v>643</v>
      </c>
      <c r="C715" s="263"/>
      <c r="D715" s="172">
        <f>SUMIF($AH$8:$CP$8,1,$AH715:$CP715)</f>
        <v>296317.70399999997</v>
      </c>
      <c r="E715" s="233" t="s">
        <v>596</v>
      </c>
      <c r="F715" s="183">
        <v>3.43</v>
      </c>
      <c r="G715" s="233" t="s">
        <v>375</v>
      </c>
      <c r="H715" s="174">
        <f>ROUND(D715*F715,2)</f>
        <v>1016369.72</v>
      </c>
      <c r="I715" s="308"/>
      <c r="J715" s="172">
        <f>SUMIF($AH$8:$CP$8,1,$AH715:$CP715)</f>
        <v>296317.70399999997</v>
      </c>
      <c r="K715" s="233" t="s">
        <v>596</v>
      </c>
      <c r="L715" s="183">
        <f>ROUND('MFR E-14D2'!I34+L714,2)</f>
        <v>3.57</v>
      </c>
      <c r="M715" s="233" t="s">
        <v>375</v>
      </c>
      <c r="N715" s="174">
        <f>ROUND(J715*L715,2)</f>
        <v>1057854.2</v>
      </c>
      <c r="O715" s="227"/>
      <c r="P715" s="262"/>
      <c r="Q715" s="1287"/>
      <c r="R715" s="227"/>
      <c r="S715" s="227"/>
      <c r="T715" s="286"/>
      <c r="U715" s="184" t="s">
        <v>139</v>
      </c>
      <c r="V715" s="179">
        <v>258</v>
      </c>
      <c r="W715" s="180">
        <v>232</v>
      </c>
      <c r="X715" s="286"/>
      <c r="Y715" s="184"/>
      <c r="Z715" s="181"/>
      <c r="AA715" s="286"/>
      <c r="AB715" s="182">
        <f>SUM(AH715:AS715)</f>
        <v>296317.70399999997</v>
      </c>
      <c r="AC715" s="182">
        <f>SUM(AT715:BE715)</f>
        <v>296317.70399999997</v>
      </c>
      <c r="AD715" s="182">
        <f>SUM(BF715:BQ715)</f>
        <v>296317.70399999997</v>
      </c>
      <c r="AE715" s="182">
        <f>SUM(BR715:CC715)</f>
        <v>296317.70399999997</v>
      </c>
      <c r="AF715" s="182">
        <f>SUM(CD715:CO715)</f>
        <v>296317.70399999997</v>
      </c>
      <c r="AH715" s="174">
        <v>24693.142</v>
      </c>
      <c r="AI715" s="174">
        <v>24693.142</v>
      </c>
      <c r="AJ715" s="174">
        <v>24693.142</v>
      </c>
      <c r="AK715" s="174">
        <v>24693.142</v>
      </c>
      <c r="AL715" s="174">
        <v>24693.142</v>
      </c>
      <c r="AM715" s="174">
        <v>24693.142</v>
      </c>
      <c r="AN715" s="174">
        <v>24693.142</v>
      </c>
      <c r="AO715" s="174">
        <v>24693.142</v>
      </c>
      <c r="AP715" s="174">
        <v>24693.142</v>
      </c>
      <c r="AQ715" s="174">
        <v>24693.142</v>
      </c>
      <c r="AR715" s="174">
        <v>24693.142</v>
      </c>
      <c r="AS715" s="174">
        <v>24693.142</v>
      </c>
      <c r="AT715" s="174">
        <v>24693.142</v>
      </c>
      <c r="AU715" s="174">
        <v>24693.142</v>
      </c>
      <c r="AV715" s="174">
        <v>24693.142</v>
      </c>
      <c r="AW715" s="174">
        <v>24693.142</v>
      </c>
      <c r="AX715" s="174">
        <v>24693.142</v>
      </c>
      <c r="AY715" s="174">
        <v>24693.142</v>
      </c>
      <c r="AZ715" s="174">
        <v>24693.142</v>
      </c>
      <c r="BA715" s="174">
        <v>24693.142</v>
      </c>
      <c r="BB715" s="174">
        <v>24693.142</v>
      </c>
      <c r="BC715" s="174">
        <v>24693.142</v>
      </c>
      <c r="BD715" s="174">
        <v>24693.142</v>
      </c>
      <c r="BE715" s="174">
        <v>24693.142</v>
      </c>
      <c r="BF715" s="174">
        <v>24693.142</v>
      </c>
      <c r="BG715" s="174">
        <v>24693.142</v>
      </c>
      <c r="BH715" s="174">
        <v>24693.142</v>
      </c>
      <c r="BI715" s="174">
        <v>24693.142</v>
      </c>
      <c r="BJ715" s="174">
        <v>24693.142</v>
      </c>
      <c r="BK715" s="174">
        <v>24693.142</v>
      </c>
      <c r="BL715" s="174">
        <v>24693.142</v>
      </c>
      <c r="BM715" s="174">
        <v>24693.142</v>
      </c>
      <c r="BN715" s="174">
        <v>24693.142</v>
      </c>
      <c r="BO715" s="174">
        <v>24693.142</v>
      </c>
      <c r="BP715" s="174">
        <v>24693.142</v>
      </c>
      <c r="BQ715" s="174">
        <v>24693.142</v>
      </c>
      <c r="BR715" s="174">
        <v>24693.142</v>
      </c>
      <c r="BS715" s="174">
        <v>24693.142</v>
      </c>
      <c r="BT715" s="174">
        <v>24693.142</v>
      </c>
      <c r="BU715" s="174">
        <v>24693.142</v>
      </c>
      <c r="BV715" s="174">
        <v>24693.142</v>
      </c>
      <c r="BW715" s="174">
        <v>24693.142</v>
      </c>
      <c r="BX715" s="174">
        <v>24693.142</v>
      </c>
      <c r="BY715" s="174">
        <v>24693.142</v>
      </c>
      <c r="BZ715" s="174">
        <v>24693.142</v>
      </c>
      <c r="CA715" s="174">
        <v>24693.142</v>
      </c>
      <c r="CB715" s="174">
        <v>24693.142</v>
      </c>
      <c r="CC715" s="174">
        <v>24693.142</v>
      </c>
      <c r="CD715" s="174">
        <v>24693.142</v>
      </c>
      <c r="CE715" s="174">
        <v>24693.142</v>
      </c>
      <c r="CF715" s="174">
        <v>24693.142</v>
      </c>
      <c r="CG715" s="174">
        <v>24693.142</v>
      </c>
      <c r="CH715" s="174">
        <v>24693.142</v>
      </c>
      <c r="CI715" s="174">
        <v>24693.142</v>
      </c>
      <c r="CJ715" s="174">
        <v>24693.142</v>
      </c>
      <c r="CK715" s="174">
        <v>24693.142</v>
      </c>
      <c r="CL715" s="174">
        <v>24693.142</v>
      </c>
      <c r="CM715" s="174">
        <v>24693.142</v>
      </c>
      <c r="CN715" s="174">
        <v>24693.142</v>
      </c>
      <c r="CO715" s="174">
        <v>24693.142</v>
      </c>
    </row>
    <row r="716" spans="1:93" x14ac:dyDescent="0.2">
      <c r="A716" s="118">
        <f t="shared" si="59"/>
        <v>11</v>
      </c>
      <c r="B716" s="227" t="s">
        <v>644</v>
      </c>
      <c r="C716" s="263"/>
      <c r="D716" s="172">
        <f>SUMIF($AH$8:$CP$8,1,$AH716:$CP716)</f>
        <v>0</v>
      </c>
      <c r="E716" s="233" t="s">
        <v>596</v>
      </c>
      <c r="F716" s="183">
        <v>0</v>
      </c>
      <c r="G716" s="233" t="s">
        <v>375</v>
      </c>
      <c r="H716" s="174">
        <f>ROUND(D716*F716,2)</f>
        <v>0</v>
      </c>
      <c r="I716" s="308"/>
      <c r="J716" s="172">
        <f>SUMIF($AH$8:$CP$8,1,$AH716:$CP716)</f>
        <v>0</v>
      </c>
      <c r="K716" s="233" t="s">
        <v>596</v>
      </c>
      <c r="L716" s="183">
        <v>0</v>
      </c>
      <c r="M716" s="233" t="s">
        <v>375</v>
      </c>
      <c r="N716" s="174">
        <f>ROUND(J716*L716,2)</f>
        <v>0</v>
      </c>
      <c r="O716" s="227"/>
      <c r="P716" s="262"/>
      <c r="Q716" s="1287"/>
      <c r="R716" s="227"/>
      <c r="S716" s="227"/>
      <c r="T716" s="227"/>
      <c r="U716" s="184" t="s">
        <v>139</v>
      </c>
      <c r="V716" s="179">
        <v>258</v>
      </c>
      <c r="W716" s="180">
        <v>232</v>
      </c>
      <c r="X716" s="227"/>
      <c r="Y716" s="184"/>
      <c r="Z716" s="181"/>
      <c r="AA716" s="227"/>
      <c r="AB716" s="182">
        <f>SUM(AH716:AS716)</f>
        <v>0</v>
      </c>
      <c r="AC716" s="182">
        <f>SUM(AT716:BE716)</f>
        <v>0</v>
      </c>
      <c r="AD716" s="182">
        <f>SUM(BF716:BQ716)</f>
        <v>0</v>
      </c>
      <c r="AE716" s="182">
        <f>SUM(BR716:CC716)</f>
        <v>0</v>
      </c>
      <c r="AF716" s="182">
        <f>SUM(CD716:CO716)</f>
        <v>0</v>
      </c>
      <c r="AH716" s="174">
        <v>0</v>
      </c>
      <c r="AI716" s="174">
        <v>0</v>
      </c>
      <c r="AJ716" s="174">
        <v>0</v>
      </c>
      <c r="AK716" s="174">
        <v>0</v>
      </c>
      <c r="AL716" s="174">
        <v>0</v>
      </c>
      <c r="AM716" s="174">
        <v>0</v>
      </c>
      <c r="AN716" s="174">
        <v>0</v>
      </c>
      <c r="AO716" s="174">
        <v>0</v>
      </c>
      <c r="AP716" s="174">
        <v>0</v>
      </c>
      <c r="AQ716" s="174">
        <v>0</v>
      </c>
      <c r="AR716" s="174">
        <v>0</v>
      </c>
      <c r="AS716" s="174">
        <v>0</v>
      </c>
      <c r="AT716" s="174">
        <v>0</v>
      </c>
      <c r="AU716" s="174">
        <v>0</v>
      </c>
      <c r="AV716" s="174">
        <v>0</v>
      </c>
      <c r="AW716" s="174">
        <v>0</v>
      </c>
      <c r="AX716" s="174">
        <v>0</v>
      </c>
      <c r="AY716" s="174">
        <v>0</v>
      </c>
      <c r="AZ716" s="174">
        <v>0</v>
      </c>
      <c r="BA716" s="174">
        <v>0</v>
      </c>
      <c r="BB716" s="174">
        <v>0</v>
      </c>
      <c r="BC716" s="174">
        <v>0</v>
      </c>
      <c r="BD716" s="174">
        <v>0</v>
      </c>
      <c r="BE716" s="174">
        <v>0</v>
      </c>
      <c r="BF716" s="174">
        <v>0</v>
      </c>
      <c r="BG716" s="174">
        <v>0</v>
      </c>
      <c r="BH716" s="174">
        <v>0</v>
      </c>
      <c r="BI716" s="174">
        <v>0</v>
      </c>
      <c r="BJ716" s="174">
        <v>0</v>
      </c>
      <c r="BK716" s="174">
        <v>0</v>
      </c>
      <c r="BL716" s="174">
        <v>0</v>
      </c>
      <c r="BM716" s="174">
        <v>0</v>
      </c>
      <c r="BN716" s="174">
        <v>0</v>
      </c>
      <c r="BO716" s="174">
        <v>0</v>
      </c>
      <c r="BP716" s="174">
        <v>0</v>
      </c>
      <c r="BQ716" s="174">
        <v>0</v>
      </c>
      <c r="BR716" s="174">
        <v>0</v>
      </c>
      <c r="BS716" s="174">
        <v>0</v>
      </c>
      <c r="BT716" s="174">
        <v>0</v>
      </c>
      <c r="BU716" s="174">
        <v>0</v>
      </c>
      <c r="BV716" s="174">
        <v>0</v>
      </c>
      <c r="BW716" s="174">
        <v>0</v>
      </c>
      <c r="BX716" s="174">
        <v>0</v>
      </c>
      <c r="BY716" s="174">
        <v>0</v>
      </c>
      <c r="BZ716" s="174">
        <v>0</v>
      </c>
      <c r="CA716" s="174">
        <v>0</v>
      </c>
      <c r="CB716" s="174">
        <v>0</v>
      </c>
      <c r="CC716" s="174">
        <v>0</v>
      </c>
      <c r="CD716" s="174">
        <v>0</v>
      </c>
      <c r="CE716" s="174">
        <v>0</v>
      </c>
      <c r="CF716" s="174">
        <v>0</v>
      </c>
      <c r="CG716" s="174">
        <v>0</v>
      </c>
      <c r="CH716" s="174">
        <v>0</v>
      </c>
      <c r="CI716" s="174">
        <v>0</v>
      </c>
      <c r="CJ716" s="174">
        <v>0</v>
      </c>
      <c r="CK716" s="174">
        <v>0</v>
      </c>
      <c r="CL716" s="174">
        <v>0</v>
      </c>
      <c r="CM716" s="174">
        <v>0</v>
      </c>
      <c r="CN716" s="174">
        <v>0</v>
      </c>
      <c r="CO716" s="174">
        <v>0</v>
      </c>
    </row>
    <row r="717" spans="1:93" x14ac:dyDescent="0.2">
      <c r="A717" s="118">
        <f t="shared" si="59"/>
        <v>12</v>
      </c>
      <c r="B717" s="227" t="s">
        <v>655</v>
      </c>
      <c r="C717" s="263"/>
      <c r="D717" s="227"/>
      <c r="E717" s="230"/>
      <c r="F717" s="197"/>
      <c r="G717" s="227"/>
      <c r="H717" s="203"/>
      <c r="I717" s="308"/>
      <c r="J717" s="227"/>
      <c r="K717" s="230"/>
      <c r="L717" s="197"/>
      <c r="M717" s="227"/>
      <c r="N717" s="203"/>
      <c r="O717" s="227"/>
      <c r="P717" s="262"/>
      <c r="Q717" s="1287"/>
      <c r="R717" s="227"/>
      <c r="S717" s="227"/>
      <c r="T717" s="227"/>
      <c r="U717" s="184"/>
      <c r="V717" s="179"/>
      <c r="W717" s="180"/>
      <c r="X717" s="227"/>
      <c r="Y717" s="184"/>
      <c r="Z717" s="181"/>
      <c r="AA717" s="227"/>
      <c r="AC717" s="260"/>
      <c r="AD717" s="260"/>
      <c r="AE717" s="260"/>
      <c r="AF717" s="114"/>
    </row>
    <row r="718" spans="1:93" x14ac:dyDescent="0.2">
      <c r="A718" s="118">
        <f t="shared" si="59"/>
        <v>13</v>
      </c>
      <c r="B718" s="227" t="s">
        <v>656</v>
      </c>
      <c r="C718" s="263"/>
      <c r="D718" s="227"/>
      <c r="E718" s="230"/>
      <c r="F718" s="197"/>
      <c r="G718" s="227"/>
      <c r="H718" s="203"/>
      <c r="I718" s="308"/>
      <c r="J718" s="227"/>
      <c r="K718" s="230"/>
      <c r="L718" s="197"/>
      <c r="M718" s="227"/>
      <c r="N718" s="203"/>
      <c r="O718" s="227"/>
      <c r="P718" s="262"/>
      <c r="Q718" s="1287"/>
      <c r="R718" s="227"/>
      <c r="S718" s="227"/>
      <c r="T718" s="227"/>
      <c r="U718" s="184"/>
      <c r="V718" s="179"/>
      <c r="W718" s="180"/>
      <c r="X718" s="227"/>
      <c r="Y718" s="184"/>
      <c r="Z718" s="181"/>
      <c r="AA718" s="227"/>
      <c r="AB718" s="107" t="s">
        <v>646</v>
      </c>
      <c r="AC718" s="114"/>
      <c r="AD718" s="114"/>
      <c r="AE718" s="114"/>
      <c r="AF718" s="114"/>
      <c r="AH718" s="101">
        <v>1</v>
      </c>
      <c r="AI718" s="101">
        <v>1.2</v>
      </c>
      <c r="AJ718" s="101">
        <v>0.8</v>
      </c>
      <c r="AK718" s="101">
        <v>0.8</v>
      </c>
      <c r="AL718" s="101">
        <v>0.8</v>
      </c>
      <c r="AM718" s="101">
        <v>1</v>
      </c>
      <c r="AN718" s="101">
        <v>1.2</v>
      </c>
      <c r="AO718" s="101">
        <v>1.2</v>
      </c>
      <c r="AP718" s="101">
        <v>1</v>
      </c>
      <c r="AQ718" s="101">
        <v>0.8</v>
      </c>
      <c r="AR718" s="101">
        <v>1</v>
      </c>
      <c r="AS718" s="101">
        <v>1</v>
      </c>
      <c r="AT718" s="101">
        <v>1</v>
      </c>
      <c r="AU718" s="101">
        <v>1.2</v>
      </c>
      <c r="AV718" s="101">
        <v>0.8</v>
      </c>
      <c r="AW718" s="101">
        <v>0.8</v>
      </c>
      <c r="AX718" s="101">
        <v>0.8</v>
      </c>
      <c r="AY718" s="101">
        <v>1</v>
      </c>
      <c r="AZ718" s="101">
        <v>1.2</v>
      </c>
      <c r="BA718" s="101">
        <v>1.2</v>
      </c>
      <c r="BB718" s="101">
        <v>1</v>
      </c>
      <c r="BC718" s="101">
        <v>0.8</v>
      </c>
      <c r="BD718" s="101">
        <v>1</v>
      </c>
      <c r="BE718" s="101">
        <v>1</v>
      </c>
      <c r="BF718" s="101">
        <v>1</v>
      </c>
      <c r="BG718" s="101">
        <v>1.2</v>
      </c>
      <c r="BH718" s="101">
        <v>0.8</v>
      </c>
      <c r="BI718" s="101">
        <v>0.8</v>
      </c>
      <c r="BJ718" s="101">
        <v>0.8</v>
      </c>
      <c r="BK718" s="101">
        <v>1</v>
      </c>
      <c r="BL718" s="101">
        <v>1.2</v>
      </c>
      <c r="BM718" s="101">
        <v>1.2</v>
      </c>
      <c r="BN718" s="101">
        <v>1</v>
      </c>
      <c r="BO718" s="101">
        <v>0.8</v>
      </c>
      <c r="BP718" s="101">
        <v>1</v>
      </c>
      <c r="BQ718" s="101">
        <v>1</v>
      </c>
      <c r="BR718" s="101">
        <v>1</v>
      </c>
      <c r="BS718" s="101">
        <v>1.2</v>
      </c>
      <c r="BT718" s="101">
        <v>0.8</v>
      </c>
      <c r="BU718" s="101">
        <v>0.8</v>
      </c>
      <c r="BV718" s="101">
        <v>0.8</v>
      </c>
      <c r="BW718" s="101">
        <v>1</v>
      </c>
      <c r="BX718" s="101">
        <v>1.2</v>
      </c>
      <c r="BY718" s="101">
        <v>1.2</v>
      </c>
      <c r="BZ718" s="101">
        <v>1</v>
      </c>
      <c r="CA718" s="101">
        <v>0.8</v>
      </c>
      <c r="CB718" s="101">
        <v>1</v>
      </c>
      <c r="CC718" s="101">
        <v>1</v>
      </c>
      <c r="CD718" s="101">
        <v>1</v>
      </c>
      <c r="CE718" s="101">
        <v>1.2</v>
      </c>
      <c r="CF718" s="101">
        <v>0.8</v>
      </c>
      <c r="CG718" s="101">
        <v>0.8</v>
      </c>
      <c r="CH718" s="101">
        <v>0.8</v>
      </c>
      <c r="CI718" s="101">
        <v>1</v>
      </c>
      <c r="CJ718" s="101">
        <v>1.2</v>
      </c>
      <c r="CK718" s="101">
        <v>1.2</v>
      </c>
      <c r="CL718" s="101">
        <v>1</v>
      </c>
      <c r="CM718" s="101">
        <v>0.8</v>
      </c>
      <c r="CN718" s="101">
        <v>1</v>
      </c>
      <c r="CO718" s="101">
        <v>1</v>
      </c>
    </row>
    <row r="719" spans="1:93" x14ac:dyDescent="0.2">
      <c r="A719" s="118">
        <f t="shared" si="59"/>
        <v>14</v>
      </c>
      <c r="B719" s="227" t="s">
        <v>643</v>
      </c>
      <c r="C719" s="263"/>
      <c r="D719" s="227"/>
      <c r="E719" s="230"/>
      <c r="F719" s="197"/>
      <c r="G719" s="227"/>
      <c r="H719" s="203"/>
      <c r="I719" s="308"/>
      <c r="J719" s="227"/>
      <c r="K719" s="230"/>
      <c r="L719" s="1368">
        <f>L661</f>
        <v>-0.17599999999999999</v>
      </c>
      <c r="M719" s="227"/>
      <c r="N719" s="203"/>
      <c r="O719" s="227"/>
      <c r="P719" s="262"/>
      <c r="Q719" s="1287"/>
      <c r="R719" s="227"/>
      <c r="S719" s="227"/>
      <c r="T719" s="227"/>
      <c r="U719" s="184"/>
      <c r="V719" s="179"/>
      <c r="W719" s="180"/>
      <c r="X719" s="227"/>
      <c r="Y719" s="184"/>
      <c r="Z719" s="181"/>
      <c r="AA719" s="227"/>
      <c r="AC719" s="114"/>
      <c r="AD719" s="114"/>
      <c r="AE719" s="114"/>
      <c r="AF719" s="114"/>
    </row>
    <row r="720" spans="1:93" x14ac:dyDescent="0.2">
      <c r="A720" s="118">
        <f t="shared" si="59"/>
        <v>15</v>
      </c>
      <c r="B720" s="227" t="s">
        <v>647</v>
      </c>
      <c r="C720" s="263"/>
      <c r="D720" s="172">
        <f>SUMIF($AH$8:$CP$8,1,$AH720:$CP720)</f>
        <v>24693.142</v>
      </c>
      <c r="E720" s="233" t="s">
        <v>596</v>
      </c>
      <c r="F720" s="201">
        <v>1.9570000000000001</v>
      </c>
      <c r="G720" s="233" t="s">
        <v>375</v>
      </c>
      <c r="H720" s="174">
        <f>ROUND(D720*F720,2)</f>
        <v>48324.480000000003</v>
      </c>
      <c r="I720" s="308"/>
      <c r="J720" s="172">
        <f>SUMIF($AH$8:$CP$8,1,$AH720:$CP720)</f>
        <v>24693.142</v>
      </c>
      <c r="K720" s="233" t="s">
        <v>596</v>
      </c>
      <c r="L720" s="201">
        <f>ROUND('MFR E-14D2'!I41+L719,3)</f>
        <v>2.0339999999999998</v>
      </c>
      <c r="M720" s="233" t="s">
        <v>375</v>
      </c>
      <c r="N720" s="174">
        <f>ROUND(J720*L720,2)</f>
        <v>50225.85</v>
      </c>
      <c r="O720" s="227"/>
      <c r="P720" s="262"/>
      <c r="Q720" s="1287"/>
      <c r="R720" s="227"/>
      <c r="S720" s="227"/>
      <c r="T720" s="227"/>
      <c r="U720" s="184" t="s">
        <v>139</v>
      </c>
      <c r="V720" s="179">
        <v>258</v>
      </c>
      <c r="W720" s="180">
        <v>232</v>
      </c>
      <c r="X720" s="227"/>
      <c r="Y720" s="184"/>
      <c r="Z720" s="181"/>
      <c r="AA720" s="227"/>
      <c r="AB720" s="182">
        <f>SUM(AH720:AS720)</f>
        <v>24693.142</v>
      </c>
      <c r="AC720" s="182">
        <f>SUM(AT720:BE720)</f>
        <v>24693.142</v>
      </c>
      <c r="AD720" s="182">
        <f>SUM(BF720:BQ720)</f>
        <v>24693.142</v>
      </c>
      <c r="AE720" s="182">
        <f>SUM(BR720:CC720)</f>
        <v>24693.142</v>
      </c>
      <c r="AF720" s="182">
        <f>SUM(CD720:CO720)</f>
        <v>24693.142</v>
      </c>
      <c r="AH720" s="174">
        <v>0</v>
      </c>
      <c r="AI720" s="174">
        <v>24693.142</v>
      </c>
      <c r="AJ720" s="174">
        <v>0</v>
      </c>
      <c r="AK720" s="174">
        <v>0</v>
      </c>
      <c r="AL720" s="174">
        <v>0</v>
      </c>
      <c r="AM720" s="174">
        <v>0</v>
      </c>
      <c r="AN720" s="174">
        <v>0</v>
      </c>
      <c r="AO720" s="174">
        <v>0</v>
      </c>
      <c r="AP720" s="174">
        <v>0</v>
      </c>
      <c r="AQ720" s="174">
        <v>0</v>
      </c>
      <c r="AR720" s="174">
        <v>0</v>
      </c>
      <c r="AS720" s="174">
        <v>0</v>
      </c>
      <c r="AT720" s="174">
        <v>0</v>
      </c>
      <c r="AU720" s="174">
        <v>24693.142</v>
      </c>
      <c r="AV720" s="174">
        <v>0</v>
      </c>
      <c r="AW720" s="174">
        <v>0</v>
      </c>
      <c r="AX720" s="174">
        <v>0</v>
      </c>
      <c r="AY720" s="174">
        <v>0</v>
      </c>
      <c r="AZ720" s="174">
        <v>0</v>
      </c>
      <c r="BA720" s="174">
        <v>0</v>
      </c>
      <c r="BB720" s="174">
        <v>0</v>
      </c>
      <c r="BC720" s="174">
        <v>0</v>
      </c>
      <c r="BD720" s="174">
        <v>0</v>
      </c>
      <c r="BE720" s="174">
        <v>0</v>
      </c>
      <c r="BF720" s="174">
        <v>0</v>
      </c>
      <c r="BG720" s="174">
        <v>24693.142</v>
      </c>
      <c r="BH720" s="174">
        <v>0</v>
      </c>
      <c r="BI720" s="174">
        <v>0</v>
      </c>
      <c r="BJ720" s="174">
        <v>0</v>
      </c>
      <c r="BK720" s="174">
        <v>0</v>
      </c>
      <c r="BL720" s="174">
        <v>0</v>
      </c>
      <c r="BM720" s="174">
        <v>0</v>
      </c>
      <c r="BN720" s="174">
        <v>0</v>
      </c>
      <c r="BO720" s="174">
        <v>0</v>
      </c>
      <c r="BP720" s="174">
        <v>0</v>
      </c>
      <c r="BQ720" s="174">
        <v>0</v>
      </c>
      <c r="BR720" s="174">
        <v>0</v>
      </c>
      <c r="BS720" s="174">
        <v>24693.142</v>
      </c>
      <c r="BT720" s="174">
        <v>0</v>
      </c>
      <c r="BU720" s="174">
        <v>0</v>
      </c>
      <c r="BV720" s="174">
        <v>0</v>
      </c>
      <c r="BW720" s="174">
        <v>0</v>
      </c>
      <c r="BX720" s="174">
        <v>0</v>
      </c>
      <c r="BY720" s="174">
        <v>0</v>
      </c>
      <c r="BZ720" s="174">
        <v>0</v>
      </c>
      <c r="CA720" s="174">
        <v>0</v>
      </c>
      <c r="CB720" s="174">
        <v>0</v>
      </c>
      <c r="CC720" s="174">
        <v>0</v>
      </c>
      <c r="CD720" s="174">
        <v>0</v>
      </c>
      <c r="CE720" s="174">
        <v>24693.142</v>
      </c>
      <c r="CF720" s="174">
        <v>0</v>
      </c>
      <c r="CG720" s="174">
        <v>0</v>
      </c>
      <c r="CH720" s="174">
        <v>0</v>
      </c>
      <c r="CI720" s="174">
        <v>0</v>
      </c>
      <c r="CJ720" s="174">
        <v>0</v>
      </c>
      <c r="CK720" s="174">
        <v>0</v>
      </c>
      <c r="CL720" s="174">
        <v>0</v>
      </c>
      <c r="CM720" s="174">
        <v>0</v>
      </c>
      <c r="CN720" s="174">
        <v>0</v>
      </c>
      <c r="CO720" s="174">
        <v>0</v>
      </c>
    </row>
    <row r="721" spans="1:93" x14ac:dyDescent="0.2">
      <c r="A721" s="118">
        <f t="shared" si="59"/>
        <v>16</v>
      </c>
      <c r="B721" s="227" t="s">
        <v>648</v>
      </c>
      <c r="C721" s="263"/>
      <c r="D721" s="172">
        <f>+J721</f>
        <v>4972035.6140713263</v>
      </c>
      <c r="E721" s="233" t="s">
        <v>596</v>
      </c>
      <c r="F721" s="201">
        <v>0.93100000000000005</v>
      </c>
      <c r="G721" s="233" t="s">
        <v>375</v>
      </c>
      <c r="H721" s="174">
        <f>ROUND(D721*F721,2)</f>
        <v>4628965.16</v>
      </c>
      <c r="I721" s="308"/>
      <c r="J721" s="172">
        <f>+(BR721*BR$718)+(BS721*BS$718)+(BT721*BT$718)+(BU721*BU$718)+(BV721*BV$718)+(BW721*BW$718)+(BX721*BX$718)+(BY721*BY$718)+(BZ721*BZ$718)+(CA721*CA$718)+(CB721*CB$718)+(CC721*CC$718)</f>
        <v>4972035.6140713263</v>
      </c>
      <c r="K721" s="233" t="s">
        <v>596</v>
      </c>
      <c r="L721" s="201">
        <f>ROUND('MFR E-14D2'!I44+(L719*(F721/F720)),3)</f>
        <v>0.96799999999999997</v>
      </c>
      <c r="M721" s="233" t="s">
        <v>375</v>
      </c>
      <c r="N721" s="174">
        <f>ROUND(J721*L721,2)</f>
        <v>4812930.47</v>
      </c>
      <c r="O721" s="227"/>
      <c r="P721" s="262"/>
      <c r="Q721" s="1287"/>
      <c r="R721" s="227"/>
      <c r="S721" s="227"/>
      <c r="T721" s="227"/>
      <c r="U721" s="184" t="s">
        <v>139</v>
      </c>
      <c r="V721" s="179">
        <v>258</v>
      </c>
      <c r="W721" s="180">
        <v>232</v>
      </c>
      <c r="X721" s="227"/>
      <c r="Y721" s="184"/>
      <c r="Z721" s="181"/>
      <c r="AA721" s="227"/>
      <c r="AB721" s="182">
        <f>SUM(AH721:AS721)</f>
        <v>5030490.4917648518</v>
      </c>
      <c r="AC721" s="182">
        <f>SUM(AT721:BE721)</f>
        <v>5080382.2186824698</v>
      </c>
      <c r="AD721" s="182">
        <f>SUM(BF721:BQ721)</f>
        <v>5099765.674749569</v>
      </c>
      <c r="AE721" s="182">
        <f>SUM(BR721:CC721)</f>
        <v>5185752.8844181094</v>
      </c>
      <c r="AF721" s="182">
        <f>SUM(CD721:CO721)</f>
        <v>5192731.0479362076</v>
      </c>
      <c r="AH721" s="174">
        <v>1451552.4819681603</v>
      </c>
      <c r="AI721" s="174">
        <v>0</v>
      </c>
      <c r="AJ721" s="174">
        <v>680115.41252030968</v>
      </c>
      <c r="AK721" s="174">
        <v>396141.87465073721</v>
      </c>
      <c r="AL721" s="174">
        <v>274893.24887506024</v>
      </c>
      <c r="AM721" s="174">
        <v>353854.34547498764</v>
      </c>
      <c r="AN721" s="174">
        <v>354751.00830349437</v>
      </c>
      <c r="AO721" s="174">
        <v>303591.16005635721</v>
      </c>
      <c r="AP721" s="174">
        <v>377972.17279359873</v>
      </c>
      <c r="AQ721" s="174">
        <v>343784.31265130441</v>
      </c>
      <c r="AR721" s="174">
        <v>238053.60134442124</v>
      </c>
      <c r="AS721" s="174">
        <v>255780.87312642089</v>
      </c>
      <c r="AT721" s="174">
        <v>1465948.783910387</v>
      </c>
      <c r="AU721" s="174">
        <v>0</v>
      </c>
      <c r="AV721" s="174">
        <v>686860.70554679993</v>
      </c>
      <c r="AW721" s="174">
        <v>400070.75638961798</v>
      </c>
      <c r="AX721" s="174">
        <v>277619.60307984869</v>
      </c>
      <c r="AY721" s="174">
        <v>357363.82519708475</v>
      </c>
      <c r="AZ721" s="174">
        <v>358269.38100671332</v>
      </c>
      <c r="BA721" s="174">
        <v>306602.13627764833</v>
      </c>
      <c r="BB721" s="174">
        <v>381720.84987754276</v>
      </c>
      <c r="BC721" s="174">
        <v>347193.91914463521</v>
      </c>
      <c r="BD721" s="174">
        <v>240414.58488856565</v>
      </c>
      <c r="BE721" s="174">
        <v>258317.67336362728</v>
      </c>
      <c r="BF721" s="174">
        <v>1471541.8973074562</v>
      </c>
      <c r="BG721" s="174">
        <v>0</v>
      </c>
      <c r="BH721" s="174">
        <v>689481.32221245626</v>
      </c>
      <c r="BI721" s="174">
        <v>401597.16790678538</v>
      </c>
      <c r="BJ721" s="174">
        <v>278678.82011274737</v>
      </c>
      <c r="BK721" s="174">
        <v>358727.29465814331</v>
      </c>
      <c r="BL721" s="174">
        <v>359636.30548365385</v>
      </c>
      <c r="BM721" s="174">
        <v>307771.93193136156</v>
      </c>
      <c r="BN721" s="174">
        <v>383177.25000749523</v>
      </c>
      <c r="BO721" s="174">
        <v>348518.58681506285</v>
      </c>
      <c r="BP721" s="174">
        <v>241331.85161053407</v>
      </c>
      <c r="BQ721" s="174">
        <v>259303.24670387444</v>
      </c>
      <c r="BR721" s="174">
        <v>1496353.5827318125</v>
      </c>
      <c r="BS721" s="174">
        <v>0</v>
      </c>
      <c r="BT721" s="174">
        <v>701106.67498291191</v>
      </c>
      <c r="BU721" s="174">
        <v>408368.50252909388</v>
      </c>
      <c r="BV721" s="174">
        <v>283377.62701163354</v>
      </c>
      <c r="BW721" s="174">
        <v>364775.79983796459</v>
      </c>
      <c r="BX721" s="174">
        <v>365700.13750581053</v>
      </c>
      <c r="BY721" s="174">
        <v>312961.27813448355</v>
      </c>
      <c r="BZ721" s="174">
        <v>389638.00617512577</v>
      </c>
      <c r="CA721" s="174">
        <v>354394.9628505797</v>
      </c>
      <c r="CB721" s="174">
        <v>245400.95082951942</v>
      </c>
      <c r="CC721" s="174">
        <v>263675.36182917462</v>
      </c>
      <c r="CD721" s="174">
        <v>1498367.1379886717</v>
      </c>
      <c r="CE721" s="174">
        <v>0</v>
      </c>
      <c r="CF721" s="174">
        <v>702050.11311633338</v>
      </c>
      <c r="CG721" s="174">
        <v>408918.02007260261</v>
      </c>
      <c r="CH721" s="174">
        <v>283758.95166452992</v>
      </c>
      <c r="CI721" s="174">
        <v>365266.65723812382</v>
      </c>
      <c r="CJ721" s="174">
        <v>366192.2387329581</v>
      </c>
      <c r="CK721" s="174">
        <v>313382.4117716488</v>
      </c>
      <c r="CL721" s="174">
        <v>390162.31918821309</v>
      </c>
      <c r="CM721" s="174">
        <v>354871.85136722925</v>
      </c>
      <c r="CN721" s="174">
        <v>245731.17249656617</v>
      </c>
      <c r="CO721" s="174">
        <v>264030.17429933028</v>
      </c>
    </row>
    <row r="722" spans="1:93" x14ac:dyDescent="0.2">
      <c r="A722" s="118">
        <f t="shared" si="59"/>
        <v>17</v>
      </c>
      <c r="B722" s="227" t="s">
        <v>644</v>
      </c>
      <c r="C722" s="263"/>
      <c r="D722" s="172"/>
      <c r="E722" s="230"/>
      <c r="F722" s="197"/>
      <c r="G722" s="227"/>
      <c r="H722" s="203"/>
      <c r="I722" s="308"/>
      <c r="J722" s="172"/>
      <c r="K722" s="230"/>
      <c r="L722" s="197"/>
      <c r="M722" s="227"/>
      <c r="N722" s="203"/>
      <c r="O722" s="227"/>
      <c r="P722" s="262"/>
      <c r="Q722" s="1287"/>
      <c r="R722" s="227"/>
      <c r="S722" s="227"/>
      <c r="T722" s="227"/>
      <c r="U722" s="184" t="s">
        <v>139</v>
      </c>
      <c r="V722" s="179">
        <v>258</v>
      </c>
      <c r="W722" s="180">
        <v>232</v>
      </c>
      <c r="X722" s="227"/>
      <c r="Y722" s="184"/>
      <c r="Z722" s="181"/>
      <c r="AA722" s="227"/>
      <c r="AB722" s="182">
        <f>SUM(AH722:AS722)</f>
        <v>0</v>
      </c>
      <c r="AC722" s="182">
        <f>SUM(AT722:BE722)</f>
        <v>0</v>
      </c>
      <c r="AD722" s="182">
        <f>SUM(BF722:BQ722)</f>
        <v>0</v>
      </c>
      <c r="AE722" s="182">
        <f>SUM(BR722:CC722)</f>
        <v>0</v>
      </c>
      <c r="AF722" s="182">
        <f>SUM(CD722:CO722)</f>
        <v>0</v>
      </c>
    </row>
    <row r="723" spans="1:93" x14ac:dyDescent="0.2">
      <c r="A723" s="118">
        <f t="shared" si="59"/>
        <v>18</v>
      </c>
      <c r="B723" s="227" t="s">
        <v>647</v>
      </c>
      <c r="C723" s="263"/>
      <c r="D723" s="172">
        <f>SUMIF($AH$8:$CP$8,1,$AH723:$CP723)</f>
        <v>0</v>
      </c>
      <c r="E723" s="233" t="s">
        <v>596</v>
      </c>
      <c r="F723" s="201">
        <v>1.9570000000000001</v>
      </c>
      <c r="G723" s="233" t="s">
        <v>375</v>
      </c>
      <c r="H723" s="174">
        <f>ROUND(D723*F723,2)</f>
        <v>0</v>
      </c>
      <c r="I723" s="308"/>
      <c r="J723" s="172">
        <f>SUMIF($AH$8:$CP$8,1,$AH723:$CP723)</f>
        <v>0</v>
      </c>
      <c r="K723" s="233" t="s">
        <v>596</v>
      </c>
      <c r="L723" s="201">
        <f>L720</f>
        <v>2.0339999999999998</v>
      </c>
      <c r="M723" s="233" t="s">
        <v>375</v>
      </c>
      <c r="N723" s="174">
        <f>ROUND(J723*L723,2)</f>
        <v>0</v>
      </c>
      <c r="O723" s="227"/>
      <c r="P723" s="262"/>
      <c r="Q723" s="1287"/>
      <c r="R723" s="227"/>
      <c r="S723" s="227"/>
      <c r="T723" s="227"/>
      <c r="U723" s="184" t="s">
        <v>139</v>
      </c>
      <c r="V723" s="179">
        <v>258</v>
      </c>
      <c r="W723" s="180">
        <v>232</v>
      </c>
      <c r="X723" s="227"/>
      <c r="Y723" s="184"/>
      <c r="Z723" s="181"/>
      <c r="AA723" s="227"/>
      <c r="AB723" s="182">
        <f>SUM(AH723:AS723)</f>
        <v>0</v>
      </c>
      <c r="AC723" s="182">
        <f>SUM(AT723:BE723)</f>
        <v>0</v>
      </c>
      <c r="AD723" s="182">
        <f>SUM(BF723:BQ723)</f>
        <v>0</v>
      </c>
      <c r="AE723" s="182">
        <f>SUM(BR723:CC723)</f>
        <v>0</v>
      </c>
      <c r="AF723" s="182">
        <f>SUM(CD723:CO723)</f>
        <v>0</v>
      </c>
      <c r="AH723" s="174">
        <v>0</v>
      </c>
      <c r="AI723" s="174">
        <v>0</v>
      </c>
      <c r="AJ723" s="174">
        <v>0</v>
      </c>
      <c r="AK723" s="174">
        <v>0</v>
      </c>
      <c r="AL723" s="174">
        <v>0</v>
      </c>
      <c r="AM723" s="174">
        <v>0</v>
      </c>
      <c r="AN723" s="174">
        <v>0</v>
      </c>
      <c r="AO723" s="174">
        <v>0</v>
      </c>
      <c r="AP723" s="174">
        <v>0</v>
      </c>
      <c r="AQ723" s="174">
        <v>0</v>
      </c>
      <c r="AR723" s="174">
        <v>0</v>
      </c>
      <c r="AS723" s="174">
        <v>0</v>
      </c>
      <c r="AT723" s="174">
        <v>0</v>
      </c>
      <c r="AU723" s="174">
        <v>0</v>
      </c>
      <c r="AV723" s="174">
        <v>0</v>
      </c>
      <c r="AW723" s="174">
        <v>0</v>
      </c>
      <c r="AX723" s="174">
        <v>0</v>
      </c>
      <c r="AY723" s="174">
        <v>0</v>
      </c>
      <c r="AZ723" s="174">
        <v>0</v>
      </c>
      <c r="BA723" s="174">
        <v>0</v>
      </c>
      <c r="BB723" s="174">
        <v>0</v>
      </c>
      <c r="BC723" s="174">
        <v>0</v>
      </c>
      <c r="BD723" s="174">
        <v>0</v>
      </c>
      <c r="BE723" s="174">
        <v>0</v>
      </c>
      <c r="BF723" s="174">
        <v>0</v>
      </c>
      <c r="BG723" s="174">
        <v>0</v>
      </c>
      <c r="BH723" s="174">
        <v>0</v>
      </c>
      <c r="BI723" s="174">
        <v>0</v>
      </c>
      <c r="BJ723" s="174">
        <v>0</v>
      </c>
      <c r="BK723" s="174">
        <v>0</v>
      </c>
      <c r="BL723" s="174">
        <v>0</v>
      </c>
      <c r="BM723" s="174">
        <v>0</v>
      </c>
      <c r="BN723" s="174">
        <v>0</v>
      </c>
      <c r="BO723" s="174">
        <v>0</v>
      </c>
      <c r="BP723" s="174">
        <v>0</v>
      </c>
      <c r="BQ723" s="174">
        <v>0</v>
      </c>
      <c r="BR723" s="174">
        <v>0</v>
      </c>
      <c r="BS723" s="174">
        <v>0</v>
      </c>
      <c r="BT723" s="174">
        <v>0</v>
      </c>
      <c r="BU723" s="174">
        <v>0</v>
      </c>
      <c r="BV723" s="174">
        <v>0</v>
      </c>
      <c r="BW723" s="174">
        <v>0</v>
      </c>
      <c r="BX723" s="174">
        <v>0</v>
      </c>
      <c r="BY723" s="174">
        <v>0</v>
      </c>
      <c r="BZ723" s="174">
        <v>0</v>
      </c>
      <c r="CA723" s="174">
        <v>0</v>
      </c>
      <c r="CB723" s="174">
        <v>0</v>
      </c>
      <c r="CC723" s="174">
        <v>0</v>
      </c>
      <c r="CD723" s="174">
        <v>0</v>
      </c>
      <c r="CE723" s="174">
        <v>0</v>
      </c>
      <c r="CF723" s="174">
        <v>0</v>
      </c>
      <c r="CG723" s="174">
        <v>0</v>
      </c>
      <c r="CH723" s="174">
        <v>0</v>
      </c>
      <c r="CI723" s="174">
        <v>0</v>
      </c>
      <c r="CJ723" s="174">
        <v>0</v>
      </c>
      <c r="CK723" s="174">
        <v>0</v>
      </c>
      <c r="CL723" s="174">
        <v>0</v>
      </c>
      <c r="CM723" s="174">
        <v>0</v>
      </c>
      <c r="CN723" s="174">
        <v>0</v>
      </c>
      <c r="CO723" s="174">
        <v>0</v>
      </c>
    </row>
    <row r="724" spans="1:93" x14ac:dyDescent="0.2">
      <c r="A724" s="118">
        <f t="shared" si="59"/>
        <v>19</v>
      </c>
      <c r="B724" s="227" t="s">
        <v>648</v>
      </c>
      <c r="C724" s="263"/>
      <c r="D724" s="172">
        <f>+J724</f>
        <v>0</v>
      </c>
      <c r="E724" s="233" t="s">
        <v>596</v>
      </c>
      <c r="F724" s="201">
        <v>0.93100000000000005</v>
      </c>
      <c r="G724" s="233" t="s">
        <v>375</v>
      </c>
      <c r="H724" s="174">
        <f>ROUND(D724*F724,2)</f>
        <v>0</v>
      </c>
      <c r="I724" s="308"/>
      <c r="J724" s="172">
        <f>+(BR724*BR$718)+(BS724*BS$718)+(BT724*BT$718)+(BU724*BU$718)+(BV724*BV$718)+(BW724*BW$718)+(BX724*BX$718)+(BY724*BY$718)+(BZ724*BZ$718)+(CA724*CA$718)+(CB724*CB$718)+(CC724*CC$718)</f>
        <v>0</v>
      </c>
      <c r="K724" s="233" t="s">
        <v>596</v>
      </c>
      <c r="L724" s="201">
        <f>L721</f>
        <v>0.96799999999999997</v>
      </c>
      <c r="M724" s="233" t="s">
        <v>375</v>
      </c>
      <c r="N724" s="174">
        <f>ROUND(J724*L724,2)</f>
        <v>0</v>
      </c>
      <c r="O724" s="227"/>
      <c r="P724" s="262"/>
      <c r="Q724" s="1287"/>
      <c r="R724" s="227"/>
      <c r="S724" s="227"/>
      <c r="T724" s="227"/>
      <c r="U724" s="184" t="s">
        <v>139</v>
      </c>
      <c r="V724" s="179">
        <v>258</v>
      </c>
      <c r="W724" s="180">
        <v>232</v>
      </c>
      <c r="X724" s="227"/>
      <c r="Y724" s="184"/>
      <c r="Z724" s="181"/>
      <c r="AA724" s="227"/>
      <c r="AB724" s="182">
        <f>SUM(AH724:AS724)</f>
        <v>0</v>
      </c>
      <c r="AC724" s="182">
        <f>SUM(AT724:BE724)</f>
        <v>0</v>
      </c>
      <c r="AD724" s="182">
        <f>SUM(BF724:BQ724)</f>
        <v>0</v>
      </c>
      <c r="AE724" s="182">
        <f>SUM(BR724:CC724)</f>
        <v>0</v>
      </c>
      <c r="AF724" s="182">
        <f>SUM(CD724:CO724)</f>
        <v>0</v>
      </c>
      <c r="AH724" s="329">
        <v>0</v>
      </c>
      <c r="AI724" s="329">
        <v>0</v>
      </c>
      <c r="AJ724" s="329">
        <v>0</v>
      </c>
      <c r="AK724" s="329">
        <v>0</v>
      </c>
      <c r="AL724" s="329">
        <v>0</v>
      </c>
      <c r="AM724" s="329">
        <v>0</v>
      </c>
      <c r="AN724" s="329">
        <v>0</v>
      </c>
      <c r="AO724" s="329">
        <v>0</v>
      </c>
      <c r="AP724" s="329">
        <v>0</v>
      </c>
      <c r="AQ724" s="329">
        <v>0</v>
      </c>
      <c r="AR724" s="329">
        <v>0</v>
      </c>
      <c r="AS724" s="329">
        <v>0</v>
      </c>
      <c r="AT724" s="329">
        <v>0</v>
      </c>
      <c r="AU724" s="329">
        <v>0</v>
      </c>
      <c r="AV724" s="329">
        <v>0</v>
      </c>
      <c r="AW724" s="329">
        <v>0</v>
      </c>
      <c r="AX724" s="329">
        <v>0</v>
      </c>
      <c r="AY724" s="329">
        <v>0</v>
      </c>
      <c r="AZ724" s="329">
        <v>0</v>
      </c>
      <c r="BA724" s="329">
        <v>0</v>
      </c>
      <c r="BB724" s="329">
        <v>0</v>
      </c>
      <c r="BC724" s="329">
        <v>0</v>
      </c>
      <c r="BD724" s="329">
        <v>0</v>
      </c>
      <c r="BE724" s="329">
        <v>0</v>
      </c>
      <c r="BF724" s="329">
        <v>0</v>
      </c>
      <c r="BG724" s="329">
        <v>0</v>
      </c>
      <c r="BH724" s="329">
        <v>0</v>
      </c>
      <c r="BI724" s="329">
        <v>0</v>
      </c>
      <c r="BJ724" s="329">
        <v>0</v>
      </c>
      <c r="BK724" s="329">
        <v>0</v>
      </c>
      <c r="BL724" s="329">
        <v>0</v>
      </c>
      <c r="BM724" s="329">
        <v>0</v>
      </c>
      <c r="BN724" s="329">
        <v>0</v>
      </c>
      <c r="BO724" s="329">
        <v>0</v>
      </c>
      <c r="BP724" s="329">
        <v>0</v>
      </c>
      <c r="BQ724" s="329">
        <v>0</v>
      </c>
      <c r="BR724" s="329">
        <v>0</v>
      </c>
      <c r="BS724" s="329">
        <v>0</v>
      </c>
      <c r="BT724" s="329">
        <v>0</v>
      </c>
      <c r="BU724" s="329">
        <v>0</v>
      </c>
      <c r="BV724" s="329">
        <v>0</v>
      </c>
      <c r="BW724" s="329">
        <v>0</v>
      </c>
      <c r="BX724" s="329">
        <v>0</v>
      </c>
      <c r="BY724" s="329">
        <v>0</v>
      </c>
      <c r="BZ724" s="329">
        <v>0</v>
      </c>
      <c r="CA724" s="329">
        <v>0</v>
      </c>
      <c r="CB724" s="329">
        <v>0</v>
      </c>
      <c r="CC724" s="329">
        <v>0</v>
      </c>
      <c r="CD724" s="329">
        <v>0</v>
      </c>
      <c r="CE724" s="329">
        <v>0</v>
      </c>
      <c r="CF724" s="329">
        <v>0</v>
      </c>
      <c r="CG724" s="329">
        <v>0</v>
      </c>
      <c r="CH724" s="329">
        <v>0</v>
      </c>
      <c r="CI724" s="329">
        <v>0</v>
      </c>
      <c r="CJ724" s="329">
        <v>0</v>
      </c>
      <c r="CK724" s="329">
        <v>0</v>
      </c>
      <c r="CL724" s="329">
        <v>0</v>
      </c>
      <c r="CM724" s="329">
        <v>0</v>
      </c>
      <c r="CN724" s="329">
        <v>0</v>
      </c>
      <c r="CO724" s="329">
        <v>0</v>
      </c>
    </row>
    <row r="725" spans="1:93" x14ac:dyDescent="0.2">
      <c r="A725" s="118">
        <f t="shared" si="59"/>
        <v>20</v>
      </c>
      <c r="B725" s="227"/>
      <c r="C725" s="225" t="s">
        <v>121</v>
      </c>
      <c r="D725" s="227"/>
      <c r="E725" s="233" t="s">
        <v>334</v>
      </c>
      <c r="F725" s="326"/>
      <c r="G725" s="227"/>
      <c r="H725" s="300">
        <f>SUM(H715:H724)</f>
        <v>5693659.3600000003</v>
      </c>
      <c r="I725" s="308"/>
      <c r="J725" s="227"/>
      <c r="K725" s="233" t="s">
        <v>334</v>
      </c>
      <c r="L725" s="326"/>
      <c r="M725" s="227"/>
      <c r="N725" s="300">
        <f>SUM(N715:N724)</f>
        <v>5921010.5199999996</v>
      </c>
      <c r="O725" s="227"/>
      <c r="P725" s="262"/>
      <c r="Q725" s="1022"/>
      <c r="R725" s="227"/>
      <c r="S725" s="227"/>
      <c r="T725" s="227"/>
      <c r="U725" s="178"/>
      <c r="V725" s="179"/>
      <c r="W725" s="180"/>
      <c r="X725" s="227"/>
      <c r="Y725" s="178" t="s">
        <v>139</v>
      </c>
      <c r="Z725" s="181" t="s">
        <v>146</v>
      </c>
      <c r="AA725" s="227"/>
      <c r="AB725" s="324">
        <f>SUM(AB720:AB724)</f>
        <v>5055183.6337648518</v>
      </c>
      <c r="AC725" s="324">
        <f>SUM(AC720:AC724)</f>
        <v>5105075.3606824698</v>
      </c>
      <c r="AD725" s="324">
        <f>SUM(AD720:AD724)</f>
        <v>5124458.816749569</v>
      </c>
      <c r="AE725" s="324">
        <f>SUM(AE720:AE724)</f>
        <v>5210446.0264181094</v>
      </c>
      <c r="AF725" s="324">
        <f>SUM(AF720:AF724)</f>
        <v>5217424.1899362076</v>
      </c>
      <c r="AH725" s="247"/>
      <c r="AI725" s="247"/>
      <c r="AJ725" s="247"/>
      <c r="AK725" s="247"/>
      <c r="AL725" s="247"/>
      <c r="AM725" s="247"/>
      <c r="AN725" s="247"/>
      <c r="AO725" s="247"/>
      <c r="AP725" s="247"/>
      <c r="AQ725" s="247"/>
      <c r="AR725" s="247"/>
      <c r="AS725" s="247"/>
      <c r="AT725" s="247"/>
      <c r="AU725" s="247"/>
      <c r="AV725" s="247"/>
      <c r="AW725" s="247"/>
      <c r="AX725" s="247"/>
      <c r="AY725" s="247"/>
      <c r="AZ725" s="247"/>
      <c r="BA725" s="247"/>
      <c r="BB725" s="247"/>
      <c r="BC725" s="247"/>
      <c r="BD725" s="247"/>
      <c r="BE725" s="247"/>
      <c r="BF725" s="247"/>
      <c r="BG725" s="247"/>
      <c r="BH725" s="247"/>
      <c r="BI725" s="247"/>
      <c r="BJ725" s="247"/>
      <c r="BK725" s="247"/>
      <c r="BL725" s="247"/>
      <c r="BM725" s="247"/>
      <c r="BN725" s="247"/>
      <c r="BO725" s="247"/>
      <c r="BP725" s="247"/>
      <c r="BQ725" s="247"/>
      <c r="BR725" s="247"/>
      <c r="BS725" s="247"/>
      <c r="BT725" s="247"/>
      <c r="BU725" s="247"/>
      <c r="BV725" s="247"/>
      <c r="BW725" s="247"/>
      <c r="BX725" s="247"/>
      <c r="BY725" s="247"/>
      <c r="BZ725" s="247"/>
      <c r="CA725" s="247"/>
      <c r="CB725" s="247"/>
      <c r="CC725" s="247"/>
      <c r="CD725" s="247"/>
      <c r="CE725" s="247"/>
      <c r="CF725" s="247"/>
      <c r="CG725" s="247"/>
      <c r="CH725" s="247"/>
      <c r="CI725" s="247"/>
      <c r="CJ725" s="247"/>
      <c r="CK725" s="247"/>
      <c r="CL725" s="247"/>
      <c r="CM725" s="247"/>
      <c r="CN725" s="247"/>
      <c r="CO725" s="247"/>
    </row>
    <row r="726" spans="1:93" x14ac:dyDescent="0.2">
      <c r="A726" s="118">
        <f t="shared" si="59"/>
        <v>21</v>
      </c>
      <c r="B726" s="227"/>
      <c r="C726" s="263"/>
      <c r="D726" s="227"/>
      <c r="E726" s="230"/>
      <c r="F726" s="197"/>
      <c r="G726" s="227"/>
      <c r="H726" s="203"/>
      <c r="I726" s="308"/>
      <c r="J726" s="227"/>
      <c r="K726" s="230"/>
      <c r="L726" s="197"/>
      <c r="M726" s="227"/>
      <c r="N726" s="203"/>
      <c r="O726" s="227"/>
      <c r="P726" s="262"/>
      <c r="Q726" s="1287"/>
      <c r="T726" s="264"/>
      <c r="U726" s="184"/>
      <c r="V726" s="179"/>
      <c r="W726" s="180"/>
      <c r="X726" s="264"/>
      <c r="Y726" s="184"/>
      <c r="Z726" s="181"/>
      <c r="AA726" s="264"/>
      <c r="AC726" s="114"/>
      <c r="AD726" s="114"/>
      <c r="AE726" s="238"/>
      <c r="AF726" s="114"/>
    </row>
    <row r="727" spans="1:93" x14ac:dyDescent="0.2">
      <c r="A727" s="118">
        <f t="shared" si="59"/>
        <v>22</v>
      </c>
      <c r="B727" s="286" t="s">
        <v>551</v>
      </c>
      <c r="C727" s="263"/>
      <c r="D727" s="227"/>
      <c r="E727" s="230"/>
      <c r="F727" s="197"/>
      <c r="G727" s="227"/>
      <c r="H727" s="203"/>
      <c r="I727" s="308"/>
      <c r="J727" s="227"/>
      <c r="K727" s="230"/>
      <c r="L727" s="197"/>
      <c r="M727" s="227"/>
      <c r="N727" s="203"/>
      <c r="O727" s="227"/>
      <c r="P727" s="262"/>
      <c r="Q727" s="1287"/>
      <c r="T727" s="264"/>
      <c r="U727" s="184"/>
      <c r="V727" s="179"/>
      <c r="W727" s="180"/>
      <c r="X727" s="264"/>
      <c r="Y727" s="184"/>
      <c r="Z727" s="181"/>
      <c r="AA727" s="264"/>
      <c r="AC727" s="114"/>
      <c r="AD727" s="114"/>
      <c r="AE727" s="238"/>
      <c r="AF727" s="114"/>
    </row>
    <row r="728" spans="1:93" x14ac:dyDescent="0.2">
      <c r="A728" s="118">
        <f t="shared" si="59"/>
        <v>23</v>
      </c>
      <c r="B728" s="228" t="s">
        <v>543</v>
      </c>
      <c r="C728" s="225"/>
      <c r="D728" s="168"/>
      <c r="E728" s="233"/>
      <c r="F728" s="183"/>
      <c r="G728" s="223"/>
      <c r="H728" s="174"/>
      <c r="I728" s="308"/>
      <c r="J728" s="168"/>
      <c r="K728" s="233"/>
      <c r="L728" s="1368">
        <v>0</v>
      </c>
      <c r="M728" s="223"/>
      <c r="N728" s="174"/>
      <c r="O728" s="227"/>
      <c r="P728" s="262"/>
      <c r="Q728" s="1287"/>
      <c r="T728" s="264"/>
      <c r="U728" s="178"/>
      <c r="V728" s="179"/>
      <c r="W728" s="180"/>
      <c r="X728" s="264"/>
      <c r="Y728" s="178"/>
      <c r="Z728" s="181"/>
      <c r="AA728" s="264"/>
      <c r="AB728" s="264"/>
      <c r="AC728" s="242"/>
      <c r="AH728" s="168"/>
      <c r="AT728" s="168"/>
      <c r="BF728" s="168"/>
      <c r="BR728" s="168"/>
      <c r="CD728" s="168"/>
    </row>
    <row r="729" spans="1:93" x14ac:dyDescent="0.2">
      <c r="A729" s="118">
        <f t="shared" si="59"/>
        <v>24</v>
      </c>
      <c r="B729" s="234" t="s">
        <v>148</v>
      </c>
      <c r="C729" s="225"/>
      <c r="D729" s="172">
        <f>SUMIF($AH$8:$CP$8,1,$AH729:$CP729)+'Unbilled to E-13c'!P105</f>
        <v>142705.76588681413</v>
      </c>
      <c r="E729" s="233" t="s">
        <v>555</v>
      </c>
      <c r="F729" s="183">
        <v>17.600000000000001</v>
      </c>
      <c r="G729" s="233" t="s">
        <v>375</v>
      </c>
      <c r="H729" s="174">
        <f>ROUND(D729*F729,2)</f>
        <v>2511621.48</v>
      </c>
      <c r="I729" s="308"/>
      <c r="J729" s="172">
        <f>D729</f>
        <v>142705.76588681413</v>
      </c>
      <c r="K729" s="233" t="s">
        <v>555</v>
      </c>
      <c r="L729" s="183">
        <f>ROUND(F729*(1+'Exhibit MJC-2 - Old E-8a'!V27)+L728,2)</f>
        <v>18.309999999999999</v>
      </c>
      <c r="M729" s="233" t="s">
        <v>375</v>
      </c>
      <c r="N729" s="174">
        <f>ROUND(J729*L729,2)</f>
        <v>2612942.5699999998</v>
      </c>
      <c r="O729" s="227"/>
      <c r="P729" s="262"/>
      <c r="Q729" s="1287"/>
      <c r="R729" s="311"/>
      <c r="T729" s="264"/>
      <c r="U729" s="184" t="s">
        <v>139</v>
      </c>
      <c r="V729" s="179">
        <v>258</v>
      </c>
      <c r="W729" s="180">
        <v>232</v>
      </c>
      <c r="X729" s="264"/>
      <c r="Y729" s="184"/>
      <c r="Z729" s="181"/>
      <c r="AA729" s="264"/>
      <c r="AB729" s="182">
        <f>SUM(AH729:AS729)</f>
        <v>138518.90079660699</v>
      </c>
      <c r="AC729" s="182">
        <f>SUM(AT729:BE729)</f>
        <v>139892.71259145811</v>
      </c>
      <c r="AD729" s="182">
        <f>SUM(BF729:BQ729)</f>
        <v>140426.45279680178</v>
      </c>
      <c r="AE729" s="182">
        <f>SUM(BR729:CC729)</f>
        <v>142794.18488681412</v>
      </c>
      <c r="AF729" s="182">
        <f>SUM(CD729:CO729)</f>
        <v>142986.33464670097</v>
      </c>
      <c r="AH729" s="168">
        <v>39551.853131221855</v>
      </c>
      <c r="AI729" s="168">
        <v>0</v>
      </c>
      <c r="AJ729" s="168">
        <v>13659.738685515413</v>
      </c>
      <c r="AK729" s="168">
        <v>9840.9744002848656</v>
      </c>
      <c r="AL729" s="168">
        <v>7573.2338075016269</v>
      </c>
      <c r="AM729" s="168">
        <v>11060.767230391146</v>
      </c>
      <c r="AN729" s="168">
        <v>10209.144322757445</v>
      </c>
      <c r="AO729" s="168">
        <v>8994.085487296994</v>
      </c>
      <c r="AP729" s="168">
        <v>9811.8552280509139</v>
      </c>
      <c r="AQ729" s="168">
        <v>11657.045105302443</v>
      </c>
      <c r="AR729" s="168">
        <v>9224.0551391906884</v>
      </c>
      <c r="AS729" s="168">
        <v>6936.1482590936203</v>
      </c>
      <c r="AT729" s="168">
        <v>41674.146117269411</v>
      </c>
      <c r="AU729" s="168">
        <v>0</v>
      </c>
      <c r="AV729" s="168">
        <v>13601.876847970576</v>
      </c>
      <c r="AW729" s="168">
        <v>9933.9947309025065</v>
      </c>
      <c r="AX729" s="168">
        <v>7547.4310321710454</v>
      </c>
      <c r="AY729" s="168">
        <v>10824.29467701081</v>
      </c>
      <c r="AZ729" s="168">
        <v>10242.284270945933</v>
      </c>
      <c r="BA729" s="168">
        <v>8831.242034639703</v>
      </c>
      <c r="BB729" s="168">
        <v>9689.3369476920434</v>
      </c>
      <c r="BC729" s="168">
        <v>11595.694124821443</v>
      </c>
      <c r="BD729" s="168">
        <v>9111.2895687082109</v>
      </c>
      <c r="BE729" s="168">
        <v>6841.122239326417</v>
      </c>
      <c r="BF729" s="168">
        <v>41538.82631009636</v>
      </c>
      <c r="BG729" s="168">
        <v>0</v>
      </c>
      <c r="BH729" s="168">
        <v>13808.980160934214</v>
      </c>
      <c r="BI729" s="168">
        <v>9908.3987036736016</v>
      </c>
      <c r="BJ729" s="168">
        <v>7599.5224679364837</v>
      </c>
      <c r="BK729" s="168">
        <v>10964.724315928312</v>
      </c>
      <c r="BL729" s="168">
        <v>10304.222932370873</v>
      </c>
      <c r="BM729" s="168">
        <v>8899.4011894915548</v>
      </c>
      <c r="BN729" s="168">
        <v>9732.9579557829638</v>
      </c>
      <c r="BO729" s="168">
        <v>11568.334166058667</v>
      </c>
      <c r="BP729" s="168">
        <v>9128.9003980001853</v>
      </c>
      <c r="BQ729" s="168">
        <v>6972.1841965285839</v>
      </c>
      <c r="BR729" s="168">
        <v>42211.066482695082</v>
      </c>
      <c r="BS729" s="168">
        <v>0</v>
      </c>
      <c r="BT729" s="168">
        <v>14161.846642981332</v>
      </c>
      <c r="BU729" s="168">
        <v>10172.018566984148</v>
      </c>
      <c r="BV729" s="168">
        <v>7613.638702518364</v>
      </c>
      <c r="BW729" s="168">
        <v>11221.805497705736</v>
      </c>
      <c r="BX729" s="168">
        <v>10522.767197486453</v>
      </c>
      <c r="BY729" s="168">
        <v>9037.5754542129234</v>
      </c>
      <c r="BZ729" s="168">
        <v>9852.5975705771689</v>
      </c>
      <c r="CA729" s="168">
        <v>11758.379098733651</v>
      </c>
      <c r="CB729" s="168">
        <v>9255.4479882668657</v>
      </c>
      <c r="CC729" s="168">
        <v>6987.0416846523931</v>
      </c>
      <c r="CD729" s="168">
        <v>42390.210393857466</v>
      </c>
      <c r="CE729" s="168">
        <v>0</v>
      </c>
      <c r="CF729" s="168">
        <v>13945.216721805797</v>
      </c>
      <c r="CG729" s="168">
        <v>10266.199755394358</v>
      </c>
      <c r="CH729" s="168">
        <v>7685.4262708593378</v>
      </c>
      <c r="CI729" s="168">
        <v>11098.765170283619</v>
      </c>
      <c r="CJ729" s="168">
        <v>10490.226485147896</v>
      </c>
      <c r="CK729" s="168">
        <v>9029.7502819644797</v>
      </c>
      <c r="CL729" s="168">
        <v>9958.0433373652613</v>
      </c>
      <c r="CM729" s="168">
        <v>11778.039911166465</v>
      </c>
      <c r="CN729" s="168">
        <v>9354.278969704068</v>
      </c>
      <c r="CO729" s="168">
        <v>6990.1773491522126</v>
      </c>
    </row>
    <row r="730" spans="1:93" x14ac:dyDescent="0.2">
      <c r="A730" s="118">
        <f t="shared" si="59"/>
        <v>25</v>
      </c>
      <c r="B730" s="234" t="s">
        <v>216</v>
      </c>
      <c r="C730" s="225"/>
      <c r="D730" s="172">
        <f>SUMIF($AH$8:$CP$8,1,$AH730:$CP730)+'Unbilled to E-13c'!P106</f>
        <v>0</v>
      </c>
      <c r="E730" s="233" t="s">
        <v>555</v>
      </c>
      <c r="F730" s="183">
        <v>17.600000000000001</v>
      </c>
      <c r="G730" s="233" t="s">
        <v>375</v>
      </c>
      <c r="H730" s="187">
        <f>ROUND(D730*F730,2)</f>
        <v>0</v>
      </c>
      <c r="I730" s="308"/>
      <c r="J730" s="172">
        <f>D730</f>
        <v>0</v>
      </c>
      <c r="K730" s="233" t="s">
        <v>555</v>
      </c>
      <c r="L730" s="183">
        <f>L729</f>
        <v>18.309999999999999</v>
      </c>
      <c r="M730" s="233" t="s">
        <v>375</v>
      </c>
      <c r="N730" s="187">
        <f>ROUND(J730*L730,2)</f>
        <v>0</v>
      </c>
      <c r="O730" s="227"/>
      <c r="P730" s="262"/>
      <c r="Q730" s="1287"/>
      <c r="R730" s="311"/>
      <c r="T730" s="264"/>
      <c r="U730" s="184" t="s">
        <v>139</v>
      </c>
      <c r="V730" s="179">
        <v>258</v>
      </c>
      <c r="W730" s="180">
        <v>232</v>
      </c>
      <c r="X730" s="264"/>
      <c r="Y730" s="184"/>
      <c r="Z730" s="181"/>
      <c r="AA730" s="264"/>
      <c r="AB730" s="182">
        <f>SUM(AH730:AS730)</f>
        <v>0</v>
      </c>
      <c r="AC730" s="182">
        <f>SUM(AT730:BE730)</f>
        <v>0</v>
      </c>
      <c r="AD730" s="182">
        <f>SUM(BF730:BQ730)</f>
        <v>0</v>
      </c>
      <c r="AE730" s="182">
        <f>SUM(BR730:CC730)</f>
        <v>0</v>
      </c>
      <c r="AF730" s="182">
        <f>SUM(CD730:CO730)</f>
        <v>0</v>
      </c>
      <c r="AH730" s="168">
        <v>0</v>
      </c>
      <c r="AI730" s="168">
        <v>0</v>
      </c>
      <c r="AJ730" s="168">
        <v>0</v>
      </c>
      <c r="AK730" s="168">
        <v>0</v>
      </c>
      <c r="AL730" s="168">
        <v>0</v>
      </c>
      <c r="AM730" s="168">
        <v>0</v>
      </c>
      <c r="AN730" s="168">
        <v>0</v>
      </c>
      <c r="AO730" s="168">
        <v>0</v>
      </c>
      <c r="AP730" s="168">
        <v>0</v>
      </c>
      <c r="AQ730" s="168">
        <v>0</v>
      </c>
      <c r="AR730" s="168">
        <v>0</v>
      </c>
      <c r="AS730" s="168">
        <v>0</v>
      </c>
      <c r="AT730" s="168">
        <v>0</v>
      </c>
      <c r="AU730" s="168">
        <v>0</v>
      </c>
      <c r="AV730" s="168">
        <v>0</v>
      </c>
      <c r="AW730" s="168">
        <v>0</v>
      </c>
      <c r="AX730" s="168">
        <v>0</v>
      </c>
      <c r="AY730" s="168">
        <v>0</v>
      </c>
      <c r="AZ730" s="168">
        <v>0</v>
      </c>
      <c r="BA730" s="168">
        <v>0</v>
      </c>
      <c r="BB730" s="168">
        <v>0</v>
      </c>
      <c r="BC730" s="168">
        <v>0</v>
      </c>
      <c r="BD730" s="168">
        <v>0</v>
      </c>
      <c r="BE730" s="168">
        <v>0</v>
      </c>
      <c r="BF730" s="168">
        <v>0</v>
      </c>
      <c r="BG730" s="168">
        <v>0</v>
      </c>
      <c r="BH730" s="168">
        <v>0</v>
      </c>
      <c r="BI730" s="168">
        <v>0</v>
      </c>
      <c r="BJ730" s="168">
        <v>0</v>
      </c>
      <c r="BK730" s="168">
        <v>0</v>
      </c>
      <c r="BL730" s="168">
        <v>0</v>
      </c>
      <c r="BM730" s="168">
        <v>0</v>
      </c>
      <c r="BN730" s="168">
        <v>0</v>
      </c>
      <c r="BO730" s="168">
        <v>0</v>
      </c>
      <c r="BP730" s="168">
        <v>0</v>
      </c>
      <c r="BQ730" s="168">
        <v>0</v>
      </c>
      <c r="BR730" s="168">
        <v>0</v>
      </c>
      <c r="BS730" s="168">
        <v>0</v>
      </c>
      <c r="BT730" s="168">
        <v>0</v>
      </c>
      <c r="BU730" s="168">
        <v>0</v>
      </c>
      <c r="BV730" s="168">
        <v>0</v>
      </c>
      <c r="BW730" s="168">
        <v>0</v>
      </c>
      <c r="BX730" s="168">
        <v>0</v>
      </c>
      <c r="BY730" s="168">
        <v>0</v>
      </c>
      <c r="BZ730" s="168">
        <v>0</v>
      </c>
      <c r="CA730" s="168">
        <v>0</v>
      </c>
      <c r="CB730" s="168">
        <v>0</v>
      </c>
      <c r="CC730" s="168">
        <v>0</v>
      </c>
      <c r="CD730" s="168">
        <v>0</v>
      </c>
      <c r="CE730" s="168">
        <v>0</v>
      </c>
      <c r="CF730" s="168">
        <v>0</v>
      </c>
      <c r="CG730" s="168">
        <v>0</v>
      </c>
      <c r="CH730" s="168">
        <v>0</v>
      </c>
      <c r="CI730" s="168">
        <v>0</v>
      </c>
      <c r="CJ730" s="168">
        <v>0</v>
      </c>
      <c r="CK730" s="168">
        <v>0</v>
      </c>
      <c r="CL730" s="168">
        <v>0</v>
      </c>
      <c r="CM730" s="168">
        <v>0</v>
      </c>
      <c r="CN730" s="168">
        <v>0</v>
      </c>
      <c r="CO730" s="168">
        <v>0</v>
      </c>
    </row>
    <row r="731" spans="1:93" x14ac:dyDescent="0.2">
      <c r="A731" s="118">
        <f t="shared" si="59"/>
        <v>26</v>
      </c>
      <c r="B731" s="227"/>
      <c r="C731" s="225" t="s">
        <v>121</v>
      </c>
      <c r="D731" s="309">
        <f>SUM(D729:D730)</f>
        <v>142705.76588681413</v>
      </c>
      <c r="E731" s="230" t="s">
        <v>663</v>
      </c>
      <c r="F731" s="197"/>
      <c r="G731" s="227"/>
      <c r="H731" s="300">
        <f>SUM(H729:H730)</f>
        <v>2511621.48</v>
      </c>
      <c r="I731" s="308"/>
      <c r="J731" s="309">
        <f>SUM(J729:J730)</f>
        <v>142705.76588681413</v>
      </c>
      <c r="K731" s="230" t="s">
        <v>663</v>
      </c>
      <c r="L731" s="197"/>
      <c r="M731" s="227"/>
      <c r="N731" s="300">
        <f>SUM(N729:N730)</f>
        <v>2612942.5699999998</v>
      </c>
      <c r="O731" s="227"/>
      <c r="P731" s="262"/>
      <c r="Q731" s="1022"/>
      <c r="T731" s="264"/>
      <c r="U731" s="178"/>
      <c r="V731" s="179"/>
      <c r="W731" s="180"/>
      <c r="X731" s="264"/>
      <c r="Y731" s="178" t="s">
        <v>139</v>
      </c>
      <c r="Z731" s="181" t="s">
        <v>141</v>
      </c>
      <c r="AA731" s="264"/>
      <c r="AB731" s="309">
        <f>SUM(AB729:AB730)</f>
        <v>138518.90079660699</v>
      </c>
      <c r="AC731" s="309">
        <f>SUM(AC729:AC730)</f>
        <v>139892.71259145811</v>
      </c>
      <c r="AD731" s="309">
        <f>SUM(AD729:AD730)</f>
        <v>140426.45279680178</v>
      </c>
      <c r="AE731" s="309">
        <f>SUM(AE729:AE730)</f>
        <v>142794.18488681412</v>
      </c>
      <c r="AF731" s="309">
        <f>SUM(AF729:AF730)</f>
        <v>142986.33464670097</v>
      </c>
      <c r="AH731" s="309">
        <f t="shared" ref="AH731:CO731" si="61">SUM(AH729:AH730)</f>
        <v>39551.853131221855</v>
      </c>
      <c r="AI731" s="309">
        <f t="shared" si="61"/>
        <v>0</v>
      </c>
      <c r="AJ731" s="309">
        <f t="shared" si="61"/>
        <v>13659.738685515413</v>
      </c>
      <c r="AK731" s="309">
        <f t="shared" si="61"/>
        <v>9840.9744002848656</v>
      </c>
      <c r="AL731" s="309">
        <f t="shared" si="61"/>
        <v>7573.2338075016269</v>
      </c>
      <c r="AM731" s="309">
        <f t="shared" si="61"/>
        <v>11060.767230391146</v>
      </c>
      <c r="AN731" s="309">
        <f t="shared" si="61"/>
        <v>10209.144322757445</v>
      </c>
      <c r="AO731" s="309">
        <f t="shared" si="61"/>
        <v>8994.085487296994</v>
      </c>
      <c r="AP731" s="309">
        <f t="shared" si="61"/>
        <v>9811.8552280509139</v>
      </c>
      <c r="AQ731" s="309">
        <f t="shared" si="61"/>
        <v>11657.045105302443</v>
      </c>
      <c r="AR731" s="309">
        <f t="shared" si="61"/>
        <v>9224.0551391906884</v>
      </c>
      <c r="AS731" s="309">
        <f t="shared" si="61"/>
        <v>6936.1482590936203</v>
      </c>
      <c r="AT731" s="309">
        <f t="shared" si="61"/>
        <v>41674.146117269411</v>
      </c>
      <c r="AU731" s="309">
        <f t="shared" si="61"/>
        <v>0</v>
      </c>
      <c r="AV731" s="309">
        <f t="shared" si="61"/>
        <v>13601.876847970576</v>
      </c>
      <c r="AW731" s="309">
        <f t="shared" si="61"/>
        <v>9933.9947309025065</v>
      </c>
      <c r="AX731" s="309">
        <f t="shared" si="61"/>
        <v>7547.4310321710454</v>
      </c>
      <c r="AY731" s="309">
        <f t="shared" si="61"/>
        <v>10824.29467701081</v>
      </c>
      <c r="AZ731" s="309">
        <f t="shared" si="61"/>
        <v>10242.284270945933</v>
      </c>
      <c r="BA731" s="309">
        <f t="shared" si="61"/>
        <v>8831.242034639703</v>
      </c>
      <c r="BB731" s="309">
        <f t="shared" si="61"/>
        <v>9689.3369476920434</v>
      </c>
      <c r="BC731" s="309">
        <f t="shared" si="61"/>
        <v>11595.694124821443</v>
      </c>
      <c r="BD731" s="309">
        <f t="shared" si="61"/>
        <v>9111.2895687082109</v>
      </c>
      <c r="BE731" s="309">
        <f t="shared" si="61"/>
        <v>6841.122239326417</v>
      </c>
      <c r="BF731" s="309">
        <f t="shared" si="61"/>
        <v>41538.82631009636</v>
      </c>
      <c r="BG731" s="309">
        <f t="shared" si="61"/>
        <v>0</v>
      </c>
      <c r="BH731" s="309">
        <f t="shared" si="61"/>
        <v>13808.980160934214</v>
      </c>
      <c r="BI731" s="309">
        <f t="shared" si="61"/>
        <v>9908.3987036736016</v>
      </c>
      <c r="BJ731" s="309">
        <f t="shared" si="61"/>
        <v>7599.5224679364837</v>
      </c>
      <c r="BK731" s="309">
        <f t="shared" si="61"/>
        <v>10964.724315928312</v>
      </c>
      <c r="BL731" s="309">
        <f t="shared" si="61"/>
        <v>10304.222932370873</v>
      </c>
      <c r="BM731" s="309">
        <f t="shared" si="61"/>
        <v>8899.4011894915548</v>
      </c>
      <c r="BN731" s="309">
        <f t="shared" si="61"/>
        <v>9732.9579557829638</v>
      </c>
      <c r="BO731" s="309">
        <f t="shared" si="61"/>
        <v>11568.334166058667</v>
      </c>
      <c r="BP731" s="309">
        <f t="shared" si="61"/>
        <v>9128.9003980001853</v>
      </c>
      <c r="BQ731" s="309">
        <f t="shared" si="61"/>
        <v>6972.1841965285839</v>
      </c>
      <c r="BR731" s="309">
        <f t="shared" si="61"/>
        <v>42211.066482695082</v>
      </c>
      <c r="BS731" s="309">
        <f t="shared" si="61"/>
        <v>0</v>
      </c>
      <c r="BT731" s="309">
        <f t="shared" si="61"/>
        <v>14161.846642981332</v>
      </c>
      <c r="BU731" s="309">
        <f t="shared" si="61"/>
        <v>10172.018566984148</v>
      </c>
      <c r="BV731" s="309">
        <f t="shared" si="61"/>
        <v>7613.638702518364</v>
      </c>
      <c r="BW731" s="309">
        <f t="shared" si="61"/>
        <v>11221.805497705736</v>
      </c>
      <c r="BX731" s="309">
        <f t="shared" si="61"/>
        <v>10522.767197486453</v>
      </c>
      <c r="BY731" s="309">
        <f t="shared" si="61"/>
        <v>9037.5754542129234</v>
      </c>
      <c r="BZ731" s="309">
        <f t="shared" si="61"/>
        <v>9852.5975705771689</v>
      </c>
      <c r="CA731" s="309">
        <f t="shared" si="61"/>
        <v>11758.379098733651</v>
      </c>
      <c r="CB731" s="309">
        <f t="shared" si="61"/>
        <v>9255.4479882668657</v>
      </c>
      <c r="CC731" s="309">
        <f t="shared" si="61"/>
        <v>6987.0416846523931</v>
      </c>
      <c r="CD731" s="309">
        <f t="shared" si="61"/>
        <v>42390.210393857466</v>
      </c>
      <c r="CE731" s="309">
        <f t="shared" si="61"/>
        <v>0</v>
      </c>
      <c r="CF731" s="309">
        <f t="shared" si="61"/>
        <v>13945.216721805797</v>
      </c>
      <c r="CG731" s="309">
        <f t="shared" si="61"/>
        <v>10266.199755394358</v>
      </c>
      <c r="CH731" s="309">
        <f t="shared" si="61"/>
        <v>7685.4262708593378</v>
      </c>
      <c r="CI731" s="309">
        <f t="shared" si="61"/>
        <v>11098.765170283619</v>
      </c>
      <c r="CJ731" s="309">
        <f t="shared" si="61"/>
        <v>10490.226485147896</v>
      </c>
      <c r="CK731" s="309">
        <f t="shared" si="61"/>
        <v>9029.7502819644797</v>
      </c>
      <c r="CL731" s="309">
        <f t="shared" si="61"/>
        <v>9958.0433373652613</v>
      </c>
      <c r="CM731" s="309">
        <f t="shared" si="61"/>
        <v>11778.039911166465</v>
      </c>
      <c r="CN731" s="309">
        <f t="shared" si="61"/>
        <v>9354.278969704068</v>
      </c>
      <c r="CO731" s="309">
        <f t="shared" si="61"/>
        <v>6990.1773491522126</v>
      </c>
    </row>
    <row r="732" spans="1:93" x14ac:dyDescent="0.2">
      <c r="A732" s="118">
        <f t="shared" si="59"/>
        <v>27</v>
      </c>
      <c r="B732" s="246" t="s">
        <v>664</v>
      </c>
      <c r="C732" s="263"/>
      <c r="D732" s="227"/>
      <c r="E732" s="230"/>
      <c r="F732" s="197"/>
      <c r="G732" s="227"/>
      <c r="H732" s="203"/>
      <c r="I732" s="308"/>
      <c r="J732" s="227"/>
      <c r="K732" s="230"/>
      <c r="L732" s="197"/>
      <c r="M732" s="227"/>
      <c r="N732" s="203"/>
      <c r="O732" s="227"/>
      <c r="Q732" s="176"/>
      <c r="T732" s="264"/>
      <c r="U732" s="178"/>
      <c r="V732" s="179"/>
      <c r="W732" s="180"/>
      <c r="X732" s="264"/>
      <c r="Y732" s="178"/>
      <c r="Z732" s="181"/>
      <c r="AA732" s="264"/>
      <c r="AB732" s="193">
        <f>SUM(AH732:AS732)</f>
        <v>0</v>
      </c>
      <c r="AC732" s="193">
        <f>SUM(AT732:BE732)</f>
        <v>0</v>
      </c>
      <c r="AD732" s="193">
        <f>SUM(BF732:BQ732)</f>
        <v>0</v>
      </c>
      <c r="AE732" s="193">
        <f>SUM(BR732:CC732)</f>
        <v>0</v>
      </c>
      <c r="AF732" s="193">
        <f>SUM(CD732:CO732)</f>
        <v>0</v>
      </c>
      <c r="AH732" s="328">
        <v>0</v>
      </c>
      <c r="AI732" s="328">
        <v>0</v>
      </c>
      <c r="AJ732" s="328">
        <v>0</v>
      </c>
      <c r="AK732" s="328">
        <v>0</v>
      </c>
      <c r="AL732" s="328">
        <v>0</v>
      </c>
      <c r="AM732" s="328">
        <v>0</v>
      </c>
      <c r="AN732" s="328">
        <v>0</v>
      </c>
      <c r="AO732" s="328">
        <v>0</v>
      </c>
      <c r="AP732" s="328">
        <v>0</v>
      </c>
      <c r="AQ732" s="328">
        <v>0</v>
      </c>
      <c r="AR732" s="328">
        <v>0</v>
      </c>
      <c r="AS732" s="328">
        <v>0</v>
      </c>
      <c r="AT732" s="328">
        <v>0</v>
      </c>
      <c r="AU732" s="328">
        <v>0</v>
      </c>
      <c r="AV732" s="328">
        <v>0</v>
      </c>
      <c r="AW732" s="328">
        <v>0</v>
      </c>
      <c r="AX732" s="328">
        <v>0</v>
      </c>
      <c r="AY732" s="328">
        <v>0</v>
      </c>
      <c r="AZ732" s="328">
        <v>0</v>
      </c>
      <c r="BA732" s="328">
        <v>0</v>
      </c>
      <c r="BB732" s="328">
        <v>0</v>
      </c>
      <c r="BC732" s="328">
        <v>0</v>
      </c>
      <c r="BD732" s="328">
        <v>0</v>
      </c>
      <c r="BE732" s="328">
        <v>0</v>
      </c>
      <c r="BF732" s="328">
        <v>0</v>
      </c>
      <c r="BG732" s="328">
        <v>0</v>
      </c>
      <c r="BH732" s="328">
        <v>0</v>
      </c>
      <c r="BI732" s="328">
        <v>0</v>
      </c>
      <c r="BJ732" s="328">
        <v>0</v>
      </c>
      <c r="BK732" s="328">
        <v>0</v>
      </c>
      <c r="BL732" s="328">
        <v>0</v>
      </c>
      <c r="BM732" s="328">
        <v>0</v>
      </c>
      <c r="BN732" s="328">
        <v>0</v>
      </c>
      <c r="BO732" s="328">
        <v>0</v>
      </c>
      <c r="BP732" s="328">
        <v>0</v>
      </c>
      <c r="BQ732" s="328">
        <v>0</v>
      </c>
      <c r="BR732" s="328">
        <v>0</v>
      </c>
      <c r="BS732" s="328">
        <v>0</v>
      </c>
      <c r="BT732" s="328">
        <v>0</v>
      </c>
      <c r="BU732" s="328">
        <v>0</v>
      </c>
      <c r="BV732" s="328">
        <v>0</v>
      </c>
      <c r="BW732" s="328">
        <v>0</v>
      </c>
      <c r="BX732" s="328">
        <v>0</v>
      </c>
      <c r="BY732" s="328">
        <v>0</v>
      </c>
      <c r="BZ732" s="328">
        <v>0</v>
      </c>
      <c r="CA732" s="328">
        <v>0</v>
      </c>
      <c r="CB732" s="328">
        <v>0</v>
      </c>
      <c r="CC732" s="328">
        <v>0</v>
      </c>
      <c r="CD732" s="328">
        <v>0</v>
      </c>
      <c r="CE732" s="328">
        <v>0</v>
      </c>
      <c r="CF732" s="328">
        <v>0</v>
      </c>
      <c r="CG732" s="328">
        <v>0</v>
      </c>
      <c r="CH732" s="328">
        <v>0</v>
      </c>
      <c r="CI732" s="328">
        <v>0</v>
      </c>
      <c r="CJ732" s="328">
        <v>0</v>
      </c>
      <c r="CK732" s="328">
        <v>0</v>
      </c>
      <c r="CL732" s="328">
        <v>0</v>
      </c>
      <c r="CM732" s="328">
        <v>0</v>
      </c>
      <c r="CN732" s="328">
        <v>0</v>
      </c>
      <c r="CO732" s="328">
        <v>0</v>
      </c>
    </row>
    <row r="733" spans="1:93" x14ac:dyDescent="0.2">
      <c r="A733" s="118">
        <f t="shared" si="59"/>
        <v>28</v>
      </c>
      <c r="B733" s="232" t="s">
        <v>601</v>
      </c>
      <c r="C733" s="263"/>
      <c r="D733" s="103">
        <f>+D715</f>
        <v>296317.70399999997</v>
      </c>
      <c r="E733" s="233" t="s">
        <v>596</v>
      </c>
      <c r="F733" s="183">
        <v>-1.3</v>
      </c>
      <c r="G733" s="230"/>
      <c r="H733" s="203">
        <f>+D733*F733</f>
        <v>-385213.01519999997</v>
      </c>
      <c r="I733" s="308"/>
      <c r="J733" s="103">
        <f>+J715</f>
        <v>296317.70399999997</v>
      </c>
      <c r="K733" s="233" t="s">
        <v>596</v>
      </c>
      <c r="L733" s="310">
        <f>ROUND(-DVC!G29,2)</f>
        <v>-1.34</v>
      </c>
      <c r="M733" s="230"/>
      <c r="N733" s="174">
        <f>ROUND(L733*J733,2)</f>
        <v>-397065.72</v>
      </c>
      <c r="O733" s="227"/>
      <c r="Q733" s="227"/>
      <c r="T733" s="264"/>
      <c r="U733" s="184" t="s">
        <v>139</v>
      </c>
      <c r="V733" s="179">
        <v>258</v>
      </c>
      <c r="W733" s="180">
        <v>232</v>
      </c>
      <c r="X733" s="264"/>
      <c r="Y733" s="178" t="s">
        <v>139</v>
      </c>
      <c r="Z733" s="181" t="s">
        <v>146</v>
      </c>
      <c r="AA733" s="264"/>
      <c r="AB733" s="264"/>
      <c r="AD733" s="245"/>
    </row>
    <row r="734" spans="1:93" x14ac:dyDescent="0.2">
      <c r="A734" s="118">
        <f t="shared" si="59"/>
        <v>29</v>
      </c>
      <c r="B734" s="234" t="s">
        <v>582</v>
      </c>
      <c r="C734" s="263"/>
      <c r="D734" s="172">
        <f>SUM(H715,H720:H721,H729,H733)</f>
        <v>7820067.8247999996</v>
      </c>
      <c r="E734" s="233" t="s">
        <v>10</v>
      </c>
      <c r="F734" s="249">
        <v>0.01</v>
      </c>
      <c r="G734" s="233" t="s">
        <v>375</v>
      </c>
      <c r="H734" s="174">
        <f>-F734*D734</f>
        <v>-78200.678247999997</v>
      </c>
      <c r="I734" s="308"/>
      <c r="J734" s="172">
        <f>SUM(N715,N720:N721,N729,N733)</f>
        <v>8136887.3700000001</v>
      </c>
      <c r="K734" s="233" t="s">
        <v>10</v>
      </c>
      <c r="L734" s="249">
        <v>0.01</v>
      </c>
      <c r="M734" s="233" t="s">
        <v>375</v>
      </c>
      <c r="N734" s="174">
        <f>ROUND(L734*-J734,2)</f>
        <v>-81368.87</v>
      </c>
      <c r="O734" s="227"/>
      <c r="Q734" s="227"/>
      <c r="T734" s="264"/>
      <c r="U734" s="184" t="s">
        <v>139</v>
      </c>
      <c r="V734" s="179">
        <v>258</v>
      </c>
      <c r="W734" s="180">
        <v>232</v>
      </c>
      <c r="X734" s="264"/>
      <c r="Y734" s="178" t="s">
        <v>139</v>
      </c>
      <c r="Z734" s="181" t="s">
        <v>417</v>
      </c>
      <c r="AA734" s="264"/>
      <c r="AB734" s="182">
        <f>SUM(AH734:AS734)</f>
        <v>-56588.442231317742</v>
      </c>
      <c r="AC734" s="182">
        <f>SUM(AT734:BE734)</f>
        <v>-58803.669990008959</v>
      </c>
      <c r="AD734" s="182">
        <f>SUM(BF734:BQ734)</f>
        <v>-59010.647315103124</v>
      </c>
      <c r="AE734" s="182">
        <f>SUM(BR734:CC734)</f>
        <v>-59928.822205478369</v>
      </c>
      <c r="AF734" s="182">
        <f>SUM(CD734:CO734)</f>
        <v>-60003.335316764897</v>
      </c>
      <c r="AH734" s="174">
        <v>-15758.333741226223</v>
      </c>
      <c r="AI734" s="174">
        <v>-704.49534126000015</v>
      </c>
      <c r="AJ734" s="174">
        <v>-5966.2587432060818</v>
      </c>
      <c r="AK734" s="174">
        <v>-3862.1375502217161</v>
      </c>
      <c r="AL734" s="174">
        <v>-2880.6419495355531</v>
      </c>
      <c r="AM734" s="174">
        <v>-4282.3703147511678</v>
      </c>
      <c r="AN734" s="174">
        <v>-4679.2760195344172</v>
      </c>
      <c r="AO734" s="174">
        <v>-4086.7921948616622</v>
      </c>
      <c r="AP734" s="174">
        <v>-4290.0252287885824</v>
      </c>
      <c r="AQ734" s="174">
        <v>-3802.8187994872169</v>
      </c>
      <c r="AR734" s="174">
        <v>-3224.1517970555242</v>
      </c>
      <c r="AS734" s="174">
        <v>-3051.1405513896034</v>
      </c>
      <c r="AT734" s="174">
        <v>-16617.118272616899</v>
      </c>
      <c r="AU734" s="174">
        <v>-725.23758054000007</v>
      </c>
      <c r="AV734" s="174">
        <v>-6175.1821119870119</v>
      </c>
      <c r="AW734" s="174">
        <v>-4012.3208797733419</v>
      </c>
      <c r="AX734" s="174">
        <v>-2978.6498581576102</v>
      </c>
      <c r="AY734" s="174">
        <v>-4403.4847247573289</v>
      </c>
      <c r="AZ734" s="174">
        <v>-4853.5533922626864</v>
      </c>
      <c r="BA734" s="174">
        <v>-4212.6853699736475</v>
      </c>
      <c r="BB734" s="174">
        <v>-4428.3790413835522</v>
      </c>
      <c r="BC734" s="174">
        <v>-3927.5324082618754</v>
      </c>
      <c r="BD734" s="174">
        <v>-3322.0376692662708</v>
      </c>
      <c r="BE734" s="174">
        <v>-3147.4886810287448</v>
      </c>
      <c r="BF734" s="174">
        <v>-16639.662688044224</v>
      </c>
      <c r="BG734" s="174">
        <v>-725.23758054000007</v>
      </c>
      <c r="BH734" s="174">
        <v>-6218.2585583788114</v>
      </c>
      <c r="BI734" s="174">
        <v>-4017.7731539924825</v>
      </c>
      <c r="BJ734" s="174">
        <v>-2991.8146179805108</v>
      </c>
      <c r="BK734" s="174">
        <v>-4432.2704829404556</v>
      </c>
      <c r="BL734" s="174">
        <v>-4873.8132067226088</v>
      </c>
      <c r="BM734" s="174">
        <v>-4232.0584793010903</v>
      </c>
      <c r="BN734" s="174">
        <v>-4444.839935716217</v>
      </c>
      <c r="BO734" s="174">
        <v>-3931.5728303126052</v>
      </c>
      <c r="BP734" s="174">
        <v>-3331.0805053761133</v>
      </c>
      <c r="BQ734" s="174">
        <v>-3172.2652757979949</v>
      </c>
      <c r="BR734" s="174">
        <v>-16910.573613113542</v>
      </c>
      <c r="BS734" s="174">
        <v>-725.23758054000007</v>
      </c>
      <c r="BT734" s="174">
        <v>-6333.3545814528716</v>
      </c>
      <c r="BU734" s="174">
        <v>-4092.6135544754143</v>
      </c>
      <c r="BV734" s="174">
        <v>-3021.0762796639701</v>
      </c>
      <c r="BW734" s="174">
        <v>-4510.8296033622628</v>
      </c>
      <c r="BX734" s="174">
        <v>-4956.137338073192</v>
      </c>
      <c r="BY734" s="174">
        <v>-4295.9494114836434</v>
      </c>
      <c r="BZ734" s="174">
        <v>-4507.9418408834299</v>
      </c>
      <c r="CA734" s="174">
        <v>-3991.3198788017053</v>
      </c>
      <c r="CB734" s="174">
        <v>-3377.698889063141</v>
      </c>
      <c r="CC734" s="174">
        <v>-3206.0896345652072</v>
      </c>
      <c r="CD734" s="174">
        <v>-16949.291322652585</v>
      </c>
      <c r="CE734" s="174">
        <v>-725.23758054000007</v>
      </c>
      <c r="CF734" s="174">
        <v>-6309.7557667280444</v>
      </c>
      <c r="CG734" s="174">
        <v>-4108.4624782523006</v>
      </c>
      <c r="CH734" s="174">
        <v>-3032.9381848706316</v>
      </c>
      <c r="CI734" s="174">
        <v>-4497.8787292626321</v>
      </c>
      <c r="CJ734" s="174">
        <v>-4956.0661167264843</v>
      </c>
      <c r="CK734" s="174">
        <v>-4298.5775143049532</v>
      </c>
      <c r="CL734" s="174">
        <v>-4525.9202060983462</v>
      </c>
      <c r="CM734" s="174">
        <v>-3996.7377246323995</v>
      </c>
      <c r="CN734" s="174">
        <v>-3393.3759036062579</v>
      </c>
      <c r="CO734" s="174">
        <v>-3209.0937890902665</v>
      </c>
    </row>
    <row r="735" spans="1:93" x14ac:dyDescent="0.2">
      <c r="A735" s="118">
        <f t="shared" si="59"/>
        <v>30</v>
      </c>
      <c r="B735" s="234" t="s">
        <v>583</v>
      </c>
      <c r="C735" s="263"/>
      <c r="D735" s="174">
        <f>SUM(H716,H723:H724,H730)</f>
        <v>0</v>
      </c>
      <c r="E735" s="233" t="s">
        <v>10</v>
      </c>
      <c r="F735" s="249">
        <v>0.02</v>
      </c>
      <c r="G735" s="233" t="s">
        <v>375</v>
      </c>
      <c r="H735" s="174">
        <f>-F735*D735</f>
        <v>0</v>
      </c>
      <c r="I735" s="308"/>
      <c r="J735" s="174">
        <f>SUM(N716,N723:N724,N730)</f>
        <v>0</v>
      </c>
      <c r="K735" s="233" t="s">
        <v>10</v>
      </c>
      <c r="L735" s="249">
        <v>0.02</v>
      </c>
      <c r="M735" s="233" t="s">
        <v>375</v>
      </c>
      <c r="N735" s="187">
        <f>ROUND(L735*-J735,2)</f>
        <v>0</v>
      </c>
      <c r="O735" s="227"/>
      <c r="Q735" s="227"/>
      <c r="T735" s="264"/>
      <c r="U735" s="184" t="s">
        <v>139</v>
      </c>
      <c r="V735" s="179">
        <v>258</v>
      </c>
      <c r="W735" s="180">
        <v>232</v>
      </c>
      <c r="X735" s="264"/>
      <c r="Y735" s="178" t="s">
        <v>139</v>
      </c>
      <c r="Z735" s="181" t="s">
        <v>417</v>
      </c>
      <c r="AA735" s="264"/>
      <c r="AB735" s="182">
        <f>SUM(AH735:AS735)</f>
        <v>0</v>
      </c>
      <c r="AC735" s="182">
        <f>SUM(AT735:BE735)</f>
        <v>0</v>
      </c>
      <c r="AD735" s="182">
        <f>SUM(BF735:BQ735)</f>
        <v>0</v>
      </c>
      <c r="AE735" s="182">
        <f>SUM(BR735:CC735)</f>
        <v>0</v>
      </c>
      <c r="AF735" s="182">
        <f>SUM(CD735:CO735)</f>
        <v>0</v>
      </c>
      <c r="AH735" s="174">
        <v>0</v>
      </c>
      <c r="AI735" s="174">
        <v>0</v>
      </c>
      <c r="AJ735" s="174">
        <v>0</v>
      </c>
      <c r="AK735" s="174">
        <v>0</v>
      </c>
      <c r="AL735" s="174">
        <v>0</v>
      </c>
      <c r="AM735" s="174">
        <v>0</v>
      </c>
      <c r="AN735" s="174">
        <v>0</v>
      </c>
      <c r="AO735" s="174">
        <v>0</v>
      </c>
      <c r="AP735" s="174">
        <v>0</v>
      </c>
      <c r="AQ735" s="174">
        <v>0</v>
      </c>
      <c r="AR735" s="174">
        <v>0</v>
      </c>
      <c r="AS735" s="174">
        <v>0</v>
      </c>
      <c r="AT735" s="174">
        <v>0</v>
      </c>
      <c r="AU735" s="174">
        <v>0</v>
      </c>
      <c r="AV735" s="174">
        <v>0</v>
      </c>
      <c r="AW735" s="174">
        <v>0</v>
      </c>
      <c r="AX735" s="174">
        <v>0</v>
      </c>
      <c r="AY735" s="174">
        <v>0</v>
      </c>
      <c r="AZ735" s="174">
        <v>0</v>
      </c>
      <c r="BA735" s="174">
        <v>0</v>
      </c>
      <c r="BB735" s="174">
        <v>0</v>
      </c>
      <c r="BC735" s="174">
        <v>0</v>
      </c>
      <c r="BD735" s="174">
        <v>0</v>
      </c>
      <c r="BE735" s="174">
        <v>0</v>
      </c>
      <c r="BF735" s="174">
        <v>0</v>
      </c>
      <c r="BG735" s="174">
        <v>0</v>
      </c>
      <c r="BH735" s="174">
        <v>0</v>
      </c>
      <c r="BI735" s="174">
        <v>0</v>
      </c>
      <c r="BJ735" s="174">
        <v>0</v>
      </c>
      <c r="BK735" s="174">
        <v>0</v>
      </c>
      <c r="BL735" s="174">
        <v>0</v>
      </c>
      <c r="BM735" s="174">
        <v>0</v>
      </c>
      <c r="BN735" s="174">
        <v>0</v>
      </c>
      <c r="BO735" s="174">
        <v>0</v>
      </c>
      <c r="BP735" s="174">
        <v>0</v>
      </c>
      <c r="BQ735" s="174">
        <v>0</v>
      </c>
      <c r="BR735" s="174">
        <v>0</v>
      </c>
      <c r="BS735" s="174">
        <v>0</v>
      </c>
      <c r="BT735" s="174">
        <v>0</v>
      </c>
      <c r="BU735" s="174">
        <v>0</v>
      </c>
      <c r="BV735" s="174">
        <v>0</v>
      </c>
      <c r="BW735" s="174">
        <v>0</v>
      </c>
      <c r="BX735" s="174">
        <v>0</v>
      </c>
      <c r="BY735" s="174">
        <v>0</v>
      </c>
      <c r="BZ735" s="174">
        <v>0</v>
      </c>
      <c r="CA735" s="174">
        <v>0</v>
      </c>
      <c r="CB735" s="174">
        <v>0</v>
      </c>
      <c r="CC735" s="174">
        <v>0</v>
      </c>
      <c r="CD735" s="174">
        <v>0</v>
      </c>
      <c r="CE735" s="174">
        <v>0</v>
      </c>
      <c r="CF735" s="174">
        <v>0</v>
      </c>
      <c r="CG735" s="174">
        <v>0</v>
      </c>
      <c r="CH735" s="174">
        <v>0</v>
      </c>
      <c r="CI735" s="174">
        <v>0</v>
      </c>
      <c r="CJ735" s="174">
        <v>0</v>
      </c>
      <c r="CK735" s="174">
        <v>0</v>
      </c>
      <c r="CL735" s="174">
        <v>0</v>
      </c>
      <c r="CM735" s="174">
        <v>0</v>
      </c>
      <c r="CN735" s="174">
        <v>0</v>
      </c>
      <c r="CO735" s="174">
        <v>0</v>
      </c>
    </row>
    <row r="736" spans="1:93" x14ac:dyDescent="0.2">
      <c r="A736" s="118">
        <f t="shared" si="59"/>
        <v>31</v>
      </c>
      <c r="B736" s="223"/>
      <c r="C736" s="263" t="s">
        <v>121</v>
      </c>
      <c r="D736" s="227"/>
      <c r="E736" s="230"/>
      <c r="F736" s="197"/>
      <c r="G736" s="227"/>
      <c r="H736" s="300">
        <f>SUM(H733:H735)</f>
        <v>-463413.69344799995</v>
      </c>
      <c r="I736" s="308"/>
      <c r="J736" s="227"/>
      <c r="K736" s="230"/>
      <c r="L736" s="197"/>
      <c r="M736" s="227"/>
      <c r="N736" s="300">
        <f>SUM(N733:N735)</f>
        <v>-478434.58999999997</v>
      </c>
      <c r="O736" s="227"/>
      <c r="Q736" s="176"/>
      <c r="T736" s="264"/>
      <c r="U736" s="184"/>
      <c r="V736" s="179"/>
      <c r="W736" s="180"/>
      <c r="X736" s="264"/>
      <c r="Y736" s="178" t="s">
        <v>139</v>
      </c>
      <c r="Z736" s="181"/>
      <c r="AA736" s="264"/>
      <c r="AB736" s="264"/>
      <c r="AD736" s="245"/>
    </row>
    <row r="737" spans="1:93" x14ac:dyDescent="0.2">
      <c r="A737" s="118">
        <f t="shared" si="59"/>
        <v>32</v>
      </c>
      <c r="B737" s="223"/>
      <c r="C737" s="263"/>
      <c r="D737" s="227"/>
      <c r="E737" s="230"/>
      <c r="F737" s="197"/>
      <c r="G737" s="227"/>
      <c r="H737" s="203"/>
      <c r="I737" s="308"/>
      <c r="J737" s="227"/>
      <c r="K737" s="230"/>
      <c r="L737" s="197"/>
      <c r="M737" s="227"/>
      <c r="N737" s="203"/>
      <c r="O737" s="227"/>
      <c r="Q737" s="227"/>
      <c r="U737" s="184"/>
      <c r="V737" s="179"/>
      <c r="W737" s="180"/>
      <c r="Y737" s="184"/>
      <c r="Z737" s="181"/>
    </row>
    <row r="738" spans="1:93" ht="10.8" thickBot="1" x14ac:dyDescent="0.25">
      <c r="A738" s="118">
        <f t="shared" si="59"/>
        <v>33</v>
      </c>
      <c r="B738" s="246" t="s">
        <v>665</v>
      </c>
      <c r="C738" s="227"/>
      <c r="D738" s="227"/>
      <c r="E738" s="230"/>
      <c r="F738" s="197"/>
      <c r="G738" s="227"/>
      <c r="H738" s="330">
        <f>+H711+H725+H731+H736</f>
        <v>7743359.7865520008</v>
      </c>
      <c r="I738" s="308"/>
      <c r="J738" s="227"/>
      <c r="K738" s="230"/>
      <c r="L738" s="197"/>
      <c r="M738" s="227"/>
      <c r="N738" s="330">
        <f>+N711+N725+N731+N736</f>
        <v>8057020.6500000004</v>
      </c>
      <c r="O738" s="227"/>
      <c r="P738" s="227"/>
      <c r="Q738" s="939">
        <f>(N738-H738)/H738</f>
        <v>4.0507076010175676E-2</v>
      </c>
      <c r="U738" s="184"/>
      <c r="V738" s="179"/>
      <c r="W738" s="180"/>
      <c r="Y738" s="178" t="s">
        <v>139</v>
      </c>
      <c r="Z738" s="181" t="s">
        <v>121</v>
      </c>
    </row>
    <row r="739" spans="1:93" ht="10.8" thickTop="1" x14ac:dyDescent="0.2">
      <c r="A739" s="118">
        <f t="shared" si="59"/>
        <v>34</v>
      </c>
      <c r="B739" s="227"/>
      <c r="C739" s="227"/>
      <c r="D739" s="227"/>
      <c r="E739" s="230"/>
      <c r="F739" s="197"/>
      <c r="G739" s="227"/>
      <c r="H739" s="203"/>
      <c r="I739" s="308"/>
      <c r="J739" s="227"/>
      <c r="K739" s="230"/>
      <c r="L739" s="197"/>
      <c r="M739" s="227"/>
      <c r="N739" s="203"/>
      <c r="O739" s="227"/>
      <c r="P739" s="227"/>
      <c r="Q739" s="227"/>
      <c r="U739" s="178"/>
      <c r="V739" s="179"/>
      <c r="W739" s="180"/>
      <c r="Y739" s="178"/>
      <c r="Z739" s="181"/>
    </row>
    <row r="740" spans="1:93" x14ac:dyDescent="0.2">
      <c r="A740" s="118">
        <f t="shared" si="59"/>
        <v>35</v>
      </c>
      <c r="B740" s="227"/>
      <c r="C740" s="227"/>
      <c r="D740" s="227"/>
      <c r="E740" s="230"/>
      <c r="F740" s="183"/>
      <c r="G740" s="227"/>
      <c r="H740" s="1301"/>
      <c r="I740" s="308"/>
      <c r="J740" s="234" t="s">
        <v>573</v>
      </c>
      <c r="K740" s="233"/>
      <c r="L740" s="183"/>
      <c r="M740" s="223"/>
      <c r="N740" s="174">
        <f>N738-H738</f>
        <v>313660.86344799958</v>
      </c>
      <c r="O740" s="227"/>
      <c r="P740" s="227"/>
      <c r="Q740" s="227"/>
      <c r="U740" s="178"/>
      <c r="V740" s="179"/>
      <c r="W740" s="180"/>
      <c r="Y740" s="178"/>
      <c r="Z740" s="181"/>
    </row>
    <row r="741" spans="1:93" x14ac:dyDescent="0.2">
      <c r="A741" s="118">
        <f t="shared" si="59"/>
        <v>36</v>
      </c>
      <c r="B741" s="234"/>
      <c r="C741" s="223"/>
      <c r="D741" s="174"/>
      <c r="E741" s="225"/>
      <c r="F741" s="183"/>
      <c r="G741" s="233"/>
      <c r="H741" s="1301"/>
      <c r="I741" s="308"/>
      <c r="J741" s="168"/>
      <c r="K741" s="225"/>
      <c r="L741" s="183"/>
      <c r="M741" s="233"/>
      <c r="N741" s="174"/>
      <c r="O741" s="227"/>
      <c r="P741" s="227"/>
      <c r="Q741" s="227"/>
      <c r="U741" s="184"/>
      <c r="V741" s="179"/>
      <c r="W741" s="180"/>
      <c r="Y741" s="184"/>
      <c r="Z741" s="181"/>
    </row>
    <row r="742" spans="1:93" x14ac:dyDescent="0.2">
      <c r="A742" s="118">
        <f t="shared" si="59"/>
        <v>37</v>
      </c>
      <c r="B742" s="243"/>
      <c r="C742" s="223" t="s">
        <v>416</v>
      </c>
      <c r="D742" s="168" t="s">
        <v>416</v>
      </c>
      <c r="E742" s="233" t="s">
        <v>416</v>
      </c>
      <c r="F742" s="205" t="s">
        <v>416</v>
      </c>
      <c r="G742" s="233" t="s">
        <v>416</v>
      </c>
      <c r="H742" s="1302"/>
      <c r="I742" s="308"/>
      <c r="J742" s="171" t="s">
        <v>666</v>
      </c>
      <c r="M742" s="233"/>
      <c r="N742" s="174">
        <f>-ROUND((H738-(H738*(1+'Exhibit MJC-2 - Old E-8a'!V27))),2)</f>
        <v>313787.99</v>
      </c>
      <c r="O742" s="227"/>
      <c r="P742" s="227"/>
      <c r="Q742" s="939">
        <f>N742/H738</f>
        <v>4.0523493502776391E-2</v>
      </c>
      <c r="U742" s="184"/>
      <c r="V742" s="179"/>
      <c r="W742" s="180"/>
      <c r="Y742" s="184"/>
      <c r="Z742" s="181"/>
    </row>
    <row r="743" spans="1:93" x14ac:dyDescent="0.2">
      <c r="A743" s="118">
        <f t="shared" si="59"/>
        <v>38</v>
      </c>
      <c r="B743" s="243"/>
      <c r="C743" s="223"/>
      <c r="D743" s="168"/>
      <c r="E743" s="233"/>
      <c r="F743" s="205"/>
      <c r="G743" s="233"/>
      <c r="H743" s="1302"/>
      <c r="I743" s="308"/>
      <c r="M743" s="233"/>
      <c r="N743" s="174"/>
      <c r="O743" s="227"/>
      <c r="P743" s="227"/>
      <c r="Q743" s="227"/>
      <c r="U743" s="184"/>
      <c r="V743" s="179"/>
      <c r="W743" s="180"/>
      <c r="Y743" s="184"/>
      <c r="Z743" s="181"/>
    </row>
    <row r="744" spans="1:93" x14ac:dyDescent="0.2">
      <c r="A744" s="118">
        <f t="shared" si="59"/>
        <v>39</v>
      </c>
      <c r="B744" s="243"/>
      <c r="C744" s="223"/>
      <c r="D744" s="168"/>
      <c r="E744" s="233"/>
      <c r="F744" s="205"/>
      <c r="G744" s="233"/>
      <c r="H744" s="1302"/>
      <c r="I744" s="308"/>
      <c r="J744" s="171" t="s">
        <v>575</v>
      </c>
      <c r="N744" s="214">
        <f>N740-N742</f>
        <v>-127.12655200040899</v>
      </c>
      <c r="O744" s="227"/>
      <c r="P744" s="227"/>
      <c r="Q744" s="227"/>
      <c r="U744" s="184"/>
      <c r="V744" s="179"/>
      <c r="W744" s="180"/>
      <c r="Y744" s="184"/>
      <c r="Z744" s="181"/>
    </row>
    <row r="745" spans="1:93" x14ac:dyDescent="0.2">
      <c r="A745" s="118">
        <f t="shared" si="59"/>
        <v>40</v>
      </c>
      <c r="B745" s="243"/>
      <c r="C745" s="223"/>
      <c r="D745" s="168"/>
      <c r="E745" s="233"/>
      <c r="F745" s="205"/>
      <c r="G745" s="233"/>
      <c r="H745" s="174"/>
      <c r="I745" s="308"/>
      <c r="J745" s="168"/>
      <c r="K745" s="233"/>
      <c r="L745" s="205"/>
      <c r="M745" s="233"/>
      <c r="N745" s="174"/>
      <c r="O745" s="227"/>
      <c r="P745" s="227"/>
      <c r="Q745" s="227"/>
      <c r="U745" s="184"/>
      <c r="V745" s="179"/>
      <c r="W745" s="180"/>
      <c r="Y745" s="184"/>
      <c r="Z745" s="181"/>
    </row>
    <row r="746" spans="1:93" x14ac:dyDescent="0.2">
      <c r="A746" s="118">
        <f t="shared" si="59"/>
        <v>41</v>
      </c>
      <c r="B746" s="243"/>
      <c r="C746" s="223"/>
      <c r="D746" s="168"/>
      <c r="E746" s="233"/>
      <c r="F746" s="205"/>
      <c r="G746" s="233"/>
      <c r="H746" s="174"/>
      <c r="I746" s="308"/>
      <c r="J746" s="168"/>
      <c r="K746" s="233"/>
      <c r="L746" s="205"/>
      <c r="M746" s="233"/>
      <c r="N746" s="732">
        <f>N744/N742</f>
        <v>-4.0513517423152172E-4</v>
      </c>
      <c r="O746" s="227"/>
      <c r="P746" s="227"/>
      <c r="Q746" s="227"/>
      <c r="U746" s="184"/>
      <c r="V746" s="179"/>
      <c r="W746" s="180"/>
      <c r="Y746" s="184"/>
      <c r="Z746" s="181"/>
    </row>
    <row r="747" spans="1:93" x14ac:dyDescent="0.2">
      <c r="A747" s="118">
        <f t="shared" si="59"/>
        <v>42</v>
      </c>
      <c r="B747" s="243"/>
      <c r="C747" s="223"/>
      <c r="D747" s="168"/>
      <c r="E747" s="233"/>
      <c r="F747" s="205"/>
      <c r="G747" s="233"/>
      <c r="H747" s="174"/>
      <c r="I747" s="308"/>
      <c r="J747" s="168"/>
      <c r="K747" s="233"/>
      <c r="L747" s="205"/>
      <c r="M747" s="233"/>
      <c r="N747" s="174"/>
      <c r="O747" s="227"/>
      <c r="P747" s="227"/>
      <c r="Q747" s="227"/>
      <c r="U747" s="184"/>
      <c r="V747" s="179"/>
      <c r="W747" s="180"/>
      <c r="Y747" s="184"/>
      <c r="Z747" s="181"/>
    </row>
    <row r="748" spans="1:93" x14ac:dyDescent="0.2">
      <c r="A748" s="118">
        <f t="shared" si="59"/>
        <v>43</v>
      </c>
      <c r="B748" s="243"/>
      <c r="C748" s="223"/>
      <c r="D748" s="168"/>
      <c r="E748" s="233"/>
      <c r="F748" s="205"/>
      <c r="G748" s="233"/>
      <c r="H748" s="174"/>
      <c r="I748" s="308"/>
      <c r="J748" s="168"/>
      <c r="K748" s="233"/>
      <c r="L748" s="205"/>
      <c r="M748" s="233"/>
      <c r="N748" s="174"/>
      <c r="O748" s="227"/>
      <c r="P748" s="227"/>
      <c r="Q748" s="227"/>
      <c r="U748" s="184"/>
      <c r="V748" s="179"/>
      <c r="W748" s="180"/>
      <c r="Y748" s="184"/>
      <c r="Z748" s="181"/>
    </row>
    <row r="749" spans="1:93" x14ac:dyDescent="0.2">
      <c r="A749" s="118">
        <f t="shared" si="59"/>
        <v>44</v>
      </c>
      <c r="B749" s="243"/>
      <c r="C749" s="223"/>
      <c r="D749" s="168"/>
      <c r="E749" s="233"/>
      <c r="F749" s="205"/>
      <c r="G749" s="233"/>
      <c r="H749" s="174"/>
      <c r="I749" s="308"/>
      <c r="J749" s="168"/>
      <c r="K749" s="233"/>
      <c r="L749" s="205"/>
      <c r="M749" s="233"/>
      <c r="N749" s="174"/>
      <c r="O749" s="227"/>
      <c r="P749" s="227"/>
      <c r="Q749" s="227"/>
      <c r="U749" s="184"/>
      <c r="V749" s="179"/>
      <c r="W749" s="180"/>
      <c r="Y749" s="184"/>
      <c r="Z749" s="181"/>
    </row>
    <row r="750" spans="1:93" x14ac:dyDescent="0.2">
      <c r="A750" s="118">
        <f t="shared" si="59"/>
        <v>45</v>
      </c>
      <c r="B750" s="243"/>
      <c r="C750" s="223"/>
      <c r="D750" s="168"/>
      <c r="E750" s="233"/>
      <c r="F750" s="205"/>
      <c r="G750" s="233"/>
      <c r="H750" s="174"/>
      <c r="I750" s="308"/>
      <c r="J750" s="168"/>
      <c r="K750" s="233"/>
      <c r="L750" s="205"/>
      <c r="M750" s="233"/>
      <c r="N750" s="174"/>
      <c r="O750" s="227"/>
      <c r="P750" s="227"/>
      <c r="Q750" s="227"/>
      <c r="U750" s="252"/>
      <c r="V750" s="253"/>
      <c r="W750" s="254"/>
      <c r="Y750" s="252"/>
      <c r="Z750" s="255"/>
    </row>
    <row r="751" spans="1:93" x14ac:dyDescent="0.2">
      <c r="A751" s="215"/>
      <c r="B751" s="215" t="s">
        <v>98</v>
      </c>
      <c r="C751" s="215"/>
      <c r="D751" s="215"/>
      <c r="E751" s="215"/>
      <c r="F751" s="299"/>
      <c r="G751" s="215"/>
      <c r="H751" s="300"/>
      <c r="I751" s="215"/>
      <c r="J751" s="215"/>
      <c r="K751" s="215"/>
      <c r="L751" s="299"/>
      <c r="M751" s="215"/>
      <c r="N751" s="300" t="s">
        <v>99</v>
      </c>
      <c r="O751" s="215"/>
      <c r="P751" s="215"/>
      <c r="Q751" s="215"/>
    </row>
    <row r="752" spans="1:93" x14ac:dyDescent="0.2">
      <c r="A752" s="216"/>
      <c r="B752" s="216"/>
      <c r="C752" s="216"/>
      <c r="D752" s="216"/>
      <c r="E752" s="216"/>
      <c r="F752" s="216"/>
      <c r="G752" s="216"/>
      <c r="H752" s="216"/>
      <c r="I752" s="216"/>
      <c r="J752" s="216"/>
      <c r="K752" s="216"/>
      <c r="L752" s="216"/>
      <c r="M752" s="216"/>
      <c r="N752" s="216"/>
      <c r="O752" s="216"/>
      <c r="P752" s="216"/>
      <c r="Q752" s="216"/>
      <c r="R752" s="216"/>
      <c r="S752" s="216"/>
      <c r="T752" s="216"/>
      <c r="U752" s="216"/>
      <c r="V752" s="216"/>
      <c r="W752" s="216"/>
      <c r="X752" s="216"/>
      <c r="Y752" s="217"/>
      <c r="Z752" s="217"/>
      <c r="AA752" s="216"/>
      <c r="AB752" s="216"/>
      <c r="AC752" s="216"/>
      <c r="AD752" s="216"/>
      <c r="AE752" s="216"/>
      <c r="AF752" s="216"/>
      <c r="AG752" s="216"/>
      <c r="AH752" s="216"/>
      <c r="AI752" s="216"/>
      <c r="AJ752" s="216"/>
      <c r="AK752" s="216"/>
      <c r="AL752" s="216"/>
      <c r="AM752" s="216"/>
      <c r="AN752" s="216"/>
      <c r="AO752" s="216"/>
      <c r="AP752" s="216"/>
      <c r="AQ752" s="216"/>
      <c r="AR752" s="216"/>
      <c r="AS752" s="216"/>
      <c r="AT752" s="216"/>
      <c r="AU752" s="216"/>
      <c r="AV752" s="216"/>
      <c r="AW752" s="216"/>
      <c r="AX752" s="216"/>
      <c r="AY752" s="216"/>
      <c r="AZ752" s="216"/>
      <c r="BA752" s="216"/>
      <c r="BB752" s="216"/>
      <c r="BC752" s="216"/>
      <c r="BD752" s="216"/>
      <c r="BE752" s="216"/>
      <c r="BF752" s="216"/>
      <c r="BG752" s="216"/>
      <c r="BH752" s="216"/>
      <c r="BI752" s="216"/>
      <c r="BJ752" s="216"/>
      <c r="BK752" s="216"/>
      <c r="BL752" s="216"/>
      <c r="BM752" s="216"/>
      <c r="BN752" s="216"/>
      <c r="BO752" s="216"/>
      <c r="BP752" s="216"/>
      <c r="BQ752" s="216"/>
      <c r="BR752" s="216"/>
      <c r="BS752" s="216"/>
      <c r="BT752" s="216"/>
      <c r="BU752" s="216"/>
      <c r="BV752" s="216"/>
      <c r="BW752" s="216"/>
      <c r="BX752" s="216"/>
      <c r="BY752" s="216"/>
      <c r="BZ752" s="216"/>
      <c r="CA752" s="216"/>
      <c r="CB752" s="216"/>
      <c r="CC752" s="216"/>
      <c r="CD752" s="216"/>
      <c r="CE752" s="216"/>
      <c r="CF752" s="216"/>
      <c r="CG752" s="216"/>
      <c r="CH752" s="216"/>
      <c r="CI752" s="216"/>
      <c r="CJ752" s="216"/>
      <c r="CK752" s="216"/>
      <c r="CL752" s="216"/>
      <c r="CM752" s="216"/>
      <c r="CN752" s="216"/>
      <c r="CO752" s="216"/>
    </row>
    <row r="757" spans="14:14" x14ac:dyDescent="0.2">
      <c r="N757" s="182"/>
    </row>
  </sheetData>
  <mergeCells count="39">
    <mergeCell ref="D640:N640"/>
    <mergeCell ref="D696:N696"/>
    <mergeCell ref="D697:N697"/>
    <mergeCell ref="D698:N698"/>
    <mergeCell ref="D577:N577"/>
    <mergeCell ref="D578:N578"/>
    <mergeCell ref="D579:N579"/>
    <mergeCell ref="D638:N638"/>
    <mergeCell ref="D639:N639"/>
    <mergeCell ref="D457:N457"/>
    <mergeCell ref="D458:N458"/>
    <mergeCell ref="D516:N516"/>
    <mergeCell ref="D517:N517"/>
    <mergeCell ref="D518:N518"/>
    <mergeCell ref="D340:N340"/>
    <mergeCell ref="D396:N396"/>
    <mergeCell ref="D397:N397"/>
    <mergeCell ref="D398:N398"/>
    <mergeCell ref="D456:N456"/>
    <mergeCell ref="D282:N282"/>
    <mergeCell ref="D283:N283"/>
    <mergeCell ref="D284:N284"/>
    <mergeCell ref="D338:N338"/>
    <mergeCell ref="D339:N339"/>
    <mergeCell ref="D169:N169"/>
    <mergeCell ref="D170:N170"/>
    <mergeCell ref="D225:N225"/>
    <mergeCell ref="D226:N226"/>
    <mergeCell ref="D227:N227"/>
    <mergeCell ref="D67:N67"/>
    <mergeCell ref="D128:N128"/>
    <mergeCell ref="D129:N129"/>
    <mergeCell ref="D130:N130"/>
    <mergeCell ref="D168:N168"/>
    <mergeCell ref="D8:N8"/>
    <mergeCell ref="D6:N6"/>
    <mergeCell ref="D7:N7"/>
    <mergeCell ref="D65:N65"/>
    <mergeCell ref="D66:N66"/>
  </mergeCells>
  <printOptions horizontalCentered="1"/>
  <pageMargins left="0.5" right="0.5" top="0.75" bottom="0.5" header="0.5" footer="0.5"/>
  <pageSetup scale="82" fitToHeight="0" orientation="landscape" r:id="rId1"/>
  <headerFooter alignWithMargins="0">
    <oddHeader xml:space="preserve">&amp;RDEF’s Response to OPC POD 1 (1-26)
Q7
Page &amp;P of &amp;N
</oddHeader>
    <oddFooter>&amp;R20240025-OPCPOD1-00004300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E1FD9-6ACA-4633-BA32-8D5F3D3449DD}">
  <sheetPr codeName="Sheet6">
    <tabColor rgb="FF92D050"/>
    <pageSetUpPr fitToPage="1"/>
  </sheetPr>
  <dimension ref="A1:CP645"/>
  <sheetViews>
    <sheetView tabSelected="1" topLeftCell="A486" workbookViewId="0">
      <selection activeCell="S8" sqref="S8"/>
    </sheetView>
  </sheetViews>
  <sheetFormatPr defaultRowHeight="10.199999999999999" x14ac:dyDescent="0.2"/>
  <cols>
    <col min="1" max="1" width="4.6640625" style="101" customWidth="1"/>
    <col min="2" max="2" width="7.33203125" style="101" customWidth="1"/>
    <col min="3" max="3" width="21.6640625" style="101" customWidth="1"/>
    <col min="4" max="4" width="12.5546875" style="101" bestFit="1" customWidth="1"/>
    <col min="5" max="5" width="7.109375" style="101" customWidth="1"/>
    <col min="6" max="6" width="9.6640625" style="101" customWidth="1"/>
    <col min="7" max="7" width="1.5546875" style="101" customWidth="1"/>
    <col min="8" max="8" width="13" style="101" customWidth="1"/>
    <col min="9" max="9" width="2.109375" style="101" customWidth="1"/>
    <col min="10" max="10" width="11.5546875" style="101" customWidth="1"/>
    <col min="11" max="11" width="6.44140625" style="101" bestFit="1" customWidth="1"/>
    <col min="12" max="12" width="9.6640625" style="101" customWidth="1"/>
    <col min="13" max="13" width="2.88671875" style="101" customWidth="1"/>
    <col min="14" max="14" width="13" style="101" customWidth="1"/>
    <col min="15" max="15" width="1.5546875" style="101" customWidth="1"/>
    <col min="16" max="16" width="14.5546875" style="101" customWidth="1"/>
    <col min="17" max="17" width="14.33203125" style="101" customWidth="1"/>
    <col min="18" max="18" width="2.6640625" style="101" customWidth="1"/>
    <col min="19" max="20" width="13" style="101" hidden="1" customWidth="1"/>
    <col min="21" max="21" width="5.6640625" style="101" hidden="1" customWidth="1"/>
    <col min="22" max="23" width="7.5546875" style="101" hidden="1" customWidth="1"/>
    <col min="24" max="24" width="2.6640625" style="101" hidden="1" customWidth="1"/>
    <col min="25" max="25" width="7.88671875" style="107" hidden="1" customWidth="1"/>
    <col min="26" max="26" width="9" style="107" hidden="1" customWidth="1"/>
    <col min="27" max="27" width="2.6640625" style="101" hidden="1" customWidth="1"/>
    <col min="28" max="32" width="10.109375" style="101" hidden="1" customWidth="1"/>
    <col min="33" max="33" width="2.6640625" style="101" hidden="1" customWidth="1"/>
    <col min="34" max="34" width="10.44140625" style="101" hidden="1" customWidth="1"/>
    <col min="35" max="45" width="10.109375" style="101" hidden="1" customWidth="1"/>
    <col min="46" max="46" width="10.44140625" style="101" hidden="1" customWidth="1"/>
    <col min="47" max="57" width="10.109375" style="101" hidden="1" customWidth="1"/>
    <col min="58" max="93" width="0" style="101" hidden="1" customWidth="1"/>
    <col min="94" max="276" width="9.109375" style="101"/>
    <col min="277" max="277" width="9.6640625" style="101" customWidth="1"/>
    <col min="278" max="278" width="12.44140625" style="101" customWidth="1"/>
    <col min="279" max="279" width="10.5546875" style="101" customWidth="1"/>
    <col min="280" max="280" width="6.44140625" style="101" bestFit="1" customWidth="1"/>
    <col min="281" max="281" width="8.88671875" style="101" customWidth="1"/>
    <col min="282" max="282" width="1.5546875" style="101" customWidth="1"/>
    <col min="283" max="283" width="10.5546875" style="101" customWidth="1"/>
    <col min="284" max="284" width="2.6640625" style="101" customWidth="1"/>
    <col min="285" max="285" width="9.6640625" style="101" customWidth="1"/>
    <col min="286" max="286" width="14.6640625" style="101" customWidth="1"/>
    <col min="287" max="287" width="10.5546875" style="101" customWidth="1"/>
    <col min="288" max="288" width="6.44140625" style="101" customWidth="1"/>
    <col min="289" max="289" width="8.88671875" style="101" customWidth="1"/>
    <col min="290" max="290" width="1.5546875" style="101" customWidth="1"/>
    <col min="291" max="291" width="13.44140625" style="101" customWidth="1"/>
    <col min="292" max="292" width="4" style="101" customWidth="1"/>
    <col min="293" max="293" width="8" style="101" customWidth="1"/>
    <col min="294" max="294" width="2.6640625" style="101" customWidth="1"/>
    <col min="295" max="295" width="10.44140625" style="101" customWidth="1"/>
    <col min="296" max="296" width="11" style="101" bestFit="1" customWidth="1"/>
    <col min="297" max="297" width="13.5546875" style="101" customWidth="1"/>
    <col min="298" max="298" width="11" style="101" bestFit="1" customWidth="1"/>
    <col min="299" max="299" width="9.33203125" style="101" bestFit="1" customWidth="1"/>
    <col min="300" max="300" width="11" style="101" bestFit="1" customWidth="1"/>
    <col min="301" max="532" width="9.109375" style="101"/>
    <col min="533" max="533" width="9.6640625" style="101" customWidth="1"/>
    <col min="534" max="534" width="12.44140625" style="101" customWidth="1"/>
    <col min="535" max="535" width="10.5546875" style="101" customWidth="1"/>
    <col min="536" max="536" width="6.44140625" style="101" bestFit="1" customWidth="1"/>
    <col min="537" max="537" width="8.88671875" style="101" customWidth="1"/>
    <col min="538" max="538" width="1.5546875" style="101" customWidth="1"/>
    <col min="539" max="539" width="10.5546875" style="101" customWidth="1"/>
    <col min="540" max="540" width="2.6640625" style="101" customWidth="1"/>
    <col min="541" max="541" width="9.6640625" style="101" customWidth="1"/>
    <col min="542" max="542" width="14.6640625" style="101" customWidth="1"/>
    <col min="543" max="543" width="10.5546875" style="101" customWidth="1"/>
    <col min="544" max="544" width="6.44140625" style="101" customWidth="1"/>
    <col min="545" max="545" width="8.88671875" style="101" customWidth="1"/>
    <col min="546" max="546" width="1.5546875" style="101" customWidth="1"/>
    <col min="547" max="547" width="13.44140625" style="101" customWidth="1"/>
    <col min="548" max="548" width="4" style="101" customWidth="1"/>
    <col min="549" max="549" width="8" style="101" customWidth="1"/>
    <col min="550" max="550" width="2.6640625" style="101" customWidth="1"/>
    <col min="551" max="551" width="10.44140625" style="101" customWidth="1"/>
    <col min="552" max="552" width="11" style="101" bestFit="1" customWidth="1"/>
    <col min="553" max="553" width="13.5546875" style="101" customWidth="1"/>
    <col min="554" max="554" width="11" style="101" bestFit="1" customWidth="1"/>
    <col min="555" max="555" width="9.33203125" style="101" bestFit="1" customWidth="1"/>
    <col min="556" max="556" width="11" style="101" bestFit="1" customWidth="1"/>
    <col min="557" max="788" width="9.109375" style="101"/>
    <col min="789" max="789" width="9.6640625" style="101" customWidth="1"/>
    <col min="790" max="790" width="12.44140625" style="101" customWidth="1"/>
    <col min="791" max="791" width="10.5546875" style="101" customWidth="1"/>
    <col min="792" max="792" width="6.44140625" style="101" bestFit="1" customWidth="1"/>
    <col min="793" max="793" width="8.88671875" style="101" customWidth="1"/>
    <col min="794" max="794" width="1.5546875" style="101" customWidth="1"/>
    <col min="795" max="795" width="10.5546875" style="101" customWidth="1"/>
    <col min="796" max="796" width="2.6640625" style="101" customWidth="1"/>
    <col min="797" max="797" width="9.6640625" style="101" customWidth="1"/>
    <col min="798" max="798" width="14.6640625" style="101" customWidth="1"/>
    <col min="799" max="799" width="10.5546875" style="101" customWidth="1"/>
    <col min="800" max="800" width="6.44140625" style="101" customWidth="1"/>
    <col min="801" max="801" width="8.88671875" style="101" customWidth="1"/>
    <col min="802" max="802" width="1.5546875" style="101" customWidth="1"/>
    <col min="803" max="803" width="13.44140625" style="101" customWidth="1"/>
    <col min="804" max="804" width="4" style="101" customWidth="1"/>
    <col min="805" max="805" width="8" style="101" customWidth="1"/>
    <col min="806" max="806" width="2.6640625" style="101" customWidth="1"/>
    <col min="807" max="807" width="10.44140625" style="101" customWidth="1"/>
    <col min="808" max="808" width="11" style="101" bestFit="1" customWidth="1"/>
    <col min="809" max="809" width="13.5546875" style="101" customWidth="1"/>
    <col min="810" max="810" width="11" style="101" bestFit="1" customWidth="1"/>
    <col min="811" max="811" width="9.33203125" style="101" bestFit="1" customWidth="1"/>
    <col min="812" max="812" width="11" style="101" bestFit="1" customWidth="1"/>
    <col min="813" max="1044" width="9.109375" style="101"/>
    <col min="1045" max="1045" width="9.6640625" style="101" customWidth="1"/>
    <col min="1046" max="1046" width="12.44140625" style="101" customWidth="1"/>
    <col min="1047" max="1047" width="10.5546875" style="101" customWidth="1"/>
    <col min="1048" max="1048" width="6.44140625" style="101" bestFit="1" customWidth="1"/>
    <col min="1049" max="1049" width="8.88671875" style="101" customWidth="1"/>
    <col min="1050" max="1050" width="1.5546875" style="101" customWidth="1"/>
    <col min="1051" max="1051" width="10.5546875" style="101" customWidth="1"/>
    <col min="1052" max="1052" width="2.6640625" style="101" customWidth="1"/>
    <col min="1053" max="1053" width="9.6640625" style="101" customWidth="1"/>
    <col min="1054" max="1054" width="14.6640625" style="101" customWidth="1"/>
    <col min="1055" max="1055" width="10.5546875" style="101" customWidth="1"/>
    <col min="1056" max="1056" width="6.44140625" style="101" customWidth="1"/>
    <col min="1057" max="1057" width="8.88671875" style="101" customWidth="1"/>
    <col min="1058" max="1058" width="1.5546875" style="101" customWidth="1"/>
    <col min="1059" max="1059" width="13.44140625" style="101" customWidth="1"/>
    <col min="1060" max="1060" width="4" style="101" customWidth="1"/>
    <col min="1061" max="1061" width="8" style="101" customWidth="1"/>
    <col min="1062" max="1062" width="2.6640625" style="101" customWidth="1"/>
    <col min="1063" max="1063" width="10.44140625" style="101" customWidth="1"/>
    <col min="1064" max="1064" width="11" style="101" bestFit="1" customWidth="1"/>
    <col min="1065" max="1065" width="13.5546875" style="101" customWidth="1"/>
    <col min="1066" max="1066" width="11" style="101" bestFit="1" customWidth="1"/>
    <col min="1067" max="1067" width="9.33203125" style="101" bestFit="1" customWidth="1"/>
    <col min="1068" max="1068" width="11" style="101" bestFit="1" customWidth="1"/>
    <col min="1069" max="1300" width="9.109375" style="101"/>
    <col min="1301" max="1301" width="9.6640625" style="101" customWidth="1"/>
    <col min="1302" max="1302" width="12.44140625" style="101" customWidth="1"/>
    <col min="1303" max="1303" width="10.5546875" style="101" customWidth="1"/>
    <col min="1304" max="1304" width="6.44140625" style="101" bestFit="1" customWidth="1"/>
    <col min="1305" max="1305" width="8.88671875" style="101" customWidth="1"/>
    <col min="1306" max="1306" width="1.5546875" style="101" customWidth="1"/>
    <col min="1307" max="1307" width="10.5546875" style="101" customWidth="1"/>
    <col min="1308" max="1308" width="2.6640625" style="101" customWidth="1"/>
    <col min="1309" max="1309" width="9.6640625" style="101" customWidth="1"/>
    <col min="1310" max="1310" width="14.6640625" style="101" customWidth="1"/>
    <col min="1311" max="1311" width="10.5546875" style="101" customWidth="1"/>
    <col min="1312" max="1312" width="6.44140625" style="101" customWidth="1"/>
    <col min="1313" max="1313" width="8.88671875" style="101" customWidth="1"/>
    <col min="1314" max="1314" width="1.5546875" style="101" customWidth="1"/>
    <col min="1315" max="1315" width="13.44140625" style="101" customWidth="1"/>
    <col min="1316" max="1316" width="4" style="101" customWidth="1"/>
    <col min="1317" max="1317" width="8" style="101" customWidth="1"/>
    <col min="1318" max="1318" width="2.6640625" style="101" customWidth="1"/>
    <col min="1319" max="1319" width="10.44140625" style="101" customWidth="1"/>
    <col min="1320" max="1320" width="11" style="101" bestFit="1" customWidth="1"/>
    <col min="1321" max="1321" width="13.5546875" style="101" customWidth="1"/>
    <col min="1322" max="1322" width="11" style="101" bestFit="1" customWidth="1"/>
    <col min="1323" max="1323" width="9.33203125" style="101" bestFit="1" customWidth="1"/>
    <col min="1324" max="1324" width="11" style="101" bestFit="1" customWidth="1"/>
    <col min="1325" max="1556" width="9.109375" style="101"/>
    <col min="1557" max="1557" width="9.6640625" style="101" customWidth="1"/>
    <col min="1558" max="1558" width="12.44140625" style="101" customWidth="1"/>
    <col min="1559" max="1559" width="10.5546875" style="101" customWidth="1"/>
    <col min="1560" max="1560" width="6.44140625" style="101" bestFit="1" customWidth="1"/>
    <col min="1561" max="1561" width="8.88671875" style="101" customWidth="1"/>
    <col min="1562" max="1562" width="1.5546875" style="101" customWidth="1"/>
    <col min="1563" max="1563" width="10.5546875" style="101" customWidth="1"/>
    <col min="1564" max="1564" width="2.6640625" style="101" customWidth="1"/>
    <col min="1565" max="1565" width="9.6640625" style="101" customWidth="1"/>
    <col min="1566" max="1566" width="14.6640625" style="101" customWidth="1"/>
    <col min="1567" max="1567" width="10.5546875" style="101" customWidth="1"/>
    <col min="1568" max="1568" width="6.44140625" style="101" customWidth="1"/>
    <col min="1569" max="1569" width="8.88671875" style="101" customWidth="1"/>
    <col min="1570" max="1570" width="1.5546875" style="101" customWidth="1"/>
    <col min="1571" max="1571" width="13.44140625" style="101" customWidth="1"/>
    <col min="1572" max="1572" width="4" style="101" customWidth="1"/>
    <col min="1573" max="1573" width="8" style="101" customWidth="1"/>
    <col min="1574" max="1574" width="2.6640625" style="101" customWidth="1"/>
    <col min="1575" max="1575" width="10.44140625" style="101" customWidth="1"/>
    <col min="1576" max="1576" width="11" style="101" bestFit="1" customWidth="1"/>
    <col min="1577" max="1577" width="13.5546875" style="101" customWidth="1"/>
    <col min="1578" max="1578" width="11" style="101" bestFit="1" customWidth="1"/>
    <col min="1579" max="1579" width="9.33203125" style="101" bestFit="1" customWidth="1"/>
    <col min="1580" max="1580" width="11" style="101" bestFit="1" customWidth="1"/>
    <col min="1581" max="1812" width="9.109375" style="101"/>
    <col min="1813" max="1813" width="9.6640625" style="101" customWidth="1"/>
    <col min="1814" max="1814" width="12.44140625" style="101" customWidth="1"/>
    <col min="1815" max="1815" width="10.5546875" style="101" customWidth="1"/>
    <col min="1816" max="1816" width="6.44140625" style="101" bestFit="1" customWidth="1"/>
    <col min="1817" max="1817" width="8.88671875" style="101" customWidth="1"/>
    <col min="1818" max="1818" width="1.5546875" style="101" customWidth="1"/>
    <col min="1819" max="1819" width="10.5546875" style="101" customWidth="1"/>
    <col min="1820" max="1820" width="2.6640625" style="101" customWidth="1"/>
    <col min="1821" max="1821" width="9.6640625" style="101" customWidth="1"/>
    <col min="1822" max="1822" width="14.6640625" style="101" customWidth="1"/>
    <col min="1823" max="1823" width="10.5546875" style="101" customWidth="1"/>
    <col min="1824" max="1824" width="6.44140625" style="101" customWidth="1"/>
    <col min="1825" max="1825" width="8.88671875" style="101" customWidth="1"/>
    <col min="1826" max="1826" width="1.5546875" style="101" customWidth="1"/>
    <col min="1827" max="1827" width="13.44140625" style="101" customWidth="1"/>
    <col min="1828" max="1828" width="4" style="101" customWidth="1"/>
    <col min="1829" max="1829" width="8" style="101" customWidth="1"/>
    <col min="1830" max="1830" width="2.6640625" style="101" customWidth="1"/>
    <col min="1831" max="1831" width="10.44140625" style="101" customWidth="1"/>
    <col min="1832" max="1832" width="11" style="101" bestFit="1" customWidth="1"/>
    <col min="1833" max="1833" width="13.5546875" style="101" customWidth="1"/>
    <col min="1834" max="1834" width="11" style="101" bestFit="1" customWidth="1"/>
    <col min="1835" max="1835" width="9.33203125" style="101" bestFit="1" customWidth="1"/>
    <col min="1836" max="1836" width="11" style="101" bestFit="1" customWidth="1"/>
    <col min="1837" max="2068" width="9.109375" style="101"/>
    <col min="2069" max="2069" width="9.6640625" style="101" customWidth="1"/>
    <col min="2070" max="2070" width="12.44140625" style="101" customWidth="1"/>
    <col min="2071" max="2071" width="10.5546875" style="101" customWidth="1"/>
    <col min="2072" max="2072" width="6.44140625" style="101" bestFit="1" customWidth="1"/>
    <col min="2073" max="2073" width="8.88671875" style="101" customWidth="1"/>
    <col min="2074" max="2074" width="1.5546875" style="101" customWidth="1"/>
    <col min="2075" max="2075" width="10.5546875" style="101" customWidth="1"/>
    <col min="2076" max="2076" width="2.6640625" style="101" customWidth="1"/>
    <col min="2077" max="2077" width="9.6640625" style="101" customWidth="1"/>
    <col min="2078" max="2078" width="14.6640625" style="101" customWidth="1"/>
    <col min="2079" max="2079" width="10.5546875" style="101" customWidth="1"/>
    <col min="2080" max="2080" width="6.44140625" style="101" customWidth="1"/>
    <col min="2081" max="2081" width="8.88671875" style="101" customWidth="1"/>
    <col min="2082" max="2082" width="1.5546875" style="101" customWidth="1"/>
    <col min="2083" max="2083" width="13.44140625" style="101" customWidth="1"/>
    <col min="2084" max="2084" width="4" style="101" customWidth="1"/>
    <col min="2085" max="2085" width="8" style="101" customWidth="1"/>
    <col min="2086" max="2086" width="2.6640625" style="101" customWidth="1"/>
    <col min="2087" max="2087" width="10.44140625" style="101" customWidth="1"/>
    <col min="2088" max="2088" width="11" style="101" bestFit="1" customWidth="1"/>
    <col min="2089" max="2089" width="13.5546875" style="101" customWidth="1"/>
    <col min="2090" max="2090" width="11" style="101" bestFit="1" customWidth="1"/>
    <col min="2091" max="2091" width="9.33203125" style="101" bestFit="1" customWidth="1"/>
    <col min="2092" max="2092" width="11" style="101" bestFit="1" customWidth="1"/>
    <col min="2093" max="2324" width="9.109375" style="101"/>
    <col min="2325" max="2325" width="9.6640625" style="101" customWidth="1"/>
    <col min="2326" max="2326" width="12.44140625" style="101" customWidth="1"/>
    <col min="2327" max="2327" width="10.5546875" style="101" customWidth="1"/>
    <col min="2328" max="2328" width="6.44140625" style="101" bestFit="1" customWidth="1"/>
    <col min="2329" max="2329" width="8.88671875" style="101" customWidth="1"/>
    <col min="2330" max="2330" width="1.5546875" style="101" customWidth="1"/>
    <col min="2331" max="2331" width="10.5546875" style="101" customWidth="1"/>
    <col min="2332" max="2332" width="2.6640625" style="101" customWidth="1"/>
    <col min="2333" max="2333" width="9.6640625" style="101" customWidth="1"/>
    <col min="2334" max="2334" width="14.6640625" style="101" customWidth="1"/>
    <col min="2335" max="2335" width="10.5546875" style="101" customWidth="1"/>
    <col min="2336" max="2336" width="6.44140625" style="101" customWidth="1"/>
    <col min="2337" max="2337" width="8.88671875" style="101" customWidth="1"/>
    <col min="2338" max="2338" width="1.5546875" style="101" customWidth="1"/>
    <col min="2339" max="2339" width="13.44140625" style="101" customWidth="1"/>
    <col min="2340" max="2340" width="4" style="101" customWidth="1"/>
    <col min="2341" max="2341" width="8" style="101" customWidth="1"/>
    <col min="2342" max="2342" width="2.6640625" style="101" customWidth="1"/>
    <col min="2343" max="2343" width="10.44140625" style="101" customWidth="1"/>
    <col min="2344" max="2344" width="11" style="101" bestFit="1" customWidth="1"/>
    <col min="2345" max="2345" width="13.5546875" style="101" customWidth="1"/>
    <col min="2346" max="2346" width="11" style="101" bestFit="1" customWidth="1"/>
    <col min="2347" max="2347" width="9.33203125" style="101" bestFit="1" customWidth="1"/>
    <col min="2348" max="2348" width="11" style="101" bestFit="1" customWidth="1"/>
    <col min="2349" max="2580" width="9.109375" style="101"/>
    <col min="2581" max="2581" width="9.6640625" style="101" customWidth="1"/>
    <col min="2582" max="2582" width="12.44140625" style="101" customWidth="1"/>
    <col min="2583" max="2583" width="10.5546875" style="101" customWidth="1"/>
    <col min="2584" max="2584" width="6.44140625" style="101" bestFit="1" customWidth="1"/>
    <col min="2585" max="2585" width="8.88671875" style="101" customWidth="1"/>
    <col min="2586" max="2586" width="1.5546875" style="101" customWidth="1"/>
    <col min="2587" max="2587" width="10.5546875" style="101" customWidth="1"/>
    <col min="2588" max="2588" width="2.6640625" style="101" customWidth="1"/>
    <col min="2589" max="2589" width="9.6640625" style="101" customWidth="1"/>
    <col min="2590" max="2590" width="14.6640625" style="101" customWidth="1"/>
    <col min="2591" max="2591" width="10.5546875" style="101" customWidth="1"/>
    <col min="2592" max="2592" width="6.44140625" style="101" customWidth="1"/>
    <col min="2593" max="2593" width="8.88671875" style="101" customWidth="1"/>
    <col min="2594" max="2594" width="1.5546875" style="101" customWidth="1"/>
    <col min="2595" max="2595" width="13.44140625" style="101" customWidth="1"/>
    <col min="2596" max="2596" width="4" style="101" customWidth="1"/>
    <col min="2597" max="2597" width="8" style="101" customWidth="1"/>
    <col min="2598" max="2598" width="2.6640625" style="101" customWidth="1"/>
    <col min="2599" max="2599" width="10.44140625" style="101" customWidth="1"/>
    <col min="2600" max="2600" width="11" style="101" bestFit="1" customWidth="1"/>
    <col min="2601" max="2601" width="13.5546875" style="101" customWidth="1"/>
    <col min="2602" max="2602" width="11" style="101" bestFit="1" customWidth="1"/>
    <col min="2603" max="2603" width="9.33203125" style="101" bestFit="1" customWidth="1"/>
    <col min="2604" max="2604" width="11" style="101" bestFit="1" customWidth="1"/>
    <col min="2605" max="2836" width="9.109375" style="101"/>
    <col min="2837" max="2837" width="9.6640625" style="101" customWidth="1"/>
    <col min="2838" max="2838" width="12.44140625" style="101" customWidth="1"/>
    <col min="2839" max="2839" width="10.5546875" style="101" customWidth="1"/>
    <col min="2840" max="2840" width="6.44140625" style="101" bestFit="1" customWidth="1"/>
    <col min="2841" max="2841" width="8.88671875" style="101" customWidth="1"/>
    <col min="2842" max="2842" width="1.5546875" style="101" customWidth="1"/>
    <col min="2843" max="2843" width="10.5546875" style="101" customWidth="1"/>
    <col min="2844" max="2844" width="2.6640625" style="101" customWidth="1"/>
    <col min="2845" max="2845" width="9.6640625" style="101" customWidth="1"/>
    <col min="2846" max="2846" width="14.6640625" style="101" customWidth="1"/>
    <col min="2847" max="2847" width="10.5546875" style="101" customWidth="1"/>
    <col min="2848" max="2848" width="6.44140625" style="101" customWidth="1"/>
    <col min="2849" max="2849" width="8.88671875" style="101" customWidth="1"/>
    <col min="2850" max="2850" width="1.5546875" style="101" customWidth="1"/>
    <col min="2851" max="2851" width="13.44140625" style="101" customWidth="1"/>
    <col min="2852" max="2852" width="4" style="101" customWidth="1"/>
    <col min="2853" max="2853" width="8" style="101" customWidth="1"/>
    <col min="2854" max="2854" width="2.6640625" style="101" customWidth="1"/>
    <col min="2855" max="2855" width="10.44140625" style="101" customWidth="1"/>
    <col min="2856" max="2856" width="11" style="101" bestFit="1" customWidth="1"/>
    <col min="2857" max="2857" width="13.5546875" style="101" customWidth="1"/>
    <col min="2858" max="2858" width="11" style="101" bestFit="1" customWidth="1"/>
    <col min="2859" max="2859" width="9.33203125" style="101" bestFit="1" customWidth="1"/>
    <col min="2860" max="2860" width="11" style="101" bestFit="1" customWidth="1"/>
    <col min="2861" max="3092" width="9.109375" style="101"/>
    <col min="3093" max="3093" width="9.6640625" style="101" customWidth="1"/>
    <col min="3094" max="3094" width="12.44140625" style="101" customWidth="1"/>
    <col min="3095" max="3095" width="10.5546875" style="101" customWidth="1"/>
    <col min="3096" max="3096" width="6.44140625" style="101" bestFit="1" customWidth="1"/>
    <col min="3097" max="3097" width="8.88671875" style="101" customWidth="1"/>
    <col min="3098" max="3098" width="1.5546875" style="101" customWidth="1"/>
    <col min="3099" max="3099" width="10.5546875" style="101" customWidth="1"/>
    <col min="3100" max="3100" width="2.6640625" style="101" customWidth="1"/>
    <col min="3101" max="3101" width="9.6640625" style="101" customWidth="1"/>
    <col min="3102" max="3102" width="14.6640625" style="101" customWidth="1"/>
    <col min="3103" max="3103" width="10.5546875" style="101" customWidth="1"/>
    <col min="3104" max="3104" width="6.44140625" style="101" customWidth="1"/>
    <col min="3105" max="3105" width="8.88671875" style="101" customWidth="1"/>
    <col min="3106" max="3106" width="1.5546875" style="101" customWidth="1"/>
    <col min="3107" max="3107" width="13.44140625" style="101" customWidth="1"/>
    <col min="3108" max="3108" width="4" style="101" customWidth="1"/>
    <col min="3109" max="3109" width="8" style="101" customWidth="1"/>
    <col min="3110" max="3110" width="2.6640625" style="101" customWidth="1"/>
    <col min="3111" max="3111" width="10.44140625" style="101" customWidth="1"/>
    <col min="3112" max="3112" width="11" style="101" bestFit="1" customWidth="1"/>
    <col min="3113" max="3113" width="13.5546875" style="101" customWidth="1"/>
    <col min="3114" max="3114" width="11" style="101" bestFit="1" customWidth="1"/>
    <col min="3115" max="3115" width="9.33203125" style="101" bestFit="1" customWidth="1"/>
    <col min="3116" max="3116" width="11" style="101" bestFit="1" customWidth="1"/>
    <col min="3117" max="3348" width="9.109375" style="101"/>
    <col min="3349" max="3349" width="9.6640625" style="101" customWidth="1"/>
    <col min="3350" max="3350" width="12.44140625" style="101" customWidth="1"/>
    <col min="3351" max="3351" width="10.5546875" style="101" customWidth="1"/>
    <col min="3352" max="3352" width="6.44140625" style="101" bestFit="1" customWidth="1"/>
    <col min="3353" max="3353" width="8.88671875" style="101" customWidth="1"/>
    <col min="3354" max="3354" width="1.5546875" style="101" customWidth="1"/>
    <col min="3355" max="3355" width="10.5546875" style="101" customWidth="1"/>
    <col min="3356" max="3356" width="2.6640625" style="101" customWidth="1"/>
    <col min="3357" max="3357" width="9.6640625" style="101" customWidth="1"/>
    <col min="3358" max="3358" width="14.6640625" style="101" customWidth="1"/>
    <col min="3359" max="3359" width="10.5546875" style="101" customWidth="1"/>
    <col min="3360" max="3360" width="6.44140625" style="101" customWidth="1"/>
    <col min="3361" max="3361" width="8.88671875" style="101" customWidth="1"/>
    <col min="3362" max="3362" width="1.5546875" style="101" customWidth="1"/>
    <col min="3363" max="3363" width="13.44140625" style="101" customWidth="1"/>
    <col min="3364" max="3364" width="4" style="101" customWidth="1"/>
    <col min="3365" max="3365" width="8" style="101" customWidth="1"/>
    <col min="3366" max="3366" width="2.6640625" style="101" customWidth="1"/>
    <col min="3367" max="3367" width="10.44140625" style="101" customWidth="1"/>
    <col min="3368" max="3368" width="11" style="101" bestFit="1" customWidth="1"/>
    <col min="3369" max="3369" width="13.5546875" style="101" customWidth="1"/>
    <col min="3370" max="3370" width="11" style="101" bestFit="1" customWidth="1"/>
    <col min="3371" max="3371" width="9.33203125" style="101" bestFit="1" customWidth="1"/>
    <col min="3372" max="3372" width="11" style="101" bestFit="1" customWidth="1"/>
    <col min="3373" max="3604" width="9.109375" style="101"/>
    <col min="3605" max="3605" width="9.6640625" style="101" customWidth="1"/>
    <col min="3606" max="3606" width="12.44140625" style="101" customWidth="1"/>
    <col min="3607" max="3607" width="10.5546875" style="101" customWidth="1"/>
    <col min="3608" max="3608" width="6.44140625" style="101" bestFit="1" customWidth="1"/>
    <col min="3609" max="3609" width="8.88671875" style="101" customWidth="1"/>
    <col min="3610" max="3610" width="1.5546875" style="101" customWidth="1"/>
    <col min="3611" max="3611" width="10.5546875" style="101" customWidth="1"/>
    <col min="3612" max="3612" width="2.6640625" style="101" customWidth="1"/>
    <col min="3613" max="3613" width="9.6640625" style="101" customWidth="1"/>
    <col min="3614" max="3614" width="14.6640625" style="101" customWidth="1"/>
    <col min="3615" max="3615" width="10.5546875" style="101" customWidth="1"/>
    <col min="3616" max="3616" width="6.44140625" style="101" customWidth="1"/>
    <col min="3617" max="3617" width="8.88671875" style="101" customWidth="1"/>
    <col min="3618" max="3618" width="1.5546875" style="101" customWidth="1"/>
    <col min="3619" max="3619" width="13.44140625" style="101" customWidth="1"/>
    <col min="3620" max="3620" width="4" style="101" customWidth="1"/>
    <col min="3621" max="3621" width="8" style="101" customWidth="1"/>
    <col min="3622" max="3622" width="2.6640625" style="101" customWidth="1"/>
    <col min="3623" max="3623" width="10.44140625" style="101" customWidth="1"/>
    <col min="3624" max="3624" width="11" style="101" bestFit="1" customWidth="1"/>
    <col min="3625" max="3625" width="13.5546875" style="101" customWidth="1"/>
    <col min="3626" max="3626" width="11" style="101" bestFit="1" customWidth="1"/>
    <col min="3627" max="3627" width="9.33203125" style="101" bestFit="1" customWidth="1"/>
    <col min="3628" max="3628" width="11" style="101" bestFit="1" customWidth="1"/>
    <col min="3629" max="3860" width="9.109375" style="101"/>
    <col min="3861" max="3861" width="9.6640625" style="101" customWidth="1"/>
    <col min="3862" max="3862" width="12.44140625" style="101" customWidth="1"/>
    <col min="3863" max="3863" width="10.5546875" style="101" customWidth="1"/>
    <col min="3864" max="3864" width="6.44140625" style="101" bestFit="1" customWidth="1"/>
    <col min="3865" max="3865" width="8.88671875" style="101" customWidth="1"/>
    <col min="3866" max="3866" width="1.5546875" style="101" customWidth="1"/>
    <col min="3867" max="3867" width="10.5546875" style="101" customWidth="1"/>
    <col min="3868" max="3868" width="2.6640625" style="101" customWidth="1"/>
    <col min="3869" max="3869" width="9.6640625" style="101" customWidth="1"/>
    <col min="3870" max="3870" width="14.6640625" style="101" customWidth="1"/>
    <col min="3871" max="3871" width="10.5546875" style="101" customWidth="1"/>
    <col min="3872" max="3872" width="6.44140625" style="101" customWidth="1"/>
    <col min="3873" max="3873" width="8.88671875" style="101" customWidth="1"/>
    <col min="3874" max="3874" width="1.5546875" style="101" customWidth="1"/>
    <col min="3875" max="3875" width="13.44140625" style="101" customWidth="1"/>
    <col min="3876" max="3876" width="4" style="101" customWidth="1"/>
    <col min="3877" max="3877" width="8" style="101" customWidth="1"/>
    <col min="3878" max="3878" width="2.6640625" style="101" customWidth="1"/>
    <col min="3879" max="3879" width="10.44140625" style="101" customWidth="1"/>
    <col min="3880" max="3880" width="11" style="101" bestFit="1" customWidth="1"/>
    <col min="3881" max="3881" width="13.5546875" style="101" customWidth="1"/>
    <col min="3882" max="3882" width="11" style="101" bestFit="1" customWidth="1"/>
    <col min="3883" max="3883" width="9.33203125" style="101" bestFit="1" customWidth="1"/>
    <col min="3884" max="3884" width="11" style="101" bestFit="1" customWidth="1"/>
    <col min="3885" max="4116" width="9.109375" style="101"/>
    <col min="4117" max="4117" width="9.6640625" style="101" customWidth="1"/>
    <col min="4118" max="4118" width="12.44140625" style="101" customWidth="1"/>
    <col min="4119" max="4119" width="10.5546875" style="101" customWidth="1"/>
    <col min="4120" max="4120" width="6.44140625" style="101" bestFit="1" customWidth="1"/>
    <col min="4121" max="4121" width="8.88671875" style="101" customWidth="1"/>
    <col min="4122" max="4122" width="1.5546875" style="101" customWidth="1"/>
    <col min="4123" max="4123" width="10.5546875" style="101" customWidth="1"/>
    <col min="4124" max="4124" width="2.6640625" style="101" customWidth="1"/>
    <col min="4125" max="4125" width="9.6640625" style="101" customWidth="1"/>
    <col min="4126" max="4126" width="14.6640625" style="101" customWidth="1"/>
    <col min="4127" max="4127" width="10.5546875" style="101" customWidth="1"/>
    <col min="4128" max="4128" width="6.44140625" style="101" customWidth="1"/>
    <col min="4129" max="4129" width="8.88671875" style="101" customWidth="1"/>
    <col min="4130" max="4130" width="1.5546875" style="101" customWidth="1"/>
    <col min="4131" max="4131" width="13.44140625" style="101" customWidth="1"/>
    <col min="4132" max="4132" width="4" style="101" customWidth="1"/>
    <col min="4133" max="4133" width="8" style="101" customWidth="1"/>
    <col min="4134" max="4134" width="2.6640625" style="101" customWidth="1"/>
    <col min="4135" max="4135" width="10.44140625" style="101" customWidth="1"/>
    <col min="4136" max="4136" width="11" style="101" bestFit="1" customWidth="1"/>
    <col min="4137" max="4137" width="13.5546875" style="101" customWidth="1"/>
    <col min="4138" max="4138" width="11" style="101" bestFit="1" customWidth="1"/>
    <col min="4139" max="4139" width="9.33203125" style="101" bestFit="1" customWidth="1"/>
    <col min="4140" max="4140" width="11" style="101" bestFit="1" customWidth="1"/>
    <col min="4141" max="4372" width="9.109375" style="101"/>
    <col min="4373" max="4373" width="9.6640625" style="101" customWidth="1"/>
    <col min="4374" max="4374" width="12.44140625" style="101" customWidth="1"/>
    <col min="4375" max="4375" width="10.5546875" style="101" customWidth="1"/>
    <col min="4376" max="4376" width="6.44140625" style="101" bestFit="1" customWidth="1"/>
    <col min="4377" max="4377" width="8.88671875" style="101" customWidth="1"/>
    <col min="4378" max="4378" width="1.5546875" style="101" customWidth="1"/>
    <col min="4379" max="4379" width="10.5546875" style="101" customWidth="1"/>
    <col min="4380" max="4380" width="2.6640625" style="101" customWidth="1"/>
    <col min="4381" max="4381" width="9.6640625" style="101" customWidth="1"/>
    <col min="4382" max="4382" width="14.6640625" style="101" customWidth="1"/>
    <col min="4383" max="4383" width="10.5546875" style="101" customWidth="1"/>
    <col min="4384" max="4384" width="6.44140625" style="101" customWidth="1"/>
    <col min="4385" max="4385" width="8.88671875" style="101" customWidth="1"/>
    <col min="4386" max="4386" width="1.5546875" style="101" customWidth="1"/>
    <col min="4387" max="4387" width="13.44140625" style="101" customWidth="1"/>
    <col min="4388" max="4388" width="4" style="101" customWidth="1"/>
    <col min="4389" max="4389" width="8" style="101" customWidth="1"/>
    <col min="4390" max="4390" width="2.6640625" style="101" customWidth="1"/>
    <col min="4391" max="4391" width="10.44140625" style="101" customWidth="1"/>
    <col min="4392" max="4392" width="11" style="101" bestFit="1" customWidth="1"/>
    <col min="4393" max="4393" width="13.5546875" style="101" customWidth="1"/>
    <col min="4394" max="4394" width="11" style="101" bestFit="1" customWidth="1"/>
    <col min="4395" max="4395" width="9.33203125" style="101" bestFit="1" customWidth="1"/>
    <col min="4396" max="4396" width="11" style="101" bestFit="1" customWidth="1"/>
    <col min="4397" max="4628" width="9.109375" style="101"/>
    <col min="4629" max="4629" width="9.6640625" style="101" customWidth="1"/>
    <col min="4630" max="4630" width="12.44140625" style="101" customWidth="1"/>
    <col min="4631" max="4631" width="10.5546875" style="101" customWidth="1"/>
    <col min="4632" max="4632" width="6.44140625" style="101" bestFit="1" customWidth="1"/>
    <col min="4633" max="4633" width="8.88671875" style="101" customWidth="1"/>
    <col min="4634" max="4634" width="1.5546875" style="101" customWidth="1"/>
    <col min="4635" max="4635" width="10.5546875" style="101" customWidth="1"/>
    <col min="4636" max="4636" width="2.6640625" style="101" customWidth="1"/>
    <col min="4637" max="4637" width="9.6640625" style="101" customWidth="1"/>
    <col min="4638" max="4638" width="14.6640625" style="101" customWidth="1"/>
    <col min="4639" max="4639" width="10.5546875" style="101" customWidth="1"/>
    <col min="4640" max="4640" width="6.44140625" style="101" customWidth="1"/>
    <col min="4641" max="4641" width="8.88671875" style="101" customWidth="1"/>
    <col min="4642" max="4642" width="1.5546875" style="101" customWidth="1"/>
    <col min="4643" max="4643" width="13.44140625" style="101" customWidth="1"/>
    <col min="4644" max="4644" width="4" style="101" customWidth="1"/>
    <col min="4645" max="4645" width="8" style="101" customWidth="1"/>
    <col min="4646" max="4646" width="2.6640625" style="101" customWidth="1"/>
    <col min="4647" max="4647" width="10.44140625" style="101" customWidth="1"/>
    <col min="4648" max="4648" width="11" style="101" bestFit="1" customWidth="1"/>
    <col min="4649" max="4649" width="13.5546875" style="101" customWidth="1"/>
    <col min="4650" max="4650" width="11" style="101" bestFit="1" customWidth="1"/>
    <col min="4651" max="4651" width="9.33203125" style="101" bestFit="1" customWidth="1"/>
    <col min="4652" max="4652" width="11" style="101" bestFit="1" customWidth="1"/>
    <col min="4653" max="4884" width="9.109375" style="101"/>
    <col min="4885" max="4885" width="9.6640625" style="101" customWidth="1"/>
    <col min="4886" max="4886" width="12.44140625" style="101" customWidth="1"/>
    <col min="4887" max="4887" width="10.5546875" style="101" customWidth="1"/>
    <col min="4888" max="4888" width="6.44140625" style="101" bestFit="1" customWidth="1"/>
    <col min="4889" max="4889" width="8.88671875" style="101" customWidth="1"/>
    <col min="4890" max="4890" width="1.5546875" style="101" customWidth="1"/>
    <col min="4891" max="4891" width="10.5546875" style="101" customWidth="1"/>
    <col min="4892" max="4892" width="2.6640625" style="101" customWidth="1"/>
    <col min="4893" max="4893" width="9.6640625" style="101" customWidth="1"/>
    <col min="4894" max="4894" width="14.6640625" style="101" customWidth="1"/>
    <col min="4895" max="4895" width="10.5546875" style="101" customWidth="1"/>
    <col min="4896" max="4896" width="6.44140625" style="101" customWidth="1"/>
    <col min="4897" max="4897" width="8.88671875" style="101" customWidth="1"/>
    <col min="4898" max="4898" width="1.5546875" style="101" customWidth="1"/>
    <col min="4899" max="4899" width="13.44140625" style="101" customWidth="1"/>
    <col min="4900" max="4900" width="4" style="101" customWidth="1"/>
    <col min="4901" max="4901" width="8" style="101" customWidth="1"/>
    <col min="4902" max="4902" width="2.6640625" style="101" customWidth="1"/>
    <col min="4903" max="4903" width="10.44140625" style="101" customWidth="1"/>
    <col min="4904" max="4904" width="11" style="101" bestFit="1" customWidth="1"/>
    <col min="4905" max="4905" width="13.5546875" style="101" customWidth="1"/>
    <col min="4906" max="4906" width="11" style="101" bestFit="1" customWidth="1"/>
    <col min="4907" max="4907" width="9.33203125" style="101" bestFit="1" customWidth="1"/>
    <col min="4908" max="4908" width="11" style="101" bestFit="1" customWidth="1"/>
    <col min="4909" max="5140" width="9.109375" style="101"/>
    <col min="5141" max="5141" width="9.6640625" style="101" customWidth="1"/>
    <col min="5142" max="5142" width="12.44140625" style="101" customWidth="1"/>
    <col min="5143" max="5143" width="10.5546875" style="101" customWidth="1"/>
    <col min="5144" max="5144" width="6.44140625" style="101" bestFit="1" customWidth="1"/>
    <col min="5145" max="5145" width="8.88671875" style="101" customWidth="1"/>
    <col min="5146" max="5146" width="1.5546875" style="101" customWidth="1"/>
    <col min="5147" max="5147" width="10.5546875" style="101" customWidth="1"/>
    <col min="5148" max="5148" width="2.6640625" style="101" customWidth="1"/>
    <col min="5149" max="5149" width="9.6640625" style="101" customWidth="1"/>
    <col min="5150" max="5150" width="14.6640625" style="101" customWidth="1"/>
    <col min="5151" max="5151" width="10.5546875" style="101" customWidth="1"/>
    <col min="5152" max="5152" width="6.44140625" style="101" customWidth="1"/>
    <col min="5153" max="5153" width="8.88671875" style="101" customWidth="1"/>
    <col min="5154" max="5154" width="1.5546875" style="101" customWidth="1"/>
    <col min="5155" max="5155" width="13.44140625" style="101" customWidth="1"/>
    <col min="5156" max="5156" width="4" style="101" customWidth="1"/>
    <col min="5157" max="5157" width="8" style="101" customWidth="1"/>
    <col min="5158" max="5158" width="2.6640625" style="101" customWidth="1"/>
    <col min="5159" max="5159" width="10.44140625" style="101" customWidth="1"/>
    <col min="5160" max="5160" width="11" style="101" bestFit="1" customWidth="1"/>
    <col min="5161" max="5161" width="13.5546875" style="101" customWidth="1"/>
    <col min="5162" max="5162" width="11" style="101" bestFit="1" customWidth="1"/>
    <col min="5163" max="5163" width="9.33203125" style="101" bestFit="1" customWidth="1"/>
    <col min="5164" max="5164" width="11" style="101" bestFit="1" customWidth="1"/>
    <col min="5165" max="5396" width="9.109375" style="101"/>
    <col min="5397" max="5397" width="9.6640625" style="101" customWidth="1"/>
    <col min="5398" max="5398" width="12.44140625" style="101" customWidth="1"/>
    <col min="5399" max="5399" width="10.5546875" style="101" customWidth="1"/>
    <col min="5400" max="5400" width="6.44140625" style="101" bestFit="1" customWidth="1"/>
    <col min="5401" max="5401" width="8.88671875" style="101" customWidth="1"/>
    <col min="5402" max="5402" width="1.5546875" style="101" customWidth="1"/>
    <col min="5403" max="5403" width="10.5546875" style="101" customWidth="1"/>
    <col min="5404" max="5404" width="2.6640625" style="101" customWidth="1"/>
    <col min="5405" max="5405" width="9.6640625" style="101" customWidth="1"/>
    <col min="5406" max="5406" width="14.6640625" style="101" customWidth="1"/>
    <col min="5407" max="5407" width="10.5546875" style="101" customWidth="1"/>
    <col min="5408" max="5408" width="6.44140625" style="101" customWidth="1"/>
    <col min="5409" max="5409" width="8.88671875" style="101" customWidth="1"/>
    <col min="5410" max="5410" width="1.5546875" style="101" customWidth="1"/>
    <col min="5411" max="5411" width="13.44140625" style="101" customWidth="1"/>
    <col min="5412" max="5412" width="4" style="101" customWidth="1"/>
    <col min="5413" max="5413" width="8" style="101" customWidth="1"/>
    <col min="5414" max="5414" width="2.6640625" style="101" customWidth="1"/>
    <col min="5415" max="5415" width="10.44140625" style="101" customWidth="1"/>
    <col min="5416" max="5416" width="11" style="101" bestFit="1" customWidth="1"/>
    <col min="5417" max="5417" width="13.5546875" style="101" customWidth="1"/>
    <col min="5418" max="5418" width="11" style="101" bestFit="1" customWidth="1"/>
    <col min="5419" max="5419" width="9.33203125" style="101" bestFit="1" customWidth="1"/>
    <col min="5420" max="5420" width="11" style="101" bestFit="1" customWidth="1"/>
    <col min="5421" max="5652" width="9.109375" style="101"/>
    <col min="5653" max="5653" width="9.6640625" style="101" customWidth="1"/>
    <col min="5654" max="5654" width="12.44140625" style="101" customWidth="1"/>
    <col min="5655" max="5655" width="10.5546875" style="101" customWidth="1"/>
    <col min="5656" max="5656" width="6.44140625" style="101" bestFit="1" customWidth="1"/>
    <col min="5657" max="5657" width="8.88671875" style="101" customWidth="1"/>
    <col min="5658" max="5658" width="1.5546875" style="101" customWidth="1"/>
    <col min="5659" max="5659" width="10.5546875" style="101" customWidth="1"/>
    <col min="5660" max="5660" width="2.6640625" style="101" customWidth="1"/>
    <col min="5661" max="5661" width="9.6640625" style="101" customWidth="1"/>
    <col min="5662" max="5662" width="14.6640625" style="101" customWidth="1"/>
    <col min="5663" max="5663" width="10.5546875" style="101" customWidth="1"/>
    <col min="5664" max="5664" width="6.44140625" style="101" customWidth="1"/>
    <col min="5665" max="5665" width="8.88671875" style="101" customWidth="1"/>
    <col min="5666" max="5666" width="1.5546875" style="101" customWidth="1"/>
    <col min="5667" max="5667" width="13.44140625" style="101" customWidth="1"/>
    <col min="5668" max="5668" width="4" style="101" customWidth="1"/>
    <col min="5669" max="5669" width="8" style="101" customWidth="1"/>
    <col min="5670" max="5670" width="2.6640625" style="101" customWidth="1"/>
    <col min="5671" max="5671" width="10.44140625" style="101" customWidth="1"/>
    <col min="5672" max="5672" width="11" style="101" bestFit="1" customWidth="1"/>
    <col min="5673" max="5673" width="13.5546875" style="101" customWidth="1"/>
    <col min="5674" max="5674" width="11" style="101" bestFit="1" customWidth="1"/>
    <col min="5675" max="5675" width="9.33203125" style="101" bestFit="1" customWidth="1"/>
    <col min="5676" max="5676" width="11" style="101" bestFit="1" customWidth="1"/>
    <col min="5677" max="5908" width="9.109375" style="101"/>
    <col min="5909" max="5909" width="9.6640625" style="101" customWidth="1"/>
    <col min="5910" max="5910" width="12.44140625" style="101" customWidth="1"/>
    <col min="5911" max="5911" width="10.5546875" style="101" customWidth="1"/>
    <col min="5912" max="5912" width="6.44140625" style="101" bestFit="1" customWidth="1"/>
    <col min="5913" max="5913" width="8.88671875" style="101" customWidth="1"/>
    <col min="5914" max="5914" width="1.5546875" style="101" customWidth="1"/>
    <col min="5915" max="5915" width="10.5546875" style="101" customWidth="1"/>
    <col min="5916" max="5916" width="2.6640625" style="101" customWidth="1"/>
    <col min="5917" max="5917" width="9.6640625" style="101" customWidth="1"/>
    <col min="5918" max="5918" width="14.6640625" style="101" customWidth="1"/>
    <col min="5919" max="5919" width="10.5546875" style="101" customWidth="1"/>
    <col min="5920" max="5920" width="6.44140625" style="101" customWidth="1"/>
    <col min="5921" max="5921" width="8.88671875" style="101" customWidth="1"/>
    <col min="5922" max="5922" width="1.5546875" style="101" customWidth="1"/>
    <col min="5923" max="5923" width="13.44140625" style="101" customWidth="1"/>
    <col min="5924" max="5924" width="4" style="101" customWidth="1"/>
    <col min="5925" max="5925" width="8" style="101" customWidth="1"/>
    <col min="5926" max="5926" width="2.6640625" style="101" customWidth="1"/>
    <col min="5927" max="5927" width="10.44140625" style="101" customWidth="1"/>
    <col min="5928" max="5928" width="11" style="101" bestFit="1" customWidth="1"/>
    <col min="5929" max="5929" width="13.5546875" style="101" customWidth="1"/>
    <col min="5930" max="5930" width="11" style="101" bestFit="1" customWidth="1"/>
    <col min="5931" max="5931" width="9.33203125" style="101" bestFit="1" customWidth="1"/>
    <col min="5932" max="5932" width="11" style="101" bestFit="1" customWidth="1"/>
    <col min="5933" max="6164" width="9.109375" style="101"/>
    <col min="6165" max="6165" width="9.6640625" style="101" customWidth="1"/>
    <col min="6166" max="6166" width="12.44140625" style="101" customWidth="1"/>
    <col min="6167" max="6167" width="10.5546875" style="101" customWidth="1"/>
    <col min="6168" max="6168" width="6.44140625" style="101" bestFit="1" customWidth="1"/>
    <col min="6169" max="6169" width="8.88671875" style="101" customWidth="1"/>
    <col min="6170" max="6170" width="1.5546875" style="101" customWidth="1"/>
    <col min="6171" max="6171" width="10.5546875" style="101" customWidth="1"/>
    <col min="6172" max="6172" width="2.6640625" style="101" customWidth="1"/>
    <col min="6173" max="6173" width="9.6640625" style="101" customWidth="1"/>
    <col min="6174" max="6174" width="14.6640625" style="101" customWidth="1"/>
    <col min="6175" max="6175" width="10.5546875" style="101" customWidth="1"/>
    <col min="6176" max="6176" width="6.44140625" style="101" customWidth="1"/>
    <col min="6177" max="6177" width="8.88671875" style="101" customWidth="1"/>
    <col min="6178" max="6178" width="1.5546875" style="101" customWidth="1"/>
    <col min="6179" max="6179" width="13.44140625" style="101" customWidth="1"/>
    <col min="6180" max="6180" width="4" style="101" customWidth="1"/>
    <col min="6181" max="6181" width="8" style="101" customWidth="1"/>
    <col min="6182" max="6182" width="2.6640625" style="101" customWidth="1"/>
    <col min="6183" max="6183" width="10.44140625" style="101" customWidth="1"/>
    <col min="6184" max="6184" width="11" style="101" bestFit="1" customWidth="1"/>
    <col min="6185" max="6185" width="13.5546875" style="101" customWidth="1"/>
    <col min="6186" max="6186" width="11" style="101" bestFit="1" customWidth="1"/>
    <col min="6187" max="6187" width="9.33203125" style="101" bestFit="1" customWidth="1"/>
    <col min="6188" max="6188" width="11" style="101" bestFit="1" customWidth="1"/>
    <col min="6189" max="6420" width="9.109375" style="101"/>
    <col min="6421" max="6421" width="9.6640625" style="101" customWidth="1"/>
    <col min="6422" max="6422" width="12.44140625" style="101" customWidth="1"/>
    <col min="6423" max="6423" width="10.5546875" style="101" customWidth="1"/>
    <col min="6424" max="6424" width="6.44140625" style="101" bestFit="1" customWidth="1"/>
    <col min="6425" max="6425" width="8.88671875" style="101" customWidth="1"/>
    <col min="6426" max="6426" width="1.5546875" style="101" customWidth="1"/>
    <col min="6427" max="6427" width="10.5546875" style="101" customWidth="1"/>
    <col min="6428" max="6428" width="2.6640625" style="101" customWidth="1"/>
    <col min="6429" max="6429" width="9.6640625" style="101" customWidth="1"/>
    <col min="6430" max="6430" width="14.6640625" style="101" customWidth="1"/>
    <col min="6431" max="6431" width="10.5546875" style="101" customWidth="1"/>
    <col min="6432" max="6432" width="6.44140625" style="101" customWidth="1"/>
    <col min="6433" max="6433" width="8.88671875" style="101" customWidth="1"/>
    <col min="6434" max="6434" width="1.5546875" style="101" customWidth="1"/>
    <col min="6435" max="6435" width="13.44140625" style="101" customWidth="1"/>
    <col min="6436" max="6436" width="4" style="101" customWidth="1"/>
    <col min="6437" max="6437" width="8" style="101" customWidth="1"/>
    <col min="6438" max="6438" width="2.6640625" style="101" customWidth="1"/>
    <col min="6439" max="6439" width="10.44140625" style="101" customWidth="1"/>
    <col min="6440" max="6440" width="11" style="101" bestFit="1" customWidth="1"/>
    <col min="6441" max="6441" width="13.5546875" style="101" customWidth="1"/>
    <col min="6442" max="6442" width="11" style="101" bestFit="1" customWidth="1"/>
    <col min="6443" max="6443" width="9.33203125" style="101" bestFit="1" customWidth="1"/>
    <col min="6444" max="6444" width="11" style="101" bestFit="1" customWidth="1"/>
    <col min="6445" max="6676" width="9.109375" style="101"/>
    <col min="6677" max="6677" width="9.6640625" style="101" customWidth="1"/>
    <col min="6678" max="6678" width="12.44140625" style="101" customWidth="1"/>
    <col min="6679" max="6679" width="10.5546875" style="101" customWidth="1"/>
    <col min="6680" max="6680" width="6.44140625" style="101" bestFit="1" customWidth="1"/>
    <col min="6681" max="6681" width="8.88671875" style="101" customWidth="1"/>
    <col min="6682" max="6682" width="1.5546875" style="101" customWidth="1"/>
    <col min="6683" max="6683" width="10.5546875" style="101" customWidth="1"/>
    <col min="6684" max="6684" width="2.6640625" style="101" customWidth="1"/>
    <col min="6685" max="6685" width="9.6640625" style="101" customWidth="1"/>
    <col min="6686" max="6686" width="14.6640625" style="101" customWidth="1"/>
    <col min="6687" max="6687" width="10.5546875" style="101" customWidth="1"/>
    <col min="6688" max="6688" width="6.44140625" style="101" customWidth="1"/>
    <col min="6689" max="6689" width="8.88671875" style="101" customWidth="1"/>
    <col min="6690" max="6690" width="1.5546875" style="101" customWidth="1"/>
    <col min="6691" max="6691" width="13.44140625" style="101" customWidth="1"/>
    <col min="6692" max="6692" width="4" style="101" customWidth="1"/>
    <col min="6693" max="6693" width="8" style="101" customWidth="1"/>
    <col min="6694" max="6694" width="2.6640625" style="101" customWidth="1"/>
    <col min="6695" max="6695" width="10.44140625" style="101" customWidth="1"/>
    <col min="6696" max="6696" width="11" style="101" bestFit="1" customWidth="1"/>
    <col min="6697" max="6697" width="13.5546875" style="101" customWidth="1"/>
    <col min="6698" max="6698" width="11" style="101" bestFit="1" customWidth="1"/>
    <col min="6699" max="6699" width="9.33203125" style="101" bestFit="1" customWidth="1"/>
    <col min="6700" max="6700" width="11" style="101" bestFit="1" customWidth="1"/>
    <col min="6701" max="6932" width="9.109375" style="101"/>
    <col min="6933" max="6933" width="9.6640625" style="101" customWidth="1"/>
    <col min="6934" max="6934" width="12.44140625" style="101" customWidth="1"/>
    <col min="6935" max="6935" width="10.5546875" style="101" customWidth="1"/>
    <col min="6936" max="6936" width="6.44140625" style="101" bestFit="1" customWidth="1"/>
    <col min="6937" max="6937" width="8.88671875" style="101" customWidth="1"/>
    <col min="6938" max="6938" width="1.5546875" style="101" customWidth="1"/>
    <col min="6939" max="6939" width="10.5546875" style="101" customWidth="1"/>
    <col min="6940" max="6940" width="2.6640625" style="101" customWidth="1"/>
    <col min="6941" max="6941" width="9.6640625" style="101" customWidth="1"/>
    <col min="6942" max="6942" width="14.6640625" style="101" customWidth="1"/>
    <col min="6943" max="6943" width="10.5546875" style="101" customWidth="1"/>
    <col min="6944" max="6944" width="6.44140625" style="101" customWidth="1"/>
    <col min="6945" max="6945" width="8.88671875" style="101" customWidth="1"/>
    <col min="6946" max="6946" width="1.5546875" style="101" customWidth="1"/>
    <col min="6947" max="6947" width="13.44140625" style="101" customWidth="1"/>
    <col min="6948" max="6948" width="4" style="101" customWidth="1"/>
    <col min="6949" max="6949" width="8" style="101" customWidth="1"/>
    <col min="6950" max="6950" width="2.6640625" style="101" customWidth="1"/>
    <col min="6951" max="6951" width="10.44140625" style="101" customWidth="1"/>
    <col min="6952" max="6952" width="11" style="101" bestFit="1" customWidth="1"/>
    <col min="6953" max="6953" width="13.5546875" style="101" customWidth="1"/>
    <col min="6954" max="6954" width="11" style="101" bestFit="1" customWidth="1"/>
    <col min="6955" max="6955" width="9.33203125" style="101" bestFit="1" customWidth="1"/>
    <col min="6956" max="6956" width="11" style="101" bestFit="1" customWidth="1"/>
    <col min="6957" max="7188" width="9.109375" style="101"/>
    <col min="7189" max="7189" width="9.6640625" style="101" customWidth="1"/>
    <col min="7190" max="7190" width="12.44140625" style="101" customWidth="1"/>
    <col min="7191" max="7191" width="10.5546875" style="101" customWidth="1"/>
    <col min="7192" max="7192" width="6.44140625" style="101" bestFit="1" customWidth="1"/>
    <col min="7193" max="7193" width="8.88671875" style="101" customWidth="1"/>
    <col min="7194" max="7194" width="1.5546875" style="101" customWidth="1"/>
    <col min="7195" max="7195" width="10.5546875" style="101" customWidth="1"/>
    <col min="7196" max="7196" width="2.6640625" style="101" customWidth="1"/>
    <col min="7197" max="7197" width="9.6640625" style="101" customWidth="1"/>
    <col min="7198" max="7198" width="14.6640625" style="101" customWidth="1"/>
    <col min="7199" max="7199" width="10.5546875" style="101" customWidth="1"/>
    <col min="7200" max="7200" width="6.44140625" style="101" customWidth="1"/>
    <col min="7201" max="7201" width="8.88671875" style="101" customWidth="1"/>
    <col min="7202" max="7202" width="1.5546875" style="101" customWidth="1"/>
    <col min="7203" max="7203" width="13.44140625" style="101" customWidth="1"/>
    <col min="7204" max="7204" width="4" style="101" customWidth="1"/>
    <col min="7205" max="7205" width="8" style="101" customWidth="1"/>
    <col min="7206" max="7206" width="2.6640625" style="101" customWidth="1"/>
    <col min="7207" max="7207" width="10.44140625" style="101" customWidth="1"/>
    <col min="7208" max="7208" width="11" style="101" bestFit="1" customWidth="1"/>
    <col min="7209" max="7209" width="13.5546875" style="101" customWidth="1"/>
    <col min="7210" max="7210" width="11" style="101" bestFit="1" customWidth="1"/>
    <col min="7211" max="7211" width="9.33203125" style="101" bestFit="1" customWidth="1"/>
    <col min="7212" max="7212" width="11" style="101" bestFit="1" customWidth="1"/>
    <col min="7213" max="7444" width="9.109375" style="101"/>
    <col min="7445" max="7445" width="9.6640625" style="101" customWidth="1"/>
    <col min="7446" max="7446" width="12.44140625" style="101" customWidth="1"/>
    <col min="7447" max="7447" width="10.5546875" style="101" customWidth="1"/>
    <col min="7448" max="7448" width="6.44140625" style="101" bestFit="1" customWidth="1"/>
    <col min="7449" max="7449" width="8.88671875" style="101" customWidth="1"/>
    <col min="7450" max="7450" width="1.5546875" style="101" customWidth="1"/>
    <col min="7451" max="7451" width="10.5546875" style="101" customWidth="1"/>
    <col min="7452" max="7452" width="2.6640625" style="101" customWidth="1"/>
    <col min="7453" max="7453" width="9.6640625" style="101" customWidth="1"/>
    <col min="7454" max="7454" width="14.6640625" style="101" customWidth="1"/>
    <col min="7455" max="7455" width="10.5546875" style="101" customWidth="1"/>
    <col min="7456" max="7456" width="6.44140625" style="101" customWidth="1"/>
    <col min="7457" max="7457" width="8.88671875" style="101" customWidth="1"/>
    <col min="7458" max="7458" width="1.5546875" style="101" customWidth="1"/>
    <col min="7459" max="7459" width="13.44140625" style="101" customWidth="1"/>
    <col min="7460" max="7460" width="4" style="101" customWidth="1"/>
    <col min="7461" max="7461" width="8" style="101" customWidth="1"/>
    <col min="7462" max="7462" width="2.6640625" style="101" customWidth="1"/>
    <col min="7463" max="7463" width="10.44140625" style="101" customWidth="1"/>
    <col min="7464" max="7464" width="11" style="101" bestFit="1" customWidth="1"/>
    <col min="7465" max="7465" width="13.5546875" style="101" customWidth="1"/>
    <col min="7466" max="7466" width="11" style="101" bestFit="1" customWidth="1"/>
    <col min="7467" max="7467" width="9.33203125" style="101" bestFit="1" customWidth="1"/>
    <col min="7468" max="7468" width="11" style="101" bestFit="1" customWidth="1"/>
    <col min="7469" max="7700" width="9.109375" style="101"/>
    <col min="7701" max="7701" width="9.6640625" style="101" customWidth="1"/>
    <col min="7702" max="7702" width="12.44140625" style="101" customWidth="1"/>
    <col min="7703" max="7703" width="10.5546875" style="101" customWidth="1"/>
    <col min="7704" max="7704" width="6.44140625" style="101" bestFit="1" customWidth="1"/>
    <col min="7705" max="7705" width="8.88671875" style="101" customWidth="1"/>
    <col min="7706" max="7706" width="1.5546875" style="101" customWidth="1"/>
    <col min="7707" max="7707" width="10.5546875" style="101" customWidth="1"/>
    <col min="7708" max="7708" width="2.6640625" style="101" customWidth="1"/>
    <col min="7709" max="7709" width="9.6640625" style="101" customWidth="1"/>
    <col min="7710" max="7710" width="14.6640625" style="101" customWidth="1"/>
    <col min="7711" max="7711" width="10.5546875" style="101" customWidth="1"/>
    <col min="7712" max="7712" width="6.44140625" style="101" customWidth="1"/>
    <col min="7713" max="7713" width="8.88671875" style="101" customWidth="1"/>
    <col min="7714" max="7714" width="1.5546875" style="101" customWidth="1"/>
    <col min="7715" max="7715" width="13.44140625" style="101" customWidth="1"/>
    <col min="7716" max="7716" width="4" style="101" customWidth="1"/>
    <col min="7717" max="7717" width="8" style="101" customWidth="1"/>
    <col min="7718" max="7718" width="2.6640625" style="101" customWidth="1"/>
    <col min="7719" max="7719" width="10.44140625" style="101" customWidth="1"/>
    <col min="7720" max="7720" width="11" style="101" bestFit="1" customWidth="1"/>
    <col min="7721" max="7721" width="13.5546875" style="101" customWidth="1"/>
    <col min="7722" max="7722" width="11" style="101" bestFit="1" customWidth="1"/>
    <col min="7723" max="7723" width="9.33203125" style="101" bestFit="1" customWidth="1"/>
    <col min="7724" max="7724" width="11" style="101" bestFit="1" customWidth="1"/>
    <col min="7725" max="7956" width="9.109375" style="101"/>
    <col min="7957" max="7957" width="9.6640625" style="101" customWidth="1"/>
    <col min="7958" max="7958" width="12.44140625" style="101" customWidth="1"/>
    <col min="7959" max="7959" width="10.5546875" style="101" customWidth="1"/>
    <col min="7960" max="7960" width="6.44140625" style="101" bestFit="1" customWidth="1"/>
    <col min="7961" max="7961" width="8.88671875" style="101" customWidth="1"/>
    <col min="7962" max="7962" width="1.5546875" style="101" customWidth="1"/>
    <col min="7963" max="7963" width="10.5546875" style="101" customWidth="1"/>
    <col min="7964" max="7964" width="2.6640625" style="101" customWidth="1"/>
    <col min="7965" max="7965" width="9.6640625" style="101" customWidth="1"/>
    <col min="7966" max="7966" width="14.6640625" style="101" customWidth="1"/>
    <col min="7967" max="7967" width="10.5546875" style="101" customWidth="1"/>
    <col min="7968" max="7968" width="6.44140625" style="101" customWidth="1"/>
    <col min="7969" max="7969" width="8.88671875" style="101" customWidth="1"/>
    <col min="7970" max="7970" width="1.5546875" style="101" customWidth="1"/>
    <col min="7971" max="7971" width="13.44140625" style="101" customWidth="1"/>
    <col min="7972" max="7972" width="4" style="101" customWidth="1"/>
    <col min="7973" max="7973" width="8" style="101" customWidth="1"/>
    <col min="7974" max="7974" width="2.6640625" style="101" customWidth="1"/>
    <col min="7975" max="7975" width="10.44140625" style="101" customWidth="1"/>
    <col min="7976" max="7976" width="11" style="101" bestFit="1" customWidth="1"/>
    <col min="7977" max="7977" width="13.5546875" style="101" customWidth="1"/>
    <col min="7978" max="7978" width="11" style="101" bestFit="1" customWidth="1"/>
    <col min="7979" max="7979" width="9.33203125" style="101" bestFit="1" customWidth="1"/>
    <col min="7980" max="7980" width="11" style="101" bestFit="1" customWidth="1"/>
    <col min="7981" max="8212" width="9.109375" style="101"/>
    <col min="8213" max="8213" width="9.6640625" style="101" customWidth="1"/>
    <col min="8214" max="8214" width="12.44140625" style="101" customWidth="1"/>
    <col min="8215" max="8215" width="10.5546875" style="101" customWidth="1"/>
    <col min="8216" max="8216" width="6.44140625" style="101" bestFit="1" customWidth="1"/>
    <col min="8217" max="8217" width="8.88671875" style="101" customWidth="1"/>
    <col min="8218" max="8218" width="1.5546875" style="101" customWidth="1"/>
    <col min="8219" max="8219" width="10.5546875" style="101" customWidth="1"/>
    <col min="8220" max="8220" width="2.6640625" style="101" customWidth="1"/>
    <col min="8221" max="8221" width="9.6640625" style="101" customWidth="1"/>
    <col min="8222" max="8222" width="14.6640625" style="101" customWidth="1"/>
    <col min="8223" max="8223" width="10.5546875" style="101" customWidth="1"/>
    <col min="8224" max="8224" width="6.44140625" style="101" customWidth="1"/>
    <col min="8225" max="8225" width="8.88671875" style="101" customWidth="1"/>
    <col min="8226" max="8226" width="1.5546875" style="101" customWidth="1"/>
    <col min="8227" max="8227" width="13.44140625" style="101" customWidth="1"/>
    <col min="8228" max="8228" width="4" style="101" customWidth="1"/>
    <col min="8229" max="8229" width="8" style="101" customWidth="1"/>
    <col min="8230" max="8230" width="2.6640625" style="101" customWidth="1"/>
    <col min="8231" max="8231" width="10.44140625" style="101" customWidth="1"/>
    <col min="8232" max="8232" width="11" style="101" bestFit="1" customWidth="1"/>
    <col min="8233" max="8233" width="13.5546875" style="101" customWidth="1"/>
    <col min="8234" max="8234" width="11" style="101" bestFit="1" customWidth="1"/>
    <col min="8235" max="8235" width="9.33203125" style="101" bestFit="1" customWidth="1"/>
    <col min="8236" max="8236" width="11" style="101" bestFit="1" customWidth="1"/>
    <col min="8237" max="8468" width="9.109375" style="101"/>
    <col min="8469" max="8469" width="9.6640625" style="101" customWidth="1"/>
    <col min="8470" max="8470" width="12.44140625" style="101" customWidth="1"/>
    <col min="8471" max="8471" width="10.5546875" style="101" customWidth="1"/>
    <col min="8472" max="8472" width="6.44140625" style="101" bestFit="1" customWidth="1"/>
    <col min="8473" max="8473" width="8.88671875" style="101" customWidth="1"/>
    <col min="8474" max="8474" width="1.5546875" style="101" customWidth="1"/>
    <col min="8475" max="8475" width="10.5546875" style="101" customWidth="1"/>
    <col min="8476" max="8476" width="2.6640625" style="101" customWidth="1"/>
    <col min="8477" max="8477" width="9.6640625" style="101" customWidth="1"/>
    <col min="8478" max="8478" width="14.6640625" style="101" customWidth="1"/>
    <col min="8479" max="8479" width="10.5546875" style="101" customWidth="1"/>
    <col min="8480" max="8480" width="6.44140625" style="101" customWidth="1"/>
    <col min="8481" max="8481" width="8.88671875" style="101" customWidth="1"/>
    <col min="8482" max="8482" width="1.5546875" style="101" customWidth="1"/>
    <col min="8483" max="8483" width="13.44140625" style="101" customWidth="1"/>
    <col min="8484" max="8484" width="4" style="101" customWidth="1"/>
    <col min="8485" max="8485" width="8" style="101" customWidth="1"/>
    <col min="8486" max="8486" width="2.6640625" style="101" customWidth="1"/>
    <col min="8487" max="8487" width="10.44140625" style="101" customWidth="1"/>
    <col min="8488" max="8488" width="11" style="101" bestFit="1" customWidth="1"/>
    <col min="8489" max="8489" width="13.5546875" style="101" customWidth="1"/>
    <col min="8490" max="8490" width="11" style="101" bestFit="1" customWidth="1"/>
    <col min="8491" max="8491" width="9.33203125" style="101" bestFit="1" customWidth="1"/>
    <col min="8492" max="8492" width="11" style="101" bestFit="1" customWidth="1"/>
    <col min="8493" max="8724" width="9.109375" style="101"/>
    <col min="8725" max="8725" width="9.6640625" style="101" customWidth="1"/>
    <col min="8726" max="8726" width="12.44140625" style="101" customWidth="1"/>
    <col min="8727" max="8727" width="10.5546875" style="101" customWidth="1"/>
    <col min="8728" max="8728" width="6.44140625" style="101" bestFit="1" customWidth="1"/>
    <col min="8729" max="8729" width="8.88671875" style="101" customWidth="1"/>
    <col min="8730" max="8730" width="1.5546875" style="101" customWidth="1"/>
    <col min="8731" max="8731" width="10.5546875" style="101" customWidth="1"/>
    <col min="8732" max="8732" width="2.6640625" style="101" customWidth="1"/>
    <col min="8733" max="8733" width="9.6640625" style="101" customWidth="1"/>
    <col min="8734" max="8734" width="14.6640625" style="101" customWidth="1"/>
    <col min="8735" max="8735" width="10.5546875" style="101" customWidth="1"/>
    <col min="8736" max="8736" width="6.44140625" style="101" customWidth="1"/>
    <col min="8737" max="8737" width="8.88671875" style="101" customWidth="1"/>
    <col min="8738" max="8738" width="1.5546875" style="101" customWidth="1"/>
    <col min="8739" max="8739" width="13.44140625" style="101" customWidth="1"/>
    <col min="8740" max="8740" width="4" style="101" customWidth="1"/>
    <col min="8741" max="8741" width="8" style="101" customWidth="1"/>
    <col min="8742" max="8742" width="2.6640625" style="101" customWidth="1"/>
    <col min="8743" max="8743" width="10.44140625" style="101" customWidth="1"/>
    <col min="8744" max="8744" width="11" style="101" bestFit="1" customWidth="1"/>
    <col min="8745" max="8745" width="13.5546875" style="101" customWidth="1"/>
    <col min="8746" max="8746" width="11" style="101" bestFit="1" customWidth="1"/>
    <col min="8747" max="8747" width="9.33203125" style="101" bestFit="1" customWidth="1"/>
    <col min="8748" max="8748" width="11" style="101" bestFit="1" customWidth="1"/>
    <col min="8749" max="8980" width="9.109375" style="101"/>
    <col min="8981" max="8981" width="9.6640625" style="101" customWidth="1"/>
    <col min="8982" max="8982" width="12.44140625" style="101" customWidth="1"/>
    <col min="8983" max="8983" width="10.5546875" style="101" customWidth="1"/>
    <col min="8984" max="8984" width="6.44140625" style="101" bestFit="1" customWidth="1"/>
    <col min="8985" max="8985" width="8.88671875" style="101" customWidth="1"/>
    <col min="8986" max="8986" width="1.5546875" style="101" customWidth="1"/>
    <col min="8987" max="8987" width="10.5546875" style="101" customWidth="1"/>
    <col min="8988" max="8988" width="2.6640625" style="101" customWidth="1"/>
    <col min="8989" max="8989" width="9.6640625" style="101" customWidth="1"/>
    <col min="8990" max="8990" width="14.6640625" style="101" customWidth="1"/>
    <col min="8991" max="8991" width="10.5546875" style="101" customWidth="1"/>
    <col min="8992" max="8992" width="6.44140625" style="101" customWidth="1"/>
    <col min="8993" max="8993" width="8.88671875" style="101" customWidth="1"/>
    <col min="8994" max="8994" width="1.5546875" style="101" customWidth="1"/>
    <col min="8995" max="8995" width="13.44140625" style="101" customWidth="1"/>
    <col min="8996" max="8996" width="4" style="101" customWidth="1"/>
    <col min="8997" max="8997" width="8" style="101" customWidth="1"/>
    <col min="8998" max="8998" width="2.6640625" style="101" customWidth="1"/>
    <col min="8999" max="8999" width="10.44140625" style="101" customWidth="1"/>
    <col min="9000" max="9000" width="11" style="101" bestFit="1" customWidth="1"/>
    <col min="9001" max="9001" width="13.5546875" style="101" customWidth="1"/>
    <col min="9002" max="9002" width="11" style="101" bestFit="1" customWidth="1"/>
    <col min="9003" max="9003" width="9.33203125" style="101" bestFit="1" customWidth="1"/>
    <col min="9004" max="9004" width="11" style="101" bestFit="1" customWidth="1"/>
    <col min="9005" max="9236" width="9.109375" style="101"/>
    <col min="9237" max="9237" width="9.6640625" style="101" customWidth="1"/>
    <col min="9238" max="9238" width="12.44140625" style="101" customWidth="1"/>
    <col min="9239" max="9239" width="10.5546875" style="101" customWidth="1"/>
    <col min="9240" max="9240" width="6.44140625" style="101" bestFit="1" customWidth="1"/>
    <col min="9241" max="9241" width="8.88671875" style="101" customWidth="1"/>
    <col min="9242" max="9242" width="1.5546875" style="101" customWidth="1"/>
    <col min="9243" max="9243" width="10.5546875" style="101" customWidth="1"/>
    <col min="9244" max="9244" width="2.6640625" style="101" customWidth="1"/>
    <col min="9245" max="9245" width="9.6640625" style="101" customWidth="1"/>
    <col min="9246" max="9246" width="14.6640625" style="101" customWidth="1"/>
    <col min="9247" max="9247" width="10.5546875" style="101" customWidth="1"/>
    <col min="9248" max="9248" width="6.44140625" style="101" customWidth="1"/>
    <col min="9249" max="9249" width="8.88671875" style="101" customWidth="1"/>
    <col min="9250" max="9250" width="1.5546875" style="101" customWidth="1"/>
    <col min="9251" max="9251" width="13.44140625" style="101" customWidth="1"/>
    <col min="9252" max="9252" width="4" style="101" customWidth="1"/>
    <col min="9253" max="9253" width="8" style="101" customWidth="1"/>
    <col min="9254" max="9254" width="2.6640625" style="101" customWidth="1"/>
    <col min="9255" max="9255" width="10.44140625" style="101" customWidth="1"/>
    <col min="9256" max="9256" width="11" style="101" bestFit="1" customWidth="1"/>
    <col min="9257" max="9257" width="13.5546875" style="101" customWidth="1"/>
    <col min="9258" max="9258" width="11" style="101" bestFit="1" customWidth="1"/>
    <col min="9259" max="9259" width="9.33203125" style="101" bestFit="1" customWidth="1"/>
    <col min="9260" max="9260" width="11" style="101" bestFit="1" customWidth="1"/>
    <col min="9261" max="9492" width="9.109375" style="101"/>
    <col min="9493" max="9493" width="9.6640625" style="101" customWidth="1"/>
    <col min="9494" max="9494" width="12.44140625" style="101" customWidth="1"/>
    <col min="9495" max="9495" width="10.5546875" style="101" customWidth="1"/>
    <col min="9496" max="9496" width="6.44140625" style="101" bestFit="1" customWidth="1"/>
    <col min="9497" max="9497" width="8.88671875" style="101" customWidth="1"/>
    <col min="9498" max="9498" width="1.5546875" style="101" customWidth="1"/>
    <col min="9499" max="9499" width="10.5546875" style="101" customWidth="1"/>
    <col min="9500" max="9500" width="2.6640625" style="101" customWidth="1"/>
    <col min="9501" max="9501" width="9.6640625" style="101" customWidth="1"/>
    <col min="9502" max="9502" width="14.6640625" style="101" customWidth="1"/>
    <col min="9503" max="9503" width="10.5546875" style="101" customWidth="1"/>
    <col min="9504" max="9504" width="6.44140625" style="101" customWidth="1"/>
    <col min="9505" max="9505" width="8.88671875" style="101" customWidth="1"/>
    <col min="9506" max="9506" width="1.5546875" style="101" customWidth="1"/>
    <col min="9507" max="9507" width="13.44140625" style="101" customWidth="1"/>
    <col min="9508" max="9508" width="4" style="101" customWidth="1"/>
    <col min="9509" max="9509" width="8" style="101" customWidth="1"/>
    <col min="9510" max="9510" width="2.6640625" style="101" customWidth="1"/>
    <col min="9511" max="9511" width="10.44140625" style="101" customWidth="1"/>
    <col min="9512" max="9512" width="11" style="101" bestFit="1" customWidth="1"/>
    <col min="9513" max="9513" width="13.5546875" style="101" customWidth="1"/>
    <col min="9514" max="9514" width="11" style="101" bestFit="1" customWidth="1"/>
    <col min="9515" max="9515" width="9.33203125" style="101" bestFit="1" customWidth="1"/>
    <col min="9516" max="9516" width="11" style="101" bestFit="1" customWidth="1"/>
    <col min="9517" max="9748" width="9.109375" style="101"/>
    <col min="9749" max="9749" width="9.6640625" style="101" customWidth="1"/>
    <col min="9750" max="9750" width="12.44140625" style="101" customWidth="1"/>
    <col min="9751" max="9751" width="10.5546875" style="101" customWidth="1"/>
    <col min="9752" max="9752" width="6.44140625" style="101" bestFit="1" customWidth="1"/>
    <col min="9753" max="9753" width="8.88671875" style="101" customWidth="1"/>
    <col min="9754" max="9754" width="1.5546875" style="101" customWidth="1"/>
    <col min="9755" max="9755" width="10.5546875" style="101" customWidth="1"/>
    <col min="9756" max="9756" width="2.6640625" style="101" customWidth="1"/>
    <col min="9757" max="9757" width="9.6640625" style="101" customWidth="1"/>
    <col min="9758" max="9758" width="14.6640625" style="101" customWidth="1"/>
    <col min="9759" max="9759" width="10.5546875" style="101" customWidth="1"/>
    <col min="9760" max="9760" width="6.44140625" style="101" customWidth="1"/>
    <col min="9761" max="9761" width="8.88671875" style="101" customWidth="1"/>
    <col min="9762" max="9762" width="1.5546875" style="101" customWidth="1"/>
    <col min="9763" max="9763" width="13.44140625" style="101" customWidth="1"/>
    <col min="9764" max="9764" width="4" style="101" customWidth="1"/>
    <col min="9765" max="9765" width="8" style="101" customWidth="1"/>
    <col min="9766" max="9766" width="2.6640625" style="101" customWidth="1"/>
    <col min="9767" max="9767" width="10.44140625" style="101" customWidth="1"/>
    <col min="9768" max="9768" width="11" style="101" bestFit="1" customWidth="1"/>
    <col min="9769" max="9769" width="13.5546875" style="101" customWidth="1"/>
    <col min="9770" max="9770" width="11" style="101" bestFit="1" customWidth="1"/>
    <col min="9771" max="9771" width="9.33203125" style="101" bestFit="1" customWidth="1"/>
    <col min="9772" max="9772" width="11" style="101" bestFit="1" customWidth="1"/>
    <col min="9773" max="10004" width="9.109375" style="101"/>
    <col min="10005" max="10005" width="9.6640625" style="101" customWidth="1"/>
    <col min="10006" max="10006" width="12.44140625" style="101" customWidth="1"/>
    <col min="10007" max="10007" width="10.5546875" style="101" customWidth="1"/>
    <col min="10008" max="10008" width="6.44140625" style="101" bestFit="1" customWidth="1"/>
    <col min="10009" max="10009" width="8.88671875" style="101" customWidth="1"/>
    <col min="10010" max="10010" width="1.5546875" style="101" customWidth="1"/>
    <col min="10011" max="10011" width="10.5546875" style="101" customWidth="1"/>
    <col min="10012" max="10012" width="2.6640625" style="101" customWidth="1"/>
    <col min="10013" max="10013" width="9.6640625" style="101" customWidth="1"/>
    <col min="10014" max="10014" width="14.6640625" style="101" customWidth="1"/>
    <col min="10015" max="10015" width="10.5546875" style="101" customWidth="1"/>
    <col min="10016" max="10016" width="6.44140625" style="101" customWidth="1"/>
    <col min="10017" max="10017" width="8.88671875" style="101" customWidth="1"/>
    <col min="10018" max="10018" width="1.5546875" style="101" customWidth="1"/>
    <col min="10019" max="10019" width="13.44140625" style="101" customWidth="1"/>
    <col min="10020" max="10020" width="4" style="101" customWidth="1"/>
    <col min="10021" max="10021" width="8" style="101" customWidth="1"/>
    <col min="10022" max="10022" width="2.6640625" style="101" customWidth="1"/>
    <col min="10023" max="10023" width="10.44140625" style="101" customWidth="1"/>
    <col min="10024" max="10024" width="11" style="101" bestFit="1" customWidth="1"/>
    <col min="10025" max="10025" width="13.5546875" style="101" customWidth="1"/>
    <col min="10026" max="10026" width="11" style="101" bestFit="1" customWidth="1"/>
    <col min="10027" max="10027" width="9.33203125" style="101" bestFit="1" customWidth="1"/>
    <col min="10028" max="10028" width="11" style="101" bestFit="1" customWidth="1"/>
    <col min="10029" max="10260" width="9.109375" style="101"/>
    <col min="10261" max="10261" width="9.6640625" style="101" customWidth="1"/>
    <col min="10262" max="10262" width="12.44140625" style="101" customWidth="1"/>
    <col min="10263" max="10263" width="10.5546875" style="101" customWidth="1"/>
    <col min="10264" max="10264" width="6.44140625" style="101" bestFit="1" customWidth="1"/>
    <col min="10265" max="10265" width="8.88671875" style="101" customWidth="1"/>
    <col min="10266" max="10266" width="1.5546875" style="101" customWidth="1"/>
    <col min="10267" max="10267" width="10.5546875" style="101" customWidth="1"/>
    <col min="10268" max="10268" width="2.6640625" style="101" customWidth="1"/>
    <col min="10269" max="10269" width="9.6640625" style="101" customWidth="1"/>
    <col min="10270" max="10270" width="14.6640625" style="101" customWidth="1"/>
    <col min="10271" max="10271" width="10.5546875" style="101" customWidth="1"/>
    <col min="10272" max="10272" width="6.44140625" style="101" customWidth="1"/>
    <col min="10273" max="10273" width="8.88671875" style="101" customWidth="1"/>
    <col min="10274" max="10274" width="1.5546875" style="101" customWidth="1"/>
    <col min="10275" max="10275" width="13.44140625" style="101" customWidth="1"/>
    <col min="10276" max="10276" width="4" style="101" customWidth="1"/>
    <col min="10277" max="10277" width="8" style="101" customWidth="1"/>
    <col min="10278" max="10278" width="2.6640625" style="101" customWidth="1"/>
    <col min="10279" max="10279" width="10.44140625" style="101" customWidth="1"/>
    <col min="10280" max="10280" width="11" style="101" bestFit="1" customWidth="1"/>
    <col min="10281" max="10281" width="13.5546875" style="101" customWidth="1"/>
    <col min="10282" max="10282" width="11" style="101" bestFit="1" customWidth="1"/>
    <col min="10283" max="10283" width="9.33203125" style="101" bestFit="1" customWidth="1"/>
    <col min="10284" max="10284" width="11" style="101" bestFit="1" customWidth="1"/>
    <col min="10285" max="10516" width="9.109375" style="101"/>
    <col min="10517" max="10517" width="9.6640625" style="101" customWidth="1"/>
    <col min="10518" max="10518" width="12.44140625" style="101" customWidth="1"/>
    <col min="10519" max="10519" width="10.5546875" style="101" customWidth="1"/>
    <col min="10520" max="10520" width="6.44140625" style="101" bestFit="1" customWidth="1"/>
    <col min="10521" max="10521" width="8.88671875" style="101" customWidth="1"/>
    <col min="10522" max="10522" width="1.5546875" style="101" customWidth="1"/>
    <col min="10523" max="10523" width="10.5546875" style="101" customWidth="1"/>
    <col min="10524" max="10524" width="2.6640625" style="101" customWidth="1"/>
    <col min="10525" max="10525" width="9.6640625" style="101" customWidth="1"/>
    <col min="10526" max="10526" width="14.6640625" style="101" customWidth="1"/>
    <col min="10527" max="10527" width="10.5546875" style="101" customWidth="1"/>
    <col min="10528" max="10528" width="6.44140625" style="101" customWidth="1"/>
    <col min="10529" max="10529" width="8.88671875" style="101" customWidth="1"/>
    <col min="10530" max="10530" width="1.5546875" style="101" customWidth="1"/>
    <col min="10531" max="10531" width="13.44140625" style="101" customWidth="1"/>
    <col min="10532" max="10532" width="4" style="101" customWidth="1"/>
    <col min="10533" max="10533" width="8" style="101" customWidth="1"/>
    <col min="10534" max="10534" width="2.6640625" style="101" customWidth="1"/>
    <col min="10535" max="10535" width="10.44140625" style="101" customWidth="1"/>
    <col min="10536" max="10536" width="11" style="101" bestFit="1" customWidth="1"/>
    <col min="10537" max="10537" width="13.5546875" style="101" customWidth="1"/>
    <col min="10538" max="10538" width="11" style="101" bestFit="1" customWidth="1"/>
    <col min="10539" max="10539" width="9.33203125" style="101" bestFit="1" customWidth="1"/>
    <col min="10540" max="10540" width="11" style="101" bestFit="1" customWidth="1"/>
    <col min="10541" max="10772" width="9.109375" style="101"/>
    <col min="10773" max="10773" width="9.6640625" style="101" customWidth="1"/>
    <col min="10774" max="10774" width="12.44140625" style="101" customWidth="1"/>
    <col min="10775" max="10775" width="10.5546875" style="101" customWidth="1"/>
    <col min="10776" max="10776" width="6.44140625" style="101" bestFit="1" customWidth="1"/>
    <col min="10777" max="10777" width="8.88671875" style="101" customWidth="1"/>
    <col min="10778" max="10778" width="1.5546875" style="101" customWidth="1"/>
    <col min="10779" max="10779" width="10.5546875" style="101" customWidth="1"/>
    <col min="10780" max="10780" width="2.6640625" style="101" customWidth="1"/>
    <col min="10781" max="10781" width="9.6640625" style="101" customWidth="1"/>
    <col min="10782" max="10782" width="14.6640625" style="101" customWidth="1"/>
    <col min="10783" max="10783" width="10.5546875" style="101" customWidth="1"/>
    <col min="10784" max="10784" width="6.44140625" style="101" customWidth="1"/>
    <col min="10785" max="10785" width="8.88671875" style="101" customWidth="1"/>
    <col min="10786" max="10786" width="1.5546875" style="101" customWidth="1"/>
    <col min="10787" max="10787" width="13.44140625" style="101" customWidth="1"/>
    <col min="10788" max="10788" width="4" style="101" customWidth="1"/>
    <col min="10789" max="10789" width="8" style="101" customWidth="1"/>
    <col min="10790" max="10790" width="2.6640625" style="101" customWidth="1"/>
    <col min="10791" max="10791" width="10.44140625" style="101" customWidth="1"/>
    <col min="10792" max="10792" width="11" style="101" bestFit="1" customWidth="1"/>
    <col min="10793" max="10793" width="13.5546875" style="101" customWidth="1"/>
    <col min="10794" max="10794" width="11" style="101" bestFit="1" customWidth="1"/>
    <col min="10795" max="10795" width="9.33203125" style="101" bestFit="1" customWidth="1"/>
    <col min="10796" max="10796" width="11" style="101" bestFit="1" customWidth="1"/>
    <col min="10797" max="11028" width="9.109375" style="101"/>
    <col min="11029" max="11029" width="9.6640625" style="101" customWidth="1"/>
    <col min="11030" max="11030" width="12.44140625" style="101" customWidth="1"/>
    <col min="11031" max="11031" width="10.5546875" style="101" customWidth="1"/>
    <col min="11032" max="11032" width="6.44140625" style="101" bestFit="1" customWidth="1"/>
    <col min="11033" max="11033" width="8.88671875" style="101" customWidth="1"/>
    <col min="11034" max="11034" width="1.5546875" style="101" customWidth="1"/>
    <col min="11035" max="11035" width="10.5546875" style="101" customWidth="1"/>
    <col min="11036" max="11036" width="2.6640625" style="101" customWidth="1"/>
    <col min="11037" max="11037" width="9.6640625" style="101" customWidth="1"/>
    <col min="11038" max="11038" width="14.6640625" style="101" customWidth="1"/>
    <col min="11039" max="11039" width="10.5546875" style="101" customWidth="1"/>
    <col min="11040" max="11040" width="6.44140625" style="101" customWidth="1"/>
    <col min="11041" max="11041" width="8.88671875" style="101" customWidth="1"/>
    <col min="11042" max="11042" width="1.5546875" style="101" customWidth="1"/>
    <col min="11043" max="11043" width="13.44140625" style="101" customWidth="1"/>
    <col min="11044" max="11044" width="4" style="101" customWidth="1"/>
    <col min="11045" max="11045" width="8" style="101" customWidth="1"/>
    <col min="11046" max="11046" width="2.6640625" style="101" customWidth="1"/>
    <col min="11047" max="11047" width="10.44140625" style="101" customWidth="1"/>
    <col min="11048" max="11048" width="11" style="101" bestFit="1" customWidth="1"/>
    <col min="11049" max="11049" width="13.5546875" style="101" customWidth="1"/>
    <col min="11050" max="11050" width="11" style="101" bestFit="1" customWidth="1"/>
    <col min="11051" max="11051" width="9.33203125" style="101" bestFit="1" customWidth="1"/>
    <col min="11052" max="11052" width="11" style="101" bestFit="1" customWidth="1"/>
    <col min="11053" max="11284" width="9.109375" style="101"/>
    <col min="11285" max="11285" width="9.6640625" style="101" customWidth="1"/>
    <col min="11286" max="11286" width="12.44140625" style="101" customWidth="1"/>
    <col min="11287" max="11287" width="10.5546875" style="101" customWidth="1"/>
    <col min="11288" max="11288" width="6.44140625" style="101" bestFit="1" customWidth="1"/>
    <col min="11289" max="11289" width="8.88671875" style="101" customWidth="1"/>
    <col min="11290" max="11290" width="1.5546875" style="101" customWidth="1"/>
    <col min="11291" max="11291" width="10.5546875" style="101" customWidth="1"/>
    <col min="11292" max="11292" width="2.6640625" style="101" customWidth="1"/>
    <col min="11293" max="11293" width="9.6640625" style="101" customWidth="1"/>
    <col min="11294" max="11294" width="14.6640625" style="101" customWidth="1"/>
    <col min="11295" max="11295" width="10.5546875" style="101" customWidth="1"/>
    <col min="11296" max="11296" width="6.44140625" style="101" customWidth="1"/>
    <col min="11297" max="11297" width="8.88671875" style="101" customWidth="1"/>
    <col min="11298" max="11298" width="1.5546875" style="101" customWidth="1"/>
    <col min="11299" max="11299" width="13.44140625" style="101" customWidth="1"/>
    <col min="11300" max="11300" width="4" style="101" customWidth="1"/>
    <col min="11301" max="11301" width="8" style="101" customWidth="1"/>
    <col min="11302" max="11302" width="2.6640625" style="101" customWidth="1"/>
    <col min="11303" max="11303" width="10.44140625" style="101" customWidth="1"/>
    <col min="11304" max="11304" width="11" style="101" bestFit="1" customWidth="1"/>
    <col min="11305" max="11305" width="13.5546875" style="101" customWidth="1"/>
    <col min="11306" max="11306" width="11" style="101" bestFit="1" customWidth="1"/>
    <col min="11307" max="11307" width="9.33203125" style="101" bestFit="1" customWidth="1"/>
    <col min="11308" max="11308" width="11" style="101" bestFit="1" customWidth="1"/>
    <col min="11309" max="11540" width="9.109375" style="101"/>
    <col min="11541" max="11541" width="9.6640625" style="101" customWidth="1"/>
    <col min="11542" max="11542" width="12.44140625" style="101" customWidth="1"/>
    <col min="11543" max="11543" width="10.5546875" style="101" customWidth="1"/>
    <col min="11544" max="11544" width="6.44140625" style="101" bestFit="1" customWidth="1"/>
    <col min="11545" max="11545" width="8.88671875" style="101" customWidth="1"/>
    <col min="11546" max="11546" width="1.5546875" style="101" customWidth="1"/>
    <col min="11547" max="11547" width="10.5546875" style="101" customWidth="1"/>
    <col min="11548" max="11548" width="2.6640625" style="101" customWidth="1"/>
    <col min="11549" max="11549" width="9.6640625" style="101" customWidth="1"/>
    <col min="11550" max="11550" width="14.6640625" style="101" customWidth="1"/>
    <col min="11551" max="11551" width="10.5546875" style="101" customWidth="1"/>
    <col min="11552" max="11552" width="6.44140625" style="101" customWidth="1"/>
    <col min="11553" max="11553" width="8.88671875" style="101" customWidth="1"/>
    <col min="11554" max="11554" width="1.5546875" style="101" customWidth="1"/>
    <col min="11555" max="11555" width="13.44140625" style="101" customWidth="1"/>
    <col min="11556" max="11556" width="4" style="101" customWidth="1"/>
    <col min="11557" max="11557" width="8" style="101" customWidth="1"/>
    <col min="11558" max="11558" width="2.6640625" style="101" customWidth="1"/>
    <col min="11559" max="11559" width="10.44140625" style="101" customWidth="1"/>
    <col min="11560" max="11560" width="11" style="101" bestFit="1" customWidth="1"/>
    <col min="11561" max="11561" width="13.5546875" style="101" customWidth="1"/>
    <col min="11562" max="11562" width="11" style="101" bestFit="1" customWidth="1"/>
    <col min="11563" max="11563" width="9.33203125" style="101" bestFit="1" customWidth="1"/>
    <col min="11564" max="11564" width="11" style="101" bestFit="1" customWidth="1"/>
    <col min="11565" max="11796" width="9.109375" style="101"/>
    <col min="11797" max="11797" width="9.6640625" style="101" customWidth="1"/>
    <col min="11798" max="11798" width="12.44140625" style="101" customWidth="1"/>
    <col min="11799" max="11799" width="10.5546875" style="101" customWidth="1"/>
    <col min="11800" max="11800" width="6.44140625" style="101" bestFit="1" customWidth="1"/>
    <col min="11801" max="11801" width="8.88671875" style="101" customWidth="1"/>
    <col min="11802" max="11802" width="1.5546875" style="101" customWidth="1"/>
    <col min="11803" max="11803" width="10.5546875" style="101" customWidth="1"/>
    <col min="11804" max="11804" width="2.6640625" style="101" customWidth="1"/>
    <col min="11805" max="11805" width="9.6640625" style="101" customWidth="1"/>
    <col min="11806" max="11806" width="14.6640625" style="101" customWidth="1"/>
    <col min="11807" max="11807" width="10.5546875" style="101" customWidth="1"/>
    <col min="11808" max="11808" width="6.44140625" style="101" customWidth="1"/>
    <col min="11809" max="11809" width="8.88671875" style="101" customWidth="1"/>
    <col min="11810" max="11810" width="1.5546875" style="101" customWidth="1"/>
    <col min="11811" max="11811" width="13.44140625" style="101" customWidth="1"/>
    <col min="11812" max="11812" width="4" style="101" customWidth="1"/>
    <col min="11813" max="11813" width="8" style="101" customWidth="1"/>
    <col min="11814" max="11814" width="2.6640625" style="101" customWidth="1"/>
    <col min="11815" max="11815" width="10.44140625" style="101" customWidth="1"/>
    <col min="11816" max="11816" width="11" style="101" bestFit="1" customWidth="1"/>
    <col min="11817" max="11817" width="13.5546875" style="101" customWidth="1"/>
    <col min="11818" max="11818" width="11" style="101" bestFit="1" customWidth="1"/>
    <col min="11819" max="11819" width="9.33203125" style="101" bestFit="1" customWidth="1"/>
    <col min="11820" max="11820" width="11" style="101" bestFit="1" customWidth="1"/>
    <col min="11821" max="12052" width="9.109375" style="101"/>
    <col min="12053" max="12053" width="9.6640625" style="101" customWidth="1"/>
    <col min="12054" max="12054" width="12.44140625" style="101" customWidth="1"/>
    <col min="12055" max="12055" width="10.5546875" style="101" customWidth="1"/>
    <col min="12056" max="12056" width="6.44140625" style="101" bestFit="1" customWidth="1"/>
    <col min="12057" max="12057" width="8.88671875" style="101" customWidth="1"/>
    <col min="12058" max="12058" width="1.5546875" style="101" customWidth="1"/>
    <col min="12059" max="12059" width="10.5546875" style="101" customWidth="1"/>
    <col min="12060" max="12060" width="2.6640625" style="101" customWidth="1"/>
    <col min="12061" max="12061" width="9.6640625" style="101" customWidth="1"/>
    <col min="12062" max="12062" width="14.6640625" style="101" customWidth="1"/>
    <col min="12063" max="12063" width="10.5546875" style="101" customWidth="1"/>
    <col min="12064" max="12064" width="6.44140625" style="101" customWidth="1"/>
    <col min="12065" max="12065" width="8.88671875" style="101" customWidth="1"/>
    <col min="12066" max="12066" width="1.5546875" style="101" customWidth="1"/>
    <col min="12067" max="12067" width="13.44140625" style="101" customWidth="1"/>
    <col min="12068" max="12068" width="4" style="101" customWidth="1"/>
    <col min="12069" max="12069" width="8" style="101" customWidth="1"/>
    <col min="12070" max="12070" width="2.6640625" style="101" customWidth="1"/>
    <col min="12071" max="12071" width="10.44140625" style="101" customWidth="1"/>
    <col min="12072" max="12072" width="11" style="101" bestFit="1" customWidth="1"/>
    <col min="12073" max="12073" width="13.5546875" style="101" customWidth="1"/>
    <col min="12074" max="12074" width="11" style="101" bestFit="1" customWidth="1"/>
    <col min="12075" max="12075" width="9.33203125" style="101" bestFit="1" customWidth="1"/>
    <col min="12076" max="12076" width="11" style="101" bestFit="1" customWidth="1"/>
    <col min="12077" max="12308" width="9.109375" style="101"/>
    <col min="12309" max="12309" width="9.6640625" style="101" customWidth="1"/>
    <col min="12310" max="12310" width="12.44140625" style="101" customWidth="1"/>
    <col min="12311" max="12311" width="10.5546875" style="101" customWidth="1"/>
    <col min="12312" max="12312" width="6.44140625" style="101" bestFit="1" customWidth="1"/>
    <col min="12313" max="12313" width="8.88671875" style="101" customWidth="1"/>
    <col min="12314" max="12314" width="1.5546875" style="101" customWidth="1"/>
    <col min="12315" max="12315" width="10.5546875" style="101" customWidth="1"/>
    <col min="12316" max="12316" width="2.6640625" style="101" customWidth="1"/>
    <col min="12317" max="12317" width="9.6640625" style="101" customWidth="1"/>
    <col min="12318" max="12318" width="14.6640625" style="101" customWidth="1"/>
    <col min="12319" max="12319" width="10.5546875" style="101" customWidth="1"/>
    <col min="12320" max="12320" width="6.44140625" style="101" customWidth="1"/>
    <col min="12321" max="12321" width="8.88671875" style="101" customWidth="1"/>
    <col min="12322" max="12322" width="1.5546875" style="101" customWidth="1"/>
    <col min="12323" max="12323" width="13.44140625" style="101" customWidth="1"/>
    <col min="12324" max="12324" width="4" style="101" customWidth="1"/>
    <col min="12325" max="12325" width="8" style="101" customWidth="1"/>
    <col min="12326" max="12326" width="2.6640625" style="101" customWidth="1"/>
    <col min="12327" max="12327" width="10.44140625" style="101" customWidth="1"/>
    <col min="12328" max="12328" width="11" style="101" bestFit="1" customWidth="1"/>
    <col min="12329" max="12329" width="13.5546875" style="101" customWidth="1"/>
    <col min="12330" max="12330" width="11" style="101" bestFit="1" customWidth="1"/>
    <col min="12331" max="12331" width="9.33203125" style="101" bestFit="1" customWidth="1"/>
    <col min="12332" max="12332" width="11" style="101" bestFit="1" customWidth="1"/>
    <col min="12333" max="12564" width="9.109375" style="101"/>
    <col min="12565" max="12565" width="9.6640625" style="101" customWidth="1"/>
    <col min="12566" max="12566" width="12.44140625" style="101" customWidth="1"/>
    <col min="12567" max="12567" width="10.5546875" style="101" customWidth="1"/>
    <col min="12568" max="12568" width="6.44140625" style="101" bestFit="1" customWidth="1"/>
    <col min="12569" max="12569" width="8.88671875" style="101" customWidth="1"/>
    <col min="12570" max="12570" width="1.5546875" style="101" customWidth="1"/>
    <col min="12571" max="12571" width="10.5546875" style="101" customWidth="1"/>
    <col min="12572" max="12572" width="2.6640625" style="101" customWidth="1"/>
    <col min="12573" max="12573" width="9.6640625" style="101" customWidth="1"/>
    <col min="12574" max="12574" width="14.6640625" style="101" customWidth="1"/>
    <col min="12575" max="12575" width="10.5546875" style="101" customWidth="1"/>
    <col min="12576" max="12576" width="6.44140625" style="101" customWidth="1"/>
    <col min="12577" max="12577" width="8.88671875" style="101" customWidth="1"/>
    <col min="12578" max="12578" width="1.5546875" style="101" customWidth="1"/>
    <col min="12579" max="12579" width="13.44140625" style="101" customWidth="1"/>
    <col min="12580" max="12580" width="4" style="101" customWidth="1"/>
    <col min="12581" max="12581" width="8" style="101" customWidth="1"/>
    <col min="12582" max="12582" width="2.6640625" style="101" customWidth="1"/>
    <col min="12583" max="12583" width="10.44140625" style="101" customWidth="1"/>
    <col min="12584" max="12584" width="11" style="101" bestFit="1" customWidth="1"/>
    <col min="12585" max="12585" width="13.5546875" style="101" customWidth="1"/>
    <col min="12586" max="12586" width="11" style="101" bestFit="1" customWidth="1"/>
    <col min="12587" max="12587" width="9.33203125" style="101" bestFit="1" customWidth="1"/>
    <col min="12588" max="12588" width="11" style="101" bestFit="1" customWidth="1"/>
    <col min="12589" max="12820" width="9.109375" style="101"/>
    <col min="12821" max="12821" width="9.6640625" style="101" customWidth="1"/>
    <col min="12822" max="12822" width="12.44140625" style="101" customWidth="1"/>
    <col min="12823" max="12823" width="10.5546875" style="101" customWidth="1"/>
    <col min="12824" max="12824" width="6.44140625" style="101" bestFit="1" customWidth="1"/>
    <col min="12825" max="12825" width="8.88671875" style="101" customWidth="1"/>
    <col min="12826" max="12826" width="1.5546875" style="101" customWidth="1"/>
    <col min="12827" max="12827" width="10.5546875" style="101" customWidth="1"/>
    <col min="12828" max="12828" width="2.6640625" style="101" customWidth="1"/>
    <col min="12829" max="12829" width="9.6640625" style="101" customWidth="1"/>
    <col min="12830" max="12830" width="14.6640625" style="101" customWidth="1"/>
    <col min="12831" max="12831" width="10.5546875" style="101" customWidth="1"/>
    <col min="12832" max="12832" width="6.44140625" style="101" customWidth="1"/>
    <col min="12833" max="12833" width="8.88671875" style="101" customWidth="1"/>
    <col min="12834" max="12834" width="1.5546875" style="101" customWidth="1"/>
    <col min="12835" max="12835" width="13.44140625" style="101" customWidth="1"/>
    <col min="12836" max="12836" width="4" style="101" customWidth="1"/>
    <col min="12837" max="12837" width="8" style="101" customWidth="1"/>
    <col min="12838" max="12838" width="2.6640625" style="101" customWidth="1"/>
    <col min="12839" max="12839" width="10.44140625" style="101" customWidth="1"/>
    <col min="12840" max="12840" width="11" style="101" bestFit="1" customWidth="1"/>
    <col min="12841" max="12841" width="13.5546875" style="101" customWidth="1"/>
    <col min="12842" max="12842" width="11" style="101" bestFit="1" customWidth="1"/>
    <col min="12843" max="12843" width="9.33203125" style="101" bestFit="1" customWidth="1"/>
    <col min="12844" max="12844" width="11" style="101" bestFit="1" customWidth="1"/>
    <col min="12845" max="13076" width="9.109375" style="101"/>
    <col min="13077" max="13077" width="9.6640625" style="101" customWidth="1"/>
    <col min="13078" max="13078" width="12.44140625" style="101" customWidth="1"/>
    <col min="13079" max="13079" width="10.5546875" style="101" customWidth="1"/>
    <col min="13080" max="13080" width="6.44140625" style="101" bestFit="1" customWidth="1"/>
    <col min="13081" max="13081" width="8.88671875" style="101" customWidth="1"/>
    <col min="13082" max="13082" width="1.5546875" style="101" customWidth="1"/>
    <col min="13083" max="13083" width="10.5546875" style="101" customWidth="1"/>
    <col min="13084" max="13084" width="2.6640625" style="101" customWidth="1"/>
    <col min="13085" max="13085" width="9.6640625" style="101" customWidth="1"/>
    <col min="13086" max="13086" width="14.6640625" style="101" customWidth="1"/>
    <col min="13087" max="13087" width="10.5546875" style="101" customWidth="1"/>
    <col min="13088" max="13088" width="6.44140625" style="101" customWidth="1"/>
    <col min="13089" max="13089" width="8.88671875" style="101" customWidth="1"/>
    <col min="13090" max="13090" width="1.5546875" style="101" customWidth="1"/>
    <col min="13091" max="13091" width="13.44140625" style="101" customWidth="1"/>
    <col min="13092" max="13092" width="4" style="101" customWidth="1"/>
    <col min="13093" max="13093" width="8" style="101" customWidth="1"/>
    <col min="13094" max="13094" width="2.6640625" style="101" customWidth="1"/>
    <col min="13095" max="13095" width="10.44140625" style="101" customWidth="1"/>
    <col min="13096" max="13096" width="11" style="101" bestFit="1" customWidth="1"/>
    <col min="13097" max="13097" width="13.5546875" style="101" customWidth="1"/>
    <col min="13098" max="13098" width="11" style="101" bestFit="1" customWidth="1"/>
    <col min="13099" max="13099" width="9.33203125" style="101" bestFit="1" customWidth="1"/>
    <col min="13100" max="13100" width="11" style="101" bestFit="1" customWidth="1"/>
    <col min="13101" max="13332" width="9.109375" style="101"/>
    <col min="13333" max="13333" width="9.6640625" style="101" customWidth="1"/>
    <col min="13334" max="13334" width="12.44140625" style="101" customWidth="1"/>
    <col min="13335" max="13335" width="10.5546875" style="101" customWidth="1"/>
    <col min="13336" max="13336" width="6.44140625" style="101" bestFit="1" customWidth="1"/>
    <col min="13337" max="13337" width="8.88671875" style="101" customWidth="1"/>
    <col min="13338" max="13338" width="1.5546875" style="101" customWidth="1"/>
    <col min="13339" max="13339" width="10.5546875" style="101" customWidth="1"/>
    <col min="13340" max="13340" width="2.6640625" style="101" customWidth="1"/>
    <col min="13341" max="13341" width="9.6640625" style="101" customWidth="1"/>
    <col min="13342" max="13342" width="14.6640625" style="101" customWidth="1"/>
    <col min="13343" max="13343" width="10.5546875" style="101" customWidth="1"/>
    <col min="13344" max="13344" width="6.44140625" style="101" customWidth="1"/>
    <col min="13345" max="13345" width="8.88671875" style="101" customWidth="1"/>
    <col min="13346" max="13346" width="1.5546875" style="101" customWidth="1"/>
    <col min="13347" max="13347" width="13.44140625" style="101" customWidth="1"/>
    <col min="13348" max="13348" width="4" style="101" customWidth="1"/>
    <col min="13349" max="13349" width="8" style="101" customWidth="1"/>
    <col min="13350" max="13350" width="2.6640625" style="101" customWidth="1"/>
    <col min="13351" max="13351" width="10.44140625" style="101" customWidth="1"/>
    <col min="13352" max="13352" width="11" style="101" bestFit="1" customWidth="1"/>
    <col min="13353" max="13353" width="13.5546875" style="101" customWidth="1"/>
    <col min="13354" max="13354" width="11" style="101" bestFit="1" customWidth="1"/>
    <col min="13355" max="13355" width="9.33203125" style="101" bestFit="1" customWidth="1"/>
    <col min="13356" max="13356" width="11" style="101" bestFit="1" customWidth="1"/>
    <col min="13357" max="13588" width="9.109375" style="101"/>
    <col min="13589" max="13589" width="9.6640625" style="101" customWidth="1"/>
    <col min="13590" max="13590" width="12.44140625" style="101" customWidth="1"/>
    <col min="13591" max="13591" width="10.5546875" style="101" customWidth="1"/>
    <col min="13592" max="13592" width="6.44140625" style="101" bestFit="1" customWidth="1"/>
    <col min="13593" max="13593" width="8.88671875" style="101" customWidth="1"/>
    <col min="13594" max="13594" width="1.5546875" style="101" customWidth="1"/>
    <col min="13595" max="13595" width="10.5546875" style="101" customWidth="1"/>
    <col min="13596" max="13596" width="2.6640625" style="101" customWidth="1"/>
    <col min="13597" max="13597" width="9.6640625" style="101" customWidth="1"/>
    <col min="13598" max="13598" width="14.6640625" style="101" customWidth="1"/>
    <col min="13599" max="13599" width="10.5546875" style="101" customWidth="1"/>
    <col min="13600" max="13600" width="6.44140625" style="101" customWidth="1"/>
    <col min="13601" max="13601" width="8.88671875" style="101" customWidth="1"/>
    <col min="13602" max="13602" width="1.5546875" style="101" customWidth="1"/>
    <col min="13603" max="13603" width="13.44140625" style="101" customWidth="1"/>
    <col min="13604" max="13604" width="4" style="101" customWidth="1"/>
    <col min="13605" max="13605" width="8" style="101" customWidth="1"/>
    <col min="13606" max="13606" width="2.6640625" style="101" customWidth="1"/>
    <col min="13607" max="13607" width="10.44140625" style="101" customWidth="1"/>
    <col min="13608" max="13608" width="11" style="101" bestFit="1" customWidth="1"/>
    <col min="13609" max="13609" width="13.5546875" style="101" customWidth="1"/>
    <col min="13610" max="13610" width="11" style="101" bestFit="1" customWidth="1"/>
    <col min="13611" max="13611" width="9.33203125" style="101" bestFit="1" customWidth="1"/>
    <col min="13612" max="13612" width="11" style="101" bestFit="1" customWidth="1"/>
    <col min="13613" max="13844" width="9.109375" style="101"/>
    <col min="13845" max="13845" width="9.6640625" style="101" customWidth="1"/>
    <col min="13846" max="13846" width="12.44140625" style="101" customWidth="1"/>
    <col min="13847" max="13847" width="10.5546875" style="101" customWidth="1"/>
    <col min="13848" max="13848" width="6.44140625" style="101" bestFit="1" customWidth="1"/>
    <col min="13849" max="13849" width="8.88671875" style="101" customWidth="1"/>
    <col min="13850" max="13850" width="1.5546875" style="101" customWidth="1"/>
    <col min="13851" max="13851" width="10.5546875" style="101" customWidth="1"/>
    <col min="13852" max="13852" width="2.6640625" style="101" customWidth="1"/>
    <col min="13853" max="13853" width="9.6640625" style="101" customWidth="1"/>
    <col min="13854" max="13854" width="14.6640625" style="101" customWidth="1"/>
    <col min="13855" max="13855" width="10.5546875" style="101" customWidth="1"/>
    <col min="13856" max="13856" width="6.44140625" style="101" customWidth="1"/>
    <col min="13857" max="13857" width="8.88671875" style="101" customWidth="1"/>
    <col min="13858" max="13858" width="1.5546875" style="101" customWidth="1"/>
    <col min="13859" max="13859" width="13.44140625" style="101" customWidth="1"/>
    <col min="13860" max="13860" width="4" style="101" customWidth="1"/>
    <col min="13861" max="13861" width="8" style="101" customWidth="1"/>
    <col min="13862" max="13862" width="2.6640625" style="101" customWidth="1"/>
    <col min="13863" max="13863" width="10.44140625" style="101" customWidth="1"/>
    <col min="13864" max="13864" width="11" style="101" bestFit="1" customWidth="1"/>
    <col min="13865" max="13865" width="13.5546875" style="101" customWidth="1"/>
    <col min="13866" max="13866" width="11" style="101" bestFit="1" customWidth="1"/>
    <col min="13867" max="13867" width="9.33203125" style="101" bestFit="1" customWidth="1"/>
    <col min="13868" max="13868" width="11" style="101" bestFit="1" customWidth="1"/>
    <col min="13869" max="14100" width="9.109375" style="101"/>
    <col min="14101" max="14101" width="9.6640625" style="101" customWidth="1"/>
    <col min="14102" max="14102" width="12.44140625" style="101" customWidth="1"/>
    <col min="14103" max="14103" width="10.5546875" style="101" customWidth="1"/>
    <col min="14104" max="14104" width="6.44140625" style="101" bestFit="1" customWidth="1"/>
    <col min="14105" max="14105" width="8.88671875" style="101" customWidth="1"/>
    <col min="14106" max="14106" width="1.5546875" style="101" customWidth="1"/>
    <col min="14107" max="14107" width="10.5546875" style="101" customWidth="1"/>
    <col min="14108" max="14108" width="2.6640625" style="101" customWidth="1"/>
    <col min="14109" max="14109" width="9.6640625" style="101" customWidth="1"/>
    <col min="14110" max="14110" width="14.6640625" style="101" customWidth="1"/>
    <col min="14111" max="14111" width="10.5546875" style="101" customWidth="1"/>
    <col min="14112" max="14112" width="6.44140625" style="101" customWidth="1"/>
    <col min="14113" max="14113" width="8.88671875" style="101" customWidth="1"/>
    <col min="14114" max="14114" width="1.5546875" style="101" customWidth="1"/>
    <col min="14115" max="14115" width="13.44140625" style="101" customWidth="1"/>
    <col min="14116" max="14116" width="4" style="101" customWidth="1"/>
    <col min="14117" max="14117" width="8" style="101" customWidth="1"/>
    <col min="14118" max="14118" width="2.6640625" style="101" customWidth="1"/>
    <col min="14119" max="14119" width="10.44140625" style="101" customWidth="1"/>
    <col min="14120" max="14120" width="11" style="101" bestFit="1" customWidth="1"/>
    <col min="14121" max="14121" width="13.5546875" style="101" customWidth="1"/>
    <col min="14122" max="14122" width="11" style="101" bestFit="1" customWidth="1"/>
    <col min="14123" max="14123" width="9.33203125" style="101" bestFit="1" customWidth="1"/>
    <col min="14124" max="14124" width="11" style="101" bestFit="1" customWidth="1"/>
    <col min="14125" max="14356" width="9.109375" style="101"/>
    <col min="14357" max="14357" width="9.6640625" style="101" customWidth="1"/>
    <col min="14358" max="14358" width="12.44140625" style="101" customWidth="1"/>
    <col min="14359" max="14359" width="10.5546875" style="101" customWidth="1"/>
    <col min="14360" max="14360" width="6.44140625" style="101" bestFit="1" customWidth="1"/>
    <col min="14361" max="14361" width="8.88671875" style="101" customWidth="1"/>
    <col min="14362" max="14362" width="1.5546875" style="101" customWidth="1"/>
    <col min="14363" max="14363" width="10.5546875" style="101" customWidth="1"/>
    <col min="14364" max="14364" width="2.6640625" style="101" customWidth="1"/>
    <col min="14365" max="14365" width="9.6640625" style="101" customWidth="1"/>
    <col min="14366" max="14366" width="14.6640625" style="101" customWidth="1"/>
    <col min="14367" max="14367" width="10.5546875" style="101" customWidth="1"/>
    <col min="14368" max="14368" width="6.44140625" style="101" customWidth="1"/>
    <col min="14369" max="14369" width="8.88671875" style="101" customWidth="1"/>
    <col min="14370" max="14370" width="1.5546875" style="101" customWidth="1"/>
    <col min="14371" max="14371" width="13.44140625" style="101" customWidth="1"/>
    <col min="14372" max="14372" width="4" style="101" customWidth="1"/>
    <col min="14373" max="14373" width="8" style="101" customWidth="1"/>
    <col min="14374" max="14374" width="2.6640625" style="101" customWidth="1"/>
    <col min="14375" max="14375" width="10.44140625" style="101" customWidth="1"/>
    <col min="14376" max="14376" width="11" style="101" bestFit="1" customWidth="1"/>
    <col min="14377" max="14377" width="13.5546875" style="101" customWidth="1"/>
    <col min="14378" max="14378" width="11" style="101" bestFit="1" customWidth="1"/>
    <col min="14379" max="14379" width="9.33203125" style="101" bestFit="1" customWidth="1"/>
    <col min="14380" max="14380" width="11" style="101" bestFit="1" customWidth="1"/>
    <col min="14381" max="14612" width="9.109375" style="101"/>
    <col min="14613" max="14613" width="9.6640625" style="101" customWidth="1"/>
    <col min="14614" max="14614" width="12.44140625" style="101" customWidth="1"/>
    <col min="14615" max="14615" width="10.5546875" style="101" customWidth="1"/>
    <col min="14616" max="14616" width="6.44140625" style="101" bestFit="1" customWidth="1"/>
    <col min="14617" max="14617" width="8.88671875" style="101" customWidth="1"/>
    <col min="14618" max="14618" width="1.5546875" style="101" customWidth="1"/>
    <col min="14619" max="14619" width="10.5546875" style="101" customWidth="1"/>
    <col min="14620" max="14620" width="2.6640625" style="101" customWidth="1"/>
    <col min="14621" max="14621" width="9.6640625" style="101" customWidth="1"/>
    <col min="14622" max="14622" width="14.6640625" style="101" customWidth="1"/>
    <col min="14623" max="14623" width="10.5546875" style="101" customWidth="1"/>
    <col min="14624" max="14624" width="6.44140625" style="101" customWidth="1"/>
    <col min="14625" max="14625" width="8.88671875" style="101" customWidth="1"/>
    <col min="14626" max="14626" width="1.5546875" style="101" customWidth="1"/>
    <col min="14627" max="14627" width="13.44140625" style="101" customWidth="1"/>
    <col min="14628" max="14628" width="4" style="101" customWidth="1"/>
    <col min="14629" max="14629" width="8" style="101" customWidth="1"/>
    <col min="14630" max="14630" width="2.6640625" style="101" customWidth="1"/>
    <col min="14631" max="14631" width="10.44140625" style="101" customWidth="1"/>
    <col min="14632" max="14632" width="11" style="101" bestFit="1" customWidth="1"/>
    <col min="14633" max="14633" width="13.5546875" style="101" customWidth="1"/>
    <col min="14634" max="14634" width="11" style="101" bestFit="1" customWidth="1"/>
    <col min="14635" max="14635" width="9.33203125" style="101" bestFit="1" customWidth="1"/>
    <col min="14636" max="14636" width="11" style="101" bestFit="1" customWidth="1"/>
    <col min="14637" max="14868" width="9.109375" style="101"/>
    <col min="14869" max="14869" width="9.6640625" style="101" customWidth="1"/>
    <col min="14870" max="14870" width="12.44140625" style="101" customWidth="1"/>
    <col min="14871" max="14871" width="10.5546875" style="101" customWidth="1"/>
    <col min="14872" max="14872" width="6.44140625" style="101" bestFit="1" customWidth="1"/>
    <col min="14873" max="14873" width="8.88671875" style="101" customWidth="1"/>
    <col min="14874" max="14874" width="1.5546875" style="101" customWidth="1"/>
    <col min="14875" max="14875" width="10.5546875" style="101" customWidth="1"/>
    <col min="14876" max="14876" width="2.6640625" style="101" customWidth="1"/>
    <col min="14877" max="14877" width="9.6640625" style="101" customWidth="1"/>
    <col min="14878" max="14878" width="14.6640625" style="101" customWidth="1"/>
    <col min="14879" max="14879" width="10.5546875" style="101" customWidth="1"/>
    <col min="14880" max="14880" width="6.44140625" style="101" customWidth="1"/>
    <col min="14881" max="14881" width="8.88671875" style="101" customWidth="1"/>
    <col min="14882" max="14882" width="1.5546875" style="101" customWidth="1"/>
    <col min="14883" max="14883" width="13.44140625" style="101" customWidth="1"/>
    <col min="14884" max="14884" width="4" style="101" customWidth="1"/>
    <col min="14885" max="14885" width="8" style="101" customWidth="1"/>
    <col min="14886" max="14886" width="2.6640625" style="101" customWidth="1"/>
    <col min="14887" max="14887" width="10.44140625" style="101" customWidth="1"/>
    <col min="14888" max="14888" width="11" style="101" bestFit="1" customWidth="1"/>
    <col min="14889" max="14889" width="13.5546875" style="101" customWidth="1"/>
    <col min="14890" max="14890" width="11" style="101" bestFit="1" customWidth="1"/>
    <col min="14891" max="14891" width="9.33203125" style="101" bestFit="1" customWidth="1"/>
    <col min="14892" max="14892" width="11" style="101" bestFit="1" customWidth="1"/>
    <col min="14893" max="15124" width="9.109375" style="101"/>
    <col min="15125" max="15125" width="9.6640625" style="101" customWidth="1"/>
    <col min="15126" max="15126" width="12.44140625" style="101" customWidth="1"/>
    <col min="15127" max="15127" width="10.5546875" style="101" customWidth="1"/>
    <col min="15128" max="15128" width="6.44140625" style="101" bestFit="1" customWidth="1"/>
    <col min="15129" max="15129" width="8.88671875" style="101" customWidth="1"/>
    <col min="15130" max="15130" width="1.5546875" style="101" customWidth="1"/>
    <col min="15131" max="15131" width="10.5546875" style="101" customWidth="1"/>
    <col min="15132" max="15132" width="2.6640625" style="101" customWidth="1"/>
    <col min="15133" max="15133" width="9.6640625" style="101" customWidth="1"/>
    <col min="15134" max="15134" width="14.6640625" style="101" customWidth="1"/>
    <col min="15135" max="15135" width="10.5546875" style="101" customWidth="1"/>
    <col min="15136" max="15136" width="6.44140625" style="101" customWidth="1"/>
    <col min="15137" max="15137" width="8.88671875" style="101" customWidth="1"/>
    <col min="15138" max="15138" width="1.5546875" style="101" customWidth="1"/>
    <col min="15139" max="15139" width="13.44140625" style="101" customWidth="1"/>
    <col min="15140" max="15140" width="4" style="101" customWidth="1"/>
    <col min="15141" max="15141" width="8" style="101" customWidth="1"/>
    <col min="15142" max="15142" width="2.6640625" style="101" customWidth="1"/>
    <col min="15143" max="15143" width="10.44140625" style="101" customWidth="1"/>
    <col min="15144" max="15144" width="11" style="101" bestFit="1" customWidth="1"/>
    <col min="15145" max="15145" width="13.5546875" style="101" customWidth="1"/>
    <col min="15146" max="15146" width="11" style="101" bestFit="1" customWidth="1"/>
    <col min="15147" max="15147" width="9.33203125" style="101" bestFit="1" customWidth="1"/>
    <col min="15148" max="15148" width="11" style="101" bestFit="1" customWidth="1"/>
    <col min="15149" max="15380" width="9.109375" style="101"/>
    <col min="15381" max="15381" width="9.6640625" style="101" customWidth="1"/>
    <col min="15382" max="15382" width="12.44140625" style="101" customWidth="1"/>
    <col min="15383" max="15383" width="10.5546875" style="101" customWidth="1"/>
    <col min="15384" max="15384" width="6.44140625" style="101" bestFit="1" customWidth="1"/>
    <col min="15385" max="15385" width="8.88671875" style="101" customWidth="1"/>
    <col min="15386" max="15386" width="1.5546875" style="101" customWidth="1"/>
    <col min="15387" max="15387" width="10.5546875" style="101" customWidth="1"/>
    <col min="15388" max="15388" width="2.6640625" style="101" customWidth="1"/>
    <col min="15389" max="15389" width="9.6640625" style="101" customWidth="1"/>
    <col min="15390" max="15390" width="14.6640625" style="101" customWidth="1"/>
    <col min="15391" max="15391" width="10.5546875" style="101" customWidth="1"/>
    <col min="15392" max="15392" width="6.44140625" style="101" customWidth="1"/>
    <col min="15393" max="15393" width="8.88671875" style="101" customWidth="1"/>
    <col min="15394" max="15394" width="1.5546875" style="101" customWidth="1"/>
    <col min="15395" max="15395" width="13.44140625" style="101" customWidth="1"/>
    <col min="15396" max="15396" width="4" style="101" customWidth="1"/>
    <col min="15397" max="15397" width="8" style="101" customWidth="1"/>
    <col min="15398" max="15398" width="2.6640625" style="101" customWidth="1"/>
    <col min="15399" max="15399" width="10.44140625" style="101" customWidth="1"/>
    <col min="15400" max="15400" width="11" style="101" bestFit="1" customWidth="1"/>
    <col min="15401" max="15401" width="13.5546875" style="101" customWidth="1"/>
    <col min="15402" max="15402" width="11" style="101" bestFit="1" customWidth="1"/>
    <col min="15403" max="15403" width="9.33203125" style="101" bestFit="1" customWidth="1"/>
    <col min="15404" max="15404" width="11" style="101" bestFit="1" customWidth="1"/>
    <col min="15405" max="15636" width="9.109375" style="101"/>
    <col min="15637" max="15637" width="9.6640625" style="101" customWidth="1"/>
    <col min="15638" max="15638" width="12.44140625" style="101" customWidth="1"/>
    <col min="15639" max="15639" width="10.5546875" style="101" customWidth="1"/>
    <col min="15640" max="15640" width="6.44140625" style="101" bestFit="1" customWidth="1"/>
    <col min="15641" max="15641" width="8.88671875" style="101" customWidth="1"/>
    <col min="15642" max="15642" width="1.5546875" style="101" customWidth="1"/>
    <col min="15643" max="15643" width="10.5546875" style="101" customWidth="1"/>
    <col min="15644" max="15644" width="2.6640625" style="101" customWidth="1"/>
    <col min="15645" max="15645" width="9.6640625" style="101" customWidth="1"/>
    <col min="15646" max="15646" width="14.6640625" style="101" customWidth="1"/>
    <col min="15647" max="15647" width="10.5546875" style="101" customWidth="1"/>
    <col min="15648" max="15648" width="6.44140625" style="101" customWidth="1"/>
    <col min="15649" max="15649" width="8.88671875" style="101" customWidth="1"/>
    <col min="15650" max="15650" width="1.5546875" style="101" customWidth="1"/>
    <col min="15651" max="15651" width="13.44140625" style="101" customWidth="1"/>
    <col min="15652" max="15652" width="4" style="101" customWidth="1"/>
    <col min="15653" max="15653" width="8" style="101" customWidth="1"/>
    <col min="15654" max="15654" width="2.6640625" style="101" customWidth="1"/>
    <col min="15655" max="15655" width="10.44140625" style="101" customWidth="1"/>
    <col min="15656" max="15656" width="11" style="101" bestFit="1" customWidth="1"/>
    <col min="15657" max="15657" width="13.5546875" style="101" customWidth="1"/>
    <col min="15658" max="15658" width="11" style="101" bestFit="1" customWidth="1"/>
    <col min="15659" max="15659" width="9.33203125" style="101" bestFit="1" customWidth="1"/>
    <col min="15660" max="15660" width="11" style="101" bestFit="1" customWidth="1"/>
    <col min="15661" max="15892" width="9.109375" style="101"/>
    <col min="15893" max="15893" width="9.6640625" style="101" customWidth="1"/>
    <col min="15894" max="15894" width="12.44140625" style="101" customWidth="1"/>
    <col min="15895" max="15895" width="10.5546875" style="101" customWidth="1"/>
    <col min="15896" max="15896" width="6.44140625" style="101" bestFit="1" customWidth="1"/>
    <col min="15897" max="15897" width="8.88671875" style="101" customWidth="1"/>
    <col min="15898" max="15898" width="1.5546875" style="101" customWidth="1"/>
    <col min="15899" max="15899" width="10.5546875" style="101" customWidth="1"/>
    <col min="15900" max="15900" width="2.6640625" style="101" customWidth="1"/>
    <col min="15901" max="15901" width="9.6640625" style="101" customWidth="1"/>
    <col min="15902" max="15902" width="14.6640625" style="101" customWidth="1"/>
    <col min="15903" max="15903" width="10.5546875" style="101" customWidth="1"/>
    <col min="15904" max="15904" width="6.44140625" style="101" customWidth="1"/>
    <col min="15905" max="15905" width="8.88671875" style="101" customWidth="1"/>
    <col min="15906" max="15906" width="1.5546875" style="101" customWidth="1"/>
    <col min="15907" max="15907" width="13.44140625" style="101" customWidth="1"/>
    <col min="15908" max="15908" width="4" style="101" customWidth="1"/>
    <col min="15909" max="15909" width="8" style="101" customWidth="1"/>
    <col min="15910" max="15910" width="2.6640625" style="101" customWidth="1"/>
    <col min="15911" max="15911" width="10.44140625" style="101" customWidth="1"/>
    <col min="15912" max="15912" width="11" style="101" bestFit="1" customWidth="1"/>
    <col min="15913" max="15913" width="13.5546875" style="101" customWidth="1"/>
    <col min="15914" max="15914" width="11" style="101" bestFit="1" customWidth="1"/>
    <col min="15915" max="15915" width="9.33203125" style="101" bestFit="1" customWidth="1"/>
    <col min="15916" max="15916" width="11" style="101" bestFit="1" customWidth="1"/>
    <col min="15917" max="16148" width="9.109375" style="101"/>
    <col min="16149" max="16149" width="9.6640625" style="101" customWidth="1"/>
    <col min="16150" max="16150" width="12.44140625" style="101" customWidth="1"/>
    <col min="16151" max="16151" width="10.5546875" style="101" customWidth="1"/>
    <col min="16152" max="16152" width="6.44140625" style="101" bestFit="1" customWidth="1"/>
    <col min="16153" max="16153" width="8.88671875" style="101" customWidth="1"/>
    <col min="16154" max="16154" width="1.5546875" style="101" customWidth="1"/>
    <col min="16155" max="16155" width="10.5546875" style="101" customWidth="1"/>
    <col min="16156" max="16156" width="2.6640625" style="101" customWidth="1"/>
    <col min="16157" max="16157" width="9.6640625" style="101" customWidth="1"/>
    <col min="16158" max="16158" width="14.6640625" style="101" customWidth="1"/>
    <col min="16159" max="16159" width="10.5546875" style="101" customWidth="1"/>
    <col min="16160" max="16160" width="6.44140625" style="101" customWidth="1"/>
    <col min="16161" max="16161" width="8.88671875" style="101" customWidth="1"/>
    <col min="16162" max="16162" width="1.5546875" style="101" customWidth="1"/>
    <col min="16163" max="16163" width="13.44140625" style="101" customWidth="1"/>
    <col min="16164" max="16164" width="4" style="101" customWidth="1"/>
    <col min="16165" max="16165" width="8" style="101" customWidth="1"/>
    <col min="16166" max="16166" width="2.6640625" style="101" customWidth="1"/>
    <col min="16167" max="16167" width="10.44140625" style="101" customWidth="1"/>
    <col min="16168" max="16168" width="11" style="101" bestFit="1" customWidth="1"/>
    <col min="16169" max="16169" width="13.5546875" style="101" customWidth="1"/>
    <col min="16170" max="16170" width="11" style="101" bestFit="1" customWidth="1"/>
    <col min="16171" max="16171" width="9.33203125" style="101" bestFit="1" customWidth="1"/>
    <col min="16172" max="16172" width="11" style="101" bestFit="1" customWidth="1"/>
    <col min="16173" max="16384" width="9.109375" style="101"/>
  </cols>
  <sheetData>
    <row r="1" spans="1:93" x14ac:dyDescent="0.2">
      <c r="A1" s="100" t="s">
        <v>505</v>
      </c>
      <c r="C1" s="102"/>
      <c r="D1" s="103"/>
      <c r="F1" s="104"/>
      <c r="G1" s="104"/>
      <c r="H1" s="102" t="s">
        <v>506</v>
      </c>
      <c r="I1" s="104"/>
      <c r="J1" s="104"/>
      <c r="K1" s="104"/>
      <c r="L1" s="104"/>
      <c r="N1" s="105"/>
      <c r="Q1" s="106" t="s">
        <v>507</v>
      </c>
      <c r="R1" s="105"/>
      <c r="S1" s="105"/>
      <c r="U1" s="107"/>
    </row>
    <row r="2" spans="1:93" ht="10.8" thickBot="1" x14ac:dyDescent="0.25">
      <c r="A2" s="108"/>
      <c r="B2" s="109"/>
      <c r="C2" s="109"/>
      <c r="D2" s="109"/>
      <c r="E2" s="110" t="s">
        <v>416</v>
      </c>
      <c r="F2" s="109"/>
      <c r="G2" s="109" t="s">
        <v>416</v>
      </c>
      <c r="H2" s="109" t="s">
        <v>416</v>
      </c>
      <c r="I2" s="109" t="s">
        <v>416</v>
      </c>
      <c r="J2" s="109"/>
      <c r="K2" s="109"/>
      <c r="L2" s="109"/>
      <c r="M2" s="111"/>
      <c r="N2" s="111"/>
      <c r="O2" s="109"/>
      <c r="P2" s="112"/>
      <c r="Q2" s="109"/>
    </row>
    <row r="3" spans="1:93" x14ac:dyDescent="0.2">
      <c r="A3" s="113"/>
      <c r="M3" s="105"/>
      <c r="N3" s="105"/>
      <c r="P3" s="114"/>
    </row>
    <row r="4" spans="1:93" x14ac:dyDescent="0.2">
      <c r="A4" s="100" t="s">
        <v>3</v>
      </c>
      <c r="D4" s="106" t="s">
        <v>4</v>
      </c>
      <c r="E4" s="101" t="s">
        <v>508</v>
      </c>
      <c r="O4" s="100" t="s">
        <v>6</v>
      </c>
    </row>
    <row r="5" spans="1:93" x14ac:dyDescent="0.2">
      <c r="E5" s="101" t="s">
        <v>509</v>
      </c>
      <c r="AB5" s="115"/>
      <c r="AC5" s="115"/>
      <c r="AD5" s="115"/>
      <c r="AE5" s="115"/>
      <c r="AF5" s="115"/>
      <c r="AG5" s="116"/>
    </row>
    <row r="6" spans="1:93" x14ac:dyDescent="0.2">
      <c r="A6" s="100" t="s">
        <v>9</v>
      </c>
      <c r="E6" s="101" t="s">
        <v>510</v>
      </c>
      <c r="O6" s="101" t="s">
        <v>204</v>
      </c>
      <c r="W6" s="107" t="s">
        <v>511</v>
      </c>
      <c r="AH6" s="117">
        <v>0</v>
      </c>
      <c r="AI6" s="117">
        <v>0</v>
      </c>
      <c r="AJ6" s="117">
        <v>0</v>
      </c>
      <c r="AK6" s="117">
        <v>0</v>
      </c>
      <c r="AL6" s="117">
        <v>0</v>
      </c>
      <c r="AM6" s="117">
        <v>0</v>
      </c>
      <c r="AN6" s="117">
        <v>0</v>
      </c>
      <c r="AO6" s="117">
        <v>0</v>
      </c>
      <c r="AP6" s="117">
        <v>0</v>
      </c>
      <c r="AQ6" s="117">
        <v>0</v>
      </c>
      <c r="AR6" s="117">
        <v>0</v>
      </c>
      <c r="AS6" s="117">
        <v>0</v>
      </c>
      <c r="AT6" s="117">
        <v>0</v>
      </c>
      <c r="AU6" s="117">
        <v>0</v>
      </c>
      <c r="AV6" s="117">
        <v>0</v>
      </c>
      <c r="AW6" s="117">
        <v>0</v>
      </c>
      <c r="AX6" s="117">
        <v>0</v>
      </c>
      <c r="AY6" s="117">
        <v>0</v>
      </c>
      <c r="AZ6" s="117">
        <v>0</v>
      </c>
      <c r="BA6" s="117">
        <v>0</v>
      </c>
      <c r="BB6" s="117">
        <v>0</v>
      </c>
      <c r="BC6" s="117">
        <v>0</v>
      </c>
      <c r="BD6" s="117">
        <v>0</v>
      </c>
      <c r="BE6" s="117">
        <v>0</v>
      </c>
      <c r="BF6" s="117">
        <v>0</v>
      </c>
      <c r="BG6" s="117">
        <v>0</v>
      </c>
      <c r="BH6" s="117">
        <v>0</v>
      </c>
      <c r="BI6" s="117">
        <v>0</v>
      </c>
      <c r="BJ6" s="117">
        <v>0</v>
      </c>
      <c r="BK6" s="117">
        <v>0</v>
      </c>
      <c r="BL6" s="117">
        <v>0</v>
      </c>
      <c r="BM6" s="117">
        <v>0</v>
      </c>
      <c r="BN6" s="117">
        <v>0</v>
      </c>
      <c r="BO6" s="117">
        <v>0</v>
      </c>
      <c r="BP6" s="117">
        <v>0</v>
      </c>
      <c r="BQ6" s="117">
        <v>0</v>
      </c>
      <c r="BR6" s="117">
        <v>1</v>
      </c>
      <c r="BS6" s="117">
        <v>1</v>
      </c>
      <c r="BT6" s="117">
        <v>1</v>
      </c>
      <c r="BU6" s="117">
        <v>1</v>
      </c>
      <c r="BV6" s="117">
        <v>1</v>
      </c>
      <c r="BW6" s="117">
        <v>1</v>
      </c>
      <c r="BX6" s="117">
        <v>1</v>
      </c>
      <c r="BY6" s="117">
        <v>1</v>
      </c>
      <c r="BZ6" s="117">
        <v>1</v>
      </c>
      <c r="CA6" s="117">
        <v>1</v>
      </c>
      <c r="CB6" s="117">
        <v>1</v>
      </c>
      <c r="CC6" s="117">
        <v>1</v>
      </c>
      <c r="CD6" s="117">
        <v>0</v>
      </c>
      <c r="CE6" s="117">
        <v>0</v>
      </c>
      <c r="CF6" s="117">
        <v>0</v>
      </c>
      <c r="CG6" s="117">
        <v>0</v>
      </c>
      <c r="CH6" s="117">
        <v>0</v>
      </c>
      <c r="CI6" s="117">
        <v>0</v>
      </c>
      <c r="CJ6" s="117">
        <v>0</v>
      </c>
      <c r="CK6" s="117">
        <v>0</v>
      </c>
      <c r="CL6" s="117">
        <v>0</v>
      </c>
      <c r="CM6" s="117">
        <v>0</v>
      </c>
      <c r="CN6" s="117">
        <v>0</v>
      </c>
      <c r="CO6" s="117">
        <v>0</v>
      </c>
    </row>
    <row r="7" spans="1:93" x14ac:dyDescent="0.2">
      <c r="E7" s="101" t="s">
        <v>512</v>
      </c>
      <c r="AB7" s="118" t="s">
        <v>513</v>
      </c>
      <c r="AC7" s="118" t="s">
        <v>514</v>
      </c>
      <c r="AD7" s="118" t="s">
        <v>515</v>
      </c>
      <c r="AE7" s="118" t="s">
        <v>321</v>
      </c>
      <c r="AF7" s="118" t="s">
        <v>516</v>
      </c>
      <c r="AH7" s="117" t="s">
        <v>513</v>
      </c>
      <c r="AI7" s="117" t="s">
        <v>513</v>
      </c>
      <c r="AJ7" s="117" t="s">
        <v>513</v>
      </c>
      <c r="AK7" s="117" t="s">
        <v>513</v>
      </c>
      <c r="AL7" s="117" t="s">
        <v>513</v>
      </c>
      <c r="AM7" s="117" t="s">
        <v>513</v>
      </c>
      <c r="AN7" s="117" t="s">
        <v>513</v>
      </c>
      <c r="AO7" s="117" t="s">
        <v>513</v>
      </c>
      <c r="AP7" s="117" t="s">
        <v>513</v>
      </c>
      <c r="AQ7" s="117" t="s">
        <v>513</v>
      </c>
      <c r="AR7" s="117" t="s">
        <v>513</v>
      </c>
      <c r="AS7" s="117" t="s">
        <v>513</v>
      </c>
      <c r="AT7" s="117" t="s">
        <v>514</v>
      </c>
      <c r="AU7" s="117" t="s">
        <v>514</v>
      </c>
      <c r="AV7" s="117" t="s">
        <v>514</v>
      </c>
      <c r="AW7" s="117" t="s">
        <v>514</v>
      </c>
      <c r="AX7" s="117" t="s">
        <v>514</v>
      </c>
      <c r="AY7" s="117" t="s">
        <v>514</v>
      </c>
      <c r="AZ7" s="117" t="s">
        <v>514</v>
      </c>
      <c r="BA7" s="117" t="s">
        <v>514</v>
      </c>
      <c r="BB7" s="117" t="s">
        <v>514</v>
      </c>
      <c r="BC7" s="117" t="s">
        <v>514</v>
      </c>
      <c r="BD7" s="117" t="s">
        <v>514</v>
      </c>
      <c r="BE7" s="117" t="s">
        <v>514</v>
      </c>
      <c r="BF7" s="117" t="s">
        <v>515</v>
      </c>
      <c r="BG7" s="117" t="s">
        <v>515</v>
      </c>
      <c r="BH7" s="117" t="s">
        <v>515</v>
      </c>
      <c r="BI7" s="117" t="s">
        <v>515</v>
      </c>
      <c r="BJ7" s="117" t="s">
        <v>515</v>
      </c>
      <c r="BK7" s="117" t="s">
        <v>515</v>
      </c>
      <c r="BL7" s="117" t="s">
        <v>515</v>
      </c>
      <c r="BM7" s="117" t="s">
        <v>515</v>
      </c>
      <c r="BN7" s="117" t="s">
        <v>515</v>
      </c>
      <c r="BO7" s="117" t="s">
        <v>515</v>
      </c>
      <c r="BP7" s="117" t="s">
        <v>515</v>
      </c>
      <c r="BQ7" s="117" t="s">
        <v>515</v>
      </c>
      <c r="BR7" s="117" t="s">
        <v>321</v>
      </c>
      <c r="BS7" s="117" t="s">
        <v>321</v>
      </c>
      <c r="BT7" s="117" t="s">
        <v>321</v>
      </c>
      <c r="BU7" s="117" t="s">
        <v>321</v>
      </c>
      <c r="BV7" s="117" t="s">
        <v>321</v>
      </c>
      <c r="BW7" s="117" t="s">
        <v>321</v>
      </c>
      <c r="BX7" s="117" t="s">
        <v>321</v>
      </c>
      <c r="BY7" s="117" t="s">
        <v>321</v>
      </c>
      <c r="BZ7" s="117" t="s">
        <v>321</v>
      </c>
      <c r="CA7" s="117" t="s">
        <v>321</v>
      </c>
      <c r="CB7" s="117" t="s">
        <v>321</v>
      </c>
      <c r="CC7" s="117" t="s">
        <v>321</v>
      </c>
      <c r="CD7" s="117" t="s">
        <v>516</v>
      </c>
      <c r="CE7" s="117" t="s">
        <v>516</v>
      </c>
      <c r="CF7" s="117" t="s">
        <v>516</v>
      </c>
      <c r="CG7" s="117" t="s">
        <v>516</v>
      </c>
      <c r="CH7" s="117" t="s">
        <v>516</v>
      </c>
      <c r="CI7" s="117" t="s">
        <v>516</v>
      </c>
      <c r="CJ7" s="117" t="s">
        <v>516</v>
      </c>
      <c r="CK7" s="117" t="s">
        <v>516</v>
      </c>
      <c r="CL7" s="117" t="s">
        <v>516</v>
      </c>
      <c r="CM7" s="117" t="s">
        <v>516</v>
      </c>
      <c r="CN7" s="117" t="s">
        <v>516</v>
      </c>
      <c r="CO7" s="117" t="s">
        <v>516</v>
      </c>
    </row>
    <row r="8" spans="1:93" x14ac:dyDescent="0.2">
      <c r="A8" s="100" t="s">
        <v>491</v>
      </c>
      <c r="C8" s="119" t="s">
        <v>14</v>
      </c>
      <c r="O8" s="100" t="s">
        <v>493</v>
      </c>
      <c r="V8" s="120">
        <v>45717</v>
      </c>
      <c r="W8" s="120">
        <v>46082</v>
      </c>
      <c r="AB8" s="121" t="s">
        <v>121</v>
      </c>
      <c r="AC8" s="121" t="s">
        <v>121</v>
      </c>
      <c r="AD8" s="121" t="s">
        <v>121</v>
      </c>
      <c r="AE8" s="121" t="s">
        <v>121</v>
      </c>
      <c r="AF8" s="121" t="s">
        <v>121</v>
      </c>
      <c r="AH8" s="122" t="s">
        <v>517</v>
      </c>
      <c r="AI8" s="122" t="s">
        <v>518</v>
      </c>
      <c r="AJ8" s="122" t="s">
        <v>519</v>
      </c>
      <c r="AK8" s="122" t="s">
        <v>520</v>
      </c>
      <c r="AL8" s="122" t="s">
        <v>521</v>
      </c>
      <c r="AM8" s="122" t="s">
        <v>522</v>
      </c>
      <c r="AN8" s="122" t="s">
        <v>523</v>
      </c>
      <c r="AO8" s="122" t="s">
        <v>524</v>
      </c>
      <c r="AP8" s="122" t="s">
        <v>525</v>
      </c>
      <c r="AQ8" s="122" t="s">
        <v>526</v>
      </c>
      <c r="AR8" s="122" t="s">
        <v>527</v>
      </c>
      <c r="AS8" s="122" t="s">
        <v>528</v>
      </c>
      <c r="AT8" s="122" t="s">
        <v>517</v>
      </c>
      <c r="AU8" s="122" t="s">
        <v>518</v>
      </c>
      <c r="AV8" s="122" t="s">
        <v>519</v>
      </c>
      <c r="AW8" s="122" t="s">
        <v>520</v>
      </c>
      <c r="AX8" s="122" t="s">
        <v>521</v>
      </c>
      <c r="AY8" s="122" t="s">
        <v>522</v>
      </c>
      <c r="AZ8" s="122" t="s">
        <v>523</v>
      </c>
      <c r="BA8" s="122" t="s">
        <v>524</v>
      </c>
      <c r="BB8" s="122" t="s">
        <v>525</v>
      </c>
      <c r="BC8" s="122" t="s">
        <v>526</v>
      </c>
      <c r="BD8" s="122" t="s">
        <v>527</v>
      </c>
      <c r="BE8" s="122" t="s">
        <v>528</v>
      </c>
      <c r="BF8" s="122" t="s">
        <v>517</v>
      </c>
      <c r="BG8" s="122" t="s">
        <v>518</v>
      </c>
      <c r="BH8" s="122" t="s">
        <v>519</v>
      </c>
      <c r="BI8" s="122" t="s">
        <v>520</v>
      </c>
      <c r="BJ8" s="122" t="s">
        <v>521</v>
      </c>
      <c r="BK8" s="122" t="s">
        <v>522</v>
      </c>
      <c r="BL8" s="122" t="s">
        <v>523</v>
      </c>
      <c r="BM8" s="122" t="s">
        <v>524</v>
      </c>
      <c r="BN8" s="122" t="s">
        <v>525</v>
      </c>
      <c r="BO8" s="122" t="s">
        <v>526</v>
      </c>
      <c r="BP8" s="122" t="s">
        <v>527</v>
      </c>
      <c r="BQ8" s="122" t="s">
        <v>528</v>
      </c>
      <c r="BR8" s="122" t="s">
        <v>517</v>
      </c>
      <c r="BS8" s="122" t="s">
        <v>518</v>
      </c>
      <c r="BT8" s="122" t="s">
        <v>519</v>
      </c>
      <c r="BU8" s="122" t="s">
        <v>520</v>
      </c>
      <c r="BV8" s="122" t="s">
        <v>521</v>
      </c>
      <c r="BW8" s="122" t="s">
        <v>522</v>
      </c>
      <c r="BX8" s="122" t="s">
        <v>523</v>
      </c>
      <c r="BY8" s="122" t="s">
        <v>524</v>
      </c>
      <c r="BZ8" s="122" t="s">
        <v>525</v>
      </c>
      <c r="CA8" s="122" t="s">
        <v>526</v>
      </c>
      <c r="CB8" s="122" t="s">
        <v>527</v>
      </c>
      <c r="CC8" s="122" t="s">
        <v>528</v>
      </c>
      <c r="CD8" s="122" t="s">
        <v>517</v>
      </c>
      <c r="CE8" s="122" t="s">
        <v>518</v>
      </c>
      <c r="CF8" s="122" t="s">
        <v>519</v>
      </c>
      <c r="CG8" s="122" t="s">
        <v>520</v>
      </c>
      <c r="CH8" s="122" t="s">
        <v>521</v>
      </c>
      <c r="CI8" s="122" t="s">
        <v>522</v>
      </c>
      <c r="CJ8" s="122" t="s">
        <v>523</v>
      </c>
      <c r="CK8" s="122" t="s">
        <v>524</v>
      </c>
      <c r="CL8" s="122" t="s">
        <v>525</v>
      </c>
      <c r="CM8" s="122" t="s">
        <v>526</v>
      </c>
      <c r="CN8" s="122" t="s">
        <v>527</v>
      </c>
      <c r="CO8" s="122" t="s">
        <v>528</v>
      </c>
    </row>
    <row r="9" spans="1:93" ht="10.8" thickBot="1" x14ac:dyDescent="0.25">
      <c r="A9" s="123"/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23"/>
      <c r="O9" s="109"/>
      <c r="P9" s="109"/>
      <c r="Q9" s="109"/>
    </row>
    <row r="10" spans="1:93" ht="15.6" x14ac:dyDescent="0.2">
      <c r="B10" s="1369"/>
      <c r="C10" s="125"/>
      <c r="D10" s="125"/>
      <c r="E10" s="125"/>
      <c r="F10" s="125"/>
      <c r="G10" s="125"/>
      <c r="H10" s="125"/>
      <c r="I10" s="126" t="s">
        <v>529</v>
      </c>
      <c r="J10" s="125"/>
      <c r="K10" s="125"/>
      <c r="L10" s="125"/>
      <c r="M10" s="125"/>
      <c r="N10" s="125"/>
      <c r="U10" s="127" t="s">
        <v>530</v>
      </c>
      <c r="V10" s="128"/>
      <c r="W10" s="129"/>
      <c r="Y10" s="130" t="s">
        <v>531</v>
      </c>
      <c r="Z10" s="131"/>
    </row>
    <row r="11" spans="1:93" x14ac:dyDescent="0.2">
      <c r="A11" s="101" t="s">
        <v>30</v>
      </c>
      <c r="B11" s="101" t="s">
        <v>532</v>
      </c>
      <c r="C11" s="132"/>
      <c r="D11" s="133" t="s">
        <v>533</v>
      </c>
      <c r="E11" s="134"/>
      <c r="F11" s="133"/>
      <c r="G11" s="133"/>
      <c r="H11" s="133"/>
      <c r="I11" s="135"/>
      <c r="J11" s="136" t="s">
        <v>534</v>
      </c>
      <c r="K11" s="133"/>
      <c r="L11" s="133"/>
      <c r="M11" s="134"/>
      <c r="N11" s="134"/>
      <c r="O11" s="1372"/>
      <c r="Q11" s="118" t="s">
        <v>332</v>
      </c>
      <c r="R11" s="118"/>
      <c r="U11" s="138"/>
      <c r="V11" s="139"/>
      <c r="W11" s="140"/>
      <c r="Y11" s="138"/>
      <c r="Z11" s="141"/>
    </row>
    <row r="12" spans="1:93" x14ac:dyDescent="0.2">
      <c r="A12" s="101" t="s">
        <v>39</v>
      </c>
      <c r="B12" s="102" t="s">
        <v>535</v>
      </c>
      <c r="C12" s="104"/>
      <c r="D12" s="142" t="s">
        <v>536</v>
      </c>
      <c r="E12" s="143"/>
      <c r="F12" s="142" t="s">
        <v>537</v>
      </c>
      <c r="G12" s="142"/>
      <c r="H12" s="142" t="s">
        <v>538</v>
      </c>
      <c r="I12" s="144"/>
      <c r="J12" s="142" t="s">
        <v>536</v>
      </c>
      <c r="K12" s="143"/>
      <c r="L12" s="142" t="s">
        <v>537</v>
      </c>
      <c r="M12" s="142"/>
      <c r="N12" s="142" t="s">
        <v>538</v>
      </c>
      <c r="O12" s="132"/>
      <c r="Q12" s="145" t="s">
        <v>539</v>
      </c>
      <c r="R12" s="145"/>
      <c r="S12" s="132"/>
      <c r="U12" s="138" t="s">
        <v>128</v>
      </c>
      <c r="V12" s="146" t="s">
        <v>343</v>
      </c>
      <c r="W12" s="147" t="s">
        <v>344</v>
      </c>
      <c r="Y12" s="148" t="s">
        <v>128</v>
      </c>
      <c r="Z12" s="149"/>
    </row>
    <row r="13" spans="1:93" ht="10.8" thickBot="1" x14ac:dyDescent="0.25">
      <c r="A13" s="109"/>
      <c r="B13" s="1370" t="s">
        <v>346</v>
      </c>
      <c r="C13" s="150"/>
      <c r="D13" s="220" t="s">
        <v>673</v>
      </c>
      <c r="E13" s="221"/>
      <c r="F13" s="717">
        <v>46023</v>
      </c>
      <c r="G13" s="717"/>
      <c r="H13" s="154"/>
      <c r="I13" s="154"/>
      <c r="J13" s="154"/>
      <c r="K13" s="221"/>
      <c r="L13" s="717">
        <v>46023</v>
      </c>
      <c r="M13" s="154"/>
      <c r="N13" s="154"/>
      <c r="O13" s="155"/>
      <c r="P13" s="109"/>
      <c r="Q13" s="156"/>
      <c r="R13" s="132"/>
      <c r="S13" s="132"/>
      <c r="U13" s="157" t="s">
        <v>144</v>
      </c>
      <c r="V13" s="158" t="s">
        <v>540</v>
      </c>
      <c r="W13" s="159" t="s">
        <v>540</v>
      </c>
      <c r="Y13" s="160" t="s">
        <v>144</v>
      </c>
      <c r="Z13" s="159" t="s">
        <v>541</v>
      </c>
    </row>
    <row r="14" spans="1:93" x14ac:dyDescent="0.2">
      <c r="A14" s="118">
        <v>1</v>
      </c>
      <c r="B14" s="102"/>
      <c r="C14" s="104"/>
      <c r="E14" s="143"/>
      <c r="F14" s="142"/>
      <c r="G14" s="142"/>
      <c r="H14" s="142"/>
      <c r="I14" s="162"/>
      <c r="J14" s="142"/>
      <c r="K14" s="143"/>
      <c r="L14" s="142"/>
      <c r="M14" s="142"/>
      <c r="N14" s="142"/>
      <c r="O14" s="132"/>
      <c r="Q14" s="145"/>
      <c r="R14" s="132"/>
      <c r="S14" s="132"/>
      <c r="U14" s="163"/>
      <c r="V14" s="139"/>
      <c r="W14" s="140"/>
      <c r="Y14" s="138"/>
      <c r="Z14" s="141"/>
    </row>
    <row r="15" spans="1:93" x14ac:dyDescent="0.2">
      <c r="A15" s="118">
        <f t="shared" ref="A15:A53" si="0">+A14+1</f>
        <v>2</v>
      </c>
      <c r="B15" s="164" t="s">
        <v>542</v>
      </c>
      <c r="C15" s="143"/>
      <c r="D15" s="165"/>
      <c r="E15" s="166"/>
      <c r="F15" s="166"/>
      <c r="H15" s="167"/>
      <c r="I15" s="162"/>
      <c r="J15" s="102"/>
      <c r="K15" s="166"/>
      <c r="L15" s="166"/>
      <c r="M15" s="102"/>
      <c r="N15" s="100"/>
      <c r="O15" s="100"/>
      <c r="P15" s="118"/>
      <c r="U15" s="163"/>
      <c r="V15" s="139"/>
      <c r="W15" s="140"/>
      <c r="Y15" s="138"/>
      <c r="Z15" s="141"/>
    </row>
    <row r="16" spans="1:93" x14ac:dyDescent="0.2">
      <c r="A16" s="118">
        <f t="shared" si="0"/>
        <v>3</v>
      </c>
      <c r="B16" s="100" t="s">
        <v>543</v>
      </c>
      <c r="C16" s="143"/>
      <c r="D16" s="168"/>
      <c r="E16" s="166"/>
      <c r="F16" s="166"/>
      <c r="G16" s="143"/>
      <c r="H16" s="168"/>
      <c r="I16" s="162"/>
      <c r="J16" s="168"/>
      <c r="K16" s="166"/>
      <c r="L16" s="310"/>
      <c r="M16" s="169"/>
      <c r="N16" s="170"/>
      <c r="Q16" s="118"/>
      <c r="U16" s="163"/>
      <c r="V16" s="139"/>
      <c r="W16" s="140"/>
      <c r="Y16" s="163"/>
      <c r="Z16" s="141"/>
    </row>
    <row r="17" spans="1:94" x14ac:dyDescent="0.2">
      <c r="A17" s="118">
        <f t="shared" si="0"/>
        <v>4</v>
      </c>
      <c r="B17" s="171" t="s">
        <v>544</v>
      </c>
      <c r="C17" s="143"/>
      <c r="D17" s="172">
        <f>SUMIF($AH$6:$CP$6,1,$AH17:$CP17)</f>
        <v>21694045.352867588</v>
      </c>
      <c r="E17" s="166" t="s">
        <v>545</v>
      </c>
      <c r="F17" s="173">
        <v>14.86</v>
      </c>
      <c r="G17" s="142" t="s">
        <v>375</v>
      </c>
      <c r="H17" s="174">
        <f>ROUND(D17*F17,2)</f>
        <v>322373513.94</v>
      </c>
      <c r="I17" s="162"/>
      <c r="J17" s="175">
        <f>SUMIF($AH$6:$CP$6,1,$AH17:$CP17)</f>
        <v>21694045.352867588</v>
      </c>
      <c r="K17" s="166" t="s">
        <v>545</v>
      </c>
      <c r="L17" s="173">
        <f>'Exhibit MJC-3 - E-13c cal yr'!L19</f>
        <v>15.13</v>
      </c>
      <c r="M17" s="142" t="s">
        <v>375</v>
      </c>
      <c r="N17" s="174">
        <f>ROUND(J17*L17,2)</f>
        <v>328230906.19</v>
      </c>
      <c r="Q17" s="939"/>
      <c r="S17" s="1068"/>
      <c r="T17" s="934"/>
      <c r="U17" s="178" t="s">
        <v>135</v>
      </c>
      <c r="V17" s="179">
        <v>238</v>
      </c>
      <c r="W17" s="180">
        <v>212</v>
      </c>
      <c r="Y17" s="178"/>
      <c r="Z17" s="181"/>
      <c r="AB17" s="182">
        <f>SUM(AH17:AS17)</f>
        <v>20569549.648774758</v>
      </c>
      <c r="AC17" s="182">
        <f>SUM(AT17:BE17)</f>
        <v>20944240.176859379</v>
      </c>
      <c r="AD17" s="182">
        <f>SUM(BF17:BQ17)</f>
        <v>21319311.352096535</v>
      </c>
      <c r="AE17" s="182">
        <f>SUM(BR17:CC17)</f>
        <v>21694045.352867588</v>
      </c>
      <c r="AF17" s="182">
        <f>SUM(CD17:CO17)</f>
        <v>22062145.335498188</v>
      </c>
      <c r="AH17" s="168">
        <v>1699981.6276198393</v>
      </c>
      <c r="AI17" s="168">
        <v>1702004.3853422354</v>
      </c>
      <c r="AJ17" s="168">
        <v>1704442.1037751939</v>
      </c>
      <c r="AK17" s="168">
        <v>1707548.2641942834</v>
      </c>
      <c r="AL17" s="168">
        <v>1709620.5732782208</v>
      </c>
      <c r="AM17" s="168">
        <v>1712312.1823846046</v>
      </c>
      <c r="AN17" s="168">
        <v>1715599.7079942469</v>
      </c>
      <c r="AO17" s="168">
        <v>1717833.3511546836</v>
      </c>
      <c r="AP17" s="168">
        <v>1720943.9407831896</v>
      </c>
      <c r="AQ17" s="168">
        <v>1723364.9361986045</v>
      </c>
      <c r="AR17" s="168">
        <v>1726792.3734078582</v>
      </c>
      <c r="AS17" s="168">
        <v>1729106.2026417949</v>
      </c>
      <c r="AT17" s="168">
        <v>1730385.8320566979</v>
      </c>
      <c r="AU17" s="168">
        <v>1732592.9115993064</v>
      </c>
      <c r="AV17" s="168">
        <v>1735222.3412282395</v>
      </c>
      <c r="AW17" s="168">
        <v>1738532.2990745723</v>
      </c>
      <c r="AX17" s="168">
        <v>1740789.5025047397</v>
      </c>
      <c r="AY17" s="168">
        <v>1743677.0641125743</v>
      </c>
      <c r="AZ17" s="168">
        <v>1747171.7121884269</v>
      </c>
      <c r="BA17" s="168">
        <v>1749474.1277926883</v>
      </c>
      <c r="BB17" s="168">
        <v>1752551.336028188</v>
      </c>
      <c r="BC17" s="168">
        <v>1754926.1138558306</v>
      </c>
      <c r="BD17" s="168">
        <v>1758325.7495296437</v>
      </c>
      <c r="BE17" s="168">
        <v>1760591.1868884696</v>
      </c>
      <c r="BF17" s="168">
        <v>1761807.3545681564</v>
      </c>
      <c r="BG17" s="168">
        <v>1763964.2313335198</v>
      </c>
      <c r="BH17" s="168">
        <v>1766551.1083406236</v>
      </c>
      <c r="BI17" s="168">
        <v>1769830.7346118111</v>
      </c>
      <c r="BJ17" s="168">
        <v>1772038.4832159528</v>
      </c>
      <c r="BK17" s="168">
        <v>1774887.7103984961</v>
      </c>
      <c r="BL17" s="168">
        <v>1778354.9993240563</v>
      </c>
      <c r="BM17" s="168">
        <v>1780637.4923999698</v>
      </c>
      <c r="BN17" s="168">
        <v>1783738.0006877498</v>
      </c>
      <c r="BO17" s="168">
        <v>1786123.4265349577</v>
      </c>
      <c r="BP17" s="168">
        <v>1789551.9344415395</v>
      </c>
      <c r="BQ17" s="168">
        <v>1791825.8762396998</v>
      </c>
      <c r="BR17" s="168">
        <v>1793035.445044945</v>
      </c>
      <c r="BS17" s="168">
        <v>1795198.955476884</v>
      </c>
      <c r="BT17" s="168">
        <v>1797800.0712042428</v>
      </c>
      <c r="BU17" s="168">
        <v>1801106.1507228687</v>
      </c>
      <c r="BV17" s="168">
        <v>1803321.2569401159</v>
      </c>
      <c r="BW17" s="168">
        <v>1806188.9754695867</v>
      </c>
      <c r="BX17" s="168">
        <v>1809685.7974278536</v>
      </c>
      <c r="BY17" s="168">
        <v>1811934.5369921201</v>
      </c>
      <c r="BZ17" s="168">
        <v>1814973.9022563794</v>
      </c>
      <c r="CA17" s="168">
        <v>1817285.5080638314</v>
      </c>
      <c r="CB17" s="168">
        <v>1820658.3764794045</v>
      </c>
      <c r="CC17" s="168">
        <v>1822856.3767893587</v>
      </c>
      <c r="CD17" s="168">
        <v>1823974.959027125</v>
      </c>
      <c r="CE17" s="168">
        <v>1826060.7862786059</v>
      </c>
      <c r="CF17" s="168">
        <v>1828591.7591991245</v>
      </c>
      <c r="CG17" s="168">
        <v>1831839.7042911598</v>
      </c>
      <c r="CH17" s="168">
        <v>1833977.9043680383</v>
      </c>
      <c r="CI17" s="168">
        <v>1836779.6451381608</v>
      </c>
      <c r="CJ17" s="168">
        <v>1840221.2263412573</v>
      </c>
      <c r="CK17" s="168">
        <v>1842448.0289401815</v>
      </c>
      <c r="CL17" s="168">
        <v>1845533.7745767375</v>
      </c>
      <c r="CM17" s="168">
        <v>1847879.3778032516</v>
      </c>
      <c r="CN17" s="168">
        <v>1851304.1273617831</v>
      </c>
      <c r="CO17" s="168">
        <v>1853534.0421727633</v>
      </c>
      <c r="CP17" s="172"/>
    </row>
    <row r="18" spans="1:94" x14ac:dyDescent="0.2">
      <c r="A18" s="118">
        <f t="shared" si="0"/>
        <v>5</v>
      </c>
      <c r="B18" s="102" t="s">
        <v>546</v>
      </c>
      <c r="C18" s="143"/>
      <c r="D18" s="166"/>
      <c r="E18" s="166"/>
      <c r="F18" s="183"/>
      <c r="G18" s="142"/>
      <c r="H18" s="174"/>
      <c r="I18" s="162"/>
      <c r="J18" s="168"/>
      <c r="K18" s="166"/>
      <c r="L18" s="183"/>
      <c r="M18" s="142"/>
      <c r="N18" s="174"/>
      <c r="S18" s="1068"/>
      <c r="T18" s="177"/>
      <c r="U18" s="184"/>
      <c r="V18" s="139"/>
      <c r="W18" s="180"/>
      <c r="Y18" s="184"/>
      <c r="Z18" s="181"/>
    </row>
    <row r="19" spans="1:94" x14ac:dyDescent="0.2">
      <c r="A19" s="118">
        <f t="shared" si="0"/>
        <v>6</v>
      </c>
      <c r="B19" s="171" t="s">
        <v>547</v>
      </c>
      <c r="C19" s="143"/>
      <c r="D19" s="172">
        <f>SUMIF($AH$6:$CP$6,1,$AH19:$CP19)</f>
        <v>2332.4394039326739</v>
      </c>
      <c r="E19" s="166" t="s">
        <v>545</v>
      </c>
      <c r="F19" s="183">
        <v>14.86</v>
      </c>
      <c r="G19" s="142" t="s">
        <v>375</v>
      </c>
      <c r="H19" s="174">
        <f>ROUND(D19*F19,2)</f>
        <v>34660.050000000003</v>
      </c>
      <c r="I19" s="162"/>
      <c r="J19" s="185">
        <f>SUMIF($AH$6:$CP$6,1,$AH19:$CP19)</f>
        <v>2332.4394039326739</v>
      </c>
      <c r="K19" s="166" t="s">
        <v>545</v>
      </c>
      <c r="L19" s="173">
        <f>L17</f>
        <v>15.13</v>
      </c>
      <c r="M19" s="142" t="s">
        <v>375</v>
      </c>
      <c r="N19" s="174">
        <f>ROUND(J19*L19,2)</f>
        <v>35289.81</v>
      </c>
      <c r="R19" s="186"/>
      <c r="S19" s="1068"/>
      <c r="T19" s="177"/>
      <c r="U19" s="178" t="s">
        <v>548</v>
      </c>
      <c r="V19" s="179">
        <v>240</v>
      </c>
      <c r="W19" s="180">
        <v>214</v>
      </c>
      <c r="Y19" s="178"/>
      <c r="Z19" s="181"/>
      <c r="AB19" s="182">
        <f>SUM(AH19:AS19)</f>
        <v>2211.5390348628521</v>
      </c>
      <c r="AC19" s="182">
        <f>SUM(AT19:BE19)</f>
        <v>2251.8239581111288</v>
      </c>
      <c r="AD19" s="182">
        <f>SUM(BF19:BQ19)</f>
        <v>2292.1498067102625</v>
      </c>
      <c r="AE19" s="182">
        <f>SUM(BR19:CC19)</f>
        <v>2332.4394039326739</v>
      </c>
      <c r="AF19" s="182">
        <f>SUM(CD19:CO19)</f>
        <v>2372.0157434354887</v>
      </c>
      <c r="AH19" s="168">
        <v>182.7738473727305</v>
      </c>
      <c r="AI19" s="168">
        <v>182.99132455320037</v>
      </c>
      <c r="AJ19" s="168">
        <v>183.25341631323136</v>
      </c>
      <c r="AK19" s="168">
        <v>183.58737574028041</v>
      </c>
      <c r="AL19" s="168">
        <v>183.81018044479183</v>
      </c>
      <c r="AM19" s="168">
        <v>184.099569308768</v>
      </c>
      <c r="AN19" s="168">
        <v>184.45302824870487</v>
      </c>
      <c r="AO19" s="168">
        <v>184.69317881707451</v>
      </c>
      <c r="AP19" s="168">
        <v>185.02761445141471</v>
      </c>
      <c r="AQ19" s="168">
        <v>185.2879082330403</v>
      </c>
      <c r="AR19" s="168">
        <v>185.65640979516647</v>
      </c>
      <c r="AS19" s="168">
        <v>185.9051815844488</v>
      </c>
      <c r="AT19" s="168">
        <v>186.04276118388282</v>
      </c>
      <c r="AU19" s="168">
        <v>186.28005575983954</v>
      </c>
      <c r="AV19" s="168">
        <v>186.56275938549504</v>
      </c>
      <c r="AW19" s="168">
        <v>186.9186301316177</v>
      </c>
      <c r="AX19" s="168">
        <v>187.16131378685944</v>
      </c>
      <c r="AY19" s="168">
        <v>187.47177052122345</v>
      </c>
      <c r="AZ19" s="168">
        <v>187.84749827242956</v>
      </c>
      <c r="BA19" s="168">
        <v>188.09504292315094</v>
      </c>
      <c r="BB19" s="168">
        <v>188.42588955068581</v>
      </c>
      <c r="BC19" s="168">
        <v>188.68121423958934</v>
      </c>
      <c r="BD19" s="168">
        <v>189.04672671435554</v>
      </c>
      <c r="BE19" s="168">
        <v>189.29029564199996</v>
      </c>
      <c r="BF19" s="168">
        <v>189.42105214092629</v>
      </c>
      <c r="BG19" s="168">
        <v>189.65294915575834</v>
      </c>
      <c r="BH19" s="168">
        <v>189.93107772820082</v>
      </c>
      <c r="BI19" s="168">
        <v>190.28368736926433</v>
      </c>
      <c r="BJ19" s="168">
        <v>190.52105387949879</v>
      </c>
      <c r="BK19" s="168">
        <v>190.82738908085125</v>
      </c>
      <c r="BL19" s="168">
        <v>191.20017530782053</v>
      </c>
      <c r="BM19" s="168">
        <v>191.44557798412495</v>
      </c>
      <c r="BN19" s="168">
        <v>191.7789297212035</v>
      </c>
      <c r="BO19" s="168">
        <v>192.03539923395167</v>
      </c>
      <c r="BP19" s="168">
        <v>192.40401591230432</v>
      </c>
      <c r="BQ19" s="168">
        <v>192.64849919635802</v>
      </c>
      <c r="BR19" s="168">
        <v>192.77854621604621</v>
      </c>
      <c r="BS19" s="168">
        <v>193.01115645079932</v>
      </c>
      <c r="BT19" s="168">
        <v>193.29081590195275</v>
      </c>
      <c r="BU19" s="168">
        <v>193.64626966893582</v>
      </c>
      <c r="BV19" s="168">
        <v>193.88442723433982</v>
      </c>
      <c r="BW19" s="168">
        <v>194.19275053636707</v>
      </c>
      <c r="BX19" s="168">
        <v>194.5687120129536</v>
      </c>
      <c r="BY19" s="168">
        <v>194.81048567404645</v>
      </c>
      <c r="BZ19" s="168">
        <v>195.13726360734535</v>
      </c>
      <c r="CA19" s="168">
        <v>195.38579634450718</v>
      </c>
      <c r="CB19" s="168">
        <v>195.74843093242293</v>
      </c>
      <c r="CC19" s="168">
        <v>195.98474935295741</v>
      </c>
      <c r="CD19" s="168">
        <v>196.1050139345727</v>
      </c>
      <c r="CE19" s="168">
        <v>196.32927204743351</v>
      </c>
      <c r="CF19" s="168">
        <v>196.60139008139546</v>
      </c>
      <c r="CG19" s="168">
        <v>196.95059351446889</v>
      </c>
      <c r="CH19" s="168">
        <v>197.18048250159342</v>
      </c>
      <c r="CI19" s="168">
        <v>197.48171219230088</v>
      </c>
      <c r="CJ19" s="168">
        <v>197.85173444860982</v>
      </c>
      <c r="CK19" s="168">
        <v>198.09114955270999</v>
      </c>
      <c r="CL19" s="168">
        <v>198.42291408054001</v>
      </c>
      <c r="CM19" s="168">
        <v>198.67510205666545</v>
      </c>
      <c r="CN19" s="168">
        <v>199.04331465551408</v>
      </c>
      <c r="CO19" s="168">
        <v>199.28306436968418</v>
      </c>
    </row>
    <row r="20" spans="1:94" x14ac:dyDescent="0.2">
      <c r="A20" s="118">
        <f t="shared" si="0"/>
        <v>7</v>
      </c>
      <c r="B20" s="100" t="s">
        <v>549</v>
      </c>
      <c r="C20" s="143"/>
      <c r="D20" s="172">
        <f>SUMIF($AH$6:$CP$6,1,$AH20:$CP20)</f>
        <v>0</v>
      </c>
      <c r="E20" s="166" t="s">
        <v>545</v>
      </c>
      <c r="F20" s="183">
        <v>14.86</v>
      </c>
      <c r="G20" s="142" t="s">
        <v>375</v>
      </c>
      <c r="H20" s="187">
        <f>ROUND(D20*F20,2)</f>
        <v>0</v>
      </c>
      <c r="I20" s="162"/>
      <c r="J20" s="172">
        <f>SUMIF($AH$6:$CP$6,1,$AH20:$CP20)*0</f>
        <v>0</v>
      </c>
      <c r="K20" s="166" t="s">
        <v>545</v>
      </c>
      <c r="L20" s="173">
        <f>L19</f>
        <v>15.13</v>
      </c>
      <c r="M20" s="142" t="s">
        <v>375</v>
      </c>
      <c r="N20" s="174">
        <f>ROUND(J20*L20,2)</f>
        <v>0</v>
      </c>
      <c r="R20" s="186"/>
      <c r="S20" s="1068"/>
      <c r="T20" s="177"/>
      <c r="U20" s="178" t="s">
        <v>135</v>
      </c>
      <c r="V20" s="179">
        <v>238</v>
      </c>
      <c r="W20" s="180">
        <v>212</v>
      </c>
      <c r="Y20" s="178"/>
      <c r="Z20" s="181"/>
      <c r="AB20" s="182">
        <f>SUM(AH20:AS20)</f>
        <v>0</v>
      </c>
      <c r="AC20" s="182">
        <f>SUM(AT20:BE20)</f>
        <v>0</v>
      </c>
      <c r="AD20" s="182">
        <f>SUM(BF20:BQ20)</f>
        <v>0</v>
      </c>
      <c r="AE20" s="182">
        <f>SUM(BR20:CC20)</f>
        <v>0</v>
      </c>
      <c r="AF20" s="182">
        <f>SUM(CD20:CO20)</f>
        <v>0</v>
      </c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</row>
    <row r="21" spans="1:94" x14ac:dyDescent="0.2">
      <c r="A21" s="118">
        <f t="shared" si="0"/>
        <v>8</v>
      </c>
      <c r="B21" s="102"/>
      <c r="C21" s="143" t="s">
        <v>374</v>
      </c>
      <c r="D21" s="188">
        <f>SUM(D17:D20)</f>
        <v>21696377.792271521</v>
      </c>
      <c r="E21" s="189" t="s">
        <v>550</v>
      </c>
      <c r="F21" s="183"/>
      <c r="G21" s="142"/>
      <c r="H21" s="188">
        <f>SUM(H17:H20)</f>
        <v>322408173.99000001</v>
      </c>
      <c r="I21" s="162"/>
      <c r="J21" s="188">
        <f>SUM(J17:J20)</f>
        <v>21696377.792271521</v>
      </c>
      <c r="K21" s="189" t="s">
        <v>550</v>
      </c>
      <c r="L21" s="183"/>
      <c r="M21" s="142"/>
      <c r="N21" s="188">
        <f>SUM(N17:N20)</f>
        <v>328266196</v>
      </c>
      <c r="Q21" s="1022"/>
      <c r="S21" s="1068"/>
      <c r="T21" s="177"/>
      <c r="U21" s="190"/>
      <c r="V21" s="191"/>
      <c r="W21" s="140"/>
      <c r="Y21" s="192" t="s">
        <v>135</v>
      </c>
      <c r="Z21" s="141" t="s">
        <v>451</v>
      </c>
      <c r="AB21" s="188">
        <f>+AB17+AB19+AB20</f>
        <v>20571761.18780962</v>
      </c>
      <c r="AC21" s="188">
        <f>+AC17+AC19+AC20</f>
        <v>20946492.000817489</v>
      </c>
      <c r="AD21" s="188">
        <f>+AD17+AD19+AD20</f>
        <v>21321603.501903247</v>
      </c>
      <c r="AE21" s="188">
        <f>+AE17+AE19+AE20</f>
        <v>21696377.792271521</v>
      </c>
      <c r="AF21" s="188">
        <f>+AF17+AF19+AF20</f>
        <v>22064517.351241622</v>
      </c>
      <c r="AH21" s="188">
        <f t="shared" ref="AH21:CO21" si="1">+AH17+AH19+AH20</f>
        <v>1700164.401467212</v>
      </c>
      <c r="AI21" s="188">
        <f t="shared" si="1"/>
        <v>1702187.3766667887</v>
      </c>
      <c r="AJ21" s="188">
        <f t="shared" si="1"/>
        <v>1704625.3571915072</v>
      </c>
      <c r="AK21" s="188">
        <f t="shared" si="1"/>
        <v>1707731.8515700237</v>
      </c>
      <c r="AL21" s="188">
        <f t="shared" si="1"/>
        <v>1709804.3834586656</v>
      </c>
      <c r="AM21" s="188">
        <f t="shared" si="1"/>
        <v>1712496.2819539134</v>
      </c>
      <c r="AN21" s="188">
        <f t="shared" si="1"/>
        <v>1715784.1610224955</v>
      </c>
      <c r="AO21" s="188">
        <f t="shared" si="1"/>
        <v>1718018.0443335008</v>
      </c>
      <c r="AP21" s="188">
        <f t="shared" si="1"/>
        <v>1721128.9683976411</v>
      </c>
      <c r="AQ21" s="188">
        <f t="shared" si="1"/>
        <v>1723550.2241068375</v>
      </c>
      <c r="AR21" s="188">
        <f t="shared" si="1"/>
        <v>1726978.0298176534</v>
      </c>
      <c r="AS21" s="188">
        <f t="shared" si="1"/>
        <v>1729292.1078233793</v>
      </c>
      <c r="AT21" s="188">
        <f t="shared" si="1"/>
        <v>1730571.8748178817</v>
      </c>
      <c r="AU21" s="188">
        <f t="shared" si="1"/>
        <v>1732779.1916550663</v>
      </c>
      <c r="AV21" s="188">
        <f t="shared" si="1"/>
        <v>1735408.9039876249</v>
      </c>
      <c r="AW21" s="188">
        <f t="shared" si="1"/>
        <v>1738719.2177047038</v>
      </c>
      <c r="AX21" s="188">
        <f t="shared" si="1"/>
        <v>1740976.6638185265</v>
      </c>
      <c r="AY21" s="188">
        <f t="shared" si="1"/>
        <v>1743864.5358830956</v>
      </c>
      <c r="AZ21" s="188">
        <f t="shared" si="1"/>
        <v>1747359.5596866994</v>
      </c>
      <c r="BA21" s="188">
        <f t="shared" si="1"/>
        <v>1749662.2228356116</v>
      </c>
      <c r="BB21" s="188">
        <f t="shared" si="1"/>
        <v>1752739.7619177387</v>
      </c>
      <c r="BC21" s="188">
        <f t="shared" si="1"/>
        <v>1755114.7950700703</v>
      </c>
      <c r="BD21" s="188">
        <f t="shared" si="1"/>
        <v>1758514.796256358</v>
      </c>
      <c r="BE21" s="188">
        <f t="shared" si="1"/>
        <v>1760780.4771841117</v>
      </c>
      <c r="BF21" s="188">
        <f t="shared" si="1"/>
        <v>1761996.7756202973</v>
      </c>
      <c r="BG21" s="188">
        <f t="shared" si="1"/>
        <v>1764153.8842826756</v>
      </c>
      <c r="BH21" s="188">
        <f t="shared" si="1"/>
        <v>1766741.0394183518</v>
      </c>
      <c r="BI21" s="188">
        <f t="shared" si="1"/>
        <v>1770021.0182991803</v>
      </c>
      <c r="BJ21" s="188">
        <f t="shared" si="1"/>
        <v>1772229.0042698323</v>
      </c>
      <c r="BK21" s="188">
        <f t="shared" si="1"/>
        <v>1775078.5377875769</v>
      </c>
      <c r="BL21" s="188">
        <f t="shared" si="1"/>
        <v>1778546.1994993642</v>
      </c>
      <c r="BM21" s="188">
        <f t="shared" si="1"/>
        <v>1780828.937977954</v>
      </c>
      <c r="BN21" s="188">
        <f t="shared" si="1"/>
        <v>1783929.7796174709</v>
      </c>
      <c r="BO21" s="188">
        <f t="shared" si="1"/>
        <v>1786315.4619341916</v>
      </c>
      <c r="BP21" s="188">
        <f t="shared" si="1"/>
        <v>1789744.3384574517</v>
      </c>
      <c r="BQ21" s="188">
        <f t="shared" si="1"/>
        <v>1792018.5247388962</v>
      </c>
      <c r="BR21" s="188">
        <f t="shared" si="1"/>
        <v>1793228.223591161</v>
      </c>
      <c r="BS21" s="188">
        <f t="shared" si="1"/>
        <v>1795391.9666333348</v>
      </c>
      <c r="BT21" s="188">
        <f t="shared" si="1"/>
        <v>1797993.3620201447</v>
      </c>
      <c r="BU21" s="188">
        <f t="shared" si="1"/>
        <v>1801299.7969925376</v>
      </c>
      <c r="BV21" s="188">
        <f t="shared" si="1"/>
        <v>1803515.1413673502</v>
      </c>
      <c r="BW21" s="188">
        <f t="shared" si="1"/>
        <v>1806383.168220123</v>
      </c>
      <c r="BX21" s="188">
        <f t="shared" si="1"/>
        <v>1809880.3661398664</v>
      </c>
      <c r="BY21" s="188">
        <f t="shared" si="1"/>
        <v>1812129.3474777942</v>
      </c>
      <c r="BZ21" s="188">
        <f t="shared" si="1"/>
        <v>1815169.0395199866</v>
      </c>
      <c r="CA21" s="188">
        <f t="shared" si="1"/>
        <v>1817480.893860176</v>
      </c>
      <c r="CB21" s="188">
        <f t="shared" si="1"/>
        <v>1820854.1249103369</v>
      </c>
      <c r="CC21" s="188">
        <f t="shared" si="1"/>
        <v>1823052.3615387117</v>
      </c>
      <c r="CD21" s="188">
        <f t="shared" si="1"/>
        <v>1824171.0640410597</v>
      </c>
      <c r="CE21" s="188">
        <f t="shared" si="1"/>
        <v>1826257.1155506533</v>
      </c>
      <c r="CF21" s="188">
        <f t="shared" si="1"/>
        <v>1828788.360589206</v>
      </c>
      <c r="CG21" s="188">
        <f t="shared" si="1"/>
        <v>1832036.6548846741</v>
      </c>
      <c r="CH21" s="188">
        <f t="shared" si="1"/>
        <v>1834175.0848505399</v>
      </c>
      <c r="CI21" s="188">
        <f t="shared" si="1"/>
        <v>1836977.1268503531</v>
      </c>
      <c r="CJ21" s="188">
        <f t="shared" si="1"/>
        <v>1840419.078075706</v>
      </c>
      <c r="CK21" s="188">
        <f t="shared" si="1"/>
        <v>1842646.1200897342</v>
      </c>
      <c r="CL21" s="188">
        <f t="shared" si="1"/>
        <v>1845732.1974908181</v>
      </c>
      <c r="CM21" s="188">
        <f t="shared" si="1"/>
        <v>1848078.0529053083</v>
      </c>
      <c r="CN21" s="188">
        <f t="shared" si="1"/>
        <v>1851503.1706764386</v>
      </c>
      <c r="CO21" s="188">
        <f t="shared" si="1"/>
        <v>1853733.3252371328</v>
      </c>
    </row>
    <row r="22" spans="1:94" x14ac:dyDescent="0.2">
      <c r="A22" s="118">
        <f t="shared" si="0"/>
        <v>9</v>
      </c>
      <c r="B22" s="102"/>
      <c r="C22" s="143"/>
      <c r="D22" s="168"/>
      <c r="E22" s="189"/>
      <c r="F22" s="183"/>
      <c r="G22" s="142"/>
      <c r="H22" s="174"/>
      <c r="I22" s="162"/>
      <c r="J22" s="168"/>
      <c r="K22" s="189"/>
      <c r="L22" s="183"/>
      <c r="M22" s="142"/>
      <c r="N22" s="174"/>
      <c r="T22" s="927"/>
      <c r="U22" s="190"/>
      <c r="V22" s="191"/>
      <c r="W22" s="140"/>
      <c r="Y22" s="190"/>
      <c r="Z22" s="141"/>
      <c r="AB22" s="193">
        <f>SUM(AH22:AS22)</f>
        <v>0</v>
      </c>
      <c r="AC22" s="193">
        <f>SUM(AT22:BE22)</f>
        <v>0</v>
      </c>
      <c r="AD22" s="193">
        <f>SUM(BF22:BQ22)</f>
        <v>0</v>
      </c>
      <c r="AE22" s="193">
        <f>SUM(BR22:CC22)</f>
        <v>0</v>
      </c>
      <c r="AF22" s="193">
        <f>SUM(CD22:CO22)</f>
        <v>0</v>
      </c>
      <c r="AH22" s="194">
        <v>0</v>
      </c>
      <c r="AI22" s="194">
        <v>0</v>
      </c>
      <c r="AJ22" s="194">
        <v>0</v>
      </c>
      <c r="AK22" s="194">
        <v>0</v>
      </c>
      <c r="AL22" s="194">
        <v>0</v>
      </c>
      <c r="AM22" s="194">
        <v>0</v>
      </c>
      <c r="AN22" s="194">
        <v>0</v>
      </c>
      <c r="AO22" s="194">
        <v>0</v>
      </c>
      <c r="AP22" s="194">
        <v>0</v>
      </c>
      <c r="AQ22" s="194">
        <v>0</v>
      </c>
      <c r="AR22" s="194">
        <v>0</v>
      </c>
      <c r="AS22" s="194">
        <v>0</v>
      </c>
      <c r="AT22" s="194">
        <v>0</v>
      </c>
      <c r="AU22" s="194">
        <v>0</v>
      </c>
      <c r="AV22" s="194">
        <v>0</v>
      </c>
      <c r="AW22" s="194">
        <v>0</v>
      </c>
      <c r="AX22" s="194">
        <v>0</v>
      </c>
      <c r="AY22" s="194">
        <v>0</v>
      </c>
      <c r="AZ22" s="194">
        <v>0</v>
      </c>
      <c r="BA22" s="194">
        <v>0</v>
      </c>
      <c r="BB22" s="194">
        <v>0</v>
      </c>
      <c r="BC22" s="194">
        <v>0</v>
      </c>
      <c r="BD22" s="194">
        <v>0</v>
      </c>
      <c r="BE22" s="194">
        <v>0</v>
      </c>
      <c r="BF22" s="194">
        <v>0</v>
      </c>
      <c r="BG22" s="194">
        <v>0</v>
      </c>
      <c r="BH22" s="194">
        <v>0</v>
      </c>
      <c r="BI22" s="194">
        <v>0</v>
      </c>
      <c r="BJ22" s="194">
        <v>0</v>
      </c>
      <c r="BK22" s="194">
        <v>0</v>
      </c>
      <c r="BL22" s="194">
        <v>0</v>
      </c>
      <c r="BM22" s="194">
        <v>0</v>
      </c>
      <c r="BN22" s="194">
        <v>0</v>
      </c>
      <c r="BO22" s="194">
        <v>0</v>
      </c>
      <c r="BP22" s="194">
        <v>0</v>
      </c>
      <c r="BQ22" s="194">
        <v>0</v>
      </c>
      <c r="BR22" s="194">
        <v>0</v>
      </c>
      <c r="BS22" s="194">
        <v>0</v>
      </c>
      <c r="BT22" s="194">
        <v>0</v>
      </c>
      <c r="BU22" s="194">
        <v>0</v>
      </c>
      <c r="BV22" s="194">
        <v>0</v>
      </c>
      <c r="BW22" s="194">
        <v>0</v>
      </c>
      <c r="BX22" s="194">
        <v>0</v>
      </c>
      <c r="BY22" s="194">
        <v>0</v>
      </c>
      <c r="BZ22" s="194">
        <v>0</v>
      </c>
      <c r="CA22" s="194">
        <v>0</v>
      </c>
      <c r="CB22" s="194">
        <v>0</v>
      </c>
      <c r="CC22" s="194">
        <v>0</v>
      </c>
      <c r="CD22" s="194">
        <v>0</v>
      </c>
      <c r="CE22" s="194">
        <v>0</v>
      </c>
      <c r="CF22" s="194">
        <v>0</v>
      </c>
      <c r="CG22" s="194">
        <v>0</v>
      </c>
      <c r="CH22" s="194">
        <v>0</v>
      </c>
      <c r="CI22" s="194">
        <v>0</v>
      </c>
      <c r="CJ22" s="194">
        <v>0</v>
      </c>
      <c r="CK22" s="194">
        <v>0</v>
      </c>
      <c r="CL22" s="194">
        <v>0</v>
      </c>
      <c r="CM22" s="194">
        <v>0</v>
      </c>
      <c r="CN22" s="194">
        <v>0</v>
      </c>
      <c r="CO22" s="194">
        <v>0</v>
      </c>
    </row>
    <row r="23" spans="1:94" x14ac:dyDescent="0.2">
      <c r="A23" s="118">
        <f t="shared" si="0"/>
        <v>10</v>
      </c>
      <c r="B23" s="195" t="s">
        <v>551</v>
      </c>
      <c r="C23" s="143"/>
      <c r="D23" s="143"/>
      <c r="E23" s="166"/>
      <c r="F23" s="183"/>
      <c r="G23" s="142"/>
      <c r="H23" s="174"/>
      <c r="I23" s="162"/>
      <c r="J23" s="143"/>
      <c r="K23" s="166"/>
      <c r="L23" s="310"/>
      <c r="M23" s="142"/>
      <c r="N23" s="174"/>
      <c r="R23" s="196"/>
      <c r="U23" s="184"/>
      <c r="V23" s="139"/>
      <c r="W23" s="140"/>
      <c r="Y23" s="184"/>
      <c r="Z23" s="141"/>
      <c r="AB23" s="107" t="s">
        <v>552</v>
      </c>
      <c r="AH23" s="118">
        <f t="shared" ref="AH23:CO23" si="2">IF(AH8="Mo 1",1,IF(AH8="Mo 2",1,IF(AH8="Mo 12",1,2)))</f>
        <v>1</v>
      </c>
      <c r="AI23" s="118">
        <f t="shared" si="2"/>
        <v>1</v>
      </c>
      <c r="AJ23" s="118">
        <f t="shared" si="2"/>
        <v>2</v>
      </c>
      <c r="AK23" s="118">
        <f t="shared" si="2"/>
        <v>2</v>
      </c>
      <c r="AL23" s="118">
        <f t="shared" si="2"/>
        <v>2</v>
      </c>
      <c r="AM23" s="118">
        <f t="shared" si="2"/>
        <v>2</v>
      </c>
      <c r="AN23" s="118">
        <f t="shared" si="2"/>
        <v>2</v>
      </c>
      <c r="AO23" s="118">
        <f t="shared" si="2"/>
        <v>2</v>
      </c>
      <c r="AP23" s="118">
        <f t="shared" si="2"/>
        <v>2</v>
      </c>
      <c r="AQ23" s="118">
        <f t="shared" si="2"/>
        <v>2</v>
      </c>
      <c r="AR23" s="118">
        <f t="shared" si="2"/>
        <v>2</v>
      </c>
      <c r="AS23" s="118">
        <f t="shared" si="2"/>
        <v>1</v>
      </c>
      <c r="AT23" s="118">
        <f t="shared" si="2"/>
        <v>1</v>
      </c>
      <c r="AU23" s="118">
        <f t="shared" si="2"/>
        <v>1</v>
      </c>
      <c r="AV23" s="118">
        <f t="shared" si="2"/>
        <v>2</v>
      </c>
      <c r="AW23" s="118">
        <f t="shared" si="2"/>
        <v>2</v>
      </c>
      <c r="AX23" s="118">
        <f t="shared" si="2"/>
        <v>2</v>
      </c>
      <c r="AY23" s="118">
        <f t="shared" si="2"/>
        <v>2</v>
      </c>
      <c r="AZ23" s="118">
        <f t="shared" si="2"/>
        <v>2</v>
      </c>
      <c r="BA23" s="118">
        <f t="shared" si="2"/>
        <v>2</v>
      </c>
      <c r="BB23" s="118">
        <f t="shared" si="2"/>
        <v>2</v>
      </c>
      <c r="BC23" s="118">
        <f t="shared" si="2"/>
        <v>2</v>
      </c>
      <c r="BD23" s="118">
        <f t="shared" si="2"/>
        <v>2</v>
      </c>
      <c r="BE23" s="118">
        <f t="shared" si="2"/>
        <v>1</v>
      </c>
      <c r="BF23" s="118">
        <f t="shared" si="2"/>
        <v>1</v>
      </c>
      <c r="BG23" s="118">
        <f t="shared" si="2"/>
        <v>1</v>
      </c>
      <c r="BH23" s="118">
        <f t="shared" si="2"/>
        <v>2</v>
      </c>
      <c r="BI23" s="118">
        <f t="shared" si="2"/>
        <v>2</v>
      </c>
      <c r="BJ23" s="118">
        <f t="shared" si="2"/>
        <v>2</v>
      </c>
      <c r="BK23" s="118">
        <f t="shared" si="2"/>
        <v>2</v>
      </c>
      <c r="BL23" s="118">
        <f t="shared" si="2"/>
        <v>2</v>
      </c>
      <c r="BM23" s="118">
        <f t="shared" si="2"/>
        <v>2</v>
      </c>
      <c r="BN23" s="118">
        <f t="shared" si="2"/>
        <v>2</v>
      </c>
      <c r="BO23" s="118">
        <f t="shared" si="2"/>
        <v>2</v>
      </c>
      <c r="BP23" s="118">
        <f t="shared" si="2"/>
        <v>2</v>
      </c>
      <c r="BQ23" s="118">
        <f t="shared" si="2"/>
        <v>1</v>
      </c>
      <c r="BR23" s="118">
        <f t="shared" si="2"/>
        <v>1</v>
      </c>
      <c r="BS23" s="118">
        <f t="shared" si="2"/>
        <v>1</v>
      </c>
      <c r="BT23" s="118">
        <f t="shared" si="2"/>
        <v>2</v>
      </c>
      <c r="BU23" s="118">
        <f t="shared" si="2"/>
        <v>2</v>
      </c>
      <c r="BV23" s="118">
        <f t="shared" si="2"/>
        <v>2</v>
      </c>
      <c r="BW23" s="118">
        <f t="shared" si="2"/>
        <v>2</v>
      </c>
      <c r="BX23" s="118">
        <f t="shared" si="2"/>
        <v>2</v>
      </c>
      <c r="BY23" s="118">
        <f t="shared" si="2"/>
        <v>2</v>
      </c>
      <c r="BZ23" s="118">
        <f t="shared" si="2"/>
        <v>2</v>
      </c>
      <c r="CA23" s="118">
        <f t="shared" si="2"/>
        <v>2</v>
      </c>
      <c r="CB23" s="118">
        <f t="shared" si="2"/>
        <v>2</v>
      </c>
      <c r="CC23" s="118">
        <f t="shared" si="2"/>
        <v>1</v>
      </c>
      <c r="CD23" s="118">
        <f t="shared" si="2"/>
        <v>1</v>
      </c>
      <c r="CE23" s="118">
        <f t="shared" si="2"/>
        <v>1</v>
      </c>
      <c r="CF23" s="118">
        <f t="shared" si="2"/>
        <v>2</v>
      </c>
      <c r="CG23" s="118">
        <f t="shared" si="2"/>
        <v>2</v>
      </c>
      <c r="CH23" s="118">
        <f t="shared" si="2"/>
        <v>2</v>
      </c>
      <c r="CI23" s="118">
        <f t="shared" si="2"/>
        <v>2</v>
      </c>
      <c r="CJ23" s="118">
        <f t="shared" si="2"/>
        <v>2</v>
      </c>
      <c r="CK23" s="118">
        <f t="shared" si="2"/>
        <v>2</v>
      </c>
      <c r="CL23" s="118">
        <f t="shared" si="2"/>
        <v>2</v>
      </c>
      <c r="CM23" s="118">
        <f t="shared" si="2"/>
        <v>2</v>
      </c>
      <c r="CN23" s="118">
        <f t="shared" si="2"/>
        <v>2</v>
      </c>
      <c r="CO23" s="118">
        <f t="shared" si="2"/>
        <v>1</v>
      </c>
    </row>
    <row r="24" spans="1:94" x14ac:dyDescent="0.2">
      <c r="A24" s="118">
        <f t="shared" si="0"/>
        <v>11</v>
      </c>
      <c r="B24" s="100" t="s">
        <v>553</v>
      </c>
      <c r="C24" s="143"/>
      <c r="D24" s="143"/>
      <c r="E24" s="166"/>
      <c r="F24" s="183"/>
      <c r="G24" s="142"/>
      <c r="H24" s="174"/>
      <c r="I24" s="162"/>
      <c r="J24" s="168"/>
      <c r="K24" s="166"/>
      <c r="L24" s="183"/>
      <c r="M24" s="142"/>
      <c r="N24" s="174"/>
      <c r="U24" s="184"/>
      <c r="V24" s="139"/>
      <c r="W24" s="140"/>
      <c r="Y24" s="184"/>
      <c r="Z24" s="141"/>
    </row>
    <row r="25" spans="1:94" x14ac:dyDescent="0.2">
      <c r="A25" s="118">
        <f t="shared" si="0"/>
        <v>12</v>
      </c>
      <c r="B25" s="171"/>
      <c r="F25" s="197"/>
      <c r="I25" s="162"/>
      <c r="L25" s="310"/>
      <c r="S25" s="731"/>
      <c r="U25" s="184"/>
      <c r="V25" s="139"/>
      <c r="W25" s="140"/>
      <c r="Y25" s="184"/>
      <c r="Z25" s="141"/>
    </row>
    <row r="26" spans="1:94" x14ac:dyDescent="0.2">
      <c r="A26" s="118">
        <f t="shared" si="0"/>
        <v>13</v>
      </c>
      <c r="B26" s="198" t="s">
        <v>348</v>
      </c>
      <c r="C26" s="143"/>
      <c r="D26" s="172">
        <f>SUMIFS($AH26:$CO26,$AH$6:$CO$6,1,$AH$23:$CO$23,1)</f>
        <v>3393198.353816377</v>
      </c>
      <c r="E26" s="166" t="s">
        <v>555</v>
      </c>
      <c r="F26" s="183">
        <v>88.67</v>
      </c>
      <c r="G26" s="142" t="s">
        <v>375</v>
      </c>
      <c r="H26" s="174">
        <f>ROUND(D26*F26,2)</f>
        <v>300874898.02999997</v>
      </c>
      <c r="I26" s="162"/>
      <c r="J26" s="185">
        <f>SUMIFS($AH26:$CO26,$AH$6:$CO$6,1,$AH$23:$CO$23,1)</f>
        <v>3393198.353816377</v>
      </c>
      <c r="K26" s="166" t="s">
        <v>555</v>
      </c>
      <c r="L26" s="183">
        <f>'Exhibit MJC-3 - E-13c cal yr'!L28</f>
        <v>90.85</v>
      </c>
      <c r="M26" s="142" t="s">
        <v>375</v>
      </c>
      <c r="N26" s="174">
        <f>ROUND(J26*L26,2)</f>
        <v>308272070.44</v>
      </c>
      <c r="Q26" s="1022"/>
      <c r="U26" s="178" t="s">
        <v>135</v>
      </c>
      <c r="V26" s="179">
        <v>238</v>
      </c>
      <c r="W26" s="180">
        <v>212</v>
      </c>
      <c r="Y26" s="178"/>
      <c r="Z26" s="181"/>
      <c r="AB26" s="182">
        <f>SUM(AH26:AS26)</f>
        <v>14987995.473220017</v>
      </c>
      <c r="AC26" s="182">
        <f>SUM(AT26:BE26)</f>
        <v>15070158.104417343</v>
      </c>
      <c r="AD26" s="182">
        <f>SUM(BF26:BQ26)</f>
        <v>15013144.373565374</v>
      </c>
      <c r="AE26" s="182">
        <f>SUM(BR26:CC26)</f>
        <v>14946335.265957752</v>
      </c>
      <c r="AF26" s="182">
        <f>SUM(CD26:CO26)</f>
        <v>15440352.074610243</v>
      </c>
      <c r="AH26" s="168">
        <v>1349521.3100839802</v>
      </c>
      <c r="AI26" s="168">
        <v>998433.68865364487</v>
      </c>
      <c r="AJ26" s="168">
        <v>1070175.7267304664</v>
      </c>
      <c r="AK26" s="168">
        <v>1090211.371000106</v>
      </c>
      <c r="AL26" s="168">
        <v>1264749.2062485528</v>
      </c>
      <c r="AM26" s="168">
        <v>1345825.2949063445</v>
      </c>
      <c r="AN26" s="168">
        <v>1318345.1304139977</v>
      </c>
      <c r="AO26" s="168">
        <v>1411748.6277431981</v>
      </c>
      <c r="AP26" s="168">
        <v>1426400.1763021729</v>
      </c>
      <c r="AQ26" s="168">
        <v>1461511.3692986062</v>
      </c>
      <c r="AR26" s="168">
        <v>1162192.2166807102</v>
      </c>
      <c r="AS26" s="168">
        <v>1088881.3551582387</v>
      </c>
      <c r="AT26" s="168">
        <v>1312974.5634247565</v>
      </c>
      <c r="AU26" s="168">
        <v>1089061.5338510454</v>
      </c>
      <c r="AV26" s="168">
        <v>1035125.9280180109</v>
      </c>
      <c r="AW26" s="168">
        <v>1129907.8645380577</v>
      </c>
      <c r="AX26" s="168">
        <v>1268459.7676146461</v>
      </c>
      <c r="AY26" s="168">
        <v>1279759.3262698518</v>
      </c>
      <c r="AZ26" s="168">
        <v>1371546.4336380993</v>
      </c>
      <c r="BA26" s="168">
        <v>1384991.6330856672</v>
      </c>
      <c r="BB26" s="168">
        <v>1432298.0486183902</v>
      </c>
      <c r="BC26" s="168">
        <v>1508463.256931965</v>
      </c>
      <c r="BD26" s="168">
        <v>1167342.1752888064</v>
      </c>
      <c r="BE26" s="168">
        <v>1090227.5731380442</v>
      </c>
      <c r="BF26" s="168">
        <v>1244856.8551657491</v>
      </c>
      <c r="BG26" s="168">
        <v>1107083.5880324915</v>
      </c>
      <c r="BH26" s="168">
        <v>1061222.1541909911</v>
      </c>
      <c r="BI26" s="168">
        <v>1070545.9829492178</v>
      </c>
      <c r="BJ26" s="168">
        <v>1254337.6680893656</v>
      </c>
      <c r="BK26" s="168">
        <v>1307320.9147047503</v>
      </c>
      <c r="BL26" s="168">
        <v>1371467.9402417501</v>
      </c>
      <c r="BM26" s="168">
        <v>1397257.6062328261</v>
      </c>
      <c r="BN26" s="168">
        <v>1429598.930002894</v>
      </c>
      <c r="BO26" s="168">
        <v>1464166.4249993437</v>
      </c>
      <c r="BP26" s="168">
        <v>1151283.1195119726</v>
      </c>
      <c r="BQ26" s="168">
        <v>1154003.1894440216</v>
      </c>
      <c r="BR26" s="168">
        <v>1233292.3866749797</v>
      </c>
      <c r="BS26" s="168">
        <v>1061144.1089033578</v>
      </c>
      <c r="BT26" s="168">
        <v>1082757.6152831407</v>
      </c>
      <c r="BU26" s="168">
        <v>1101831.9726066822</v>
      </c>
      <c r="BV26" s="168">
        <v>1170490.1258331609</v>
      </c>
      <c r="BW26" s="168">
        <v>1340041.7159403192</v>
      </c>
      <c r="BX26" s="168">
        <v>1401116.4797399039</v>
      </c>
      <c r="BY26" s="168">
        <v>1404580.527448941</v>
      </c>
      <c r="BZ26" s="168">
        <v>1423881.7026463861</v>
      </c>
      <c r="CA26" s="168">
        <v>1477955.6781624062</v>
      </c>
      <c r="CB26" s="168">
        <v>1150481.0944804365</v>
      </c>
      <c r="CC26" s="168">
        <v>1098761.8582380398</v>
      </c>
      <c r="CD26" s="168">
        <v>1291229.6005704643</v>
      </c>
      <c r="CE26" s="168">
        <v>1057700.9506949368</v>
      </c>
      <c r="CF26" s="168">
        <v>1028274.6829603468</v>
      </c>
      <c r="CG26" s="168">
        <v>1176689.6849928589</v>
      </c>
      <c r="CH26" s="168">
        <v>1258932.8366042154</v>
      </c>
      <c r="CI26" s="168">
        <v>1325411.7155332258</v>
      </c>
      <c r="CJ26" s="168">
        <v>1421940.6537261424</v>
      </c>
      <c r="CK26" s="168">
        <v>1441073.4124573357</v>
      </c>
      <c r="CL26" s="168">
        <v>1521195.7408981293</v>
      </c>
      <c r="CM26" s="168">
        <v>1526697.3336581797</v>
      </c>
      <c r="CN26" s="168">
        <v>1236759.6323954361</v>
      </c>
      <c r="CO26" s="168">
        <v>1154445.8301189742</v>
      </c>
    </row>
    <row r="27" spans="1:94" x14ac:dyDescent="0.2">
      <c r="A27" s="118">
        <f t="shared" si="0"/>
        <v>14</v>
      </c>
      <c r="B27" s="198" t="s">
        <v>349</v>
      </c>
      <c r="C27" s="143"/>
      <c r="D27" s="172">
        <f>SUMIFS($AH27:$CO27,$AH$6:$CO$6,1,$AH$23:$CO$23,1)</f>
        <v>889668.85931853601</v>
      </c>
      <c r="E27" s="166" t="s">
        <v>555</v>
      </c>
      <c r="F27" s="183">
        <v>103.08</v>
      </c>
      <c r="G27" s="142" t="s">
        <v>375</v>
      </c>
      <c r="H27" s="174">
        <f>ROUND(D27*F27,2)</f>
        <v>91707066.019999996</v>
      </c>
      <c r="I27" s="162"/>
      <c r="J27" s="185">
        <f>SUMIFS($AH27:$CO27,$AH$6:$CO$6,1,$AH$23:$CO$23,1)</f>
        <v>889668.85931853601</v>
      </c>
      <c r="K27" s="166" t="s">
        <v>555</v>
      </c>
      <c r="L27" s="183">
        <f>'Exhibit MJC-3 - E-13c cal yr'!L29</f>
        <v>105.31</v>
      </c>
      <c r="M27" s="142" t="s">
        <v>375</v>
      </c>
      <c r="N27" s="174">
        <f>ROUND(J27*L27,2)</f>
        <v>93691027.569999993</v>
      </c>
      <c r="Q27" s="1022" t="s">
        <v>416</v>
      </c>
      <c r="U27" s="178" t="s">
        <v>135</v>
      </c>
      <c r="V27" s="179">
        <v>238</v>
      </c>
      <c r="W27" s="180">
        <v>212</v>
      </c>
      <c r="Y27" s="178"/>
      <c r="Z27" s="181"/>
      <c r="AB27" s="182">
        <f>SUM(AH27:AS27)</f>
        <v>5861703.6245576572</v>
      </c>
      <c r="AC27" s="182">
        <f>SUM(AT27:BE27)</f>
        <v>5881721.880669564</v>
      </c>
      <c r="AD27" s="182">
        <f>SUM(BF27:BQ27)</f>
        <v>5870705.838589102</v>
      </c>
      <c r="AE27" s="182">
        <f>SUM(BR27:CC27)</f>
        <v>5870584.6471353546</v>
      </c>
      <c r="AF27" s="182">
        <f>SUM(CD27:CO27)</f>
        <v>6055540.6666690279</v>
      </c>
      <c r="AH27" s="168">
        <v>377723.74317184283</v>
      </c>
      <c r="AI27" s="168">
        <v>270931.40528787987</v>
      </c>
      <c r="AJ27" s="168">
        <v>232607.24294336492</v>
      </c>
      <c r="AK27" s="168">
        <v>283620.74474470172</v>
      </c>
      <c r="AL27" s="168">
        <v>408440.32671771653</v>
      </c>
      <c r="AM27" s="168">
        <v>741827.7094499463</v>
      </c>
      <c r="AN27" s="168">
        <v>851231.78130831919</v>
      </c>
      <c r="AO27" s="168">
        <v>865546.64991835866</v>
      </c>
      <c r="AP27" s="168">
        <v>800452.9911470206</v>
      </c>
      <c r="AQ27" s="168">
        <v>475145.35383805388</v>
      </c>
      <c r="AR27" s="168">
        <v>299953.79961426568</v>
      </c>
      <c r="AS27" s="168">
        <v>254221.87641618701</v>
      </c>
      <c r="AT27" s="168">
        <v>367494.50570391724</v>
      </c>
      <c r="AU27" s="168">
        <v>295523.85417715396</v>
      </c>
      <c r="AV27" s="168">
        <v>224989.02021546566</v>
      </c>
      <c r="AW27" s="168">
        <v>293947.86970456975</v>
      </c>
      <c r="AX27" s="168">
        <v>409638.62191267352</v>
      </c>
      <c r="AY27" s="168">
        <v>705411.71521080402</v>
      </c>
      <c r="AZ27" s="168">
        <v>885582.90763072227</v>
      </c>
      <c r="BA27" s="168">
        <v>849141.86890239862</v>
      </c>
      <c r="BB27" s="168">
        <v>803762.70017212606</v>
      </c>
      <c r="BC27" s="168">
        <v>490409.66975892364</v>
      </c>
      <c r="BD27" s="168">
        <v>301282.96843004605</v>
      </c>
      <c r="BE27" s="168">
        <v>254536.17885076365</v>
      </c>
      <c r="BF27" s="168">
        <v>348428.72619556793</v>
      </c>
      <c r="BG27" s="168">
        <v>300414.25453227188</v>
      </c>
      <c r="BH27" s="168">
        <v>230661.14589511327</v>
      </c>
      <c r="BI27" s="168">
        <v>278504.75333876919</v>
      </c>
      <c r="BJ27" s="168">
        <v>405078.00632537092</v>
      </c>
      <c r="BK27" s="168">
        <v>720603.8431154039</v>
      </c>
      <c r="BL27" s="168">
        <v>885532.2258539598</v>
      </c>
      <c r="BM27" s="168">
        <v>856662.16802426416</v>
      </c>
      <c r="BN27" s="168">
        <v>802248.03577069868</v>
      </c>
      <c r="BO27" s="168">
        <v>476008.52699351974</v>
      </c>
      <c r="BP27" s="168">
        <v>297138.23683630308</v>
      </c>
      <c r="BQ27" s="168">
        <v>269425.91570785973</v>
      </c>
      <c r="BR27" s="168">
        <v>345191.89377692732</v>
      </c>
      <c r="BS27" s="168">
        <v>287948.28129830275</v>
      </c>
      <c r="BT27" s="168">
        <v>235341.96989909542</v>
      </c>
      <c r="BU27" s="168">
        <v>286643.86830560828</v>
      </c>
      <c r="BV27" s="168">
        <v>378000.13398166501</v>
      </c>
      <c r="BW27" s="168">
        <v>738639.76287691959</v>
      </c>
      <c r="BX27" s="168">
        <v>904675.75550182851</v>
      </c>
      <c r="BY27" s="168">
        <v>861151.86952045513</v>
      </c>
      <c r="BZ27" s="168">
        <v>799039.69927816675</v>
      </c>
      <c r="CA27" s="168">
        <v>480491.48874869937</v>
      </c>
      <c r="CB27" s="168">
        <v>296931.23970438098</v>
      </c>
      <c r="CC27" s="168">
        <v>256528.68424330599</v>
      </c>
      <c r="CD27" s="168">
        <v>361408.20776769216</v>
      </c>
      <c r="CE27" s="168">
        <v>287013.95816534245</v>
      </c>
      <c r="CF27" s="168">
        <v>223499.87298124324</v>
      </c>
      <c r="CG27" s="168">
        <v>306118.25712745258</v>
      </c>
      <c r="CH27" s="168">
        <v>406561.97810432565</v>
      </c>
      <c r="CI27" s="168">
        <v>730575.61091579811</v>
      </c>
      <c r="CJ27" s="168">
        <v>918121.55077018403</v>
      </c>
      <c r="CK27" s="168">
        <v>883525.74950457492</v>
      </c>
      <c r="CL27" s="168">
        <v>853649.41841122287</v>
      </c>
      <c r="CM27" s="168">
        <v>496337.6680078496</v>
      </c>
      <c r="CN27" s="168">
        <v>319199.13558367128</v>
      </c>
      <c r="CO27" s="168">
        <v>269529.25932967087</v>
      </c>
    </row>
    <row r="28" spans="1:94" x14ac:dyDescent="0.2">
      <c r="A28" s="118">
        <f t="shared" si="0"/>
        <v>15</v>
      </c>
      <c r="B28" s="199" t="s">
        <v>556</v>
      </c>
      <c r="C28" s="143"/>
      <c r="D28" s="188">
        <f>SUM(D26:D27)</f>
        <v>4282867.2131349128</v>
      </c>
      <c r="E28" s="166"/>
      <c r="F28" s="183"/>
      <c r="G28" s="142"/>
      <c r="H28" s="174"/>
      <c r="I28" s="162"/>
      <c r="J28" s="200">
        <f>SUM(J26:J27)</f>
        <v>4282867.2131349128</v>
      </c>
      <c r="K28" s="166"/>
      <c r="L28" s="183"/>
      <c r="M28" s="142"/>
      <c r="N28" s="174"/>
      <c r="Q28" s="1219"/>
      <c r="U28" s="184"/>
      <c r="V28" s="139"/>
      <c r="W28" s="140"/>
      <c r="Y28" s="184"/>
      <c r="Z28" s="141"/>
      <c r="AB28" s="188">
        <f>+AB26+AB27</f>
        <v>20849699.097777672</v>
      </c>
      <c r="AC28" s="188">
        <f>+AC26+AC27</f>
        <v>20951879.985086907</v>
      </c>
      <c r="AD28" s="188">
        <f>+AD26+AD27</f>
        <v>20883850.212154478</v>
      </c>
      <c r="AE28" s="188">
        <f>+AE26+AE27</f>
        <v>20816919.913093105</v>
      </c>
      <c r="AF28" s="188">
        <f>+AF26+AF27</f>
        <v>21495892.74127927</v>
      </c>
      <c r="AH28" s="188">
        <f t="shared" ref="AH28:CO28" si="3">+AH26+AH27</f>
        <v>1727245.053255823</v>
      </c>
      <c r="AI28" s="188">
        <f t="shared" si="3"/>
        <v>1269365.0939415246</v>
      </c>
      <c r="AJ28" s="188">
        <f t="shared" si="3"/>
        <v>1302782.9696738312</v>
      </c>
      <c r="AK28" s="188">
        <f t="shared" si="3"/>
        <v>1373832.1157448078</v>
      </c>
      <c r="AL28" s="188">
        <f t="shared" si="3"/>
        <v>1673189.5329662692</v>
      </c>
      <c r="AM28" s="188">
        <f t="shared" si="3"/>
        <v>2087653.0043562907</v>
      </c>
      <c r="AN28" s="188">
        <f t="shared" si="3"/>
        <v>2169576.9117223169</v>
      </c>
      <c r="AO28" s="188">
        <f t="shared" si="3"/>
        <v>2277295.2776615568</v>
      </c>
      <c r="AP28" s="188">
        <f t="shared" si="3"/>
        <v>2226853.1674491935</v>
      </c>
      <c r="AQ28" s="188">
        <f t="shared" si="3"/>
        <v>1936656.7231366602</v>
      </c>
      <c r="AR28" s="188">
        <f t="shared" si="3"/>
        <v>1462146.0162949758</v>
      </c>
      <c r="AS28" s="188">
        <f t="shared" si="3"/>
        <v>1343103.2315744257</v>
      </c>
      <c r="AT28" s="188">
        <f t="shared" si="3"/>
        <v>1680469.0691286738</v>
      </c>
      <c r="AU28" s="188">
        <f t="shared" si="3"/>
        <v>1384585.3880281993</v>
      </c>
      <c r="AV28" s="188">
        <f t="shared" si="3"/>
        <v>1260114.9482334766</v>
      </c>
      <c r="AW28" s="188">
        <f t="shared" si="3"/>
        <v>1423855.7342426274</v>
      </c>
      <c r="AX28" s="188">
        <f t="shared" si="3"/>
        <v>1678098.3895273197</v>
      </c>
      <c r="AY28" s="188">
        <f t="shared" si="3"/>
        <v>1985171.0414806558</v>
      </c>
      <c r="AZ28" s="188">
        <f t="shared" si="3"/>
        <v>2257129.3412688216</v>
      </c>
      <c r="BA28" s="188">
        <f t="shared" si="3"/>
        <v>2234133.5019880659</v>
      </c>
      <c r="BB28" s="188">
        <f t="shared" si="3"/>
        <v>2236060.7487905165</v>
      </c>
      <c r="BC28" s="188">
        <f t="shared" si="3"/>
        <v>1998872.9266908886</v>
      </c>
      <c r="BD28" s="188">
        <f t="shared" si="3"/>
        <v>1468625.1437188524</v>
      </c>
      <c r="BE28" s="188">
        <f t="shared" si="3"/>
        <v>1344763.7519888079</v>
      </c>
      <c r="BF28" s="188">
        <f t="shared" si="3"/>
        <v>1593285.5813613171</v>
      </c>
      <c r="BG28" s="188">
        <f t="shared" si="3"/>
        <v>1407497.8425647635</v>
      </c>
      <c r="BH28" s="188">
        <f t="shared" si="3"/>
        <v>1291883.3000861043</v>
      </c>
      <c r="BI28" s="188">
        <f t="shared" si="3"/>
        <v>1349050.7362879869</v>
      </c>
      <c r="BJ28" s="188">
        <f t="shared" si="3"/>
        <v>1659415.6744147365</v>
      </c>
      <c r="BK28" s="188">
        <f t="shared" si="3"/>
        <v>2027924.7578201541</v>
      </c>
      <c r="BL28" s="188">
        <f t="shared" si="3"/>
        <v>2257000.1660957099</v>
      </c>
      <c r="BM28" s="188">
        <f t="shared" si="3"/>
        <v>2253919.7742570904</v>
      </c>
      <c r="BN28" s="188">
        <f t="shared" si="3"/>
        <v>2231846.9657735927</v>
      </c>
      <c r="BO28" s="188">
        <f t="shared" si="3"/>
        <v>1940174.9519928633</v>
      </c>
      <c r="BP28" s="188">
        <f t="shared" si="3"/>
        <v>1448421.3563482757</v>
      </c>
      <c r="BQ28" s="188">
        <f t="shared" si="3"/>
        <v>1423429.1051518812</v>
      </c>
      <c r="BR28" s="188">
        <f t="shared" si="3"/>
        <v>1578484.2804519071</v>
      </c>
      <c r="BS28" s="188">
        <f t="shared" si="3"/>
        <v>1349092.3902016606</v>
      </c>
      <c r="BT28" s="188">
        <f t="shared" si="3"/>
        <v>1318099.585182236</v>
      </c>
      <c r="BU28" s="188">
        <f t="shared" si="3"/>
        <v>1388475.8409122904</v>
      </c>
      <c r="BV28" s="188">
        <f t="shared" si="3"/>
        <v>1548490.2598148258</v>
      </c>
      <c r="BW28" s="188">
        <f t="shared" si="3"/>
        <v>2078681.4788172389</v>
      </c>
      <c r="BX28" s="188">
        <f t="shared" si="3"/>
        <v>2305792.2352417326</v>
      </c>
      <c r="BY28" s="188">
        <f t="shared" si="3"/>
        <v>2265732.3969693962</v>
      </c>
      <c r="BZ28" s="188">
        <f t="shared" si="3"/>
        <v>2222921.4019245529</v>
      </c>
      <c r="CA28" s="188">
        <f t="shared" si="3"/>
        <v>1958447.1669111056</v>
      </c>
      <c r="CB28" s="188">
        <f t="shared" si="3"/>
        <v>1447412.3341848175</v>
      </c>
      <c r="CC28" s="188">
        <f t="shared" si="3"/>
        <v>1355290.5424813458</v>
      </c>
      <c r="CD28" s="188">
        <f t="shared" si="3"/>
        <v>1652637.8083381564</v>
      </c>
      <c r="CE28" s="188">
        <f t="shared" si="3"/>
        <v>1344714.9088602792</v>
      </c>
      <c r="CF28" s="188">
        <f t="shared" si="3"/>
        <v>1251774.5559415901</v>
      </c>
      <c r="CG28" s="188">
        <f t="shared" si="3"/>
        <v>1482807.9421203115</v>
      </c>
      <c r="CH28" s="188">
        <f t="shared" si="3"/>
        <v>1665494.8147085411</v>
      </c>
      <c r="CI28" s="188">
        <f t="shared" si="3"/>
        <v>2055987.326449024</v>
      </c>
      <c r="CJ28" s="188">
        <f t="shared" si="3"/>
        <v>2340062.2044963264</v>
      </c>
      <c r="CK28" s="188">
        <f t="shared" si="3"/>
        <v>2324599.1619619108</v>
      </c>
      <c r="CL28" s="188">
        <f t="shared" si="3"/>
        <v>2374845.1593093523</v>
      </c>
      <c r="CM28" s="188">
        <f t="shared" si="3"/>
        <v>2023035.0016660294</v>
      </c>
      <c r="CN28" s="188">
        <f t="shared" si="3"/>
        <v>1555958.7679791073</v>
      </c>
      <c r="CO28" s="188">
        <f t="shared" si="3"/>
        <v>1423975.089448645</v>
      </c>
    </row>
    <row r="29" spans="1:94" x14ac:dyDescent="0.2">
      <c r="A29" s="118">
        <f t="shared" si="0"/>
        <v>16</v>
      </c>
      <c r="B29" s="100" t="s">
        <v>557</v>
      </c>
      <c r="C29" s="143"/>
      <c r="D29" s="143"/>
      <c r="E29" s="166"/>
      <c r="F29" s="183"/>
      <c r="G29" s="142"/>
      <c r="H29" s="174"/>
      <c r="I29" s="162"/>
      <c r="J29" s="175"/>
      <c r="K29" s="166"/>
      <c r="L29" s="183"/>
      <c r="M29" s="142"/>
      <c r="N29" s="174"/>
      <c r="Q29" s="1219"/>
      <c r="U29" s="184"/>
      <c r="V29" s="139"/>
      <c r="W29" s="140"/>
      <c r="Y29" s="184"/>
      <c r="Z29" s="141"/>
    </row>
    <row r="30" spans="1:94" x14ac:dyDescent="0.2">
      <c r="A30" s="118">
        <f t="shared" si="0"/>
        <v>17</v>
      </c>
      <c r="B30" s="171" t="s">
        <v>149</v>
      </c>
      <c r="I30" s="162"/>
      <c r="L30" s="310"/>
      <c r="Q30" s="1219"/>
      <c r="S30" s="731"/>
      <c r="U30" s="184"/>
      <c r="V30" s="139"/>
      <c r="W30" s="140"/>
      <c r="Y30" s="184"/>
      <c r="Z30" s="141"/>
    </row>
    <row r="31" spans="1:94" x14ac:dyDescent="0.2">
      <c r="A31" s="118">
        <f t="shared" si="0"/>
        <v>18</v>
      </c>
      <c r="B31" s="198" t="s">
        <v>348</v>
      </c>
      <c r="C31" s="143"/>
      <c r="D31" s="172">
        <f>SUMIFS($AH31:$CO31,AH$6:CO$6,1,AH$23:CO$23,2)</f>
        <v>11553136.912141375</v>
      </c>
      <c r="E31" s="166" t="s">
        <v>555</v>
      </c>
      <c r="F31" s="183">
        <v>84.48</v>
      </c>
      <c r="G31" s="142" t="s">
        <v>375</v>
      </c>
      <c r="H31" s="174">
        <f>ROUND(D31*F31,2)</f>
        <v>976009006.34000003</v>
      </c>
      <c r="I31" s="162"/>
      <c r="J31" s="185">
        <f>SUMIFS($AH31:$CO31,$AH$6:$CO$6,1,$AH$23:$CO$23,2)</f>
        <v>11553136.912141375</v>
      </c>
      <c r="K31" s="166" t="s">
        <v>555</v>
      </c>
      <c r="L31" s="183">
        <f>'Exhibit MJC-3 - E-13c cal yr'!L33</f>
        <v>87.03</v>
      </c>
      <c r="M31" s="142" t="s">
        <v>375</v>
      </c>
      <c r="N31" s="174">
        <f>ROUND(J31*L31,2)</f>
        <v>1005469505.46</v>
      </c>
      <c r="Q31" s="1022"/>
      <c r="S31" s="182"/>
      <c r="U31" s="178" t="s">
        <v>135</v>
      </c>
      <c r="V31" s="179">
        <v>264</v>
      </c>
      <c r="W31" s="180">
        <v>186</v>
      </c>
      <c r="Y31" s="178"/>
      <c r="Z31" s="181"/>
      <c r="AB31" s="182">
        <f>SUM(AH31:AS31)</f>
        <v>14987995.473220017</v>
      </c>
      <c r="AC31" s="182">
        <f>SUM(AT31:BE31)</f>
        <v>15070158.104417343</v>
      </c>
      <c r="AD31" s="182">
        <f>SUM(BF31:BQ31)</f>
        <v>15013144.373565374</v>
      </c>
      <c r="AE31" s="182">
        <f>SUM(BR31:CC31)</f>
        <v>14946335.265957752</v>
      </c>
      <c r="AF31" s="182">
        <f>SUM(CD31:CO31)</f>
        <v>15440352.074610243</v>
      </c>
      <c r="AH31" s="168">
        <v>1349521.3100839802</v>
      </c>
      <c r="AI31" s="168">
        <v>998433.68865364487</v>
      </c>
      <c r="AJ31" s="168">
        <v>1070175.7267304664</v>
      </c>
      <c r="AK31" s="168">
        <v>1090211.371000106</v>
      </c>
      <c r="AL31" s="168">
        <v>1264749.2062485528</v>
      </c>
      <c r="AM31" s="168">
        <v>1345825.2949063445</v>
      </c>
      <c r="AN31" s="168">
        <v>1318345.1304139977</v>
      </c>
      <c r="AO31" s="168">
        <v>1411748.6277431981</v>
      </c>
      <c r="AP31" s="168">
        <v>1426400.1763021729</v>
      </c>
      <c r="AQ31" s="168">
        <v>1461511.3692986062</v>
      </c>
      <c r="AR31" s="168">
        <v>1162192.2166807102</v>
      </c>
      <c r="AS31" s="168">
        <v>1088881.3551582387</v>
      </c>
      <c r="AT31" s="168">
        <v>1312974.5634247565</v>
      </c>
      <c r="AU31" s="168">
        <v>1089061.5338510454</v>
      </c>
      <c r="AV31" s="168">
        <v>1035125.9280180109</v>
      </c>
      <c r="AW31" s="168">
        <v>1129907.8645380577</v>
      </c>
      <c r="AX31" s="168">
        <v>1268459.7676146461</v>
      </c>
      <c r="AY31" s="168">
        <v>1279759.3262698518</v>
      </c>
      <c r="AZ31" s="168">
        <v>1371546.4336380993</v>
      </c>
      <c r="BA31" s="168">
        <v>1384991.6330856672</v>
      </c>
      <c r="BB31" s="168">
        <v>1432298.0486183902</v>
      </c>
      <c r="BC31" s="168">
        <v>1508463.256931965</v>
      </c>
      <c r="BD31" s="168">
        <v>1167342.1752888064</v>
      </c>
      <c r="BE31" s="168">
        <v>1090227.5731380442</v>
      </c>
      <c r="BF31" s="168">
        <v>1244856.8551657491</v>
      </c>
      <c r="BG31" s="168">
        <v>1107083.5880324915</v>
      </c>
      <c r="BH31" s="168">
        <v>1061222.1541909911</v>
      </c>
      <c r="BI31" s="168">
        <v>1070545.9829492178</v>
      </c>
      <c r="BJ31" s="168">
        <v>1254337.6680893656</v>
      </c>
      <c r="BK31" s="168">
        <v>1307320.9147047503</v>
      </c>
      <c r="BL31" s="168">
        <v>1371467.9402417501</v>
      </c>
      <c r="BM31" s="168">
        <v>1397257.6062328261</v>
      </c>
      <c r="BN31" s="168">
        <v>1429598.930002894</v>
      </c>
      <c r="BO31" s="168">
        <v>1464166.4249993437</v>
      </c>
      <c r="BP31" s="168">
        <v>1151283.1195119726</v>
      </c>
      <c r="BQ31" s="168">
        <v>1154003.1894440216</v>
      </c>
      <c r="BR31" s="168">
        <v>1233292.3866749797</v>
      </c>
      <c r="BS31" s="168">
        <v>1061144.1089033578</v>
      </c>
      <c r="BT31" s="168">
        <v>1082757.6152831407</v>
      </c>
      <c r="BU31" s="168">
        <v>1101831.9726066822</v>
      </c>
      <c r="BV31" s="168">
        <v>1170490.1258331609</v>
      </c>
      <c r="BW31" s="168">
        <v>1340041.7159403192</v>
      </c>
      <c r="BX31" s="168">
        <v>1401116.4797399039</v>
      </c>
      <c r="BY31" s="168">
        <v>1404580.527448941</v>
      </c>
      <c r="BZ31" s="168">
        <v>1423881.7026463861</v>
      </c>
      <c r="CA31" s="168">
        <v>1477955.6781624062</v>
      </c>
      <c r="CB31" s="168">
        <v>1150481.0944804365</v>
      </c>
      <c r="CC31" s="168">
        <v>1098761.8582380398</v>
      </c>
      <c r="CD31" s="168">
        <v>1291229.6005704643</v>
      </c>
      <c r="CE31" s="168">
        <v>1057700.9506949368</v>
      </c>
      <c r="CF31" s="168">
        <v>1028274.6829603468</v>
      </c>
      <c r="CG31" s="168">
        <v>1176689.6849928589</v>
      </c>
      <c r="CH31" s="168">
        <v>1258932.8366042154</v>
      </c>
      <c r="CI31" s="168">
        <v>1325411.7155332258</v>
      </c>
      <c r="CJ31" s="168">
        <v>1421940.6537261424</v>
      </c>
      <c r="CK31" s="168">
        <v>1441073.4124573357</v>
      </c>
      <c r="CL31" s="168">
        <v>1521195.7408981293</v>
      </c>
      <c r="CM31" s="168">
        <v>1526697.3336581797</v>
      </c>
      <c r="CN31" s="168">
        <v>1236759.6323954361</v>
      </c>
      <c r="CO31" s="168">
        <v>1154445.8301189742</v>
      </c>
    </row>
    <row r="32" spans="1:94" x14ac:dyDescent="0.2">
      <c r="A32" s="118">
        <f t="shared" si="0"/>
        <v>19</v>
      </c>
      <c r="B32" s="198" t="s">
        <v>349</v>
      </c>
      <c r="C32" s="143"/>
      <c r="D32" s="172">
        <f>SUMIFS($AH32:$CO32,AH$6:CO$6,1,AH$23:CO$23,2)</f>
        <v>4980915.7878168188</v>
      </c>
      <c r="E32" s="166" t="s">
        <v>555</v>
      </c>
      <c r="F32" s="183">
        <v>91.56</v>
      </c>
      <c r="G32" s="142" t="s">
        <v>375</v>
      </c>
      <c r="H32" s="174">
        <f>ROUND(D32*F32,2)</f>
        <v>456052649.52999997</v>
      </c>
      <c r="I32" s="162"/>
      <c r="J32" s="185">
        <f>SUMIFS($AH32:$CO32,$AH$6:$CO$6,1,$AH$23:$CO$23,2)</f>
        <v>4980915.7878168188</v>
      </c>
      <c r="K32" s="166" t="s">
        <v>555</v>
      </c>
      <c r="L32" s="183">
        <f>'Exhibit MJC-3 - E-13c cal yr'!L34</f>
        <v>94.03</v>
      </c>
      <c r="M32" s="142" t="s">
        <v>375</v>
      </c>
      <c r="N32" s="174">
        <f>ROUND(J32*L32,2)</f>
        <v>468355511.52999997</v>
      </c>
      <c r="Q32" s="1022"/>
      <c r="S32" s="182"/>
      <c r="U32" s="178" t="s">
        <v>135</v>
      </c>
      <c r="V32" s="179">
        <v>264</v>
      </c>
      <c r="W32" s="180">
        <v>186</v>
      </c>
      <c r="Y32" s="178"/>
      <c r="Z32" s="181"/>
      <c r="AB32" s="182">
        <f>SUM(AH32:AS32)</f>
        <v>5861703.6245576572</v>
      </c>
      <c r="AC32" s="182">
        <f>SUM(AT32:BE32)</f>
        <v>5881721.880669564</v>
      </c>
      <c r="AD32" s="182">
        <f>SUM(BF32:BQ32)</f>
        <v>5870705.838589102</v>
      </c>
      <c r="AE32" s="182">
        <f>SUM(BR32:CC32)</f>
        <v>5870584.6471353546</v>
      </c>
      <c r="AF32" s="182">
        <f>SUM(CD32:CO32)</f>
        <v>6055540.6666690279</v>
      </c>
      <c r="AH32" s="168">
        <v>377723.74317184283</v>
      </c>
      <c r="AI32" s="168">
        <v>270931.40528787987</v>
      </c>
      <c r="AJ32" s="168">
        <v>232607.24294336492</v>
      </c>
      <c r="AK32" s="168">
        <v>283620.74474470172</v>
      </c>
      <c r="AL32" s="168">
        <v>408440.32671771653</v>
      </c>
      <c r="AM32" s="168">
        <v>741827.7094499463</v>
      </c>
      <c r="AN32" s="168">
        <v>851231.78130831919</v>
      </c>
      <c r="AO32" s="168">
        <v>865546.64991835866</v>
      </c>
      <c r="AP32" s="168">
        <v>800452.9911470206</v>
      </c>
      <c r="AQ32" s="168">
        <v>475145.35383805388</v>
      </c>
      <c r="AR32" s="168">
        <v>299953.79961426568</v>
      </c>
      <c r="AS32" s="168">
        <v>254221.87641618701</v>
      </c>
      <c r="AT32" s="168">
        <v>367494.50570391724</v>
      </c>
      <c r="AU32" s="168">
        <v>295523.85417715396</v>
      </c>
      <c r="AV32" s="168">
        <v>224989.02021546566</v>
      </c>
      <c r="AW32" s="168">
        <v>293947.86970456975</v>
      </c>
      <c r="AX32" s="168">
        <v>409638.62191267352</v>
      </c>
      <c r="AY32" s="168">
        <v>705411.71521080402</v>
      </c>
      <c r="AZ32" s="168">
        <v>885582.90763072227</v>
      </c>
      <c r="BA32" s="168">
        <v>849141.86890239862</v>
      </c>
      <c r="BB32" s="168">
        <v>803762.70017212606</v>
      </c>
      <c r="BC32" s="168">
        <v>490409.66975892364</v>
      </c>
      <c r="BD32" s="168">
        <v>301282.96843004605</v>
      </c>
      <c r="BE32" s="168">
        <v>254536.17885076365</v>
      </c>
      <c r="BF32" s="168">
        <v>348428.72619556793</v>
      </c>
      <c r="BG32" s="168">
        <v>300414.25453227188</v>
      </c>
      <c r="BH32" s="168">
        <v>230661.14589511327</v>
      </c>
      <c r="BI32" s="168">
        <v>278504.75333876919</v>
      </c>
      <c r="BJ32" s="168">
        <v>405078.00632537092</v>
      </c>
      <c r="BK32" s="168">
        <v>720603.8431154039</v>
      </c>
      <c r="BL32" s="168">
        <v>885532.2258539598</v>
      </c>
      <c r="BM32" s="168">
        <v>856662.16802426416</v>
      </c>
      <c r="BN32" s="168">
        <v>802248.03577069868</v>
      </c>
      <c r="BO32" s="168">
        <v>476008.52699351974</v>
      </c>
      <c r="BP32" s="168">
        <v>297138.23683630308</v>
      </c>
      <c r="BQ32" s="168">
        <v>269425.91570785973</v>
      </c>
      <c r="BR32" s="168">
        <v>345191.89377692732</v>
      </c>
      <c r="BS32" s="168">
        <v>287948.28129830275</v>
      </c>
      <c r="BT32" s="168">
        <v>235341.96989909542</v>
      </c>
      <c r="BU32" s="168">
        <v>286643.86830560828</v>
      </c>
      <c r="BV32" s="168">
        <v>378000.13398166501</v>
      </c>
      <c r="BW32" s="168">
        <v>738639.76287691959</v>
      </c>
      <c r="BX32" s="168">
        <v>904675.75550182851</v>
      </c>
      <c r="BY32" s="168">
        <v>861151.86952045513</v>
      </c>
      <c r="BZ32" s="168">
        <v>799039.69927816675</v>
      </c>
      <c r="CA32" s="168">
        <v>480491.48874869937</v>
      </c>
      <c r="CB32" s="168">
        <v>296931.23970438098</v>
      </c>
      <c r="CC32" s="168">
        <v>256528.68424330599</v>
      </c>
      <c r="CD32" s="168">
        <v>361408.20776769216</v>
      </c>
      <c r="CE32" s="168">
        <v>287013.95816534245</v>
      </c>
      <c r="CF32" s="168">
        <v>223499.87298124324</v>
      </c>
      <c r="CG32" s="168">
        <v>306118.25712745258</v>
      </c>
      <c r="CH32" s="168">
        <v>406561.97810432565</v>
      </c>
      <c r="CI32" s="168">
        <v>730575.61091579811</v>
      </c>
      <c r="CJ32" s="168">
        <v>918121.55077018403</v>
      </c>
      <c r="CK32" s="168">
        <v>883525.74950457492</v>
      </c>
      <c r="CL32" s="168">
        <v>853649.41841122287</v>
      </c>
      <c r="CM32" s="168">
        <v>496337.6680078496</v>
      </c>
      <c r="CN32" s="168">
        <v>319199.13558367128</v>
      </c>
      <c r="CO32" s="168">
        <v>269529.25932967087</v>
      </c>
    </row>
    <row r="33" spans="1:93" x14ac:dyDescent="0.2">
      <c r="A33" s="118">
        <f t="shared" si="0"/>
        <v>20</v>
      </c>
      <c r="B33" s="199" t="s">
        <v>556</v>
      </c>
      <c r="C33" s="143"/>
      <c r="D33" s="188">
        <f>SUM(D31:D32)</f>
        <v>16534052.699958194</v>
      </c>
      <c r="E33" s="166"/>
      <c r="F33" s="183"/>
      <c r="G33" s="142"/>
      <c r="H33" s="174"/>
      <c r="I33" s="162"/>
      <c r="J33" s="200">
        <f>SUM(J31:J32)</f>
        <v>16534052.699958194</v>
      </c>
      <c r="K33" s="166"/>
      <c r="L33" s="183"/>
      <c r="M33" s="142"/>
      <c r="N33" s="174"/>
      <c r="S33" s="182"/>
      <c r="U33" s="184"/>
      <c r="V33" s="139"/>
      <c r="W33" s="140"/>
      <c r="Y33" s="184"/>
      <c r="Z33" s="141"/>
      <c r="AB33" s="188">
        <f>+AB31+AB32</f>
        <v>20849699.097777672</v>
      </c>
      <c r="AC33" s="188">
        <f>+AC31+AC32</f>
        <v>20951879.985086907</v>
      </c>
      <c r="AD33" s="188">
        <f>+AD31+AD32</f>
        <v>20883850.212154478</v>
      </c>
      <c r="AE33" s="188">
        <f>+AE31+AE32</f>
        <v>20816919.913093105</v>
      </c>
      <c r="AF33" s="188">
        <f>+AF31+AF32</f>
        <v>21495892.74127927</v>
      </c>
      <c r="AH33" s="188">
        <f t="shared" ref="AH33:CO33" si="4">+AH31+AH32</f>
        <v>1727245.053255823</v>
      </c>
      <c r="AI33" s="188">
        <f t="shared" si="4"/>
        <v>1269365.0939415246</v>
      </c>
      <c r="AJ33" s="188">
        <f t="shared" si="4"/>
        <v>1302782.9696738312</v>
      </c>
      <c r="AK33" s="188">
        <f t="shared" si="4"/>
        <v>1373832.1157448078</v>
      </c>
      <c r="AL33" s="188">
        <f t="shared" si="4"/>
        <v>1673189.5329662692</v>
      </c>
      <c r="AM33" s="188">
        <f t="shared" si="4"/>
        <v>2087653.0043562907</v>
      </c>
      <c r="AN33" s="188">
        <f t="shared" si="4"/>
        <v>2169576.9117223169</v>
      </c>
      <c r="AO33" s="188">
        <f t="shared" si="4"/>
        <v>2277295.2776615568</v>
      </c>
      <c r="AP33" s="188">
        <f t="shared" si="4"/>
        <v>2226853.1674491935</v>
      </c>
      <c r="AQ33" s="188">
        <f t="shared" si="4"/>
        <v>1936656.7231366602</v>
      </c>
      <c r="AR33" s="188">
        <f t="shared" si="4"/>
        <v>1462146.0162949758</v>
      </c>
      <c r="AS33" s="188">
        <f t="shared" si="4"/>
        <v>1343103.2315744257</v>
      </c>
      <c r="AT33" s="188">
        <f t="shared" si="4"/>
        <v>1680469.0691286738</v>
      </c>
      <c r="AU33" s="188">
        <f t="shared" si="4"/>
        <v>1384585.3880281993</v>
      </c>
      <c r="AV33" s="188">
        <f t="shared" si="4"/>
        <v>1260114.9482334766</v>
      </c>
      <c r="AW33" s="188">
        <f t="shared" si="4"/>
        <v>1423855.7342426274</v>
      </c>
      <c r="AX33" s="188">
        <f t="shared" si="4"/>
        <v>1678098.3895273197</v>
      </c>
      <c r="AY33" s="188">
        <f t="shared" si="4"/>
        <v>1985171.0414806558</v>
      </c>
      <c r="AZ33" s="188">
        <f t="shared" si="4"/>
        <v>2257129.3412688216</v>
      </c>
      <c r="BA33" s="188">
        <f t="shared" si="4"/>
        <v>2234133.5019880659</v>
      </c>
      <c r="BB33" s="188">
        <f t="shared" si="4"/>
        <v>2236060.7487905165</v>
      </c>
      <c r="BC33" s="188">
        <f t="shared" si="4"/>
        <v>1998872.9266908886</v>
      </c>
      <c r="BD33" s="188">
        <f t="shared" si="4"/>
        <v>1468625.1437188524</v>
      </c>
      <c r="BE33" s="188">
        <f t="shared" si="4"/>
        <v>1344763.7519888079</v>
      </c>
      <c r="BF33" s="188">
        <f t="shared" si="4"/>
        <v>1593285.5813613171</v>
      </c>
      <c r="BG33" s="188">
        <f t="shared" si="4"/>
        <v>1407497.8425647635</v>
      </c>
      <c r="BH33" s="188">
        <f t="shared" si="4"/>
        <v>1291883.3000861043</v>
      </c>
      <c r="BI33" s="188">
        <f t="shared" si="4"/>
        <v>1349050.7362879869</v>
      </c>
      <c r="BJ33" s="188">
        <f t="shared" si="4"/>
        <v>1659415.6744147365</v>
      </c>
      <c r="BK33" s="188">
        <f t="shared" si="4"/>
        <v>2027924.7578201541</v>
      </c>
      <c r="BL33" s="188">
        <f t="shared" si="4"/>
        <v>2257000.1660957099</v>
      </c>
      <c r="BM33" s="188">
        <f t="shared" si="4"/>
        <v>2253919.7742570904</v>
      </c>
      <c r="BN33" s="188">
        <f t="shared" si="4"/>
        <v>2231846.9657735927</v>
      </c>
      <c r="BO33" s="188">
        <f t="shared" si="4"/>
        <v>1940174.9519928633</v>
      </c>
      <c r="BP33" s="188">
        <f t="shared" si="4"/>
        <v>1448421.3563482757</v>
      </c>
      <c r="BQ33" s="188">
        <f t="shared" si="4"/>
        <v>1423429.1051518812</v>
      </c>
      <c r="BR33" s="188">
        <f t="shared" si="4"/>
        <v>1578484.2804519071</v>
      </c>
      <c r="BS33" s="188">
        <f t="shared" si="4"/>
        <v>1349092.3902016606</v>
      </c>
      <c r="BT33" s="188">
        <f t="shared" si="4"/>
        <v>1318099.585182236</v>
      </c>
      <c r="BU33" s="188">
        <f t="shared" si="4"/>
        <v>1388475.8409122904</v>
      </c>
      <c r="BV33" s="188">
        <f t="shared" si="4"/>
        <v>1548490.2598148258</v>
      </c>
      <c r="BW33" s="188">
        <f t="shared" si="4"/>
        <v>2078681.4788172389</v>
      </c>
      <c r="BX33" s="188">
        <f t="shared" si="4"/>
        <v>2305792.2352417326</v>
      </c>
      <c r="BY33" s="188">
        <f t="shared" si="4"/>
        <v>2265732.3969693962</v>
      </c>
      <c r="BZ33" s="188">
        <f t="shared" si="4"/>
        <v>2222921.4019245529</v>
      </c>
      <c r="CA33" s="188">
        <f t="shared" si="4"/>
        <v>1958447.1669111056</v>
      </c>
      <c r="CB33" s="188">
        <f t="shared" si="4"/>
        <v>1447412.3341848175</v>
      </c>
      <c r="CC33" s="188">
        <f t="shared" si="4"/>
        <v>1355290.5424813458</v>
      </c>
      <c r="CD33" s="188">
        <f t="shared" si="4"/>
        <v>1652637.8083381564</v>
      </c>
      <c r="CE33" s="188">
        <f t="shared" si="4"/>
        <v>1344714.9088602792</v>
      </c>
      <c r="CF33" s="188">
        <f t="shared" si="4"/>
        <v>1251774.5559415901</v>
      </c>
      <c r="CG33" s="188">
        <f t="shared" si="4"/>
        <v>1482807.9421203115</v>
      </c>
      <c r="CH33" s="188">
        <f t="shared" si="4"/>
        <v>1665494.8147085411</v>
      </c>
      <c r="CI33" s="188">
        <f t="shared" si="4"/>
        <v>2055987.326449024</v>
      </c>
      <c r="CJ33" s="188">
        <f t="shared" si="4"/>
        <v>2340062.2044963264</v>
      </c>
      <c r="CK33" s="188">
        <f t="shared" si="4"/>
        <v>2324599.1619619108</v>
      </c>
      <c r="CL33" s="188">
        <f t="shared" si="4"/>
        <v>2374845.1593093523</v>
      </c>
      <c r="CM33" s="188">
        <f t="shared" si="4"/>
        <v>2023035.0016660294</v>
      </c>
      <c r="CN33" s="188">
        <f t="shared" si="4"/>
        <v>1555958.7679791073</v>
      </c>
      <c r="CO33" s="188">
        <f t="shared" si="4"/>
        <v>1423975.089448645</v>
      </c>
    </row>
    <row r="34" spans="1:93" x14ac:dyDescent="0.2">
      <c r="A34" s="118">
        <f t="shared" si="0"/>
        <v>21</v>
      </c>
      <c r="B34" s="171"/>
      <c r="C34" s="143"/>
      <c r="E34" s="166"/>
      <c r="F34" s="183"/>
      <c r="G34" s="142"/>
      <c r="H34" s="1145"/>
      <c r="I34" s="162"/>
      <c r="J34" s="1136"/>
      <c r="K34" s="202"/>
      <c r="L34" s="183"/>
      <c r="N34" s="1145"/>
      <c r="P34" s="1371"/>
      <c r="U34" s="184"/>
      <c r="V34" s="139"/>
      <c r="W34" s="140"/>
      <c r="Y34" s="184"/>
      <c r="Z34" s="141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</row>
    <row r="35" spans="1:93" x14ac:dyDescent="0.2">
      <c r="A35" s="118">
        <f t="shared" si="0"/>
        <v>22</v>
      </c>
      <c r="B35" s="102" t="s">
        <v>546</v>
      </c>
      <c r="C35" s="143"/>
      <c r="D35" s="143"/>
      <c r="E35" s="166"/>
      <c r="F35" s="183"/>
      <c r="G35" s="142"/>
      <c r="H35" s="174"/>
      <c r="I35" s="162"/>
      <c r="J35" s="175"/>
      <c r="L35" s="183"/>
      <c r="N35" s="203"/>
      <c r="U35" s="184"/>
      <c r="V35" s="139"/>
      <c r="W35" s="140"/>
      <c r="Y35" s="184"/>
      <c r="Z35" s="141"/>
    </row>
    <row r="36" spans="1:93" x14ac:dyDescent="0.2">
      <c r="A36" s="118">
        <f t="shared" si="0"/>
        <v>23</v>
      </c>
      <c r="B36" s="171" t="s">
        <v>149</v>
      </c>
      <c r="C36" s="143"/>
      <c r="F36" s="197"/>
      <c r="I36" s="162"/>
      <c r="J36" s="182"/>
      <c r="L36" s="310"/>
      <c r="N36" s="174"/>
      <c r="U36" s="184"/>
      <c r="V36" s="139"/>
      <c r="W36" s="140"/>
      <c r="Y36" s="184"/>
      <c r="Z36" s="141"/>
    </row>
    <row r="37" spans="1:93" x14ac:dyDescent="0.2">
      <c r="A37" s="118">
        <f t="shared" si="0"/>
        <v>24</v>
      </c>
      <c r="B37" s="199" t="s">
        <v>559</v>
      </c>
      <c r="C37" s="143"/>
      <c r="D37" s="172">
        <f>'E-13c - prior to updates'!D37</f>
        <v>329.67553653305612</v>
      </c>
      <c r="E37" s="166" t="s">
        <v>555</v>
      </c>
      <c r="F37" s="183">
        <v>119.1</v>
      </c>
      <c r="G37" s="142" t="s">
        <v>375</v>
      </c>
      <c r="H37" s="174">
        <f>ROUND(D37*F37,2)</f>
        <v>39264.36</v>
      </c>
      <c r="I37" s="162"/>
      <c r="J37" s="172">
        <f>D37</f>
        <v>329.67553653305612</v>
      </c>
      <c r="K37" s="166" t="s">
        <v>555</v>
      </c>
      <c r="L37" s="1102">
        <f>'Exhibit MJC-3 - E-13c cal yr'!L39</f>
        <v>125.85</v>
      </c>
      <c r="M37" s="142" t="s">
        <v>375</v>
      </c>
      <c r="N37" s="174">
        <f>ROUND(J37*L37,2)</f>
        <v>41489.67</v>
      </c>
      <c r="Q37" s="1022"/>
      <c r="S37" s="927"/>
      <c r="U37" s="184" t="s">
        <v>548</v>
      </c>
      <c r="V37" s="179">
        <v>240</v>
      </c>
      <c r="W37" s="180">
        <v>214</v>
      </c>
      <c r="Y37" s="184"/>
      <c r="Z37" s="181"/>
      <c r="AB37" s="182">
        <f>SUM(AH37:AS37)</f>
        <v>329.56395031231091</v>
      </c>
      <c r="AC37" s="182">
        <f>SUM(AT37:BE37)</f>
        <v>331.45503091364225</v>
      </c>
      <c r="AD37" s="182">
        <f>SUM(BF37:BQ37)</f>
        <v>332.2643275590969</v>
      </c>
      <c r="AE37" s="182">
        <f>SUM(BR37:CC37)</f>
        <v>329.67553653305612</v>
      </c>
      <c r="AF37" s="182">
        <f>SUM(CD37:CO37)</f>
        <v>345.42013753226672</v>
      </c>
      <c r="AH37" s="168">
        <v>8.7910793188577649</v>
      </c>
      <c r="AI37" s="168">
        <v>6.7997837346381225</v>
      </c>
      <c r="AJ37" s="168">
        <v>5.5068248458420364</v>
      </c>
      <c r="AK37" s="168">
        <v>5.4847387898621038</v>
      </c>
      <c r="AL37" s="168">
        <v>12.999467131971569</v>
      </c>
      <c r="AM37" s="168">
        <v>16.265641298964432</v>
      </c>
      <c r="AN37" s="168">
        <v>17.293272977303079</v>
      </c>
      <c r="AO37" s="168">
        <v>25.214685320186945</v>
      </c>
      <c r="AP37" s="168">
        <v>104.62302972042311</v>
      </c>
      <c r="AQ37" s="168">
        <v>43.186462776032108</v>
      </c>
      <c r="AR37" s="168">
        <v>34.385797012781907</v>
      </c>
      <c r="AS37" s="168">
        <v>49.013167385447744</v>
      </c>
      <c r="AT37" s="168">
        <v>8.5530057543080904</v>
      </c>
      <c r="AU37" s="168">
        <v>7.4170002355252054</v>
      </c>
      <c r="AV37" s="168">
        <v>5.3264683888878199</v>
      </c>
      <c r="AW37" s="168">
        <v>5.6844476754237956</v>
      </c>
      <c r="AX37" s="168">
        <v>13.037605381263511</v>
      </c>
      <c r="AY37" s="168">
        <v>15.46716815986014</v>
      </c>
      <c r="AZ37" s="168">
        <v>17.991136259214514</v>
      </c>
      <c r="BA37" s="168">
        <v>24.736789193960792</v>
      </c>
      <c r="BB37" s="168">
        <v>105.05562450054047</v>
      </c>
      <c r="BC37" s="168">
        <v>44.57385256316433</v>
      </c>
      <c r="BD37" s="168">
        <v>34.538168908566931</v>
      </c>
      <c r="BE37" s="168">
        <v>49.07376389292665</v>
      </c>
      <c r="BF37" s="168">
        <v>8.1092719860088085</v>
      </c>
      <c r="BG37" s="168">
        <v>7.5397385528319978</v>
      </c>
      <c r="BH37" s="168">
        <v>5.4607522668366553</v>
      </c>
      <c r="BI37" s="168">
        <v>5.385804290067397</v>
      </c>
      <c r="BJ37" s="168">
        <v>12.892454257462578</v>
      </c>
      <c r="BK37" s="168">
        <v>15.800277451837706</v>
      </c>
      <c r="BL37" s="168">
        <v>17.990106629189214</v>
      </c>
      <c r="BM37" s="168">
        <v>24.955866901545249</v>
      </c>
      <c r="BN37" s="168">
        <v>104.8576506276964</v>
      </c>
      <c r="BO37" s="168">
        <v>43.264917495302079</v>
      </c>
      <c r="BP37" s="168">
        <v>34.063029405622842</v>
      </c>
      <c r="BQ37" s="168">
        <v>51.944457694695998</v>
      </c>
      <c r="BR37" s="168">
        <v>8.0339384888471681</v>
      </c>
      <c r="BS37" s="168">
        <v>7.2268699802768568</v>
      </c>
      <c r="BT37" s="168">
        <v>5.5715677238188759</v>
      </c>
      <c r="BU37" s="168">
        <v>5.5432008148313106</v>
      </c>
      <c r="BV37" s="168">
        <v>12.030644371145934</v>
      </c>
      <c r="BW37" s="168">
        <v>16.195740977398437</v>
      </c>
      <c r="BX37" s="168">
        <v>18.37901866374796</v>
      </c>
      <c r="BY37" s="168">
        <v>25.086658708571132</v>
      </c>
      <c r="BZ37" s="168">
        <v>104.43830572184469</v>
      </c>
      <c r="CA37" s="168">
        <v>43.672378621466073</v>
      </c>
      <c r="CB37" s="168">
        <v>34.039299880043728</v>
      </c>
      <c r="CC37" s="168">
        <v>49.457912581063979</v>
      </c>
      <c r="CD37" s="168">
        <v>8.4113542725498629</v>
      </c>
      <c r="CE37" s="168">
        <v>7.2034205199396588</v>
      </c>
      <c r="CF37" s="168">
        <v>5.2912137988554306</v>
      </c>
      <c r="CG37" s="168">
        <v>5.9198020957995716</v>
      </c>
      <c r="CH37" s="168">
        <v>12.939684761169984</v>
      </c>
      <c r="CI37" s="168">
        <v>16.018922827430437</v>
      </c>
      <c r="CJ37" s="168">
        <v>18.652177882045969</v>
      </c>
      <c r="CK37" s="168">
        <v>25.738443731648076</v>
      </c>
      <c r="CL37" s="168">
        <v>111.5760568840891</v>
      </c>
      <c r="CM37" s="168">
        <v>45.112654581632306</v>
      </c>
      <c r="CN37" s="168">
        <v>36.592024161555472</v>
      </c>
      <c r="CO37" s="168">
        <v>51.964382015550889</v>
      </c>
    </row>
    <row r="38" spans="1:93" x14ac:dyDescent="0.2">
      <c r="A38" s="118">
        <f t="shared" si="0"/>
        <v>25</v>
      </c>
      <c r="B38" s="199" t="s">
        <v>560</v>
      </c>
      <c r="C38" s="143"/>
      <c r="D38" s="172">
        <f>'E-13c - prior to updates'!D38</f>
        <v>2247.6389455353169</v>
      </c>
      <c r="E38" s="166" t="s">
        <v>555</v>
      </c>
      <c r="F38" s="183">
        <v>88.22</v>
      </c>
      <c r="G38" s="142" t="s">
        <v>375</v>
      </c>
      <c r="H38" s="174">
        <f>ROUND(D38*F38,2)</f>
        <v>198286.71</v>
      </c>
      <c r="I38" s="162"/>
      <c r="J38" s="172">
        <f>D38</f>
        <v>2247.6389455353169</v>
      </c>
      <c r="K38" s="166" t="s">
        <v>555</v>
      </c>
      <c r="L38" s="1102">
        <f>'Exhibit MJC-3 - E-13c cal yr'!L40</f>
        <v>89.89</v>
      </c>
      <c r="M38" s="142" t="s">
        <v>375</v>
      </c>
      <c r="N38" s="174">
        <f>ROUND(J38*L38,2)</f>
        <v>202040.26</v>
      </c>
      <c r="Q38" s="1022"/>
      <c r="S38" s="1102"/>
      <c r="T38" s="927"/>
      <c r="U38" s="184" t="s">
        <v>548</v>
      </c>
      <c r="V38" s="179">
        <v>240</v>
      </c>
      <c r="W38" s="180">
        <v>214</v>
      </c>
      <c r="Y38" s="184"/>
      <c r="Z38" s="181"/>
      <c r="AB38" s="182">
        <f>SUM(AH38:AS38)</f>
        <v>2254.3443625580367</v>
      </c>
      <c r="AC38" s="182">
        <f>SUM(AT38:BE38)</f>
        <v>2269.8839919461816</v>
      </c>
      <c r="AD38" s="182">
        <f>SUM(BF38:BQ38)</f>
        <v>2273.3661046706898</v>
      </c>
      <c r="AE38" s="182">
        <f>SUM(BR38:CC38)</f>
        <v>2267.4604522431864</v>
      </c>
      <c r="AF38" s="182">
        <f>SUM(CD38:CO38)</f>
        <v>2356.6889767937359</v>
      </c>
      <c r="AH38" s="168">
        <v>46.970737268564157</v>
      </c>
      <c r="AI38" s="168">
        <v>37.963567029387974</v>
      </c>
      <c r="AJ38" s="168">
        <v>48.862648246959886</v>
      </c>
      <c r="AK38" s="168">
        <v>54.908889899221975</v>
      </c>
      <c r="AL38" s="168">
        <v>74.519419723203711</v>
      </c>
      <c r="AM38" s="168">
        <v>129.38124623598088</v>
      </c>
      <c r="AN38" s="168">
        <v>293.91882830341001</v>
      </c>
      <c r="AO38" s="168">
        <v>340.69882253211739</v>
      </c>
      <c r="AP38" s="168">
        <v>329.39180059893937</v>
      </c>
      <c r="AQ38" s="168">
        <v>334.78568437405335</v>
      </c>
      <c r="AR38" s="168">
        <v>276.22643978621863</v>
      </c>
      <c r="AS38" s="168">
        <v>286.71627855997917</v>
      </c>
      <c r="AT38" s="168">
        <v>45.69871020050374</v>
      </c>
      <c r="AU38" s="168">
        <v>41.409520741667045</v>
      </c>
      <c r="AV38" s="168">
        <v>47.26232603553602</v>
      </c>
      <c r="AW38" s="168">
        <v>56.908218149725407</v>
      </c>
      <c r="AX38" s="168">
        <v>74.738047162131906</v>
      </c>
      <c r="AY38" s="168">
        <v>123.02997806742449</v>
      </c>
      <c r="AZ38" s="168">
        <v>305.77980791117932</v>
      </c>
      <c r="BA38" s="168">
        <v>334.24152808523576</v>
      </c>
      <c r="BB38" s="168">
        <v>330.75376816892231</v>
      </c>
      <c r="BC38" s="168">
        <v>345.54086573232854</v>
      </c>
      <c r="BD38" s="168">
        <v>277.45046685415383</v>
      </c>
      <c r="BE38" s="168">
        <v>287.07075483737322</v>
      </c>
      <c r="BF38" s="168">
        <v>43.327840652862847</v>
      </c>
      <c r="BG38" s="168">
        <v>42.094775525935376</v>
      </c>
      <c r="BH38" s="168">
        <v>48.453841305611462</v>
      </c>
      <c r="BI38" s="168">
        <v>53.91843551942484</v>
      </c>
      <c r="BJ38" s="168">
        <v>73.905968630911673</v>
      </c>
      <c r="BK38" s="168">
        <v>125.6796181607165</v>
      </c>
      <c r="BL38" s="168">
        <v>305.76230817870999</v>
      </c>
      <c r="BM38" s="168">
        <v>337.20168864521327</v>
      </c>
      <c r="BN38" s="168">
        <v>330.13047355948567</v>
      </c>
      <c r="BO38" s="168">
        <v>335.39387303306398</v>
      </c>
      <c r="BP38" s="168">
        <v>273.63359754467564</v>
      </c>
      <c r="BQ38" s="168">
        <v>303.86368391407848</v>
      </c>
      <c r="BR38" s="168">
        <v>42.925333773518553</v>
      </c>
      <c r="BS38" s="168">
        <v>40.348013056846618</v>
      </c>
      <c r="BT38" s="168">
        <v>49.437118756125756</v>
      </c>
      <c r="BU38" s="168">
        <v>55.494165700916163</v>
      </c>
      <c r="BV38" s="168">
        <v>68.965645155491188</v>
      </c>
      <c r="BW38" s="168">
        <v>128.82524044744306</v>
      </c>
      <c r="BX38" s="168">
        <v>312.37231021017215</v>
      </c>
      <c r="BY38" s="168">
        <v>338.96893713888727</v>
      </c>
      <c r="BZ38" s="168">
        <v>328.81022146986828</v>
      </c>
      <c r="CA38" s="168">
        <v>338.55255154503374</v>
      </c>
      <c r="CB38" s="168">
        <v>273.44297458583884</v>
      </c>
      <c r="CC38" s="168">
        <v>289.31794040304493</v>
      </c>
      <c r="CD38" s="168">
        <v>44.941866325930093</v>
      </c>
      <c r="CE38" s="168">
        <v>40.217093428509123</v>
      </c>
      <c r="CF38" s="168">
        <v>46.949508272112126</v>
      </c>
      <c r="CG38" s="168">
        <v>59.264401452309549</v>
      </c>
      <c r="CH38" s="168">
        <v>74.176717400363472</v>
      </c>
      <c r="CI38" s="168">
        <v>127.41878175457508</v>
      </c>
      <c r="CJ38" s="168">
        <v>317.01496157453789</v>
      </c>
      <c r="CK38" s="168">
        <v>347.77580452932034</v>
      </c>
      <c r="CL38" s="168">
        <v>351.28248894139523</v>
      </c>
      <c r="CM38" s="168">
        <v>349.71771169052624</v>
      </c>
      <c r="CN38" s="168">
        <v>293.94940460331691</v>
      </c>
      <c r="CO38" s="168">
        <v>303.98023682083965</v>
      </c>
    </row>
    <row r="39" spans="1:93" x14ac:dyDescent="0.2">
      <c r="A39" s="118">
        <f t="shared" si="0"/>
        <v>26</v>
      </c>
      <c r="B39" s="199" t="s">
        <v>561</v>
      </c>
      <c r="C39" s="143"/>
      <c r="D39" s="172">
        <f>'E-13c - prior to updates'!D39</f>
        <v>723.39855424550785</v>
      </c>
      <c r="E39" s="166" t="s">
        <v>555</v>
      </c>
      <c r="F39" s="183">
        <v>53.52</v>
      </c>
      <c r="G39" s="142" t="s">
        <v>375</v>
      </c>
      <c r="H39" s="174">
        <f>ROUND(D39*F39,2)</f>
        <v>38716.29</v>
      </c>
      <c r="I39" s="162"/>
      <c r="J39" s="172">
        <f>D39</f>
        <v>723.39855424550785</v>
      </c>
      <c r="K39" s="166" t="s">
        <v>555</v>
      </c>
      <c r="L39" s="1102">
        <f>'Exhibit MJC-3 - E-13c cal yr'!L41</f>
        <v>54.8</v>
      </c>
      <c r="M39" s="142" t="s">
        <v>375</v>
      </c>
      <c r="N39" s="174">
        <f>ROUND(J39*L39,2)</f>
        <v>39642.239999999998</v>
      </c>
      <c r="Q39" s="1022"/>
      <c r="S39" s="927"/>
      <c r="T39" s="927"/>
      <c r="U39" s="184" t="s">
        <v>548</v>
      </c>
      <c r="V39" s="179">
        <v>240</v>
      </c>
      <c r="W39" s="180">
        <v>214</v>
      </c>
      <c r="Y39" s="184"/>
      <c r="Z39" s="181"/>
      <c r="AB39" s="182">
        <f>SUM(AH39:AS39)</f>
        <v>703.24552862451878</v>
      </c>
      <c r="AC39" s="182">
        <f>SUM(AT39:BE39)</f>
        <v>707.27577493598665</v>
      </c>
      <c r="AD39" s="182">
        <f>SUM(BF39:BQ39)</f>
        <v>705.78501803724464</v>
      </c>
      <c r="AE39" s="182">
        <f>SUM(BR39:CC39)</f>
        <v>703.57704753763858</v>
      </c>
      <c r="AF39" s="182">
        <f>SUM(CD39:CO39)</f>
        <v>738.09255496968854</v>
      </c>
      <c r="AH39" s="168">
        <v>0</v>
      </c>
      <c r="AI39" s="168">
        <v>0</v>
      </c>
      <c r="AJ39" s="168">
        <v>2.3532491333139478</v>
      </c>
      <c r="AK39" s="168">
        <v>8.5437125190332264</v>
      </c>
      <c r="AL39" s="168">
        <v>35.605723038687557</v>
      </c>
      <c r="AM39" s="168">
        <v>41.790472036308486</v>
      </c>
      <c r="AN39" s="168">
        <v>47.12237815604977</v>
      </c>
      <c r="AO39" s="168">
        <v>71.73655542027474</v>
      </c>
      <c r="AP39" s="168">
        <v>233.08716794383511</v>
      </c>
      <c r="AQ39" s="168">
        <v>117.05313033151228</v>
      </c>
      <c r="AR39" s="168">
        <v>92.851643578424628</v>
      </c>
      <c r="AS39" s="168">
        <v>53.101496467079045</v>
      </c>
      <c r="AT39" s="168">
        <v>0</v>
      </c>
      <c r="AU39" s="168">
        <v>0</v>
      </c>
      <c r="AV39" s="168">
        <v>2.2761768297821678</v>
      </c>
      <c r="AW39" s="168">
        <v>8.8548039622373054</v>
      </c>
      <c r="AX39" s="168">
        <v>35.710184239110887</v>
      </c>
      <c r="AY39" s="168">
        <v>39.738996242753039</v>
      </c>
      <c r="AZ39" s="168">
        <v>49.023983335972218</v>
      </c>
      <c r="BA39" s="168">
        <v>70.376926239548467</v>
      </c>
      <c r="BB39" s="168">
        <v>234.0509356002899</v>
      </c>
      <c r="BC39" s="168">
        <v>120.8135290105151</v>
      </c>
      <c r="BD39" s="168">
        <v>93.263091972467691</v>
      </c>
      <c r="BE39" s="168">
        <v>53.167147503309856</v>
      </c>
      <c r="BF39" s="168">
        <v>0</v>
      </c>
      <c r="BG39" s="168">
        <v>0</v>
      </c>
      <c r="BH39" s="168">
        <v>2.3335607902761604</v>
      </c>
      <c r="BI39" s="168">
        <v>8.3895998152481877</v>
      </c>
      <c r="BJ39" s="168">
        <v>35.312613272521084</v>
      </c>
      <c r="BK39" s="168">
        <v>40.594836740865418</v>
      </c>
      <c r="BL39" s="168">
        <v>49.021177700770792</v>
      </c>
      <c r="BM39" s="168">
        <v>71.000209057157036</v>
      </c>
      <c r="BN39" s="168">
        <v>233.60987430172676</v>
      </c>
      <c r="BO39" s="168">
        <v>117.26577498656205</v>
      </c>
      <c r="BP39" s="168">
        <v>91.980077250982688</v>
      </c>
      <c r="BQ39" s="168">
        <v>56.277294121134446</v>
      </c>
      <c r="BR39" s="168">
        <v>0</v>
      </c>
      <c r="BS39" s="168">
        <v>0</v>
      </c>
      <c r="BT39" s="168">
        <v>2.3809159151260268</v>
      </c>
      <c r="BU39" s="168">
        <v>8.6347802532962845</v>
      </c>
      <c r="BV39" s="168">
        <v>32.952103890661583</v>
      </c>
      <c r="BW39" s="168">
        <v>41.610880750601318</v>
      </c>
      <c r="BX39" s="168">
        <v>50.080922723356686</v>
      </c>
      <c r="BY39" s="168">
        <v>71.37231577171984</v>
      </c>
      <c r="BZ39" s="168">
        <v>232.67562572607522</v>
      </c>
      <c r="CA39" s="168">
        <v>118.37016273309379</v>
      </c>
      <c r="CB39" s="168">
        <v>91.916000636718451</v>
      </c>
      <c r="CC39" s="168">
        <v>53.583339136989366</v>
      </c>
      <c r="CD39" s="168">
        <v>0</v>
      </c>
      <c r="CE39" s="168">
        <v>0</v>
      </c>
      <c r="CF39" s="168">
        <v>2.2611113726881946</v>
      </c>
      <c r="CG39" s="168">
        <v>9.2214213317811478</v>
      </c>
      <c r="CH39" s="168">
        <v>35.441978285479777</v>
      </c>
      <c r="CI39" s="168">
        <v>41.15659101090197</v>
      </c>
      <c r="CJ39" s="168">
        <v>50.825253307760448</v>
      </c>
      <c r="CK39" s="168">
        <v>73.226664213365083</v>
      </c>
      <c r="CL39" s="168">
        <v>248.57765234814121</v>
      </c>
      <c r="CM39" s="168">
        <v>122.27390475876035</v>
      </c>
      <c r="CN39" s="168">
        <v>98.809097953986097</v>
      </c>
      <c r="CO39" s="168">
        <v>56.298880386824329</v>
      </c>
    </row>
    <row r="40" spans="1:93" x14ac:dyDescent="0.2">
      <c r="A40" s="118">
        <f t="shared" si="0"/>
        <v>27</v>
      </c>
      <c r="B40" s="199" t="s">
        <v>556</v>
      </c>
      <c r="C40" s="143"/>
      <c r="D40" s="188">
        <f>SUM(D37:D39)</f>
        <v>3300.7130363138808</v>
      </c>
      <c r="E40" s="166"/>
      <c r="F40" s="183"/>
      <c r="G40" s="142"/>
      <c r="H40" s="1145"/>
      <c r="I40" s="162"/>
      <c r="J40" s="188">
        <f>SUM(J37:J39)</f>
        <v>3300.7130363138808</v>
      </c>
      <c r="K40" s="166"/>
      <c r="L40" s="183"/>
      <c r="M40" s="142"/>
      <c r="N40" s="1145"/>
      <c r="P40" s="1371"/>
      <c r="T40" s="327"/>
      <c r="U40" s="184"/>
      <c r="V40" s="139"/>
      <c r="W40" s="140"/>
      <c r="Y40" s="184"/>
      <c r="Z40" s="141"/>
      <c r="AB40" s="188">
        <f>SUM(AB37:AB39)</f>
        <v>3287.1538414948664</v>
      </c>
      <c r="AC40" s="188">
        <f>SUM(AC37:AC39)</f>
        <v>3308.6147977958103</v>
      </c>
      <c r="AD40" s="188">
        <f>SUM(AD37:AD39)</f>
        <v>3311.4154502670312</v>
      </c>
      <c r="AE40" s="188">
        <f>SUM(AE37:AE39)</f>
        <v>3300.7130363138808</v>
      </c>
      <c r="AF40" s="188">
        <f>SUM(AF37:AF39)</f>
        <v>3440.2016692956913</v>
      </c>
      <c r="AH40" s="188">
        <f t="shared" ref="AH40:CO40" si="5">SUM(AH37:AH39)</f>
        <v>55.761816587421919</v>
      </c>
      <c r="AI40" s="188">
        <f t="shared" si="5"/>
        <v>44.7633507640261</v>
      </c>
      <c r="AJ40" s="188">
        <f t="shared" si="5"/>
        <v>56.72272222611587</v>
      </c>
      <c r="AK40" s="188">
        <f t="shared" si="5"/>
        <v>68.937341208117303</v>
      </c>
      <c r="AL40" s="188">
        <f t="shared" si="5"/>
        <v>123.12460989386284</v>
      </c>
      <c r="AM40" s="188">
        <f t="shared" si="5"/>
        <v>187.43735957125381</v>
      </c>
      <c r="AN40" s="188">
        <f t="shared" si="5"/>
        <v>358.33447943676288</v>
      </c>
      <c r="AO40" s="188">
        <f t="shared" si="5"/>
        <v>437.65006327257908</v>
      </c>
      <c r="AP40" s="188">
        <f t="shared" si="5"/>
        <v>667.10199826319763</v>
      </c>
      <c r="AQ40" s="188">
        <f t="shared" si="5"/>
        <v>495.02527748159775</v>
      </c>
      <c r="AR40" s="188">
        <f t="shared" si="5"/>
        <v>403.46388037742514</v>
      </c>
      <c r="AS40" s="188">
        <f t="shared" si="5"/>
        <v>388.83094241250592</v>
      </c>
      <c r="AT40" s="188">
        <f t="shared" si="5"/>
        <v>54.251715954811829</v>
      </c>
      <c r="AU40" s="188">
        <f t="shared" si="5"/>
        <v>48.826520977192253</v>
      </c>
      <c r="AV40" s="188">
        <f t="shared" si="5"/>
        <v>54.864971254206004</v>
      </c>
      <c r="AW40" s="188">
        <f t="shared" si="5"/>
        <v>71.44746978738651</v>
      </c>
      <c r="AX40" s="188">
        <f t="shared" si="5"/>
        <v>123.4858367825063</v>
      </c>
      <c r="AY40" s="188">
        <f t="shared" si="5"/>
        <v>178.23614247003769</v>
      </c>
      <c r="AZ40" s="188">
        <f t="shared" si="5"/>
        <v>372.79492750636604</v>
      </c>
      <c r="BA40" s="188">
        <f t="shared" si="5"/>
        <v>429.35524351874506</v>
      </c>
      <c r="BB40" s="188">
        <f t="shared" si="5"/>
        <v>669.8603282697527</v>
      </c>
      <c r="BC40" s="188">
        <f t="shared" si="5"/>
        <v>510.92824730600796</v>
      </c>
      <c r="BD40" s="188">
        <f t="shared" si="5"/>
        <v>405.25172773518847</v>
      </c>
      <c r="BE40" s="188">
        <f t="shared" si="5"/>
        <v>389.31166623360974</v>
      </c>
      <c r="BF40" s="188">
        <f t="shared" si="5"/>
        <v>51.437112638871653</v>
      </c>
      <c r="BG40" s="188">
        <f t="shared" si="5"/>
        <v>49.634514078767374</v>
      </c>
      <c r="BH40" s="188">
        <f t="shared" si="5"/>
        <v>56.248154362724279</v>
      </c>
      <c r="BI40" s="188">
        <f t="shared" si="5"/>
        <v>67.69383962474042</v>
      </c>
      <c r="BJ40" s="188">
        <f t="shared" si="5"/>
        <v>122.11103616089534</v>
      </c>
      <c r="BK40" s="188">
        <f t="shared" si="5"/>
        <v>182.07473235341962</v>
      </c>
      <c r="BL40" s="188">
        <f t="shared" si="5"/>
        <v>372.77359250866999</v>
      </c>
      <c r="BM40" s="188">
        <f t="shared" si="5"/>
        <v>433.15776460391555</v>
      </c>
      <c r="BN40" s="188">
        <f t="shared" si="5"/>
        <v>668.59799848890884</v>
      </c>
      <c r="BO40" s="188">
        <f t="shared" si="5"/>
        <v>495.92456551492813</v>
      </c>
      <c r="BP40" s="188">
        <f t="shared" si="5"/>
        <v>399.67670420128115</v>
      </c>
      <c r="BQ40" s="188">
        <f t="shared" si="5"/>
        <v>412.08543572990891</v>
      </c>
      <c r="BR40" s="188">
        <f t="shared" si="5"/>
        <v>50.959272262365722</v>
      </c>
      <c r="BS40" s="188">
        <f t="shared" si="5"/>
        <v>47.574883037123477</v>
      </c>
      <c r="BT40" s="188">
        <f t="shared" si="5"/>
        <v>57.389602395070654</v>
      </c>
      <c r="BU40" s="188">
        <f t="shared" si="5"/>
        <v>69.672146769043763</v>
      </c>
      <c r="BV40" s="188">
        <f t="shared" si="5"/>
        <v>113.94839341729872</v>
      </c>
      <c r="BW40" s="188">
        <f t="shared" si="5"/>
        <v>186.63186217544282</v>
      </c>
      <c r="BX40" s="188">
        <f t="shared" si="5"/>
        <v>380.83225159727681</v>
      </c>
      <c r="BY40" s="188">
        <f t="shared" si="5"/>
        <v>435.42791161917825</v>
      </c>
      <c r="BZ40" s="188">
        <f t="shared" si="5"/>
        <v>665.92415291778821</v>
      </c>
      <c r="CA40" s="188">
        <f t="shared" si="5"/>
        <v>500.59509289959362</v>
      </c>
      <c r="CB40" s="188">
        <f t="shared" si="5"/>
        <v>399.39827510260102</v>
      </c>
      <c r="CC40" s="188">
        <f t="shared" si="5"/>
        <v>392.35919212109826</v>
      </c>
      <c r="CD40" s="188">
        <f t="shared" si="5"/>
        <v>53.353220598479957</v>
      </c>
      <c r="CE40" s="188">
        <f t="shared" si="5"/>
        <v>47.420513948448786</v>
      </c>
      <c r="CF40" s="188">
        <f t="shared" si="5"/>
        <v>54.501833443655755</v>
      </c>
      <c r="CG40" s="188">
        <f t="shared" si="5"/>
        <v>74.405624879890269</v>
      </c>
      <c r="CH40" s="188">
        <f t="shared" si="5"/>
        <v>122.55838044701323</v>
      </c>
      <c r="CI40" s="188">
        <f t="shared" si="5"/>
        <v>184.59429559290749</v>
      </c>
      <c r="CJ40" s="188">
        <f t="shared" si="5"/>
        <v>386.49239276434434</v>
      </c>
      <c r="CK40" s="188">
        <f t="shared" si="5"/>
        <v>446.74091247433353</v>
      </c>
      <c r="CL40" s="188">
        <f t="shared" si="5"/>
        <v>711.4361981736256</v>
      </c>
      <c r="CM40" s="188">
        <f t="shared" si="5"/>
        <v>517.10427103091888</v>
      </c>
      <c r="CN40" s="188">
        <f t="shared" si="5"/>
        <v>429.35052671885848</v>
      </c>
      <c r="CO40" s="188">
        <f t="shared" si="5"/>
        <v>412.24349922321488</v>
      </c>
    </row>
    <row r="41" spans="1:93" x14ac:dyDescent="0.2">
      <c r="A41" s="118">
        <f t="shared" si="0"/>
        <v>28</v>
      </c>
      <c r="B41" s="199"/>
      <c r="C41" s="143"/>
      <c r="D41" s="168"/>
      <c r="E41" s="166"/>
      <c r="F41" s="183"/>
      <c r="G41" s="142"/>
      <c r="H41" s="187"/>
      <c r="I41" s="162"/>
      <c r="J41" s="168"/>
      <c r="K41" s="166"/>
      <c r="L41" s="183"/>
      <c r="M41" s="142"/>
      <c r="N41" s="174"/>
      <c r="U41" s="184"/>
      <c r="V41" s="139"/>
      <c r="W41" s="140"/>
      <c r="Y41" s="184"/>
      <c r="Z41" s="141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</row>
    <row r="42" spans="1:93" x14ac:dyDescent="0.2">
      <c r="A42" s="118">
        <f t="shared" si="0"/>
        <v>29</v>
      </c>
      <c r="B42" s="199"/>
      <c r="C42" s="143" t="s">
        <v>374</v>
      </c>
      <c r="D42" s="204">
        <f>+D28+D33+D40</f>
        <v>20820220.626129419</v>
      </c>
      <c r="E42" s="166" t="s">
        <v>562</v>
      </c>
      <c r="F42" s="205">
        <f>H42/D42</f>
        <v>87.65132320402607</v>
      </c>
      <c r="G42" s="142"/>
      <c r="H42" s="206">
        <f>SUM(H26:H41)</f>
        <v>1824919887.2799997</v>
      </c>
      <c r="I42" s="162"/>
      <c r="J42" s="204">
        <f>+J28+J33+J40</f>
        <v>20820220.626129419</v>
      </c>
      <c r="K42" s="166" t="s">
        <v>562</v>
      </c>
      <c r="L42" s="205">
        <f>N42/J42</f>
        <v>90.108136741621593</v>
      </c>
      <c r="M42" s="142"/>
      <c r="N42" s="206">
        <f>SUM(N26:N41)-N40-N34</f>
        <v>1876071287.1700001</v>
      </c>
      <c r="Q42" s="939"/>
      <c r="T42" s="327"/>
      <c r="U42" s="184"/>
      <c r="V42" s="139"/>
      <c r="W42" s="140"/>
      <c r="Y42" s="192" t="s">
        <v>135</v>
      </c>
      <c r="Z42" s="141" t="s">
        <v>141</v>
      </c>
      <c r="AB42" s="204">
        <f>+AB28+AB40</f>
        <v>20852986.251619168</v>
      </c>
      <c r="AC42" s="204">
        <f>+AC28+AC40</f>
        <v>20955188.599884704</v>
      </c>
      <c r="AD42" s="204">
        <f>+AD28+AD40</f>
        <v>20887161.627604745</v>
      </c>
      <c r="AE42" s="204">
        <f>+AE28+AE40</f>
        <v>20820220.626129419</v>
      </c>
      <c r="AF42" s="204">
        <f>+AF28+AF40</f>
        <v>21499332.942948565</v>
      </c>
      <c r="AH42" s="204">
        <f t="shared" ref="AH42:CO42" si="6">+AH28+AH40</f>
        <v>1727300.8150724105</v>
      </c>
      <c r="AI42" s="204">
        <f t="shared" si="6"/>
        <v>1269409.8572922887</v>
      </c>
      <c r="AJ42" s="204">
        <f t="shared" si="6"/>
        <v>1302839.6923960573</v>
      </c>
      <c r="AK42" s="204">
        <f t="shared" si="6"/>
        <v>1373901.0530860159</v>
      </c>
      <c r="AL42" s="204">
        <f t="shared" si="6"/>
        <v>1673312.6575761631</v>
      </c>
      <c r="AM42" s="204">
        <f t="shared" si="6"/>
        <v>2087840.4417158619</v>
      </c>
      <c r="AN42" s="204">
        <f t="shared" si="6"/>
        <v>2169935.2462017536</v>
      </c>
      <c r="AO42" s="204">
        <f t="shared" si="6"/>
        <v>2277732.9277248294</v>
      </c>
      <c r="AP42" s="204">
        <f t="shared" si="6"/>
        <v>2227520.2694474566</v>
      </c>
      <c r="AQ42" s="204">
        <f t="shared" si="6"/>
        <v>1937151.7484141418</v>
      </c>
      <c r="AR42" s="204">
        <f t="shared" si="6"/>
        <v>1462549.4801753531</v>
      </c>
      <c r="AS42" s="204">
        <f t="shared" si="6"/>
        <v>1343492.0625168383</v>
      </c>
      <c r="AT42" s="204">
        <f t="shared" si="6"/>
        <v>1680523.3208446286</v>
      </c>
      <c r="AU42" s="204">
        <f t="shared" si="6"/>
        <v>1384634.2145491764</v>
      </c>
      <c r="AV42" s="204">
        <f t="shared" si="6"/>
        <v>1260169.8132047309</v>
      </c>
      <c r="AW42" s="204">
        <f t="shared" si="6"/>
        <v>1423927.1817124148</v>
      </c>
      <c r="AX42" s="204">
        <f t="shared" si="6"/>
        <v>1678221.8753641022</v>
      </c>
      <c r="AY42" s="204">
        <f t="shared" si="6"/>
        <v>1985349.2776231258</v>
      </c>
      <c r="AZ42" s="204">
        <f t="shared" si="6"/>
        <v>2257502.1361963279</v>
      </c>
      <c r="BA42" s="204">
        <f t="shared" si="6"/>
        <v>2234562.8572315848</v>
      </c>
      <c r="BB42" s="204">
        <f t="shared" si="6"/>
        <v>2236730.6091187862</v>
      </c>
      <c r="BC42" s="204">
        <f t="shared" si="6"/>
        <v>1999383.8549381946</v>
      </c>
      <c r="BD42" s="204">
        <f t="shared" si="6"/>
        <v>1469030.3954465876</v>
      </c>
      <c r="BE42" s="204">
        <f t="shared" si="6"/>
        <v>1345153.0636550416</v>
      </c>
      <c r="BF42" s="204">
        <f t="shared" si="6"/>
        <v>1593337.018473956</v>
      </c>
      <c r="BG42" s="204">
        <f t="shared" si="6"/>
        <v>1407547.4770788422</v>
      </c>
      <c r="BH42" s="204">
        <f t="shared" si="6"/>
        <v>1291939.548240467</v>
      </c>
      <c r="BI42" s="204">
        <f t="shared" si="6"/>
        <v>1349118.4301276116</v>
      </c>
      <c r="BJ42" s="204">
        <f t="shared" si="6"/>
        <v>1659537.7854508974</v>
      </c>
      <c r="BK42" s="204">
        <f t="shared" si="6"/>
        <v>2028106.8325525075</v>
      </c>
      <c r="BL42" s="204">
        <f t="shared" si="6"/>
        <v>2257372.9396882188</v>
      </c>
      <c r="BM42" s="204">
        <f t="shared" si="6"/>
        <v>2254352.9320216943</v>
      </c>
      <c r="BN42" s="204">
        <f t="shared" si="6"/>
        <v>2232515.5637720814</v>
      </c>
      <c r="BO42" s="204">
        <f t="shared" si="6"/>
        <v>1940670.8765583783</v>
      </c>
      <c r="BP42" s="204">
        <f t="shared" si="6"/>
        <v>1448821.0330524771</v>
      </c>
      <c r="BQ42" s="204">
        <f t="shared" si="6"/>
        <v>1423841.1905876112</v>
      </c>
      <c r="BR42" s="204">
        <f t="shared" si="6"/>
        <v>1578535.2397241695</v>
      </c>
      <c r="BS42" s="204">
        <f t="shared" si="6"/>
        <v>1349139.9650846976</v>
      </c>
      <c r="BT42" s="204">
        <f t="shared" si="6"/>
        <v>1318156.974784631</v>
      </c>
      <c r="BU42" s="204">
        <f t="shared" si="6"/>
        <v>1388545.5130590594</v>
      </c>
      <c r="BV42" s="204">
        <f t="shared" si="6"/>
        <v>1548604.2082082431</v>
      </c>
      <c r="BW42" s="204">
        <f t="shared" si="6"/>
        <v>2078868.1106794144</v>
      </c>
      <c r="BX42" s="204">
        <f t="shared" si="6"/>
        <v>2306173.0674933298</v>
      </c>
      <c r="BY42" s="204">
        <f t="shared" si="6"/>
        <v>2266167.8248810153</v>
      </c>
      <c r="BZ42" s="204">
        <f t="shared" si="6"/>
        <v>2223587.3260774706</v>
      </c>
      <c r="CA42" s="204">
        <f t="shared" si="6"/>
        <v>1958947.7620040053</v>
      </c>
      <c r="CB42" s="204">
        <f t="shared" si="6"/>
        <v>1447811.73245992</v>
      </c>
      <c r="CC42" s="204">
        <f t="shared" si="6"/>
        <v>1355682.9016734669</v>
      </c>
      <c r="CD42" s="204">
        <f t="shared" si="6"/>
        <v>1652691.161558755</v>
      </c>
      <c r="CE42" s="204">
        <f t="shared" si="6"/>
        <v>1344762.3293742277</v>
      </c>
      <c r="CF42" s="204">
        <f t="shared" si="6"/>
        <v>1251829.0577750339</v>
      </c>
      <c r="CG42" s="204">
        <f t="shared" si="6"/>
        <v>1482882.3477451915</v>
      </c>
      <c r="CH42" s="204">
        <f t="shared" si="6"/>
        <v>1665617.3730889882</v>
      </c>
      <c r="CI42" s="204">
        <f t="shared" si="6"/>
        <v>2056171.920744617</v>
      </c>
      <c r="CJ42" s="204">
        <f t="shared" si="6"/>
        <v>2340448.6968890908</v>
      </c>
      <c r="CK42" s="204">
        <f t="shared" si="6"/>
        <v>2325045.902874385</v>
      </c>
      <c r="CL42" s="204">
        <f t="shared" si="6"/>
        <v>2375556.5955075258</v>
      </c>
      <c r="CM42" s="204">
        <f t="shared" si="6"/>
        <v>2023552.1059370604</v>
      </c>
      <c r="CN42" s="204">
        <f t="shared" si="6"/>
        <v>1556388.1185058262</v>
      </c>
      <c r="CO42" s="204">
        <f t="shared" si="6"/>
        <v>1424387.3329478682</v>
      </c>
    </row>
    <row r="43" spans="1:93" x14ac:dyDescent="0.2">
      <c r="A43" s="118">
        <f t="shared" si="0"/>
        <v>30</v>
      </c>
      <c r="B43" s="143"/>
      <c r="C43" s="143"/>
      <c r="D43" s="143"/>
      <c r="E43" s="166"/>
      <c r="F43" s="197"/>
      <c r="G43" s="143"/>
      <c r="H43" s="174"/>
      <c r="I43" s="162"/>
      <c r="J43" s="101" t="s">
        <v>416</v>
      </c>
      <c r="L43" s="197"/>
      <c r="M43" s="142"/>
      <c r="N43" s="203"/>
      <c r="S43" s="1068"/>
      <c r="T43" s="1292"/>
      <c r="U43" s="184"/>
      <c r="V43" s="139"/>
      <c r="W43" s="140"/>
      <c r="Y43" s="184"/>
      <c r="Z43" s="141"/>
      <c r="AB43" s="193">
        <f>SUM(AH43:AS43)</f>
        <v>0</v>
      </c>
      <c r="AC43" s="193">
        <f>SUM(AT43:BE43)</f>
        <v>0</v>
      </c>
      <c r="AD43" s="193">
        <f>SUM(BF43:BQ43)</f>
        <v>0</v>
      </c>
      <c r="AE43" s="193">
        <f>SUM(BR43:CC43)</f>
        <v>0</v>
      </c>
      <c r="AF43" s="193">
        <f>SUM(CD43:CO43)</f>
        <v>0</v>
      </c>
      <c r="AH43" s="194">
        <v>0</v>
      </c>
      <c r="AI43" s="194">
        <v>0</v>
      </c>
      <c r="AJ43" s="194">
        <v>0</v>
      </c>
      <c r="AK43" s="194">
        <v>0</v>
      </c>
      <c r="AL43" s="194">
        <v>0</v>
      </c>
      <c r="AM43" s="194">
        <v>0</v>
      </c>
      <c r="AN43" s="194">
        <v>0</v>
      </c>
      <c r="AO43" s="194">
        <v>0</v>
      </c>
      <c r="AP43" s="194">
        <v>0</v>
      </c>
      <c r="AQ43" s="194">
        <v>0</v>
      </c>
      <c r="AR43" s="194">
        <v>0</v>
      </c>
      <c r="AS43" s="194">
        <v>0</v>
      </c>
      <c r="AT43" s="194">
        <v>0</v>
      </c>
      <c r="AU43" s="194">
        <v>0</v>
      </c>
      <c r="AV43" s="194">
        <v>0</v>
      </c>
      <c r="AW43" s="194">
        <v>0</v>
      </c>
      <c r="AX43" s="194">
        <v>0</v>
      </c>
      <c r="AY43" s="194">
        <v>0</v>
      </c>
      <c r="AZ43" s="194">
        <v>0</v>
      </c>
      <c r="BA43" s="194">
        <v>0</v>
      </c>
      <c r="BB43" s="194">
        <v>0</v>
      </c>
      <c r="BC43" s="194">
        <v>0</v>
      </c>
      <c r="BD43" s="194">
        <v>0</v>
      </c>
      <c r="BE43" s="194">
        <v>0</v>
      </c>
      <c r="BF43" s="194">
        <v>0</v>
      </c>
      <c r="BG43" s="194">
        <v>0</v>
      </c>
      <c r="BH43" s="194">
        <v>0</v>
      </c>
      <c r="BI43" s="194">
        <v>0</v>
      </c>
      <c r="BJ43" s="194">
        <v>0</v>
      </c>
      <c r="BK43" s="194">
        <v>0</v>
      </c>
      <c r="BL43" s="194">
        <v>0</v>
      </c>
      <c r="BM43" s="194">
        <v>0</v>
      </c>
      <c r="BN43" s="194">
        <v>0</v>
      </c>
      <c r="BO43" s="194">
        <v>0</v>
      </c>
      <c r="BP43" s="194">
        <v>0</v>
      </c>
      <c r="BQ43" s="194">
        <v>0</v>
      </c>
      <c r="BR43" s="194">
        <v>0</v>
      </c>
      <c r="BS43" s="194">
        <v>0</v>
      </c>
      <c r="BT43" s="194">
        <v>0</v>
      </c>
      <c r="BU43" s="194">
        <v>0</v>
      </c>
      <c r="BV43" s="194">
        <v>0</v>
      </c>
      <c r="BW43" s="194">
        <v>0</v>
      </c>
      <c r="BX43" s="194">
        <v>0</v>
      </c>
      <c r="BY43" s="194">
        <v>0</v>
      </c>
      <c r="BZ43" s="194">
        <v>0</v>
      </c>
      <c r="CA43" s="194">
        <v>0</v>
      </c>
      <c r="CB43" s="194">
        <v>0</v>
      </c>
      <c r="CC43" s="194">
        <v>0</v>
      </c>
      <c r="CD43" s="194">
        <v>0</v>
      </c>
      <c r="CE43" s="194">
        <v>0</v>
      </c>
      <c r="CF43" s="194">
        <v>0</v>
      </c>
      <c r="CG43" s="194">
        <v>0</v>
      </c>
      <c r="CH43" s="194">
        <v>0</v>
      </c>
      <c r="CI43" s="194">
        <v>0</v>
      </c>
      <c r="CJ43" s="194">
        <v>0</v>
      </c>
      <c r="CK43" s="194">
        <v>0</v>
      </c>
      <c r="CL43" s="194">
        <v>0</v>
      </c>
      <c r="CM43" s="194">
        <v>0</v>
      </c>
      <c r="CN43" s="194">
        <v>0</v>
      </c>
      <c r="CO43" s="194">
        <v>0</v>
      </c>
    </row>
    <row r="44" spans="1:93" x14ac:dyDescent="0.2">
      <c r="A44" s="118">
        <f t="shared" si="0"/>
        <v>31</v>
      </c>
      <c r="B44" s="207" t="s">
        <v>563</v>
      </c>
      <c r="C44" s="143"/>
      <c r="D44" s="143"/>
      <c r="E44" s="166"/>
      <c r="F44" s="166"/>
      <c r="G44" s="143"/>
      <c r="H44" s="174"/>
      <c r="I44" s="162"/>
      <c r="J44" s="208"/>
      <c r="K44" s="166"/>
      <c r="L44" s="166"/>
      <c r="M44" s="143"/>
      <c r="N44" s="174"/>
      <c r="S44" s="1068"/>
      <c r="T44" s="177"/>
      <c r="U44" s="184"/>
      <c r="V44" s="139"/>
      <c r="W44" s="140"/>
      <c r="Y44" s="184"/>
      <c r="Z44" s="141"/>
    </row>
    <row r="45" spans="1:93" x14ac:dyDescent="0.2">
      <c r="A45" s="118">
        <f t="shared" si="0"/>
        <v>32</v>
      </c>
      <c r="B45" s="171" t="s">
        <v>564</v>
      </c>
      <c r="C45" s="143"/>
      <c r="D45" s="143"/>
      <c r="E45" s="166"/>
      <c r="F45" s="166"/>
      <c r="G45" s="143"/>
      <c r="H45" s="174">
        <f>'MFR E-5 Yr4'!J22*1000</f>
        <v>45059899.920000002</v>
      </c>
      <c r="I45" s="162"/>
      <c r="J45" s="208"/>
      <c r="K45" s="166"/>
      <c r="L45" s="166"/>
      <c r="M45" s="143"/>
      <c r="N45" s="174">
        <f>H45</f>
        <v>45059899.920000002</v>
      </c>
      <c r="S45" s="1068"/>
      <c r="T45" s="177"/>
      <c r="U45" s="184"/>
      <c r="V45" s="139"/>
      <c r="W45" s="140"/>
      <c r="Y45" s="184" t="s">
        <v>135</v>
      </c>
      <c r="Z45" s="141" t="s">
        <v>565</v>
      </c>
    </row>
    <row r="46" spans="1:93" x14ac:dyDescent="0.2">
      <c r="A46" s="118">
        <f t="shared" si="0"/>
        <v>33</v>
      </c>
      <c r="B46" s="171" t="s">
        <v>566</v>
      </c>
      <c r="C46" s="143"/>
      <c r="D46" s="143"/>
      <c r="E46" s="166"/>
      <c r="F46" s="166"/>
      <c r="G46" s="143"/>
      <c r="H46" s="174">
        <f>'MFR E-5 Yr4'!J23*1000</f>
        <v>19150457.465999942</v>
      </c>
      <c r="I46" s="162"/>
      <c r="J46" s="208"/>
      <c r="K46" s="166"/>
      <c r="L46" s="166"/>
      <c r="M46" s="143"/>
      <c r="N46" s="174">
        <f t="shared" ref="N46:N47" si="7">H46</f>
        <v>19150457.465999942</v>
      </c>
      <c r="S46" s="1068"/>
      <c r="T46" s="177"/>
      <c r="U46" s="184"/>
      <c r="V46" s="139"/>
      <c r="W46" s="140"/>
      <c r="Y46" s="184" t="s">
        <v>135</v>
      </c>
      <c r="Z46" s="141" t="s">
        <v>565</v>
      </c>
    </row>
    <row r="47" spans="1:93" x14ac:dyDescent="0.2">
      <c r="A47" s="118">
        <f t="shared" si="0"/>
        <v>34</v>
      </c>
      <c r="B47" s="171" t="s">
        <v>567</v>
      </c>
      <c r="C47" s="143"/>
      <c r="D47" s="143"/>
      <c r="E47" s="166"/>
      <c r="F47" s="166"/>
      <c r="G47" s="143"/>
      <c r="H47" s="174">
        <f>'MFR E-5 Yr4'!J21*1000</f>
        <v>1201989.332713814</v>
      </c>
      <c r="I47" s="162"/>
      <c r="J47" s="208"/>
      <c r="K47" s="166"/>
      <c r="L47" s="166"/>
      <c r="M47" s="143"/>
      <c r="N47" s="174">
        <f t="shared" si="7"/>
        <v>1201989.332713814</v>
      </c>
      <c r="S47" s="1068"/>
      <c r="T47" s="177"/>
      <c r="U47" s="184"/>
      <c r="V47" s="139"/>
      <c r="W47" s="140"/>
      <c r="Y47" s="184" t="s">
        <v>135</v>
      </c>
      <c r="Z47" s="141" t="s">
        <v>568</v>
      </c>
    </row>
    <row r="48" spans="1:93" x14ac:dyDescent="0.2">
      <c r="A48" s="118">
        <f t="shared" si="0"/>
        <v>35</v>
      </c>
      <c r="B48" s="171" t="s">
        <v>158</v>
      </c>
      <c r="C48" s="143"/>
      <c r="D48" s="143"/>
      <c r="E48" s="166"/>
      <c r="F48" s="166"/>
      <c r="G48" s="143"/>
      <c r="H48" s="174">
        <f>'MFR E-5 Yr4'!J19*1000</f>
        <v>12642725</v>
      </c>
      <c r="I48" s="162"/>
      <c r="J48" s="208"/>
      <c r="K48" s="166"/>
      <c r="L48" s="166"/>
      <c r="M48" s="143"/>
      <c r="N48" s="174">
        <f>H48</f>
        <v>12642725</v>
      </c>
      <c r="T48" s="927"/>
      <c r="U48" s="184"/>
      <c r="V48" s="139"/>
      <c r="W48" s="140"/>
      <c r="Y48" s="184" t="s">
        <v>135</v>
      </c>
      <c r="Z48" s="141" t="s">
        <v>569</v>
      </c>
    </row>
    <row r="49" spans="1:93" x14ac:dyDescent="0.2">
      <c r="A49" s="118">
        <f t="shared" si="0"/>
        <v>36</v>
      </c>
      <c r="B49" s="171" t="s">
        <v>570</v>
      </c>
      <c r="C49" s="143"/>
      <c r="D49" s="172">
        <f>'Exhibit MJC-3 - E-13c cal yr'!D51</f>
        <v>14211</v>
      </c>
      <c r="E49" s="166" t="s">
        <v>545</v>
      </c>
      <c r="F49" s="205">
        <f>'Exhibit MJC-3 - E-13c cal yr'!F51</f>
        <v>-90</v>
      </c>
      <c r="G49" s="143"/>
      <c r="H49" s="174">
        <f>'MFR E-5 Yr4'!J20*1000</f>
        <v>-1278968</v>
      </c>
      <c r="I49" s="162"/>
      <c r="J49" s="172">
        <f>'Exhibit MJC-3 - E-13c cal yr'!J51</f>
        <v>14211</v>
      </c>
      <c r="K49" s="166" t="s">
        <v>545</v>
      </c>
      <c r="L49" s="205">
        <f>'Exhibit MJC-3 - E-13c cal yr'!L51</f>
        <v>-90</v>
      </c>
      <c r="M49" s="143"/>
      <c r="N49" s="203">
        <f>H49</f>
        <v>-1278968</v>
      </c>
      <c r="S49" s="1068"/>
      <c r="T49" s="934"/>
      <c r="U49" s="184"/>
      <c r="V49" s="139"/>
      <c r="W49" s="140"/>
      <c r="Y49" s="184" t="s">
        <v>135</v>
      </c>
      <c r="Z49" s="141" t="s">
        <v>571</v>
      </c>
      <c r="AB49" s="101">
        <v>91.38</v>
      </c>
      <c r="AC49" s="101">
        <f>AB49/AB50</f>
        <v>1.2049050632911391</v>
      </c>
    </row>
    <row r="50" spans="1:93" ht="10.8" thickBot="1" x14ac:dyDescent="0.25">
      <c r="A50" s="118">
        <f t="shared" si="0"/>
        <v>37</v>
      </c>
      <c r="B50" s="207" t="s">
        <v>572</v>
      </c>
      <c r="C50" s="143"/>
      <c r="D50" s="143"/>
      <c r="E50" s="166"/>
      <c r="F50" s="209" t="s">
        <v>416</v>
      </c>
      <c r="G50" s="143"/>
      <c r="H50" s="210">
        <f>H21+H42+H45+H46+H47+H48+H49</f>
        <v>2224104164.9887133</v>
      </c>
      <c r="I50" s="162"/>
      <c r="J50" s="143"/>
      <c r="K50" s="166"/>
      <c r="L50" s="209" t="s">
        <v>416</v>
      </c>
      <c r="M50" s="143"/>
      <c r="N50" s="210">
        <f>N21+N42+N45+N46+N47+N48+N49</f>
        <v>2281113586.8887138</v>
      </c>
      <c r="P50" s="1238"/>
      <c r="Q50" s="939">
        <f>(N50-H50)/H50</f>
        <v>2.5632532323543344E-2</v>
      </c>
      <c r="S50" s="1068"/>
      <c r="T50" s="177"/>
      <c r="U50" s="184"/>
      <c r="V50" s="139"/>
      <c r="W50" s="140"/>
      <c r="Y50" s="192" t="s">
        <v>135</v>
      </c>
      <c r="Z50" s="141" t="s">
        <v>121</v>
      </c>
      <c r="AB50" s="101">
        <v>75.84</v>
      </c>
    </row>
    <row r="51" spans="1:93" ht="10.8" thickTop="1" x14ac:dyDescent="0.2">
      <c r="A51" s="118">
        <f t="shared" si="0"/>
        <v>38</v>
      </c>
      <c r="B51" s="143"/>
      <c r="C51" s="143"/>
      <c r="D51" s="143"/>
      <c r="E51" s="166"/>
      <c r="F51" s="166"/>
      <c r="G51" s="143"/>
      <c r="H51" s="143"/>
      <c r="I51" s="162"/>
      <c r="J51" s="143"/>
      <c r="K51" s="166"/>
      <c r="L51" s="166"/>
      <c r="M51" s="143"/>
      <c r="N51" s="174"/>
      <c r="S51" s="1068"/>
      <c r="T51" s="177"/>
      <c r="U51" s="184"/>
      <c r="V51" s="139"/>
      <c r="W51" s="140"/>
      <c r="Y51" s="184"/>
      <c r="Z51" s="141"/>
      <c r="AB51" s="101">
        <v>43.440000000000005</v>
      </c>
      <c r="AC51" s="101">
        <f>AB51/AB50</f>
        <v>0.57278481012658233</v>
      </c>
    </row>
    <row r="52" spans="1:93" x14ac:dyDescent="0.2">
      <c r="A52" s="118">
        <f t="shared" si="0"/>
        <v>39</v>
      </c>
      <c r="B52" s="102"/>
      <c r="C52" s="143"/>
      <c r="D52" s="142"/>
      <c r="E52" s="142"/>
      <c r="F52" s="142"/>
      <c r="G52" s="143"/>
      <c r="H52" s="211"/>
      <c r="I52" s="162"/>
      <c r="J52" s="171" t="s">
        <v>573</v>
      </c>
      <c r="K52" s="166"/>
      <c r="L52" s="166"/>
      <c r="M52" s="143"/>
      <c r="N52" s="174">
        <f>N50-H50</f>
        <v>57009421.900000572</v>
      </c>
      <c r="S52" s="1068"/>
      <c r="T52" s="177"/>
      <c r="U52" s="184"/>
      <c r="V52" s="139"/>
      <c r="W52" s="140"/>
      <c r="Y52" s="184"/>
      <c r="Z52" s="141"/>
    </row>
    <row r="53" spans="1:93" x14ac:dyDescent="0.2">
      <c r="A53" s="118">
        <f t="shared" si="0"/>
        <v>40</v>
      </c>
      <c r="B53" s="143"/>
      <c r="C53" s="143"/>
      <c r="D53" s="1145"/>
      <c r="E53" s="1145"/>
      <c r="F53" s="1282"/>
      <c r="G53" s="143"/>
      <c r="H53" s="211"/>
      <c r="I53" s="162"/>
      <c r="J53" s="171"/>
      <c r="K53" s="166"/>
      <c r="L53" s="166"/>
      <c r="M53" s="143"/>
      <c r="N53" s="212"/>
      <c r="S53" s="1068"/>
      <c r="T53" s="177"/>
      <c r="U53" s="298"/>
      <c r="V53" s="253"/>
      <c r="W53" s="254"/>
      <c r="Y53" s="298"/>
      <c r="Z53" s="255"/>
    </row>
    <row r="54" spans="1:93" x14ac:dyDescent="0.2">
      <c r="A54" s="215"/>
      <c r="B54" s="215" t="s">
        <v>674</v>
      </c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 t="s">
        <v>675</v>
      </c>
      <c r="O54" s="215"/>
      <c r="P54" s="215"/>
      <c r="Q54" s="215"/>
      <c r="Y54" s="101"/>
    </row>
    <row r="55" spans="1:93" x14ac:dyDescent="0.2">
      <c r="A55" s="216"/>
      <c r="B55" s="216"/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7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</row>
    <row r="56" spans="1:93" x14ac:dyDescent="0.2">
      <c r="A56" s="100" t="s">
        <v>505</v>
      </c>
      <c r="C56" s="102"/>
      <c r="D56" s="103"/>
      <c r="F56" s="104"/>
      <c r="G56" s="104"/>
      <c r="H56" s="102" t="s">
        <v>506</v>
      </c>
      <c r="I56" s="104"/>
      <c r="J56" s="104"/>
      <c r="K56" s="104"/>
      <c r="L56" s="104"/>
      <c r="N56" s="105"/>
      <c r="Q56" s="106" t="s">
        <v>576</v>
      </c>
      <c r="R56" s="105"/>
      <c r="S56" s="105"/>
      <c r="T56" s="114"/>
      <c r="U56" s="114"/>
      <c r="V56" s="114"/>
      <c r="W56" s="114"/>
      <c r="X56" s="114"/>
      <c r="Y56" s="114"/>
      <c r="Z56" s="218"/>
      <c r="AA56" s="114"/>
      <c r="AE56" s="114"/>
    </row>
    <row r="57" spans="1:93" ht="10.8" thickBot="1" x14ac:dyDescent="0.25">
      <c r="A57" s="108"/>
      <c r="B57" s="109"/>
      <c r="C57" s="109"/>
      <c r="D57" s="109"/>
      <c r="E57" s="110" t="s">
        <v>416</v>
      </c>
      <c r="F57" s="110" t="s">
        <v>416</v>
      </c>
      <c r="G57" s="109" t="s">
        <v>416</v>
      </c>
      <c r="H57" s="109" t="s">
        <v>416</v>
      </c>
      <c r="I57" s="109" t="s">
        <v>416</v>
      </c>
      <c r="J57" s="109"/>
      <c r="K57" s="109"/>
      <c r="L57" s="110" t="s">
        <v>416</v>
      </c>
      <c r="M57" s="111"/>
      <c r="N57" s="111"/>
      <c r="O57" s="109"/>
      <c r="P57" s="112"/>
      <c r="Q57" s="109"/>
      <c r="T57" s="114"/>
      <c r="U57" s="114"/>
      <c r="V57" s="114"/>
      <c r="W57" s="114"/>
      <c r="X57" s="114"/>
      <c r="Y57" s="114"/>
      <c r="Z57" s="218"/>
      <c r="AA57" s="114"/>
      <c r="AE57" s="114"/>
    </row>
    <row r="58" spans="1:93" x14ac:dyDescent="0.2">
      <c r="A58" s="113"/>
      <c r="M58" s="105"/>
      <c r="N58" s="105"/>
      <c r="P58" s="114"/>
      <c r="T58" s="114"/>
      <c r="U58" s="114"/>
      <c r="V58" s="114"/>
      <c r="W58" s="114"/>
      <c r="X58" s="114"/>
      <c r="Y58" s="114"/>
      <c r="Z58" s="218"/>
      <c r="AA58" s="114"/>
      <c r="AE58" s="114"/>
    </row>
    <row r="59" spans="1:93" x14ac:dyDescent="0.2">
      <c r="A59" s="100" t="s">
        <v>3</v>
      </c>
      <c r="D59" s="106" t="s">
        <v>4</v>
      </c>
      <c r="E59" s="101" t="s">
        <v>508</v>
      </c>
      <c r="O59" s="100" t="s">
        <v>6</v>
      </c>
      <c r="T59" s="114"/>
      <c r="U59" s="114"/>
      <c r="V59" s="114"/>
      <c r="W59" s="114"/>
      <c r="X59" s="114"/>
      <c r="Y59" s="114"/>
      <c r="Z59" s="218"/>
      <c r="AA59" s="114"/>
      <c r="AE59" s="114"/>
    </row>
    <row r="60" spans="1:93" x14ac:dyDescent="0.2">
      <c r="E60" s="101" t="s">
        <v>509</v>
      </c>
      <c r="T60" s="114"/>
      <c r="U60" s="114"/>
      <c r="V60" s="114"/>
      <c r="W60" s="114"/>
      <c r="X60" s="114"/>
      <c r="Y60" s="114"/>
      <c r="Z60" s="218"/>
      <c r="AA60" s="114"/>
      <c r="AE60" s="114"/>
    </row>
    <row r="61" spans="1:93" x14ac:dyDescent="0.2">
      <c r="A61" s="100" t="s">
        <v>9</v>
      </c>
      <c r="E61" s="101" t="s">
        <v>510</v>
      </c>
      <c r="O61" s="101" t="str">
        <f>O6</f>
        <v>__X__  Projected Test Year Ended 12/31/26</v>
      </c>
      <c r="T61" s="114"/>
      <c r="U61" s="114"/>
      <c r="V61" s="114"/>
      <c r="W61" s="114"/>
      <c r="X61" s="114"/>
      <c r="Y61" s="114"/>
      <c r="Z61" s="218"/>
      <c r="AA61" s="114"/>
      <c r="AE61" s="114"/>
    </row>
    <row r="62" spans="1:93" x14ac:dyDescent="0.2">
      <c r="E62" s="101" t="s">
        <v>512</v>
      </c>
      <c r="T62" s="114"/>
      <c r="U62" s="114"/>
      <c r="V62" s="114"/>
      <c r="W62" s="114"/>
      <c r="X62" s="114"/>
      <c r="Y62" s="114"/>
      <c r="Z62" s="218"/>
      <c r="AA62" s="114"/>
      <c r="AE62" s="114"/>
    </row>
    <row r="63" spans="1:93" x14ac:dyDescent="0.2">
      <c r="A63" s="100" t="s">
        <v>491</v>
      </c>
      <c r="C63" s="119" t="str">
        <f>C8</f>
        <v>20240025-EI</v>
      </c>
      <c r="D63" s="182"/>
      <c r="F63" s="182"/>
      <c r="J63" s="182"/>
      <c r="L63" s="182"/>
      <c r="O63" s="100" t="s">
        <v>493</v>
      </c>
      <c r="T63" s="114"/>
      <c r="U63" s="114"/>
      <c r="V63" s="114"/>
      <c r="W63" s="114"/>
      <c r="X63" s="114"/>
      <c r="Y63" s="114"/>
      <c r="Z63" s="218"/>
      <c r="AA63" s="114"/>
      <c r="AE63" s="114"/>
    </row>
    <row r="64" spans="1:93" ht="10.8" thickBot="1" x14ac:dyDescent="0.25">
      <c r="A64" s="123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23"/>
      <c r="O64" s="109"/>
      <c r="P64" s="109"/>
      <c r="Q64" s="109"/>
      <c r="T64" s="114"/>
      <c r="U64" s="114"/>
      <c r="V64" s="114"/>
      <c r="W64" s="114"/>
      <c r="X64" s="114"/>
      <c r="Y64" s="114"/>
      <c r="Z64" s="218"/>
      <c r="AA64" s="114"/>
      <c r="AE64" s="114"/>
    </row>
    <row r="65" spans="1:93" ht="15.6" x14ac:dyDescent="0.2">
      <c r="B65" s="1369"/>
      <c r="C65" s="125"/>
      <c r="D65" s="125"/>
      <c r="E65" s="125"/>
      <c r="F65" s="125"/>
      <c r="G65" s="125"/>
      <c r="H65" s="125"/>
      <c r="I65" s="126" t="s">
        <v>577</v>
      </c>
      <c r="J65" s="125"/>
      <c r="K65" s="125"/>
      <c r="L65" s="125"/>
      <c r="M65" s="125"/>
      <c r="N65" s="125"/>
      <c r="U65" s="127" t="s">
        <v>530</v>
      </c>
      <c r="V65" s="128"/>
      <c r="W65" s="129"/>
      <c r="X65" s="114"/>
      <c r="Y65" s="130" t="s">
        <v>531</v>
      </c>
      <c r="Z65" s="131"/>
      <c r="AA65" s="114"/>
    </row>
    <row r="66" spans="1:93" x14ac:dyDescent="0.2">
      <c r="A66" s="101" t="s">
        <v>30</v>
      </c>
      <c r="B66" s="101" t="s">
        <v>532</v>
      </c>
      <c r="C66" s="132"/>
      <c r="D66" s="133" t="s">
        <v>533</v>
      </c>
      <c r="E66" s="134"/>
      <c r="F66" s="134"/>
      <c r="G66" s="133"/>
      <c r="H66" s="133"/>
      <c r="I66" s="135"/>
      <c r="J66" s="136" t="s">
        <v>534</v>
      </c>
      <c r="K66" s="133"/>
      <c r="L66" s="134"/>
      <c r="M66" s="134"/>
      <c r="N66" s="134"/>
      <c r="O66" s="1372"/>
      <c r="Q66" s="118" t="s">
        <v>332</v>
      </c>
      <c r="U66" s="138"/>
      <c r="V66" s="139"/>
      <c r="W66" s="140"/>
      <c r="X66" s="114"/>
      <c r="Y66" s="138"/>
      <c r="Z66" s="141"/>
      <c r="AA66" s="114"/>
    </row>
    <row r="67" spans="1:93" x14ac:dyDescent="0.2">
      <c r="A67" s="101" t="s">
        <v>39</v>
      </c>
      <c r="B67" s="102" t="s">
        <v>535</v>
      </c>
      <c r="C67" s="104"/>
      <c r="D67" s="142" t="s">
        <v>536</v>
      </c>
      <c r="E67" s="143"/>
      <c r="F67" s="142" t="s">
        <v>537</v>
      </c>
      <c r="G67" s="142"/>
      <c r="H67" s="142" t="s">
        <v>538</v>
      </c>
      <c r="I67" s="144"/>
      <c r="J67" s="142" t="s">
        <v>536</v>
      </c>
      <c r="K67" s="143"/>
      <c r="L67" s="142" t="s">
        <v>537</v>
      </c>
      <c r="M67" s="142"/>
      <c r="N67" s="142" t="s">
        <v>538</v>
      </c>
      <c r="O67" s="132"/>
      <c r="Q67" s="145" t="s">
        <v>539</v>
      </c>
      <c r="R67" s="219"/>
      <c r="S67" s="132"/>
      <c r="U67" s="138" t="s">
        <v>128</v>
      </c>
      <c r="V67" s="146" t="s">
        <v>343</v>
      </c>
      <c r="W67" s="147" t="s">
        <v>344</v>
      </c>
      <c r="X67" s="118"/>
      <c r="Y67" s="148" t="s">
        <v>128</v>
      </c>
      <c r="Z67" s="149"/>
      <c r="AA67" s="118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</row>
    <row r="68" spans="1:93" ht="10.8" thickBot="1" x14ac:dyDescent="0.25">
      <c r="A68" s="109"/>
      <c r="B68" s="1370" t="s">
        <v>136</v>
      </c>
      <c r="C68" s="150"/>
      <c r="D68" s="220" t="str">
        <f>+$D$13</f>
        <v>Jan '26-Dec '26</v>
      </c>
      <c r="E68" s="221"/>
      <c r="F68" s="152">
        <f>+$L$13</f>
        <v>46023</v>
      </c>
      <c r="G68" s="153"/>
      <c r="H68" s="153"/>
      <c r="I68" s="153"/>
      <c r="J68" s="153"/>
      <c r="K68" s="151"/>
      <c r="L68" s="152">
        <f>+$L$13</f>
        <v>46023</v>
      </c>
      <c r="M68" s="154"/>
      <c r="N68" s="154"/>
      <c r="O68" s="155"/>
      <c r="P68" s="109"/>
      <c r="Q68" s="156"/>
      <c r="R68" s="132"/>
      <c r="S68" s="132"/>
      <c r="U68" s="157" t="s">
        <v>144</v>
      </c>
      <c r="V68" s="158" t="s">
        <v>540</v>
      </c>
      <c r="W68" s="159" t="s">
        <v>540</v>
      </c>
      <c r="X68" s="118"/>
      <c r="Y68" s="160" t="s">
        <v>144</v>
      </c>
      <c r="Z68" s="159" t="s">
        <v>541</v>
      </c>
      <c r="AA68" s="118"/>
      <c r="AB68" s="118"/>
    </row>
    <row r="69" spans="1:93" x14ac:dyDescent="0.2">
      <c r="A69" s="118">
        <v>1</v>
      </c>
      <c r="B69" s="102"/>
      <c r="C69" s="104"/>
      <c r="E69" s="143"/>
      <c r="F69" s="142"/>
      <c r="G69" s="142"/>
      <c r="H69" s="142"/>
      <c r="I69" s="162"/>
      <c r="J69" s="142"/>
      <c r="K69" s="143"/>
      <c r="L69" s="142"/>
      <c r="M69" s="142"/>
      <c r="N69" s="142"/>
      <c r="O69" s="132"/>
      <c r="Q69" s="145"/>
      <c r="R69" s="132"/>
      <c r="S69" s="132"/>
      <c r="T69" s="118"/>
      <c r="U69" s="163"/>
      <c r="V69" s="139"/>
      <c r="W69" s="140"/>
      <c r="X69" s="118"/>
      <c r="Y69" s="163"/>
      <c r="Z69" s="141"/>
      <c r="AA69" s="118"/>
      <c r="AB69" s="118"/>
      <c r="AC69" s="118"/>
      <c r="AD69" s="118"/>
      <c r="AE69" s="118"/>
      <c r="AF69" s="118"/>
      <c r="AH69" s="118"/>
      <c r="AI69" s="118"/>
      <c r="AJ69" s="118"/>
      <c r="AK69" s="118"/>
      <c r="AL69" s="118"/>
      <c r="AM69" s="118"/>
      <c r="AN69" s="118"/>
      <c r="AO69" s="118"/>
      <c r="AP69" s="118"/>
      <c r="AQ69" s="118"/>
      <c r="AR69" s="118"/>
      <c r="AS69" s="118"/>
      <c r="AT69" s="118"/>
      <c r="AU69" s="118"/>
      <c r="AV69" s="118"/>
      <c r="AW69" s="118"/>
      <c r="AX69" s="118"/>
      <c r="AY69" s="118"/>
      <c r="AZ69" s="118"/>
      <c r="BA69" s="118"/>
      <c r="BB69" s="118"/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18"/>
      <c r="BP69" s="118"/>
      <c r="BQ69" s="118"/>
      <c r="BR69" s="118"/>
      <c r="BS69" s="118"/>
      <c r="BT69" s="118"/>
      <c r="BU69" s="118"/>
      <c r="BV69" s="118"/>
      <c r="BW69" s="118"/>
      <c r="BX69" s="118"/>
      <c r="BY69" s="118"/>
      <c r="BZ69" s="118"/>
      <c r="CA69" s="118"/>
      <c r="CB69" s="118"/>
      <c r="CC69" s="118"/>
      <c r="CD69" s="118"/>
      <c r="CE69" s="118"/>
      <c r="CF69" s="118"/>
      <c r="CG69" s="118"/>
      <c r="CH69" s="118"/>
      <c r="CI69" s="118"/>
      <c r="CJ69" s="118"/>
      <c r="CK69" s="118"/>
      <c r="CL69" s="118"/>
      <c r="CM69" s="118"/>
      <c r="CN69" s="118"/>
      <c r="CO69" s="118"/>
    </row>
    <row r="70" spans="1:93" x14ac:dyDescent="0.2">
      <c r="A70" s="118">
        <f t="shared" ref="A70:A112" si="8">+A69+1</f>
        <v>2</v>
      </c>
      <c r="B70" s="222" t="s">
        <v>542</v>
      </c>
      <c r="C70" s="223"/>
      <c r="D70" s="224"/>
      <c r="E70" s="225"/>
      <c r="F70" s="226"/>
      <c r="G70" s="227"/>
      <c r="H70" s="228"/>
      <c r="I70" s="229"/>
      <c r="J70" s="226"/>
      <c r="K70" s="225"/>
      <c r="L70" s="226"/>
      <c r="M70" s="227"/>
      <c r="N70" s="228"/>
      <c r="O70" s="227"/>
      <c r="P70" s="230"/>
      <c r="U70" s="163"/>
      <c r="V70" s="139"/>
      <c r="W70" s="140"/>
      <c r="Y70" s="163"/>
      <c r="Z70" s="141"/>
      <c r="AB70" s="118"/>
      <c r="AC70" s="118"/>
      <c r="AD70" s="118"/>
      <c r="AE70" s="118"/>
      <c r="AF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  <c r="BK70" s="118"/>
      <c r="BL70" s="118"/>
      <c r="BM70" s="118"/>
      <c r="BN70" s="118"/>
      <c r="BO70" s="118"/>
      <c r="BP70" s="118"/>
      <c r="BQ70" s="118"/>
      <c r="BR70" s="118"/>
      <c r="BS70" s="118"/>
      <c r="BT70" s="118"/>
      <c r="BU70" s="118"/>
      <c r="BV70" s="118"/>
      <c r="BW70" s="118"/>
      <c r="BX70" s="118"/>
      <c r="BY70" s="118"/>
      <c r="BZ70" s="118"/>
      <c r="CA70" s="118"/>
      <c r="CB70" s="118"/>
      <c r="CC70" s="118"/>
      <c r="CD70" s="118"/>
      <c r="CE70" s="118"/>
      <c r="CF70" s="118"/>
      <c r="CG70" s="118"/>
      <c r="CH70" s="118"/>
      <c r="CI70" s="118"/>
      <c r="CJ70" s="118"/>
      <c r="CK70" s="118"/>
      <c r="CL70" s="118"/>
      <c r="CM70" s="118"/>
      <c r="CN70" s="118"/>
      <c r="CO70" s="118"/>
    </row>
    <row r="71" spans="1:93" x14ac:dyDescent="0.2">
      <c r="A71" s="118">
        <f t="shared" si="8"/>
        <v>3</v>
      </c>
      <c r="B71" s="228" t="s">
        <v>543</v>
      </c>
      <c r="C71" s="223"/>
      <c r="D71" s="168"/>
      <c r="E71" s="225"/>
      <c r="F71" s="231"/>
      <c r="G71" s="223"/>
      <c r="H71" s="170"/>
      <c r="I71" s="229"/>
      <c r="J71" s="168"/>
      <c r="K71" s="225"/>
      <c r="L71" s="310"/>
      <c r="M71" s="223"/>
      <c r="N71" s="170"/>
      <c r="O71" s="227"/>
      <c r="P71" s="230"/>
      <c r="U71" s="163"/>
      <c r="V71" s="139"/>
      <c r="W71" s="140"/>
      <c r="Y71" s="163"/>
      <c r="Z71" s="141"/>
    </row>
    <row r="72" spans="1:93" x14ac:dyDescent="0.2">
      <c r="A72" s="118">
        <f t="shared" si="8"/>
        <v>4</v>
      </c>
      <c r="B72" s="232" t="s">
        <v>578</v>
      </c>
      <c r="C72" s="223"/>
      <c r="D72" s="172">
        <f>SUMIF($AH$6:$CP$6,1,$AH72:$CP72)</f>
        <v>5595.4323882179406</v>
      </c>
      <c r="E72" s="225" t="s">
        <v>545</v>
      </c>
      <c r="F72" s="183">
        <v>10.56</v>
      </c>
      <c r="G72" s="233" t="s">
        <v>375</v>
      </c>
      <c r="H72" s="174">
        <f>ROUND(D72*F72,2)</f>
        <v>59087.77</v>
      </c>
      <c r="I72" s="229"/>
      <c r="J72" s="172">
        <f>SUMIF($AH$6:$CP$6,1,$AH72:$CP72)</f>
        <v>5595.4323882179406</v>
      </c>
      <c r="K72" s="225" t="s">
        <v>545</v>
      </c>
      <c r="L72" s="173">
        <f>'Exhibit MJC-3 - E-13c cal yr'!L78</f>
        <v>10.66</v>
      </c>
      <c r="M72" s="233" t="s">
        <v>375</v>
      </c>
      <c r="N72" s="174">
        <f>ROUND(J72*L72,2)</f>
        <v>59647.31</v>
      </c>
      <c r="O72" s="227"/>
      <c r="P72" s="230"/>
      <c r="Q72" s="939"/>
      <c r="U72" s="178" t="s">
        <v>136</v>
      </c>
      <c r="V72" s="179">
        <v>241</v>
      </c>
      <c r="W72" s="180">
        <v>215</v>
      </c>
      <c r="Y72" s="178"/>
      <c r="Z72" s="181"/>
      <c r="AB72" s="182">
        <f>SUM(AH72:AS72)</f>
        <v>5397.3021116906184</v>
      </c>
      <c r="AC72" s="182">
        <f>SUM(AT72:BE72)</f>
        <v>5463.0223497089937</v>
      </c>
      <c r="AD72" s="182">
        <f>SUM(BF72:BQ72)</f>
        <v>5528.9116649821972</v>
      </c>
      <c r="AE72" s="182">
        <f>SUM(BR72:CC72)</f>
        <v>5595.4323882179406</v>
      </c>
      <c r="AF72" s="182">
        <f>SUM(CD72:CO72)</f>
        <v>5661.7423939996061</v>
      </c>
      <c r="AH72" s="168">
        <v>456.46769874814436</v>
      </c>
      <c r="AI72" s="168">
        <v>453.32623994379315</v>
      </c>
      <c r="AJ72" s="168">
        <v>449.60858540108472</v>
      </c>
      <c r="AK72" s="168">
        <v>450.04886781314087</v>
      </c>
      <c r="AL72" s="168">
        <v>448.59992906431779</v>
      </c>
      <c r="AM72" s="168">
        <v>448.9358120139317</v>
      </c>
      <c r="AN72" s="168">
        <v>449.63767703532255</v>
      </c>
      <c r="AO72" s="168">
        <v>448.48355853048815</v>
      </c>
      <c r="AP72" s="168">
        <v>446.9535355554338</v>
      </c>
      <c r="AQ72" s="168">
        <v>447.99475790518852</v>
      </c>
      <c r="AR72" s="168">
        <v>450.13869784177467</v>
      </c>
      <c r="AS72" s="168">
        <v>447.10675183799759</v>
      </c>
      <c r="AT72" s="168">
        <v>461.90681289871469</v>
      </c>
      <c r="AU72" s="168">
        <v>458.80030862618599</v>
      </c>
      <c r="AV72" s="168">
        <v>455.05942409501154</v>
      </c>
      <c r="AW72" s="168">
        <v>455.52261290951429</v>
      </c>
      <c r="AX72" s="168">
        <v>454.07074179057645</v>
      </c>
      <c r="AY72" s="168">
        <v>454.43031569969065</v>
      </c>
      <c r="AZ72" s="168">
        <v>455.15839732217694</v>
      </c>
      <c r="BA72" s="168">
        <v>453.99312682995986</v>
      </c>
      <c r="BB72" s="168">
        <v>452.43081034955679</v>
      </c>
      <c r="BC72" s="168">
        <v>453.46987593721559</v>
      </c>
      <c r="BD72" s="168">
        <v>455.62719854543826</v>
      </c>
      <c r="BE72" s="168">
        <v>452.55272470495186</v>
      </c>
      <c r="BF72" s="168">
        <v>467.52108404210088</v>
      </c>
      <c r="BG72" s="168">
        <v>464.37094680153245</v>
      </c>
      <c r="BH72" s="168">
        <v>460.57734185707153</v>
      </c>
      <c r="BI72" s="168">
        <v>461.03582123663415</v>
      </c>
      <c r="BJ72" s="168">
        <v>459.55338145189091</v>
      </c>
      <c r="BK72" s="168">
        <v>459.90785202038228</v>
      </c>
      <c r="BL72" s="168">
        <v>460.63192896193317</v>
      </c>
      <c r="BM72" s="168">
        <v>459.44710233458602</v>
      </c>
      <c r="BN72" s="168">
        <v>457.86492186585394</v>
      </c>
      <c r="BO72" s="168">
        <v>458.91360836284667</v>
      </c>
      <c r="BP72" s="168">
        <v>461.09614934034568</v>
      </c>
      <c r="BQ72" s="168">
        <v>457.99152670702028</v>
      </c>
      <c r="BR72" s="168">
        <v>473.14050731939437</v>
      </c>
      <c r="BS72" s="168">
        <v>469.95973407073694</v>
      </c>
      <c r="BT72" s="168">
        <v>466.12627059299126</v>
      </c>
      <c r="BU72" s="168">
        <v>466.59323859100965</v>
      </c>
      <c r="BV72" s="168">
        <v>465.09255831631611</v>
      </c>
      <c r="BW72" s="168">
        <v>465.45383410412325</v>
      </c>
      <c r="BX72" s="168">
        <v>466.18585058565009</v>
      </c>
      <c r="BY72" s="168">
        <v>464.98286849524925</v>
      </c>
      <c r="BZ72" s="168">
        <v>463.37305165844799</v>
      </c>
      <c r="CA72" s="168">
        <v>464.4243294979446</v>
      </c>
      <c r="CB72" s="168">
        <v>466.62397980598706</v>
      </c>
      <c r="CC72" s="168">
        <v>463.47616518009124</v>
      </c>
      <c r="CD72" s="168">
        <v>478.79340447440302</v>
      </c>
      <c r="CE72" s="168">
        <v>475.56587639067084</v>
      </c>
      <c r="CF72" s="168">
        <v>471.67730812247362</v>
      </c>
      <c r="CG72" s="168">
        <v>472.13823207478873</v>
      </c>
      <c r="CH72" s="168">
        <v>470.60550029509182</v>
      </c>
      <c r="CI72" s="168">
        <v>470.96058391245191</v>
      </c>
      <c r="CJ72" s="168">
        <v>471.68759391636297</v>
      </c>
      <c r="CK72" s="168">
        <v>470.46618023211562</v>
      </c>
      <c r="CL72" s="168">
        <v>468.84131851114171</v>
      </c>
      <c r="CM72" s="168">
        <v>469.907201846801</v>
      </c>
      <c r="CN72" s="168">
        <v>472.13730037527932</v>
      </c>
      <c r="CO72" s="168">
        <v>468.96189384802489</v>
      </c>
    </row>
    <row r="73" spans="1:93" x14ac:dyDescent="0.2">
      <c r="A73" s="118">
        <f t="shared" si="8"/>
        <v>5</v>
      </c>
      <c r="B73" s="234" t="s">
        <v>149</v>
      </c>
      <c r="C73" s="223"/>
      <c r="D73" s="172">
        <f>SUMIF($AH$6:$CP$6,1,$AH73:$CP73)</f>
        <v>1563574.3129887516</v>
      </c>
      <c r="E73" s="225" t="s">
        <v>545</v>
      </c>
      <c r="F73" s="183">
        <v>16.16</v>
      </c>
      <c r="G73" s="233" t="s">
        <v>375</v>
      </c>
      <c r="H73" s="174">
        <f>ROUND(D73*F73,2)</f>
        <v>25267360.899999999</v>
      </c>
      <c r="I73" s="229"/>
      <c r="J73" s="172">
        <f>SUMIF($AH$6:$CP$6,1,$AH73:$CP73)</f>
        <v>1563574.3129887516</v>
      </c>
      <c r="K73" s="225" t="s">
        <v>545</v>
      </c>
      <c r="L73" s="173">
        <f>'Exhibit MJC-3 - E-13c cal yr'!L79</f>
        <v>16.64</v>
      </c>
      <c r="M73" s="233" t="s">
        <v>375</v>
      </c>
      <c r="N73" s="174">
        <f>ROUND(J73*L73,2)</f>
        <v>26017876.57</v>
      </c>
      <c r="O73" s="227"/>
      <c r="Q73" s="939"/>
      <c r="S73" s="263"/>
      <c r="T73" s="197"/>
      <c r="U73" s="178" t="s">
        <v>136</v>
      </c>
      <c r="V73" s="179">
        <v>241</v>
      </c>
      <c r="W73" s="180">
        <v>215</v>
      </c>
      <c r="Y73" s="178"/>
      <c r="Z73" s="181"/>
      <c r="AB73" s="182">
        <f>SUM(AH73:AS73)</f>
        <v>1508209.2599401623</v>
      </c>
      <c r="AC73" s="182">
        <f>SUM(AT73:BE73)</f>
        <v>1526573.966879596</v>
      </c>
      <c r="AD73" s="182">
        <f>SUM(BF73:BQ73)</f>
        <v>1544985.9203648227</v>
      </c>
      <c r="AE73" s="182">
        <f>SUM(BR73:CC73)</f>
        <v>1563574.3129887516</v>
      </c>
      <c r="AF73" s="182">
        <f>SUM(CD73:CO73)</f>
        <v>1582103.8232286857</v>
      </c>
      <c r="AH73" s="168">
        <v>127554.24763500634</v>
      </c>
      <c r="AI73" s="168">
        <v>126676.40586139495</v>
      </c>
      <c r="AJ73" s="168">
        <v>125637.55332163686</v>
      </c>
      <c r="AK73" s="168">
        <v>125760.58479126936</v>
      </c>
      <c r="AL73" s="168">
        <v>125355.69679485211</v>
      </c>
      <c r="AM73" s="168">
        <v>125449.55512710413</v>
      </c>
      <c r="AN73" s="168">
        <v>125645.68261868866</v>
      </c>
      <c r="AO73" s="168">
        <v>125323.17848976668</v>
      </c>
      <c r="AP73" s="168">
        <v>124895.63251010032</v>
      </c>
      <c r="AQ73" s="168">
        <v>125186.58920606796</v>
      </c>
      <c r="AR73" s="168">
        <v>125785.68668073237</v>
      </c>
      <c r="AS73" s="168">
        <v>124938.4469035425</v>
      </c>
      <c r="AT73" s="168">
        <v>129074.14075160497</v>
      </c>
      <c r="AU73" s="168">
        <v>128206.06658919646</v>
      </c>
      <c r="AV73" s="168">
        <v>127160.72271673405</v>
      </c>
      <c r="AW73" s="168">
        <v>127290.15509696354</v>
      </c>
      <c r="AX73" s="168">
        <v>126884.44768601858</v>
      </c>
      <c r="AY73" s="168">
        <v>126984.92616362394</v>
      </c>
      <c r="AZ73" s="168">
        <v>127188.37955983974</v>
      </c>
      <c r="BA73" s="168">
        <v>126862.75914609819</v>
      </c>
      <c r="BB73" s="168">
        <v>126426.18914613519</v>
      </c>
      <c r="BC73" s="168">
        <v>126716.54316163449</v>
      </c>
      <c r="BD73" s="168">
        <v>127319.38025821875</v>
      </c>
      <c r="BE73" s="168">
        <v>126460.25660352806</v>
      </c>
      <c r="BF73" s="168">
        <v>130642.97932151366</v>
      </c>
      <c r="BG73" s="168">
        <v>129762.71246633489</v>
      </c>
      <c r="BH73" s="168">
        <v>128702.63652702481</v>
      </c>
      <c r="BI73" s="168">
        <v>128830.75291396008</v>
      </c>
      <c r="BJ73" s="168">
        <v>128416.50346777646</v>
      </c>
      <c r="BK73" s="168">
        <v>128515.5558800209</v>
      </c>
      <c r="BL73" s="168">
        <v>128717.89021772469</v>
      </c>
      <c r="BM73" s="168">
        <v>128386.80508411357</v>
      </c>
      <c r="BN73" s="168">
        <v>127944.68433851561</v>
      </c>
      <c r="BO73" s="168">
        <v>128237.72679802752</v>
      </c>
      <c r="BP73" s="168">
        <v>128847.61085571865</v>
      </c>
      <c r="BQ73" s="168">
        <v>127980.06249409202</v>
      </c>
      <c r="BR73" s="168">
        <v>132213.25759146261</v>
      </c>
      <c r="BS73" s="168">
        <v>131324.42988307768</v>
      </c>
      <c r="BT73" s="168">
        <v>130253.21597006448</v>
      </c>
      <c r="BU73" s="168">
        <v>130383.70439634353</v>
      </c>
      <c r="BV73" s="168">
        <v>129964.357871049</v>
      </c>
      <c r="BW73" s="168">
        <v>130065.31191758692</v>
      </c>
      <c r="BX73" s="168">
        <v>130269.86486145054</v>
      </c>
      <c r="BY73" s="168">
        <v>129933.70640844217</v>
      </c>
      <c r="BZ73" s="168">
        <v>129483.86302190794</v>
      </c>
      <c r="CA73" s="168">
        <v>129777.62960000338</v>
      </c>
      <c r="CB73" s="168">
        <v>130392.29464831225</v>
      </c>
      <c r="CC73" s="168">
        <v>129512.67681905125</v>
      </c>
      <c r="CD73" s="168">
        <v>133792.88972215369</v>
      </c>
      <c r="CE73" s="168">
        <v>132890.9969539023</v>
      </c>
      <c r="CF73" s="168">
        <v>131804.38468935972</v>
      </c>
      <c r="CG73" s="168">
        <v>131933.18418188844</v>
      </c>
      <c r="CH73" s="168">
        <v>131504.88126029799</v>
      </c>
      <c r="CI73" s="168">
        <v>131604.10498145962</v>
      </c>
      <c r="CJ73" s="168">
        <v>131807.25892713052</v>
      </c>
      <c r="CK73" s="168">
        <v>131465.94999339315</v>
      </c>
      <c r="CL73" s="168">
        <v>131011.90250022299</v>
      </c>
      <c r="CM73" s="168">
        <v>131309.75040341433</v>
      </c>
      <c r="CN73" s="168">
        <v>131932.9238299944</v>
      </c>
      <c r="CO73" s="168">
        <v>131045.59578546893</v>
      </c>
    </row>
    <row r="74" spans="1:93" x14ac:dyDescent="0.2">
      <c r="A74" s="118">
        <f t="shared" si="8"/>
        <v>6</v>
      </c>
      <c r="B74" s="234" t="s">
        <v>148</v>
      </c>
      <c r="C74" s="223"/>
      <c r="D74" s="172">
        <f>SUMIF($AH$6:$CP$6,1,$AH74:$CP74)</f>
        <v>1608.2327165995773</v>
      </c>
      <c r="E74" s="225" t="s">
        <v>545</v>
      </c>
      <c r="F74" s="183">
        <v>204.3</v>
      </c>
      <c r="G74" s="233" t="s">
        <v>375</v>
      </c>
      <c r="H74" s="174">
        <f>ROUND(D74*F74,2)</f>
        <v>328561.94</v>
      </c>
      <c r="I74" s="229"/>
      <c r="J74" s="172">
        <f>SUMIF($AH$6:$CP$6,1,$AH74:$CP74)</f>
        <v>1608.2327165995773</v>
      </c>
      <c r="K74" s="225" t="s">
        <v>545</v>
      </c>
      <c r="L74" s="173">
        <f>'Exhibit MJC-3 - E-13c cal yr'!L80</f>
        <v>210.34</v>
      </c>
      <c r="M74" s="233" t="s">
        <v>375</v>
      </c>
      <c r="N74" s="174">
        <f>ROUND(J74*L74,2)</f>
        <v>338275.67</v>
      </c>
      <c r="O74" s="227"/>
      <c r="S74" s="263"/>
      <c r="T74" s="197"/>
      <c r="U74" s="178" t="s">
        <v>136</v>
      </c>
      <c r="V74" s="179">
        <v>241</v>
      </c>
      <c r="W74" s="180">
        <v>215</v>
      </c>
      <c r="Y74" s="178"/>
      <c r="Z74" s="181"/>
      <c r="AB74" s="182">
        <f>SUM(AH74:AS74)</f>
        <v>1551.2863412790375</v>
      </c>
      <c r="AC74" s="182">
        <f>SUM(AT74:BE74)</f>
        <v>1570.175576210446</v>
      </c>
      <c r="AD74" s="182">
        <f>SUM(BF74:BQ74)</f>
        <v>1589.1134071312233</v>
      </c>
      <c r="AE74" s="182">
        <f>SUM(BR74:CC74)</f>
        <v>1608.2327165995773</v>
      </c>
      <c r="AF74" s="182">
        <f>SUM(CD74:CO74)</f>
        <v>1627.2914619005712</v>
      </c>
      <c r="AH74" s="168">
        <v>131.19741894182496</v>
      </c>
      <c r="AI74" s="168">
        <v>130.29450447937066</v>
      </c>
      <c r="AJ74" s="168">
        <v>129.22598050306667</v>
      </c>
      <c r="AK74" s="168">
        <v>129.35252596559482</v>
      </c>
      <c r="AL74" s="168">
        <v>128.93607366333615</v>
      </c>
      <c r="AM74" s="168">
        <v>129.03261275290757</v>
      </c>
      <c r="AN74" s="168">
        <v>129.23434198699042</v>
      </c>
      <c r="AO74" s="168">
        <v>128.90262657886291</v>
      </c>
      <c r="AP74" s="168">
        <v>128.46286914191975</v>
      </c>
      <c r="AQ74" s="168">
        <v>128.76213606750287</v>
      </c>
      <c r="AR74" s="168">
        <v>129.37834480870802</v>
      </c>
      <c r="AS74" s="168">
        <v>128.50690638895247</v>
      </c>
      <c r="AT74" s="168">
        <v>132.76072285104311</v>
      </c>
      <c r="AU74" s="168">
        <v>131.86785497976712</v>
      </c>
      <c r="AV74" s="168">
        <v>130.79265426699931</v>
      </c>
      <c r="AW74" s="168">
        <v>130.92578346127118</v>
      </c>
      <c r="AX74" s="168">
        <v>130.50848834057982</v>
      </c>
      <c r="AY74" s="168">
        <v>130.61183665837748</v>
      </c>
      <c r="AZ74" s="168">
        <v>130.82110103767783</v>
      </c>
      <c r="BA74" s="168">
        <v>130.48618033821273</v>
      </c>
      <c r="BB74" s="168">
        <v>130.03714113924795</v>
      </c>
      <c r="BC74" s="168">
        <v>130.33578817075966</v>
      </c>
      <c r="BD74" s="168">
        <v>130.9558433439951</v>
      </c>
      <c r="BE74" s="168">
        <v>130.07218162251471</v>
      </c>
      <c r="BF74" s="168">
        <v>134.37437018090216</v>
      </c>
      <c r="BG74" s="168">
        <v>133.46896137233028</v>
      </c>
      <c r="BH74" s="168">
        <v>132.37860781924607</v>
      </c>
      <c r="BI74" s="168">
        <v>132.51038343316492</v>
      </c>
      <c r="BJ74" s="168">
        <v>132.08430230184197</v>
      </c>
      <c r="BK74" s="168">
        <v>132.1861838233701</v>
      </c>
      <c r="BL74" s="168">
        <v>132.39429718189973</v>
      </c>
      <c r="BM74" s="168">
        <v>132.05375568065486</v>
      </c>
      <c r="BN74" s="168">
        <v>131.5990071970993</v>
      </c>
      <c r="BO74" s="168">
        <v>131.90041945926356</v>
      </c>
      <c r="BP74" s="168">
        <v>132.52772286707955</v>
      </c>
      <c r="BQ74" s="168">
        <v>131.63539581437081</v>
      </c>
      <c r="BR74" s="168">
        <v>135.98949833114023</v>
      </c>
      <c r="BS74" s="168">
        <v>135.0752841564954</v>
      </c>
      <c r="BT74" s="168">
        <v>133.97347450979467</v>
      </c>
      <c r="BU74" s="168">
        <v>134.10768991262921</v>
      </c>
      <c r="BV74" s="168">
        <v>133.67636612074503</v>
      </c>
      <c r="BW74" s="168">
        <v>133.78020359055168</v>
      </c>
      <c r="BX74" s="168">
        <v>133.99059892249429</v>
      </c>
      <c r="BY74" s="168">
        <v>133.64483919902059</v>
      </c>
      <c r="BZ74" s="168">
        <v>133.18214750246321</v>
      </c>
      <c r="CA74" s="168">
        <v>133.484304565298</v>
      </c>
      <c r="CB74" s="168">
        <v>134.11652551714457</v>
      </c>
      <c r="CC74" s="168">
        <v>133.21178427180024</v>
      </c>
      <c r="CD74" s="168">
        <v>137.61424750466261</v>
      </c>
      <c r="CE74" s="168">
        <v>136.6865951093032</v>
      </c>
      <c r="CF74" s="168">
        <v>135.56894730735425</v>
      </c>
      <c r="CG74" s="168">
        <v>135.70142553755116</v>
      </c>
      <c r="CH74" s="168">
        <v>135.26088953910519</v>
      </c>
      <c r="CI74" s="168">
        <v>135.36294726243136</v>
      </c>
      <c r="CJ74" s="168">
        <v>135.57190363835807</v>
      </c>
      <c r="CK74" s="168">
        <v>135.22084632746191</v>
      </c>
      <c r="CL74" s="168">
        <v>134.7538304476663</v>
      </c>
      <c r="CM74" s="168">
        <v>135.06018540534481</v>
      </c>
      <c r="CN74" s="168">
        <v>135.70115774955389</v>
      </c>
      <c r="CO74" s="168">
        <v>134.78848607177835</v>
      </c>
    </row>
    <row r="75" spans="1:93" x14ac:dyDescent="0.2">
      <c r="A75" s="118">
        <f t="shared" si="8"/>
        <v>7</v>
      </c>
      <c r="B75" s="234" t="s">
        <v>216</v>
      </c>
      <c r="C75" s="223"/>
      <c r="D75" s="172">
        <f>SUMIF($AH$6:$CP$6,1,$AH75:$CP75)</f>
        <v>0</v>
      </c>
      <c r="E75" s="225" t="s">
        <v>545</v>
      </c>
      <c r="F75" s="183">
        <v>1007.76</v>
      </c>
      <c r="G75" s="233" t="s">
        <v>375</v>
      </c>
      <c r="H75" s="174">
        <f>ROUND(D75*F75,2)</f>
        <v>0</v>
      </c>
      <c r="I75" s="229"/>
      <c r="J75" s="172">
        <f>SUMIF($AH$6:$CP$6,1,$AH75:$CP75)</f>
        <v>0</v>
      </c>
      <c r="K75" s="225" t="s">
        <v>545</v>
      </c>
      <c r="L75" s="173">
        <f>'Exhibit MJC-3 - E-13c cal yr'!L81</f>
        <v>1037.56</v>
      </c>
      <c r="M75" s="233" t="s">
        <v>375</v>
      </c>
      <c r="N75" s="174">
        <f>ROUND(J75*L75,2)</f>
        <v>0</v>
      </c>
      <c r="O75" s="227"/>
      <c r="S75" s="263"/>
      <c r="T75" s="927"/>
      <c r="U75" s="178" t="s">
        <v>136</v>
      </c>
      <c r="V75" s="179">
        <v>241</v>
      </c>
      <c r="W75" s="180">
        <v>215</v>
      </c>
      <c r="Y75" s="178"/>
      <c r="Z75" s="181"/>
    </row>
    <row r="76" spans="1:93" x14ac:dyDescent="0.2">
      <c r="A76" s="118">
        <f t="shared" si="8"/>
        <v>8</v>
      </c>
      <c r="B76" s="226" t="s">
        <v>546</v>
      </c>
      <c r="C76" s="223"/>
      <c r="D76" s="168"/>
      <c r="E76" s="225"/>
      <c r="F76" s="183"/>
      <c r="G76" s="233"/>
      <c r="H76" s="174"/>
      <c r="I76" s="229"/>
      <c r="J76" s="168"/>
      <c r="K76" s="225"/>
      <c r="L76" s="183"/>
      <c r="M76" s="233"/>
      <c r="N76" s="174"/>
      <c r="O76" s="227"/>
      <c r="S76" s="230"/>
      <c r="U76" s="184"/>
      <c r="V76" s="179"/>
      <c r="W76" s="180"/>
      <c r="Y76" s="184"/>
      <c r="Z76" s="181"/>
    </row>
    <row r="77" spans="1:93" x14ac:dyDescent="0.2">
      <c r="A77" s="118">
        <f t="shared" si="8"/>
        <v>9</v>
      </c>
      <c r="B77" s="234" t="s">
        <v>149</v>
      </c>
      <c r="C77" s="223"/>
      <c r="D77" s="172">
        <f>SUMIF($AH$6:$CP$6,1,$AH77:$CP77)</f>
        <v>15566.867961957443</v>
      </c>
      <c r="E77" s="225" t="s">
        <v>545</v>
      </c>
      <c r="F77" s="183">
        <v>16.16</v>
      </c>
      <c r="G77" s="233" t="s">
        <v>375</v>
      </c>
      <c r="H77" s="174">
        <f>ROUND(D77*F77,2)</f>
        <v>251560.59</v>
      </c>
      <c r="I77" s="229"/>
      <c r="J77" s="172">
        <f>SUMIF($AH$6:$CP$6,1,$AH77:$CP77)</f>
        <v>15566.867961957443</v>
      </c>
      <c r="K77" s="225" t="s">
        <v>545</v>
      </c>
      <c r="L77" s="183">
        <f>L73</f>
        <v>16.64</v>
      </c>
      <c r="M77" s="233" t="s">
        <v>375</v>
      </c>
      <c r="N77" s="174">
        <f>ROUND(J77*L77,2)</f>
        <v>259032.68</v>
      </c>
      <c r="O77" s="227"/>
      <c r="S77" s="263"/>
      <c r="U77" s="178" t="s">
        <v>580</v>
      </c>
      <c r="V77" s="179">
        <v>242</v>
      </c>
      <c r="W77" s="180">
        <v>216</v>
      </c>
      <c r="Y77" s="178"/>
      <c r="Z77" s="181"/>
      <c r="AB77" s="182">
        <f>SUM(AH77:AS77)</f>
        <v>15015.656252124012</v>
      </c>
      <c r="AC77" s="182">
        <f>SUM(AT77:BE77)</f>
        <v>15198.494359472903</v>
      </c>
      <c r="AD77" s="182">
        <f>SUM(BF77:BQ77)</f>
        <v>15381.80285107786</v>
      </c>
      <c r="AE77" s="182">
        <f>SUM(BR77:CC77)</f>
        <v>15566.867961957443</v>
      </c>
      <c r="AF77" s="182">
        <f>SUM(CD77:CO77)</f>
        <v>15751.346842755527</v>
      </c>
      <c r="AH77" s="168">
        <v>1269.923734629203</v>
      </c>
      <c r="AI77" s="168">
        <v>1261.1839856657027</v>
      </c>
      <c r="AJ77" s="168">
        <v>1250.8412215360938</v>
      </c>
      <c r="AK77" s="168">
        <v>1252.0661167182573</v>
      </c>
      <c r="AL77" s="168">
        <v>1248.0350719976766</v>
      </c>
      <c r="AM77" s="168">
        <v>1248.9695208775024</v>
      </c>
      <c r="AN77" s="168">
        <v>1250.9221564125353</v>
      </c>
      <c r="AO77" s="168">
        <v>1247.7113213723264</v>
      </c>
      <c r="AP77" s="168">
        <v>1243.4546948993514</v>
      </c>
      <c r="AQ77" s="168">
        <v>1246.3514452687775</v>
      </c>
      <c r="AR77" s="168">
        <v>1252.3160298791606</v>
      </c>
      <c r="AS77" s="168">
        <v>1243.8809528674244</v>
      </c>
      <c r="AT77" s="168">
        <v>1285.0557147761222</v>
      </c>
      <c r="AU77" s="168">
        <v>1276.4132116631301</v>
      </c>
      <c r="AV77" s="168">
        <v>1266.0058201485185</v>
      </c>
      <c r="AW77" s="168">
        <v>1267.2944424776888</v>
      </c>
      <c r="AX77" s="168">
        <v>1263.2552397068941</v>
      </c>
      <c r="AY77" s="168">
        <v>1264.2555984240382</v>
      </c>
      <c r="AZ77" s="168">
        <v>1266.2811703005991</v>
      </c>
      <c r="BA77" s="168">
        <v>1263.0393096839821</v>
      </c>
      <c r="BB77" s="168">
        <v>1258.6928405145152</v>
      </c>
      <c r="BC77" s="168">
        <v>1261.5835906272246</v>
      </c>
      <c r="BD77" s="168">
        <v>1267.5854067271316</v>
      </c>
      <c r="BE77" s="168">
        <v>1259.0320144230586</v>
      </c>
      <c r="BF77" s="168">
        <v>1300.6749934177064</v>
      </c>
      <c r="BG77" s="168">
        <v>1291.9111004629403</v>
      </c>
      <c r="BH77" s="168">
        <v>1281.3570372247532</v>
      </c>
      <c r="BI77" s="168">
        <v>1282.6325575902499</v>
      </c>
      <c r="BJ77" s="168">
        <v>1278.5083107421881</v>
      </c>
      <c r="BK77" s="168">
        <v>1279.4944716236462</v>
      </c>
      <c r="BL77" s="168">
        <v>1281.5089022094141</v>
      </c>
      <c r="BM77" s="168">
        <v>1278.2126351140307</v>
      </c>
      <c r="BN77" s="168">
        <v>1273.8109029975633</v>
      </c>
      <c r="BO77" s="168">
        <v>1276.7284191249225</v>
      </c>
      <c r="BP77" s="168">
        <v>1282.8003944185261</v>
      </c>
      <c r="BQ77" s="168">
        <v>1274.1631261519224</v>
      </c>
      <c r="BR77" s="168">
        <v>1316.3086056411646</v>
      </c>
      <c r="BS77" s="168">
        <v>1307.4594812583846</v>
      </c>
      <c r="BT77" s="168">
        <v>1296.7945289089096</v>
      </c>
      <c r="BU77" s="168">
        <v>1298.0936651799364</v>
      </c>
      <c r="BV77" s="168">
        <v>1293.9186720661858</v>
      </c>
      <c r="BW77" s="168">
        <v>1294.9237655239294</v>
      </c>
      <c r="BX77" s="168">
        <v>1296.9602844420917</v>
      </c>
      <c r="BY77" s="168">
        <v>1293.6135076315454</v>
      </c>
      <c r="BZ77" s="168">
        <v>1289.1348892866631</v>
      </c>
      <c r="CA77" s="168">
        <v>1292.0596147025637</v>
      </c>
      <c r="CB77" s="168">
        <v>1298.1791893005659</v>
      </c>
      <c r="CC77" s="168">
        <v>1289.4217580155021</v>
      </c>
      <c r="CD77" s="168">
        <v>1332.0353444361572</v>
      </c>
      <c r="CE77" s="168">
        <v>1323.056144968255</v>
      </c>
      <c r="CF77" s="168">
        <v>1312.2378873981083</v>
      </c>
      <c r="CG77" s="168">
        <v>1313.5202087288603</v>
      </c>
      <c r="CH77" s="168">
        <v>1309.2560461798</v>
      </c>
      <c r="CI77" s="168">
        <v>1310.2439126043034</v>
      </c>
      <c r="CJ77" s="168">
        <v>1312.2665031661579</v>
      </c>
      <c r="CK77" s="168">
        <v>1308.8684484260734</v>
      </c>
      <c r="CL77" s="168">
        <v>1304.3479742049747</v>
      </c>
      <c r="CM77" s="168">
        <v>1307.3133330901965</v>
      </c>
      <c r="CN77" s="168">
        <v>1313.5176166783742</v>
      </c>
      <c r="CO77" s="168">
        <v>1304.6834228742648</v>
      </c>
    </row>
    <row r="78" spans="1:93" x14ac:dyDescent="0.2">
      <c r="A78" s="118">
        <f t="shared" si="8"/>
        <v>10</v>
      </c>
      <c r="B78" s="234" t="s">
        <v>148</v>
      </c>
      <c r="C78" s="223"/>
      <c r="D78" s="172">
        <f>SUMIF($AH$6:$CP$6,1,$AH78:$CP78)</f>
        <v>205.20185456001929</v>
      </c>
      <c r="E78" s="225" t="s">
        <v>545</v>
      </c>
      <c r="F78" s="183">
        <v>204.3</v>
      </c>
      <c r="G78" s="233" t="s">
        <v>375</v>
      </c>
      <c r="H78" s="174">
        <f>ROUND(D78*F78,2)</f>
        <v>41922.74</v>
      </c>
      <c r="I78" s="229"/>
      <c r="J78" s="172">
        <f>SUMIF($AH$6:$CP$6,1,$AH78:$CP78)</f>
        <v>205.20185456001929</v>
      </c>
      <c r="K78" s="225" t="s">
        <v>545</v>
      </c>
      <c r="L78" s="183">
        <f>L74</f>
        <v>210.34</v>
      </c>
      <c r="M78" s="233" t="s">
        <v>375</v>
      </c>
      <c r="N78" s="174">
        <f>ROUND(J78*L78,2)</f>
        <v>43162.16</v>
      </c>
      <c r="O78" s="227"/>
      <c r="S78" s="263"/>
      <c r="T78" s="197"/>
      <c r="U78" s="178" t="s">
        <v>580</v>
      </c>
      <c r="V78" s="179">
        <v>242</v>
      </c>
      <c r="W78" s="180">
        <v>216</v>
      </c>
      <c r="Y78" s="178"/>
      <c r="Z78" s="181"/>
      <c r="AB78" s="182">
        <f>SUM(AH78:AS78)</f>
        <v>197.9358030081311</v>
      </c>
      <c r="AC78" s="182">
        <f>SUM(AT78:BE78)</f>
        <v>200.34596790475169</v>
      </c>
      <c r="AD78" s="182">
        <f>SUM(BF78:BQ78)</f>
        <v>202.76233338853825</v>
      </c>
      <c r="AE78" s="182">
        <f>SUM(BR78:CC78)</f>
        <v>205.20185456001929</v>
      </c>
      <c r="AF78" s="182">
        <f>SUM(CD78:CO78)</f>
        <v>207.63364806912051</v>
      </c>
      <c r="AH78" s="168">
        <v>16.740085811258496</v>
      </c>
      <c r="AI78" s="168">
        <v>16.624878776671835</v>
      </c>
      <c r="AJ78" s="168">
        <v>16.488540857839396</v>
      </c>
      <c r="AK78" s="168">
        <v>16.504687379004466</v>
      </c>
      <c r="AL78" s="168">
        <v>16.451550302586845</v>
      </c>
      <c r="AM78" s="168">
        <v>16.463868171769036</v>
      </c>
      <c r="AN78" s="168">
        <v>16.489607738266784</v>
      </c>
      <c r="AO78" s="168">
        <v>16.447282634299356</v>
      </c>
      <c r="AP78" s="168">
        <v>16.391171947900627</v>
      </c>
      <c r="AQ78" s="168">
        <v>16.429356799821793</v>
      </c>
      <c r="AR78" s="168">
        <v>16.507981724676419</v>
      </c>
      <c r="AS78" s="168">
        <v>16.39679086403606</v>
      </c>
      <c r="AT78" s="168">
        <v>16.939554991372411</v>
      </c>
      <c r="AU78" s="168">
        <v>16.82562984784574</v>
      </c>
      <c r="AV78" s="168">
        <v>16.688440013310654</v>
      </c>
      <c r="AW78" s="168">
        <v>16.705426583275749</v>
      </c>
      <c r="AX78" s="168">
        <v>16.652181967754078</v>
      </c>
      <c r="AY78" s="168">
        <v>16.665368657876005</v>
      </c>
      <c r="AZ78" s="168">
        <v>16.692069668421652</v>
      </c>
      <c r="BA78" s="168">
        <v>16.649335586499671</v>
      </c>
      <c r="BB78" s="168">
        <v>16.592040597132371</v>
      </c>
      <c r="BC78" s="168">
        <v>16.630146353900344</v>
      </c>
      <c r="BD78" s="168">
        <v>16.709262062817444</v>
      </c>
      <c r="BE78" s="168">
        <v>16.596511574545524</v>
      </c>
      <c r="BF78" s="168">
        <v>17.14544772149484</v>
      </c>
      <c r="BG78" s="168">
        <v>17.029922421744217</v>
      </c>
      <c r="BH78" s="168">
        <v>16.890799166191957</v>
      </c>
      <c r="BI78" s="168">
        <v>16.907613026575987</v>
      </c>
      <c r="BJ78" s="168">
        <v>16.853247363299737</v>
      </c>
      <c r="BK78" s="168">
        <v>16.866246898097895</v>
      </c>
      <c r="BL78" s="168">
        <v>16.892801044576949</v>
      </c>
      <c r="BM78" s="168">
        <v>16.849349778545093</v>
      </c>
      <c r="BN78" s="168">
        <v>16.791326315136601</v>
      </c>
      <c r="BO78" s="168">
        <v>16.829784900479904</v>
      </c>
      <c r="BP78" s="168">
        <v>16.909825445189025</v>
      </c>
      <c r="BQ78" s="168">
        <v>16.795969307206043</v>
      </c>
      <c r="BR78" s="168">
        <v>17.351529396342066</v>
      </c>
      <c r="BS78" s="168">
        <v>17.23488057918653</v>
      </c>
      <c r="BT78" s="168">
        <v>17.094295587635582</v>
      </c>
      <c r="BU78" s="168">
        <v>17.111420751977718</v>
      </c>
      <c r="BV78" s="168">
        <v>17.056386153379556</v>
      </c>
      <c r="BW78" s="168">
        <v>17.069635256669901</v>
      </c>
      <c r="BX78" s="168">
        <v>17.096480570696766</v>
      </c>
      <c r="BY78" s="168">
        <v>17.05236348754292</v>
      </c>
      <c r="BZ78" s="168">
        <v>16.993326512829555</v>
      </c>
      <c r="CA78" s="168">
        <v>17.031880130737047</v>
      </c>
      <c r="CB78" s="168">
        <v>17.112548127645429</v>
      </c>
      <c r="CC78" s="168">
        <v>16.997108005376219</v>
      </c>
      <c r="CD78" s="168">
        <v>17.558838662072336</v>
      </c>
      <c r="CE78" s="168">
        <v>17.440475200149187</v>
      </c>
      <c r="CF78" s="168">
        <v>17.297869345077554</v>
      </c>
      <c r="CG78" s="168">
        <v>17.314772855523927</v>
      </c>
      <c r="CH78" s="168">
        <v>17.258562828860185</v>
      </c>
      <c r="CI78" s="168">
        <v>17.271584846061142</v>
      </c>
      <c r="CJ78" s="168">
        <v>17.298246557031035</v>
      </c>
      <c r="CK78" s="168">
        <v>17.253453530182867</v>
      </c>
      <c r="CL78" s="168">
        <v>17.193864812919568</v>
      </c>
      <c r="CM78" s="168">
        <v>17.232954059656329</v>
      </c>
      <c r="CN78" s="168">
        <v>17.314738687214142</v>
      </c>
      <c r="CO78" s="168">
        <v>17.198286684372206</v>
      </c>
    </row>
    <row r="79" spans="1:93" x14ac:dyDescent="0.2">
      <c r="A79" s="118">
        <f t="shared" si="8"/>
        <v>11</v>
      </c>
      <c r="B79" s="234" t="s">
        <v>216</v>
      </c>
      <c r="C79" s="223"/>
      <c r="D79" s="172">
        <f>SUMIF($AH$6:$CP$6,1,$AH79:$CP79)</f>
        <v>23.563849327466329</v>
      </c>
      <c r="E79" s="225" t="s">
        <v>545</v>
      </c>
      <c r="F79" s="183">
        <v>1007.76</v>
      </c>
      <c r="G79" s="233" t="s">
        <v>375</v>
      </c>
      <c r="H79" s="174">
        <f>ROUND(D79*F79,2)</f>
        <v>23746.7</v>
      </c>
      <c r="I79" s="229"/>
      <c r="J79" s="172">
        <f>SUMIF($AH$6:$CP$6,1,$AH79:$CP79)</f>
        <v>23.563849327466329</v>
      </c>
      <c r="K79" s="225" t="s">
        <v>545</v>
      </c>
      <c r="L79" s="183">
        <f>L75</f>
        <v>1037.56</v>
      </c>
      <c r="M79" s="233" t="s">
        <v>375</v>
      </c>
      <c r="N79" s="174">
        <f>ROUND(J79*L79,2)</f>
        <v>24448.91</v>
      </c>
      <c r="O79" s="227"/>
      <c r="S79" s="263"/>
      <c r="T79" s="197"/>
      <c r="U79" s="178" t="s">
        <v>580</v>
      </c>
      <c r="V79" s="179">
        <v>242</v>
      </c>
      <c r="W79" s="180">
        <v>216</v>
      </c>
      <c r="Y79" s="178"/>
      <c r="Z79" s="181"/>
      <c r="AB79" s="182">
        <f>SUM(AH79:AS79)</f>
        <v>22.729470201890656</v>
      </c>
      <c r="AC79" s="182">
        <f>SUM(AT79:BE79)</f>
        <v>23.006235548871004</v>
      </c>
      <c r="AD79" s="182">
        <f>SUM(BF79:BQ79)</f>
        <v>23.283712924999609</v>
      </c>
      <c r="AE79" s="182">
        <f>SUM(BR79:CC79)</f>
        <v>23.563849327466329</v>
      </c>
      <c r="AF79" s="182">
        <f>SUM(CD79:CO79)</f>
        <v>23.84309834286551</v>
      </c>
      <c r="AH79" s="168">
        <v>1.9223065046421242</v>
      </c>
      <c r="AI79" s="168">
        <v>1.9090769887087273</v>
      </c>
      <c r="AJ79" s="168">
        <v>1.8934209597518923</v>
      </c>
      <c r="AK79" s="168">
        <v>1.8952751057230008</v>
      </c>
      <c r="AL79" s="168">
        <v>1.8891732404884416</v>
      </c>
      <c r="AM79" s="168">
        <v>1.890587732643334</v>
      </c>
      <c r="AN79" s="168">
        <v>1.8935434723368558</v>
      </c>
      <c r="AO79" s="168">
        <v>1.8886831733166725</v>
      </c>
      <c r="AP79" s="168">
        <v>1.8822398409072492</v>
      </c>
      <c r="AQ79" s="168">
        <v>1.8866247042857562</v>
      </c>
      <c r="AR79" s="168">
        <v>1.8956534037905934</v>
      </c>
      <c r="AS79" s="168">
        <v>1.8828850752960067</v>
      </c>
      <c r="AT79" s="168">
        <v>1.9452120564255402</v>
      </c>
      <c r="AU79" s="168">
        <v>1.9321297432932909</v>
      </c>
      <c r="AV79" s="168">
        <v>1.9163758866959602</v>
      </c>
      <c r="AW79" s="168">
        <v>1.918326497601043</v>
      </c>
      <c r="AX79" s="168">
        <v>1.9122122833784585</v>
      </c>
      <c r="AY79" s="168">
        <v>1.9137265444450913</v>
      </c>
      <c r="AZ79" s="168">
        <v>1.9167926891967446</v>
      </c>
      <c r="BA79" s="168">
        <v>1.9118854262009191</v>
      </c>
      <c r="BB79" s="168">
        <v>1.9053060972783582</v>
      </c>
      <c r="BC79" s="168">
        <v>1.9096818779598481</v>
      </c>
      <c r="BD79" s="168">
        <v>1.9187669354431514</v>
      </c>
      <c r="BE79" s="168">
        <v>1.9058195109525962</v>
      </c>
      <c r="BF79" s="168">
        <v>1.9688552407458189</v>
      </c>
      <c r="BG79" s="168">
        <v>1.9555891776165608</v>
      </c>
      <c r="BH79" s="168">
        <v>1.9396133013808945</v>
      </c>
      <c r="BI79" s="168">
        <v>1.9415440796068117</v>
      </c>
      <c r="BJ79" s="168">
        <v>1.935301132627721</v>
      </c>
      <c r="BK79" s="168">
        <v>1.9367939021739209</v>
      </c>
      <c r="BL79" s="168">
        <v>1.9398431821523772</v>
      </c>
      <c r="BM79" s="168">
        <v>1.9348535630865178</v>
      </c>
      <c r="BN79" s="168">
        <v>1.9281905816424805</v>
      </c>
      <c r="BO79" s="168">
        <v>1.932606878524008</v>
      </c>
      <c r="BP79" s="168">
        <v>1.9417981372465865</v>
      </c>
      <c r="BQ79" s="168">
        <v>1.9287237481959094</v>
      </c>
      <c r="BR79" s="168">
        <v>1.9925201220679885</v>
      </c>
      <c r="BS79" s="168">
        <v>1.979125042586013</v>
      </c>
      <c r="BT79" s="168">
        <v>1.9629813114988228</v>
      </c>
      <c r="BU79" s="168">
        <v>1.9649478375476808</v>
      </c>
      <c r="BV79" s="168">
        <v>1.9586280750292311</v>
      </c>
      <c r="BW79" s="168">
        <v>1.9601495031582661</v>
      </c>
      <c r="BX79" s="168">
        <v>1.963232218644605</v>
      </c>
      <c r="BY79" s="168">
        <v>1.9581661421101917</v>
      </c>
      <c r="BZ79" s="168">
        <v>1.9513867765928674</v>
      </c>
      <c r="CA79" s="168">
        <v>1.9558139863047326</v>
      </c>
      <c r="CB79" s="168">
        <v>1.965077296954499</v>
      </c>
      <c r="CC79" s="168">
        <v>1.9518210149714321</v>
      </c>
      <c r="CD79" s="168">
        <v>2.0163259707642873</v>
      </c>
      <c r="CE79" s="168">
        <v>2.0027339942755047</v>
      </c>
      <c r="CF79" s="168">
        <v>1.9863582023055568</v>
      </c>
      <c r="CG79" s="168">
        <v>1.9882992752754749</v>
      </c>
      <c r="CH79" s="168">
        <v>1.9818445353715044</v>
      </c>
      <c r="CI79" s="168">
        <v>1.9833398866290308</v>
      </c>
      <c r="CJ79" s="168">
        <v>1.9864015185107406</v>
      </c>
      <c r="CK79" s="168">
        <v>1.9812578216477934</v>
      </c>
      <c r="CL79" s="168">
        <v>1.9744150981343045</v>
      </c>
      <c r="CM79" s="168">
        <v>1.9789038154629277</v>
      </c>
      <c r="CN79" s="168">
        <v>1.9882953516418151</v>
      </c>
      <c r="CO79" s="168">
        <v>1.9749228728465693</v>
      </c>
    </row>
    <row r="80" spans="1:93" x14ac:dyDescent="0.2">
      <c r="A80" s="118">
        <f t="shared" si="8"/>
        <v>12</v>
      </c>
      <c r="B80" s="226"/>
      <c r="C80" s="223" t="s">
        <v>374</v>
      </c>
      <c r="D80" s="204">
        <f>SUM(D72:D79)</f>
        <v>1586573.6117594137</v>
      </c>
      <c r="E80" s="235" t="s">
        <v>581</v>
      </c>
      <c r="F80" s="183"/>
      <c r="G80" s="233"/>
      <c r="H80" s="204">
        <f>SUM(H72:H79)</f>
        <v>25972240.639999997</v>
      </c>
      <c r="I80" s="229"/>
      <c r="J80" s="236">
        <f>SUM(J72:J79)</f>
        <v>1586573.6117594137</v>
      </c>
      <c r="K80" s="235" t="s">
        <v>581</v>
      </c>
      <c r="L80" s="183"/>
      <c r="M80" s="233"/>
      <c r="N80" s="204">
        <f>SUM(N72:N79)</f>
        <v>26742443.300000001</v>
      </c>
      <c r="O80" s="227"/>
      <c r="Q80" s="939"/>
      <c r="S80" s="263"/>
      <c r="T80" s="935"/>
      <c r="U80" s="184"/>
      <c r="V80" s="179"/>
      <c r="W80" s="180"/>
      <c r="Y80" s="184" t="s">
        <v>136</v>
      </c>
      <c r="Z80" s="181" t="s">
        <v>451</v>
      </c>
      <c r="AB80" s="204">
        <f>SUM(AB72:AB79)</f>
        <v>1530394.1699184661</v>
      </c>
      <c r="AC80" s="204">
        <f>SUM(AC72:AC79)</f>
        <v>1549029.0113684419</v>
      </c>
      <c r="AD80" s="204">
        <f>SUM(AD72:AD79)</f>
        <v>1567711.7943343273</v>
      </c>
      <c r="AE80" s="204">
        <f>SUM(AE72:AE79)</f>
        <v>1586573.6117594137</v>
      </c>
      <c r="AF80" s="204">
        <f>SUM(AF72:AF79)</f>
        <v>1605375.6806737534</v>
      </c>
      <c r="AG80" s="114"/>
      <c r="AH80" s="204">
        <f t="shared" ref="AH80:BM80" si="9">SUM(AH72:AH79)</f>
        <v>129430.49887964141</v>
      </c>
      <c r="AI80" s="204">
        <f t="shared" si="9"/>
        <v>128539.7445472492</v>
      </c>
      <c r="AJ80" s="204">
        <f t="shared" si="9"/>
        <v>127485.61107089469</v>
      </c>
      <c r="AK80" s="204">
        <f t="shared" si="9"/>
        <v>127610.45226425107</v>
      </c>
      <c r="AL80" s="204">
        <f t="shared" si="9"/>
        <v>127199.60859312052</v>
      </c>
      <c r="AM80" s="204">
        <f t="shared" si="9"/>
        <v>127294.8475286529</v>
      </c>
      <c r="AN80" s="204">
        <f t="shared" si="9"/>
        <v>127493.85994533412</v>
      </c>
      <c r="AO80" s="204">
        <f t="shared" si="9"/>
        <v>127166.61196205595</v>
      </c>
      <c r="AP80" s="204">
        <f t="shared" si="9"/>
        <v>126732.77702148585</v>
      </c>
      <c r="AQ80" s="204">
        <f t="shared" si="9"/>
        <v>127028.01352681355</v>
      </c>
      <c r="AR80" s="204">
        <f t="shared" si="9"/>
        <v>127635.92338839047</v>
      </c>
      <c r="AS80" s="204">
        <f t="shared" si="9"/>
        <v>126776.22119057619</v>
      </c>
      <c r="AT80" s="204">
        <f t="shared" si="9"/>
        <v>130972.74876917865</v>
      </c>
      <c r="AU80" s="204">
        <f t="shared" si="9"/>
        <v>130091.90572405669</v>
      </c>
      <c r="AV80" s="204">
        <f t="shared" si="9"/>
        <v>129031.18543114459</v>
      </c>
      <c r="AW80" s="204">
        <f t="shared" si="9"/>
        <v>129162.52168889288</v>
      </c>
      <c r="AX80" s="204">
        <f t="shared" si="9"/>
        <v>128750.84655010777</v>
      </c>
      <c r="AY80" s="204">
        <f t="shared" si="9"/>
        <v>128852.80300960837</v>
      </c>
      <c r="AZ80" s="204">
        <f t="shared" si="9"/>
        <v>129059.24909085782</v>
      </c>
      <c r="BA80" s="204">
        <f t="shared" si="9"/>
        <v>128728.83898396304</v>
      </c>
      <c r="BB80" s="204">
        <f t="shared" si="9"/>
        <v>128285.84728483291</v>
      </c>
      <c r="BC80" s="204">
        <f t="shared" si="9"/>
        <v>128580.47224460155</v>
      </c>
      <c r="BD80" s="204">
        <f t="shared" si="9"/>
        <v>129192.17673583358</v>
      </c>
      <c r="BE80" s="204">
        <f t="shared" si="9"/>
        <v>128320.41585536409</v>
      </c>
      <c r="BF80" s="204">
        <f t="shared" si="9"/>
        <v>132564.66407211663</v>
      </c>
      <c r="BG80" s="204">
        <f t="shared" si="9"/>
        <v>131671.44898657105</v>
      </c>
      <c r="BH80" s="204">
        <f t="shared" si="9"/>
        <v>130595.77992639346</v>
      </c>
      <c r="BI80" s="204">
        <f t="shared" si="9"/>
        <v>130725.78083332631</v>
      </c>
      <c r="BJ80" s="204">
        <f t="shared" si="9"/>
        <v>130305.4380107683</v>
      </c>
      <c r="BK80" s="204">
        <f t="shared" si="9"/>
        <v>130405.94742828856</v>
      </c>
      <c r="BL80" s="204">
        <f t="shared" si="9"/>
        <v>130611.25799030467</v>
      </c>
      <c r="BM80" s="204">
        <f t="shared" si="9"/>
        <v>130275.30278058446</v>
      </c>
      <c r="BN80" s="204">
        <f t="shared" ref="BN80:CO80" si="10">SUM(BN72:BN79)</f>
        <v>129826.67868747292</v>
      </c>
      <c r="BO80" s="204">
        <f t="shared" si="10"/>
        <v>130124.03163675356</v>
      </c>
      <c r="BP80" s="204">
        <f t="shared" si="10"/>
        <v>130742.88674592704</v>
      </c>
      <c r="BQ80" s="204">
        <f t="shared" si="10"/>
        <v>129862.57723582073</v>
      </c>
      <c r="BR80" s="204">
        <f t="shared" si="10"/>
        <v>134158.04025227271</v>
      </c>
      <c r="BS80" s="204">
        <f t="shared" si="10"/>
        <v>133256.13838818506</v>
      </c>
      <c r="BT80" s="204">
        <f t="shared" si="10"/>
        <v>132169.16752097529</v>
      </c>
      <c r="BU80" s="204">
        <f t="shared" si="10"/>
        <v>132301.57535861665</v>
      </c>
      <c r="BV80" s="204">
        <f t="shared" si="10"/>
        <v>131876.06048178067</v>
      </c>
      <c r="BW80" s="204">
        <f t="shared" si="10"/>
        <v>131978.49950556536</v>
      </c>
      <c r="BX80" s="204">
        <f t="shared" si="10"/>
        <v>132186.06130819011</v>
      </c>
      <c r="BY80" s="204">
        <f t="shared" si="10"/>
        <v>131844.95815339766</v>
      </c>
      <c r="BZ80" s="204">
        <f t="shared" si="10"/>
        <v>131388.49782364495</v>
      </c>
      <c r="CA80" s="204">
        <f t="shared" si="10"/>
        <v>131686.5855428862</v>
      </c>
      <c r="CB80" s="204">
        <f t="shared" si="10"/>
        <v>132310.29196836054</v>
      </c>
      <c r="CC80" s="204">
        <f t="shared" si="10"/>
        <v>131417.73545553899</v>
      </c>
      <c r="CD80" s="204">
        <f t="shared" si="10"/>
        <v>135760.90788320173</v>
      </c>
      <c r="CE80" s="204">
        <f t="shared" si="10"/>
        <v>134845.74877956495</v>
      </c>
      <c r="CF80" s="204">
        <f t="shared" si="10"/>
        <v>133743.15305973505</v>
      </c>
      <c r="CG80" s="204">
        <f t="shared" si="10"/>
        <v>133873.84712036044</v>
      </c>
      <c r="CH80" s="204">
        <f t="shared" si="10"/>
        <v>133439.2441036762</v>
      </c>
      <c r="CI80" s="204">
        <f t="shared" si="10"/>
        <v>133539.92734997149</v>
      </c>
      <c r="CJ80" s="204">
        <f t="shared" si="10"/>
        <v>133746.06957592696</v>
      </c>
      <c r="CK80" s="204">
        <f t="shared" si="10"/>
        <v>133399.74017973064</v>
      </c>
      <c r="CL80" s="204">
        <f t="shared" si="10"/>
        <v>132939.01390329786</v>
      </c>
      <c r="CM80" s="204">
        <f t="shared" si="10"/>
        <v>133241.2429816318</v>
      </c>
      <c r="CN80" s="204">
        <f t="shared" si="10"/>
        <v>133873.58293883645</v>
      </c>
      <c r="CO80" s="204">
        <f t="shared" si="10"/>
        <v>132973.20279782021</v>
      </c>
    </row>
    <row r="81" spans="1:93" x14ac:dyDescent="0.2">
      <c r="A81" s="118">
        <f t="shared" si="8"/>
        <v>13</v>
      </c>
      <c r="B81" s="226"/>
      <c r="C81" s="223"/>
      <c r="D81" s="168"/>
      <c r="E81" s="237"/>
      <c r="F81" s="183"/>
      <c r="G81" s="233"/>
      <c r="H81" s="174"/>
      <c r="I81" s="229"/>
      <c r="J81" s="175"/>
      <c r="K81" s="237"/>
      <c r="L81" s="183"/>
      <c r="M81" s="233"/>
      <c r="N81" s="174"/>
      <c r="O81" s="227"/>
      <c r="S81" s="230"/>
      <c r="T81" s="227"/>
      <c r="U81" s="184"/>
      <c r="V81" s="179"/>
      <c r="W81" s="180"/>
      <c r="Y81" s="184"/>
      <c r="Z81" s="181"/>
      <c r="AB81" s="193">
        <f>SUM(AH81:AS81)</f>
        <v>0</v>
      </c>
      <c r="AC81" s="193">
        <f>SUM(AT81:BE81)</f>
        <v>0</v>
      </c>
      <c r="AD81" s="193">
        <f>SUM(BF81:BQ81)</f>
        <v>0</v>
      </c>
      <c r="AE81" s="193">
        <f>SUM(BR81:CC81)</f>
        <v>0</v>
      </c>
      <c r="AF81" s="193">
        <f>SUM(CD81:CO81)</f>
        <v>0</v>
      </c>
      <c r="AG81" s="238"/>
      <c r="AH81" s="193">
        <v>0</v>
      </c>
      <c r="AI81" s="193">
        <v>0</v>
      </c>
      <c r="AJ81" s="193">
        <v>0</v>
      </c>
      <c r="AK81" s="193">
        <v>0</v>
      </c>
      <c r="AL81" s="193">
        <v>0</v>
      </c>
      <c r="AM81" s="193">
        <v>0</v>
      </c>
      <c r="AN81" s="193">
        <v>0</v>
      </c>
      <c r="AO81" s="193">
        <v>0</v>
      </c>
      <c r="AP81" s="193">
        <v>0</v>
      </c>
      <c r="AQ81" s="193">
        <v>0</v>
      </c>
      <c r="AR81" s="193">
        <v>0</v>
      </c>
      <c r="AS81" s="193">
        <v>0</v>
      </c>
      <c r="AT81" s="193">
        <v>0</v>
      </c>
      <c r="AU81" s="193">
        <v>0</v>
      </c>
      <c r="AV81" s="193">
        <v>0</v>
      </c>
      <c r="AW81" s="193">
        <v>0</v>
      </c>
      <c r="AX81" s="193">
        <v>0</v>
      </c>
      <c r="AY81" s="193">
        <v>0</v>
      </c>
      <c r="AZ81" s="193">
        <v>0</v>
      </c>
      <c r="BA81" s="193">
        <v>0</v>
      </c>
      <c r="BB81" s="193">
        <v>0</v>
      </c>
      <c r="BC81" s="193">
        <v>0</v>
      </c>
      <c r="BD81" s="193">
        <v>0</v>
      </c>
      <c r="BE81" s="193">
        <v>0</v>
      </c>
      <c r="BF81" s="193">
        <v>0</v>
      </c>
      <c r="BG81" s="193">
        <v>0</v>
      </c>
      <c r="BH81" s="193">
        <v>0</v>
      </c>
      <c r="BI81" s="193">
        <v>0</v>
      </c>
      <c r="BJ81" s="193">
        <v>0</v>
      </c>
      <c r="BK81" s="193">
        <v>0</v>
      </c>
      <c r="BL81" s="193">
        <v>0</v>
      </c>
      <c r="BM81" s="193">
        <v>0</v>
      </c>
      <c r="BN81" s="193">
        <v>0</v>
      </c>
      <c r="BO81" s="193">
        <v>0</v>
      </c>
      <c r="BP81" s="193">
        <v>0</v>
      </c>
      <c r="BQ81" s="193">
        <v>0</v>
      </c>
      <c r="BR81" s="193">
        <v>0</v>
      </c>
      <c r="BS81" s="193">
        <v>0</v>
      </c>
      <c r="BT81" s="193">
        <v>0</v>
      </c>
      <c r="BU81" s="193">
        <v>0</v>
      </c>
      <c r="BV81" s="193">
        <v>0</v>
      </c>
      <c r="BW81" s="193">
        <v>0</v>
      </c>
      <c r="BX81" s="193">
        <v>0</v>
      </c>
      <c r="BY81" s="193">
        <v>0</v>
      </c>
      <c r="BZ81" s="193">
        <v>0</v>
      </c>
      <c r="CA81" s="193">
        <v>0</v>
      </c>
      <c r="CB81" s="193">
        <v>0</v>
      </c>
      <c r="CC81" s="193">
        <v>0</v>
      </c>
      <c r="CD81" s="193">
        <v>0</v>
      </c>
      <c r="CE81" s="193">
        <v>0</v>
      </c>
      <c r="CF81" s="193">
        <v>0</v>
      </c>
      <c r="CG81" s="193">
        <v>0</v>
      </c>
      <c r="CH81" s="193">
        <v>0</v>
      </c>
      <c r="CI81" s="193">
        <v>0</v>
      </c>
      <c r="CJ81" s="193">
        <v>0</v>
      </c>
      <c r="CK81" s="193">
        <v>0</v>
      </c>
      <c r="CL81" s="193">
        <v>0</v>
      </c>
      <c r="CM81" s="193">
        <v>0</v>
      </c>
      <c r="CN81" s="193">
        <v>0</v>
      </c>
      <c r="CO81" s="193">
        <v>0</v>
      </c>
    </row>
    <row r="82" spans="1:93" x14ac:dyDescent="0.2">
      <c r="A82" s="118">
        <f t="shared" si="8"/>
        <v>14</v>
      </c>
      <c r="B82" s="239" t="s">
        <v>551</v>
      </c>
      <c r="C82" s="223"/>
      <c r="D82" s="240"/>
      <c r="E82" s="225"/>
      <c r="F82" s="183"/>
      <c r="G82" s="233"/>
      <c r="H82" s="174"/>
      <c r="I82" s="229"/>
      <c r="J82" s="175"/>
      <c r="K82" s="225"/>
      <c r="L82" s="183"/>
      <c r="M82" s="233"/>
      <c r="N82" s="174"/>
      <c r="O82" s="227"/>
      <c r="S82" s="230"/>
      <c r="T82" s="227"/>
      <c r="U82" s="184"/>
      <c r="V82" s="179"/>
      <c r="W82" s="180"/>
      <c r="Y82" s="184"/>
      <c r="Z82" s="181"/>
      <c r="AF82" s="114"/>
      <c r="AG82" s="241"/>
    </row>
    <row r="83" spans="1:93" x14ac:dyDescent="0.2">
      <c r="A83" s="118">
        <f t="shared" si="8"/>
        <v>15</v>
      </c>
      <c r="B83" s="228" t="s">
        <v>543</v>
      </c>
      <c r="C83" s="223"/>
      <c r="D83" s="168"/>
      <c r="E83" s="225"/>
      <c r="F83" s="183"/>
      <c r="G83" s="233"/>
      <c r="H83" s="174"/>
      <c r="I83" s="229"/>
      <c r="J83" s="175"/>
      <c r="K83" s="225"/>
      <c r="L83" s="310"/>
      <c r="M83" s="233"/>
      <c r="N83" s="174"/>
      <c r="O83" s="227"/>
      <c r="S83" s="230"/>
      <c r="T83" s="227"/>
      <c r="U83" s="178"/>
      <c r="V83" s="179"/>
      <c r="W83" s="180"/>
      <c r="Y83" s="178"/>
      <c r="Z83" s="181"/>
      <c r="AE83" s="242"/>
      <c r="AF83" s="114"/>
      <c r="AG83" s="241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</row>
    <row r="84" spans="1:93" x14ac:dyDescent="0.2">
      <c r="A84" s="118">
        <f t="shared" si="8"/>
        <v>16</v>
      </c>
      <c r="B84" s="234" t="s">
        <v>149</v>
      </c>
      <c r="C84" s="223"/>
      <c r="D84" s="172">
        <f>SUMIF($AH$6:$CP$6,1,$AH84:$CP84)</f>
        <v>2051871.7093230446</v>
      </c>
      <c r="E84" s="225" t="s">
        <v>555</v>
      </c>
      <c r="F84" s="183">
        <v>74</v>
      </c>
      <c r="G84" s="233" t="s">
        <v>375</v>
      </c>
      <c r="H84" s="174">
        <f>ROUND(D84*F84,2)</f>
        <v>151838506.49000001</v>
      </c>
      <c r="I84" s="229"/>
      <c r="J84" s="172">
        <f>SUMIF($AH$6:$CP$6,1,$AH84:$CP84)</f>
        <v>2051871.7093230446</v>
      </c>
      <c r="K84" s="225" t="s">
        <v>555</v>
      </c>
      <c r="L84" s="183">
        <f>'Exhibit MJC-3 - E-13c cal yr'!L90</f>
        <v>76.39</v>
      </c>
      <c r="M84" s="233" t="s">
        <v>375</v>
      </c>
      <c r="N84" s="174">
        <f>ROUND(J84*L84,2)</f>
        <v>156742479.88</v>
      </c>
      <c r="O84" s="227"/>
      <c r="Q84" s="1022"/>
      <c r="R84" s="186"/>
      <c r="S84" s="230"/>
      <c r="T84" s="176"/>
      <c r="U84" s="178" t="s">
        <v>136</v>
      </c>
      <c r="V84" s="179">
        <v>241</v>
      </c>
      <c r="W84" s="180">
        <v>215</v>
      </c>
      <c r="Y84" s="178"/>
      <c r="Z84" s="181"/>
      <c r="AB84" s="182">
        <f>SUM(AH84:AS84)</f>
        <v>2022003.465775976</v>
      </c>
      <c r="AC84" s="182">
        <f>SUM(AT84:BE84)</f>
        <v>2034629.5388168318</v>
      </c>
      <c r="AD84" s="182">
        <f>SUM(BF84:BQ84)</f>
        <v>2042841.9304549096</v>
      </c>
      <c r="AE84" s="182">
        <f>SUM(BR84:CC84)</f>
        <v>2051871.7093230446</v>
      </c>
      <c r="AF84" s="182">
        <f>SUM(CD84:CO84)</f>
        <v>2064012.9449247932</v>
      </c>
      <c r="AG84" s="241"/>
      <c r="AH84" s="168">
        <v>168712.35234296418</v>
      </c>
      <c r="AI84" s="168">
        <v>139971.48640706346</v>
      </c>
      <c r="AJ84" s="168">
        <v>126533.00837395462</v>
      </c>
      <c r="AK84" s="168">
        <v>144462.9973109058</v>
      </c>
      <c r="AL84" s="168">
        <v>172878.46835371628</v>
      </c>
      <c r="AM84" s="168">
        <v>193524.60048065713</v>
      </c>
      <c r="AN84" s="168">
        <v>194824.70680809917</v>
      </c>
      <c r="AO84" s="168">
        <v>209332.33669090815</v>
      </c>
      <c r="AP84" s="168">
        <v>198620.02165022129</v>
      </c>
      <c r="AQ84" s="168">
        <v>178142.80806679567</v>
      </c>
      <c r="AR84" s="168">
        <v>158689.63741860984</v>
      </c>
      <c r="AS84" s="168">
        <v>136311.0418720803</v>
      </c>
      <c r="AT84" s="168">
        <v>165644.65294328204</v>
      </c>
      <c r="AU84" s="168">
        <v>138752.47414889364</v>
      </c>
      <c r="AV84" s="168">
        <v>123113.37054795095</v>
      </c>
      <c r="AW84" s="168">
        <v>145215.49169262772</v>
      </c>
      <c r="AX84" s="168">
        <v>172224.60310259034</v>
      </c>
      <c r="AY84" s="168">
        <v>189762.46873146587</v>
      </c>
      <c r="AZ84" s="168">
        <v>202638.34396484229</v>
      </c>
      <c r="BA84" s="168">
        <v>211609.89357379294</v>
      </c>
      <c r="BB84" s="168">
        <v>203000.58489726586</v>
      </c>
      <c r="BC84" s="168">
        <v>183782.15360472794</v>
      </c>
      <c r="BD84" s="168">
        <v>162227.33421929553</v>
      </c>
      <c r="BE84" s="168">
        <v>136658.16739009673</v>
      </c>
      <c r="BF84" s="168">
        <v>162733.28789023092</v>
      </c>
      <c r="BG84" s="168">
        <v>140193.62577819015</v>
      </c>
      <c r="BH84" s="168">
        <v>124834.91698474795</v>
      </c>
      <c r="BI84" s="168">
        <v>143473.34516156875</v>
      </c>
      <c r="BJ84" s="168">
        <v>173002.58243680396</v>
      </c>
      <c r="BK84" s="168">
        <v>193528.74893154154</v>
      </c>
      <c r="BL84" s="168">
        <v>204295.18110058337</v>
      </c>
      <c r="BM84" s="168">
        <v>214013.87536960369</v>
      </c>
      <c r="BN84" s="168">
        <v>203801.85514944754</v>
      </c>
      <c r="BO84" s="168">
        <v>181649.72095911068</v>
      </c>
      <c r="BP84" s="168">
        <v>161430.00047826811</v>
      </c>
      <c r="BQ84" s="168">
        <v>139884.79021481291</v>
      </c>
      <c r="BR84" s="168">
        <v>162177.21307265983</v>
      </c>
      <c r="BS84" s="168">
        <v>138222.06354150089</v>
      </c>
      <c r="BT84" s="168">
        <v>126447.65502297673</v>
      </c>
      <c r="BU84" s="168">
        <v>146077.44494470366</v>
      </c>
      <c r="BV84" s="168">
        <v>168849.57300902365</v>
      </c>
      <c r="BW84" s="168">
        <v>197366.28609468119</v>
      </c>
      <c r="BX84" s="168">
        <v>208258.14649936033</v>
      </c>
      <c r="BY84" s="168">
        <v>216108.04948808756</v>
      </c>
      <c r="BZ84" s="168">
        <v>204717.50141371958</v>
      </c>
      <c r="CA84" s="168">
        <v>183735.154255651</v>
      </c>
      <c r="CB84" s="168">
        <v>162172.59912674394</v>
      </c>
      <c r="CC84" s="168">
        <v>137740.02285393621</v>
      </c>
      <c r="CD84" s="168">
        <v>163259.85777228337</v>
      </c>
      <c r="CE84" s="168">
        <v>136649.58406935114</v>
      </c>
      <c r="CF84" s="168">
        <v>122986.24624077164</v>
      </c>
      <c r="CG84" s="168">
        <v>149235.85105832067</v>
      </c>
      <c r="CH84" s="168">
        <v>173600.16924055415</v>
      </c>
      <c r="CI84" s="168">
        <v>194769.96971492577</v>
      </c>
      <c r="CJ84" s="168">
        <v>208489.35386577531</v>
      </c>
      <c r="CK84" s="168">
        <v>217336.9743071259</v>
      </c>
      <c r="CL84" s="168">
        <v>210331.04979209986</v>
      </c>
      <c r="CM84" s="168">
        <v>184875.65681037304</v>
      </c>
      <c r="CN84" s="168">
        <v>164815.52652022085</v>
      </c>
      <c r="CO84" s="168">
        <v>137662.70553299144</v>
      </c>
    </row>
    <row r="85" spans="1:93" x14ac:dyDescent="0.2">
      <c r="A85" s="118">
        <f t="shared" si="8"/>
        <v>17</v>
      </c>
      <c r="B85" s="234" t="s">
        <v>148</v>
      </c>
      <c r="C85" s="223"/>
      <c r="D85" s="172">
        <f>SUMIF($AH$6:$CP$6,1,$AH85:$CP85)</f>
        <v>15593.067718822966</v>
      </c>
      <c r="E85" s="225" t="s">
        <v>555</v>
      </c>
      <c r="F85" s="183">
        <v>74</v>
      </c>
      <c r="G85" s="233" t="s">
        <v>375</v>
      </c>
      <c r="H85" s="174">
        <f>ROUND(D85*F85,2)</f>
        <v>1153887.01</v>
      </c>
      <c r="I85" s="229"/>
      <c r="J85" s="172">
        <f>SUMIF($AH$6:$CP$6,1,$AH85:$CP85)</f>
        <v>15593.067718822966</v>
      </c>
      <c r="K85" s="225" t="s">
        <v>555</v>
      </c>
      <c r="L85" s="183">
        <f>L84</f>
        <v>76.39</v>
      </c>
      <c r="M85" s="233" t="s">
        <v>375</v>
      </c>
      <c r="N85" s="174">
        <f>ROUND(J85*L85,2)</f>
        <v>1191154.44</v>
      </c>
      <c r="O85" s="227"/>
      <c r="R85" s="186"/>
      <c r="S85" s="926"/>
      <c r="T85" s="176"/>
      <c r="U85" s="178" t="s">
        <v>136</v>
      </c>
      <c r="V85" s="179">
        <v>241</v>
      </c>
      <c r="W85" s="180">
        <v>215</v>
      </c>
      <c r="Y85" s="178"/>
      <c r="Z85" s="181"/>
      <c r="AB85" s="182">
        <f>SUM(AH85:AS85)</f>
        <v>15177.514568094466</v>
      </c>
      <c r="AC85" s="182">
        <f>SUM(AT85:BE85)</f>
        <v>15395.920511931707</v>
      </c>
      <c r="AD85" s="182">
        <f>SUM(BF85:BQ85)</f>
        <v>15466.990943451354</v>
      </c>
      <c r="AE85" s="182">
        <f>SUM(BR85:CC85)</f>
        <v>15593.067718822966</v>
      </c>
      <c r="AF85" s="182">
        <f>SUM(CD85:CO85)</f>
        <v>15696.689370231048</v>
      </c>
      <c r="AG85" s="241"/>
      <c r="AH85" s="168">
        <v>266.26242454759733</v>
      </c>
      <c r="AI85" s="168">
        <v>725.03306608544892</v>
      </c>
      <c r="AJ85" s="168">
        <v>697.05347619831173</v>
      </c>
      <c r="AK85" s="168">
        <v>393.88661619946259</v>
      </c>
      <c r="AL85" s="168">
        <v>853.01996773694816</v>
      </c>
      <c r="AM85" s="168">
        <v>1399.2541262015513</v>
      </c>
      <c r="AN85" s="168">
        <v>2519.8129042607602</v>
      </c>
      <c r="AO85" s="168">
        <v>2334.7745757694684</v>
      </c>
      <c r="AP85" s="168">
        <v>2553.7577998835991</v>
      </c>
      <c r="AQ85" s="168">
        <v>2466.1922499542443</v>
      </c>
      <c r="AR85" s="168">
        <v>681.33818569646758</v>
      </c>
      <c r="AS85" s="168">
        <v>287.12917556060603</v>
      </c>
      <c r="AT85" s="168">
        <v>261.42097062558616</v>
      </c>
      <c r="AU85" s="168">
        <v>718.71875009278835</v>
      </c>
      <c r="AV85" s="168">
        <v>678.21514725484428</v>
      </c>
      <c r="AW85" s="168">
        <v>395.93833512571246</v>
      </c>
      <c r="AX85" s="168">
        <v>849.79365435777959</v>
      </c>
      <c r="AY85" s="168">
        <v>1372.0525282636404</v>
      </c>
      <c r="AZ85" s="168">
        <v>2620.8724878184344</v>
      </c>
      <c r="BA85" s="168">
        <v>2360.1771580416939</v>
      </c>
      <c r="BB85" s="168">
        <v>2610.0809110537507</v>
      </c>
      <c r="BC85" s="168">
        <v>2544.2628182325202</v>
      </c>
      <c r="BD85" s="168">
        <v>696.52738115328896</v>
      </c>
      <c r="BE85" s="168">
        <v>287.86036991166696</v>
      </c>
      <c r="BF85" s="168">
        <v>256.82624411621526</v>
      </c>
      <c r="BG85" s="168">
        <v>726.18371750368078</v>
      </c>
      <c r="BH85" s="168">
        <v>687.69891709187891</v>
      </c>
      <c r="BI85" s="168">
        <v>391.18827306957485</v>
      </c>
      <c r="BJ85" s="168">
        <v>853.63237362045334</v>
      </c>
      <c r="BK85" s="168">
        <v>1399.2841210290974</v>
      </c>
      <c r="BL85" s="168">
        <v>2642.3015953648974</v>
      </c>
      <c r="BM85" s="168">
        <v>2386.9898123415373</v>
      </c>
      <c r="BN85" s="168">
        <v>2620.3832468370347</v>
      </c>
      <c r="BO85" s="168">
        <v>2514.7416216080751</v>
      </c>
      <c r="BP85" s="168">
        <v>693.10400749547944</v>
      </c>
      <c r="BQ85" s="168">
        <v>294.65701337342853</v>
      </c>
      <c r="BR85" s="168">
        <v>255.948644894225</v>
      </c>
      <c r="BS85" s="168">
        <v>715.97129603029566</v>
      </c>
      <c r="BT85" s="168">
        <v>696.5832759654329</v>
      </c>
      <c r="BU85" s="168">
        <v>398.28849991601953</v>
      </c>
      <c r="BV85" s="168">
        <v>833.14052173263963</v>
      </c>
      <c r="BW85" s="168">
        <v>1427.0309278776233</v>
      </c>
      <c r="BX85" s="168">
        <v>2693.5575757514775</v>
      </c>
      <c r="BY85" s="168">
        <v>2410.3470469014796</v>
      </c>
      <c r="BZ85" s="168">
        <v>2632.1561726976365</v>
      </c>
      <c r="CA85" s="168">
        <v>2543.6121636722587</v>
      </c>
      <c r="CB85" s="168">
        <v>696.29237457529382</v>
      </c>
      <c r="CC85" s="168">
        <v>290.13921880858521</v>
      </c>
      <c r="CD85" s="168">
        <v>257.65727854577511</v>
      </c>
      <c r="CE85" s="168">
        <v>707.82606843920234</v>
      </c>
      <c r="CF85" s="168">
        <v>677.51483639234755</v>
      </c>
      <c r="CG85" s="168">
        <v>406.90007464334502</v>
      </c>
      <c r="CH85" s="168">
        <v>856.58099689846631</v>
      </c>
      <c r="CI85" s="168">
        <v>1408.2586043679798</v>
      </c>
      <c r="CJ85" s="168">
        <v>2696.5479526651529</v>
      </c>
      <c r="CK85" s="168">
        <v>2424.0537797855609</v>
      </c>
      <c r="CL85" s="168">
        <v>2704.3323956040972</v>
      </c>
      <c r="CM85" s="168">
        <v>2559.4011735797139</v>
      </c>
      <c r="CN85" s="168">
        <v>707.63985374590197</v>
      </c>
      <c r="CO85" s="168">
        <v>289.97635556350593</v>
      </c>
    </row>
    <row r="86" spans="1:93" x14ac:dyDescent="0.2">
      <c r="A86" s="118">
        <f t="shared" si="8"/>
        <v>18</v>
      </c>
      <c r="B86" s="234" t="s">
        <v>216</v>
      </c>
      <c r="C86" s="223"/>
      <c r="D86" s="172">
        <f>SUMIF($AH$6:$CP$6,1,$AH86:$CP86)</f>
        <v>0</v>
      </c>
      <c r="E86" s="225" t="s">
        <v>555</v>
      </c>
      <c r="F86" s="183">
        <v>74</v>
      </c>
      <c r="G86" s="233" t="s">
        <v>375</v>
      </c>
      <c r="H86" s="174">
        <f>ROUND(D86*F86,2)</f>
        <v>0</v>
      </c>
      <c r="I86" s="229"/>
      <c r="J86" s="172">
        <f>SUMIF($AH$6:$CP$6,1,$AH86:$CP86)</f>
        <v>0</v>
      </c>
      <c r="K86" s="225" t="s">
        <v>555</v>
      </c>
      <c r="L86" s="183">
        <f>L85</f>
        <v>76.39</v>
      </c>
      <c r="M86" s="233" t="s">
        <v>375</v>
      </c>
      <c r="N86" s="174">
        <f>ROUND(J86*L86,2)</f>
        <v>0</v>
      </c>
      <c r="O86" s="227"/>
      <c r="S86" s="230"/>
      <c r="T86" s="327"/>
      <c r="U86" s="178" t="s">
        <v>136</v>
      </c>
      <c r="V86" s="179">
        <v>241</v>
      </c>
      <c r="W86" s="180">
        <v>215</v>
      </c>
      <c r="Y86" s="178"/>
      <c r="Z86" s="181"/>
      <c r="AB86" s="182">
        <f>SUM(AH86:AS86)</f>
        <v>0</v>
      </c>
      <c r="AC86" s="182">
        <f>SUM(AT86:BE86)</f>
        <v>0</v>
      </c>
      <c r="AD86" s="182">
        <f>SUM(BF86:BQ86)</f>
        <v>0</v>
      </c>
      <c r="AE86" s="182">
        <f>SUM(BR86:CC86)</f>
        <v>0</v>
      </c>
      <c r="AF86" s="182">
        <f>SUM(CD86:CO86)</f>
        <v>0</v>
      </c>
      <c r="AG86" s="241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</row>
    <row r="87" spans="1:93" x14ac:dyDescent="0.2">
      <c r="A87" s="118">
        <f t="shared" si="8"/>
        <v>19</v>
      </c>
      <c r="B87" s="226" t="s">
        <v>546</v>
      </c>
      <c r="C87" s="223"/>
      <c r="D87" s="168"/>
      <c r="E87" s="225"/>
      <c r="F87" s="183"/>
      <c r="G87" s="233"/>
      <c r="H87" s="174"/>
      <c r="I87" s="229"/>
      <c r="J87" s="168"/>
      <c r="K87" s="225"/>
      <c r="L87" s="183"/>
      <c r="M87" s="233"/>
      <c r="N87" s="174"/>
      <c r="O87" s="227"/>
      <c r="S87" s="230"/>
      <c r="T87" s="227"/>
      <c r="U87" s="184"/>
      <c r="V87" s="179"/>
      <c r="W87" s="180"/>
      <c r="Y87" s="184"/>
      <c r="Z87" s="181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</row>
    <row r="88" spans="1:93" x14ac:dyDescent="0.2">
      <c r="A88" s="118">
        <f t="shared" si="8"/>
        <v>20</v>
      </c>
      <c r="B88" s="234" t="s">
        <v>149</v>
      </c>
      <c r="C88" s="223"/>
      <c r="D88" s="168"/>
      <c r="E88" s="225"/>
      <c r="F88" s="183"/>
      <c r="G88" s="233"/>
      <c r="H88" s="174"/>
      <c r="I88" s="229"/>
      <c r="J88" s="168"/>
      <c r="K88" s="225"/>
      <c r="L88" s="310"/>
      <c r="M88" s="233"/>
      <c r="N88" s="174"/>
      <c r="O88" s="227"/>
      <c r="T88" s="227"/>
      <c r="U88" s="184"/>
      <c r="V88" s="179"/>
      <c r="W88" s="180"/>
      <c r="Y88" s="184"/>
      <c r="Z88" s="181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</row>
    <row r="89" spans="1:93" x14ac:dyDescent="0.2">
      <c r="A89" s="118">
        <f t="shared" si="8"/>
        <v>21</v>
      </c>
      <c r="B89" s="243" t="s">
        <v>559</v>
      </c>
      <c r="C89" s="223"/>
      <c r="D89" s="172">
        <f>'E-13c - prior to updates'!D93</f>
        <v>15146.948498393165</v>
      </c>
      <c r="E89" s="225" t="s">
        <v>555</v>
      </c>
      <c r="F89" s="183">
        <v>99.86</v>
      </c>
      <c r="G89" s="233" t="s">
        <v>375</v>
      </c>
      <c r="H89" s="174">
        <f>ROUND(D89*F89,2)</f>
        <v>1512574.28</v>
      </c>
      <c r="I89" s="229"/>
      <c r="J89" s="172">
        <f>D89</f>
        <v>15146.948498393165</v>
      </c>
      <c r="K89" s="225" t="s">
        <v>555</v>
      </c>
      <c r="L89" s="183">
        <f>'Exhibit MJC-3 - E-13c cal yr'!L95</f>
        <v>108.35</v>
      </c>
      <c r="M89" s="233" t="s">
        <v>375</v>
      </c>
      <c r="N89" s="174">
        <f>ROUND(J89*L89,2)</f>
        <v>1641171.87</v>
      </c>
      <c r="O89" s="227"/>
      <c r="Q89" s="1022"/>
      <c r="S89" s="230"/>
      <c r="T89" s="927"/>
      <c r="U89" s="178" t="s">
        <v>580</v>
      </c>
      <c r="V89" s="179">
        <v>242</v>
      </c>
      <c r="W89" s="180">
        <v>216</v>
      </c>
      <c r="Y89" s="178"/>
      <c r="Z89" s="181"/>
      <c r="AB89" s="182">
        <f>SUM(AH89:AS89)</f>
        <v>15026.487355436428</v>
      </c>
      <c r="AC89" s="182">
        <f>SUM(AT89:BE89)</f>
        <v>15038.945688180134</v>
      </c>
      <c r="AD89" s="182">
        <f>SUM(BF89:BQ89)</f>
        <v>15119.459251268765</v>
      </c>
      <c r="AE89" s="182">
        <f>SUM(BR89:CC89)</f>
        <v>15146.948498393165</v>
      </c>
      <c r="AF89" s="182">
        <f>SUM(CD89:CO89)</f>
        <v>15166.374954749992</v>
      </c>
      <c r="AG89" s="241"/>
      <c r="AH89" s="168">
        <v>1330.4540872618363</v>
      </c>
      <c r="AI89" s="168">
        <v>2707.2079356463687</v>
      </c>
      <c r="AJ89" s="168">
        <v>1738.6988296977377</v>
      </c>
      <c r="AK89" s="168">
        <v>1005.9694450236032</v>
      </c>
      <c r="AL89" s="168">
        <v>947.49744396279755</v>
      </c>
      <c r="AM89" s="168">
        <v>1100.1531966943967</v>
      </c>
      <c r="AN89" s="168">
        <v>967.77050802189785</v>
      </c>
      <c r="AO89" s="168">
        <v>1073.8540836832308</v>
      </c>
      <c r="AP89" s="168">
        <v>977.65346567082611</v>
      </c>
      <c r="AQ89" s="168">
        <v>1004.4477795287892</v>
      </c>
      <c r="AR89" s="168">
        <v>889.15708541341439</v>
      </c>
      <c r="AS89" s="168">
        <v>1283.6234948315278</v>
      </c>
      <c r="AT89" s="168">
        <v>1306.2624193245599</v>
      </c>
      <c r="AU89" s="168">
        <v>2683.6308504579602</v>
      </c>
      <c r="AV89" s="168">
        <v>1691.709349541771</v>
      </c>
      <c r="AW89" s="168">
        <v>1011.2094467517626</v>
      </c>
      <c r="AX89" s="168">
        <v>943.91379551867567</v>
      </c>
      <c r="AY89" s="168">
        <v>1078.7661417154518</v>
      </c>
      <c r="AZ89" s="168">
        <v>1006.583899426759</v>
      </c>
      <c r="BA89" s="168">
        <v>1085.5377241478088</v>
      </c>
      <c r="BB89" s="168">
        <v>999.21560630740998</v>
      </c>
      <c r="BC89" s="168">
        <v>1036.2448987335551</v>
      </c>
      <c r="BD89" s="168">
        <v>908.97922520491386</v>
      </c>
      <c r="BE89" s="168">
        <v>1286.8923310495038</v>
      </c>
      <c r="BF89" s="168">
        <v>1283.303593366938</v>
      </c>
      <c r="BG89" s="168">
        <v>2711.5043640388253</v>
      </c>
      <c r="BH89" s="168">
        <v>1715.3652383362823</v>
      </c>
      <c r="BI89" s="168">
        <v>999.07799294267829</v>
      </c>
      <c r="BJ89" s="168">
        <v>948.17767775712275</v>
      </c>
      <c r="BK89" s="168">
        <v>1100.1767799054742</v>
      </c>
      <c r="BL89" s="168">
        <v>1014.814057412548</v>
      </c>
      <c r="BM89" s="168">
        <v>1097.8699118515333</v>
      </c>
      <c r="BN89" s="168">
        <v>1003.159642928068</v>
      </c>
      <c r="BO89" s="168">
        <v>1024.2213022767071</v>
      </c>
      <c r="BP89" s="168">
        <v>904.51166855278325</v>
      </c>
      <c r="BQ89" s="168">
        <v>1317.2770218998025</v>
      </c>
      <c r="BR89" s="168">
        <v>1278.9184253363433</v>
      </c>
      <c r="BS89" s="168">
        <v>2673.3721053210493</v>
      </c>
      <c r="BT89" s="168">
        <v>1737.5259833917567</v>
      </c>
      <c r="BU89" s="168">
        <v>1017.2116663565586</v>
      </c>
      <c r="BV89" s="168">
        <v>925.41622079231331</v>
      </c>
      <c r="BW89" s="168">
        <v>1121.9925013536815</v>
      </c>
      <c r="BX89" s="168">
        <v>1034.4996563290413</v>
      </c>
      <c r="BY89" s="168">
        <v>1108.6128169593962</v>
      </c>
      <c r="BZ89" s="168">
        <v>1007.6666646077382</v>
      </c>
      <c r="CA89" s="168">
        <v>1035.9798956591569</v>
      </c>
      <c r="CB89" s="168">
        <v>908.67253791168741</v>
      </c>
      <c r="CC89" s="168">
        <v>1297.0800243744461</v>
      </c>
      <c r="CD89" s="168">
        <v>1287.4560874912654</v>
      </c>
      <c r="CE89" s="168">
        <v>2642.9585617135699</v>
      </c>
      <c r="CF89" s="168">
        <v>1689.9625256342447</v>
      </c>
      <c r="CG89" s="168">
        <v>1039.2052571335553</v>
      </c>
      <c r="CH89" s="168">
        <v>951.45288012611115</v>
      </c>
      <c r="CI89" s="168">
        <v>1107.2329009838904</v>
      </c>
      <c r="CJ89" s="168">
        <v>1035.6481537353491</v>
      </c>
      <c r="CK89" s="168">
        <v>1114.9170791499653</v>
      </c>
      <c r="CL89" s="168">
        <v>1035.2978418739408</v>
      </c>
      <c r="CM89" s="168">
        <v>1042.410552451139</v>
      </c>
      <c r="CN89" s="168">
        <v>923.48117731858292</v>
      </c>
      <c r="CO89" s="168">
        <v>1296.3519371383793</v>
      </c>
    </row>
    <row r="90" spans="1:93" x14ac:dyDescent="0.2">
      <c r="A90" s="118">
        <f t="shared" si="8"/>
        <v>22</v>
      </c>
      <c r="B90" s="243" t="s">
        <v>560</v>
      </c>
      <c r="C90" s="223"/>
      <c r="D90" s="172">
        <f>'E-13c - prior to updates'!D94</f>
        <v>82535.281525311584</v>
      </c>
      <c r="E90" s="225" t="s">
        <v>555</v>
      </c>
      <c r="F90" s="183">
        <v>85.78</v>
      </c>
      <c r="G90" s="233" t="s">
        <v>375</v>
      </c>
      <c r="H90" s="174">
        <f>ROUND(D90*F90,2)</f>
        <v>7079876.4500000002</v>
      </c>
      <c r="I90" s="229"/>
      <c r="J90" s="172">
        <f t="shared" ref="J90:J91" si="11">D90</f>
        <v>82535.281525311584</v>
      </c>
      <c r="K90" s="225" t="s">
        <v>555</v>
      </c>
      <c r="L90" s="183">
        <f>'Exhibit MJC-3 - E-13c cal yr'!L96</f>
        <v>85.78</v>
      </c>
      <c r="M90" s="233" t="s">
        <v>375</v>
      </c>
      <c r="N90" s="174">
        <f>ROUND(J90*L90,2)</f>
        <v>7079876.4500000002</v>
      </c>
      <c r="O90" s="227"/>
      <c r="Q90" s="1022"/>
      <c r="S90" s="230"/>
      <c r="T90" s="927"/>
      <c r="U90" s="178" t="s">
        <v>580</v>
      </c>
      <c r="V90" s="179">
        <v>242</v>
      </c>
      <c r="W90" s="180">
        <v>216</v>
      </c>
      <c r="Y90" s="178"/>
      <c r="Z90" s="181"/>
      <c r="AB90" s="182">
        <f>SUM(AH90:AS90)</f>
        <v>84158.984580079428</v>
      </c>
      <c r="AC90" s="182">
        <f>SUM(AT90:BE90)</f>
        <v>84634.762774536808</v>
      </c>
      <c r="AD90" s="182">
        <f>SUM(BF90:BQ90)</f>
        <v>85053.175769692505</v>
      </c>
      <c r="AE90" s="182">
        <f>SUM(BR90:CC90)</f>
        <v>85437.633011677681</v>
      </c>
      <c r="AF90" s="182">
        <f>SUM(CD90:CO90)</f>
        <v>85811.081940918491</v>
      </c>
      <c r="AG90" s="241"/>
      <c r="AH90" s="168">
        <v>4532.1447252804337</v>
      </c>
      <c r="AI90" s="168">
        <v>8633.483501129469</v>
      </c>
      <c r="AJ90" s="168">
        <v>6592.768600002034</v>
      </c>
      <c r="AK90" s="168">
        <v>6908.7382241381465</v>
      </c>
      <c r="AL90" s="168">
        <v>5686.462376869833</v>
      </c>
      <c r="AM90" s="168">
        <v>8159.3368223685793</v>
      </c>
      <c r="AN90" s="168">
        <v>7528.8112570635012</v>
      </c>
      <c r="AO90" s="168">
        <v>8175.0303018660297</v>
      </c>
      <c r="AP90" s="168">
        <v>7525.2343134371758</v>
      </c>
      <c r="AQ90" s="168">
        <v>7419.2430199355931</v>
      </c>
      <c r="AR90" s="168">
        <v>6626.8427515873318</v>
      </c>
      <c r="AS90" s="168">
        <v>6370.8886864013002</v>
      </c>
      <c r="AT90" s="168">
        <v>4449.7366652899454</v>
      </c>
      <c r="AU90" s="168">
        <v>8558.2944573553887</v>
      </c>
      <c r="AV90" s="168">
        <v>6414.5946897127342</v>
      </c>
      <c r="AW90" s="168">
        <v>6944.7252020856067</v>
      </c>
      <c r="AX90" s="168">
        <v>5664.9548971618169</v>
      </c>
      <c r="AY90" s="168">
        <v>8000.7187446898915</v>
      </c>
      <c r="AZ90" s="168">
        <v>7830.761663395906</v>
      </c>
      <c r="BA90" s="168">
        <v>8263.9754539917521</v>
      </c>
      <c r="BB90" s="168">
        <v>7691.2033058124453</v>
      </c>
      <c r="BC90" s="168">
        <v>7654.1089428058594</v>
      </c>
      <c r="BD90" s="168">
        <v>6774.5761561265008</v>
      </c>
      <c r="BE90" s="168">
        <v>6387.1125961089765</v>
      </c>
      <c r="BF90" s="168">
        <v>4371.5282378374695</v>
      </c>
      <c r="BG90" s="168">
        <v>8647.1851245443704</v>
      </c>
      <c r="BH90" s="168">
        <v>6504.2926858152023</v>
      </c>
      <c r="BI90" s="168">
        <v>6861.4095118727464</v>
      </c>
      <c r="BJ90" s="168">
        <v>5690.5448405255947</v>
      </c>
      <c r="BK90" s="168">
        <v>8159.51172833905</v>
      </c>
      <c r="BL90" s="168">
        <v>7894.7885226328863</v>
      </c>
      <c r="BM90" s="168">
        <v>8357.8578628758896</v>
      </c>
      <c r="BN90" s="168">
        <v>7721.5615060883119</v>
      </c>
      <c r="BO90" s="168">
        <v>7565.2979703441133</v>
      </c>
      <c r="BP90" s="168">
        <v>6741.2796825301475</v>
      </c>
      <c r="BQ90" s="168">
        <v>6537.9180962867204</v>
      </c>
      <c r="BR90" s="168">
        <v>4356.5903182582742</v>
      </c>
      <c r="BS90" s="168">
        <v>8525.5785711038716</v>
      </c>
      <c r="BT90" s="168">
        <v>6588.3214213609554</v>
      </c>
      <c r="BU90" s="168">
        <v>6985.9468954665172</v>
      </c>
      <c r="BV90" s="168">
        <v>5553.9406000626386</v>
      </c>
      <c r="BW90" s="168">
        <v>8321.3090306181621</v>
      </c>
      <c r="BX90" s="168">
        <v>8047.9334650505543</v>
      </c>
      <c r="BY90" s="168">
        <v>8439.641390192397</v>
      </c>
      <c r="BZ90" s="168">
        <v>7756.2531380276378</v>
      </c>
      <c r="CA90" s="168">
        <v>7652.1515267509276</v>
      </c>
      <c r="CB90" s="168">
        <v>6772.2904312535156</v>
      </c>
      <c r="CC90" s="168">
        <v>6437.6762235322376</v>
      </c>
      <c r="CD90" s="168">
        <v>4385.6735619959773</v>
      </c>
      <c r="CE90" s="168">
        <v>8428.5875629553393</v>
      </c>
      <c r="CF90" s="168">
        <v>6407.97111258105</v>
      </c>
      <c r="CG90" s="168">
        <v>7136.993194177433</v>
      </c>
      <c r="CH90" s="168">
        <v>5710.2011627315869</v>
      </c>
      <c r="CI90" s="168">
        <v>8211.8437751041765</v>
      </c>
      <c r="CJ90" s="168">
        <v>8056.8682487928227</v>
      </c>
      <c r="CK90" s="168">
        <v>8487.6344417828332</v>
      </c>
      <c r="CL90" s="168">
        <v>7968.936967815549</v>
      </c>
      <c r="CM90" s="168">
        <v>7699.6508656811175</v>
      </c>
      <c r="CN90" s="168">
        <v>6882.6584711919559</v>
      </c>
      <c r="CO90" s="168">
        <v>6434.0625761086339</v>
      </c>
    </row>
    <row r="91" spans="1:93" x14ac:dyDescent="0.2">
      <c r="A91" s="118">
        <f t="shared" si="8"/>
        <v>23</v>
      </c>
      <c r="B91" s="243" t="s">
        <v>561</v>
      </c>
      <c r="C91" s="223"/>
      <c r="D91" s="172">
        <f>'E-13c - prior to updates'!D95</f>
        <v>27236.38912587093</v>
      </c>
      <c r="E91" s="225" t="s">
        <v>555</v>
      </c>
      <c r="F91" s="183">
        <v>48.8</v>
      </c>
      <c r="G91" s="233" t="s">
        <v>375</v>
      </c>
      <c r="H91" s="174">
        <f>ROUND(D91*F91,2)</f>
        <v>1329135.79</v>
      </c>
      <c r="I91" s="229"/>
      <c r="J91" s="172">
        <f t="shared" si="11"/>
        <v>27236.38912587093</v>
      </c>
      <c r="K91" s="225" t="s">
        <v>555</v>
      </c>
      <c r="L91" s="183">
        <f>'Exhibit MJC-3 - E-13c cal yr'!L97</f>
        <v>50.77</v>
      </c>
      <c r="M91" s="233" t="s">
        <v>375</v>
      </c>
      <c r="N91" s="174">
        <f>ROUND(J91*L91,2)</f>
        <v>1382791.48</v>
      </c>
      <c r="O91" s="227"/>
      <c r="Q91" s="1022"/>
      <c r="S91" s="230"/>
      <c r="T91" s="927"/>
      <c r="U91" s="178" t="s">
        <v>580</v>
      </c>
      <c r="V91" s="179">
        <v>242</v>
      </c>
      <c r="W91" s="180">
        <v>216</v>
      </c>
      <c r="Y91" s="178"/>
      <c r="Z91" s="181"/>
      <c r="AB91" s="182">
        <f>SUM(AH91:AS91)</f>
        <v>23803.942610591144</v>
      </c>
      <c r="AC91" s="182">
        <f>SUM(AT91:BE91)</f>
        <v>24067.327213958506</v>
      </c>
      <c r="AD91" s="182">
        <f>SUM(BF91:BQ91)</f>
        <v>24193.963702191333</v>
      </c>
      <c r="AE91" s="182">
        <f>SUM(BR91:CC91)</f>
        <v>24334.037639504833</v>
      </c>
      <c r="AF91" s="182">
        <f>SUM(CD91:CO91)</f>
        <v>24555.153982484931</v>
      </c>
      <c r="AG91" s="241"/>
      <c r="AH91" s="168">
        <v>0</v>
      </c>
      <c r="AI91" s="168">
        <v>0.14574760863414665</v>
      </c>
      <c r="AJ91" s="168">
        <v>560.27452825171918</v>
      </c>
      <c r="AK91" s="168">
        <v>1603.8401309152575</v>
      </c>
      <c r="AL91" s="168">
        <v>3398.7706232082965</v>
      </c>
      <c r="AM91" s="168">
        <v>3301.7856033738285</v>
      </c>
      <c r="AN91" s="168">
        <v>2892.7985426456507</v>
      </c>
      <c r="AO91" s="168">
        <v>2924.6602951358295</v>
      </c>
      <c r="AP91" s="168">
        <v>2664.7217237491227</v>
      </c>
      <c r="AQ91" s="168">
        <v>2620.2015974917472</v>
      </c>
      <c r="AR91" s="168">
        <v>2425.1873795346842</v>
      </c>
      <c r="AS91" s="168">
        <v>1411.5564386763729</v>
      </c>
      <c r="AT91" s="168">
        <v>0</v>
      </c>
      <c r="AU91" s="168">
        <v>0.14447829210344076</v>
      </c>
      <c r="AV91" s="168">
        <v>545.13274039432793</v>
      </c>
      <c r="AW91" s="168">
        <v>1612.1943857082451</v>
      </c>
      <c r="AX91" s="168">
        <v>3385.9157082600877</v>
      </c>
      <c r="AY91" s="168">
        <v>3237.5986606460128</v>
      </c>
      <c r="AZ91" s="168">
        <v>3008.8170833641661</v>
      </c>
      <c r="BA91" s="168">
        <v>2956.4808933796726</v>
      </c>
      <c r="BB91" s="168">
        <v>2723.4921435168394</v>
      </c>
      <c r="BC91" s="168">
        <v>2703.1475347858172</v>
      </c>
      <c r="BD91" s="168">
        <v>2479.2525206063146</v>
      </c>
      <c r="BE91" s="168">
        <v>1415.1510650049192</v>
      </c>
      <c r="BF91" s="168">
        <v>0</v>
      </c>
      <c r="BG91" s="168">
        <v>0.14597891490198933</v>
      </c>
      <c r="BH91" s="168">
        <v>552.75556253485013</v>
      </c>
      <c r="BI91" s="168">
        <v>1592.8529309934866</v>
      </c>
      <c r="BJ91" s="168">
        <v>3401.210691676868</v>
      </c>
      <c r="BK91" s="168">
        <v>3301.8563814318759</v>
      </c>
      <c r="BL91" s="168">
        <v>3033.4181523466236</v>
      </c>
      <c r="BM91" s="168">
        <v>2990.0678213220026</v>
      </c>
      <c r="BN91" s="168">
        <v>2734.2421284873512</v>
      </c>
      <c r="BO91" s="168">
        <v>2671.7827916046349</v>
      </c>
      <c r="BP91" s="168">
        <v>2467.0672024124374</v>
      </c>
      <c r="BQ91" s="168">
        <v>1448.5640604663024</v>
      </c>
      <c r="BR91" s="168">
        <v>0</v>
      </c>
      <c r="BS91" s="168">
        <v>0.14392599334884398</v>
      </c>
      <c r="BT91" s="168">
        <v>559.89659280966839</v>
      </c>
      <c r="BU91" s="168">
        <v>1621.763861922816</v>
      </c>
      <c r="BV91" s="168">
        <v>3319.5630083334063</v>
      </c>
      <c r="BW91" s="168">
        <v>3367.329840238644</v>
      </c>
      <c r="BX91" s="168">
        <v>3092.2611025964052</v>
      </c>
      <c r="BY91" s="168">
        <v>3019.3263104415041</v>
      </c>
      <c r="BZ91" s="168">
        <v>2746.526602486515</v>
      </c>
      <c r="CA91" s="168">
        <v>2702.4562479981614</v>
      </c>
      <c r="CB91" s="168">
        <v>2478.4160270719349</v>
      </c>
      <c r="CC91" s="168">
        <v>1426.3541196124308</v>
      </c>
      <c r="CD91" s="168">
        <v>0</v>
      </c>
      <c r="CE91" s="168">
        <v>0.14228862327744529</v>
      </c>
      <c r="CF91" s="168">
        <v>544.56984765867332</v>
      </c>
      <c r="CG91" s="168">
        <v>1656.8287475270176</v>
      </c>
      <c r="CH91" s="168">
        <v>3412.9591788814596</v>
      </c>
      <c r="CI91" s="168">
        <v>3323.0332494011545</v>
      </c>
      <c r="CJ91" s="168">
        <v>3095.6941185807332</v>
      </c>
      <c r="CK91" s="168">
        <v>3036.4960782889602</v>
      </c>
      <c r="CL91" s="168">
        <v>2821.8389712341591</v>
      </c>
      <c r="CM91" s="168">
        <v>2719.2312536706081</v>
      </c>
      <c r="CN91" s="168">
        <v>2518.8067814019018</v>
      </c>
      <c r="CO91" s="168">
        <v>1425.5534672169845</v>
      </c>
    </row>
    <row r="92" spans="1:93" x14ac:dyDescent="0.2">
      <c r="A92" s="118">
        <f t="shared" si="8"/>
        <v>24</v>
      </c>
      <c r="B92" s="234" t="s">
        <v>148</v>
      </c>
      <c r="C92" s="223"/>
      <c r="D92" s="168"/>
      <c r="E92" s="225"/>
      <c r="F92" s="183"/>
      <c r="G92" s="233"/>
      <c r="H92" s="1149"/>
      <c r="I92" s="229"/>
      <c r="J92" s="168"/>
      <c r="K92" s="225"/>
      <c r="L92" s="183"/>
      <c r="M92" s="233"/>
      <c r="N92" s="1149"/>
      <c r="O92" s="227"/>
      <c r="S92" s="230"/>
      <c r="T92" s="327"/>
      <c r="U92" s="178"/>
      <c r="V92" s="179"/>
      <c r="W92" s="180"/>
      <c r="Y92" s="178"/>
      <c r="Z92" s="181"/>
      <c r="AF92" s="245"/>
    </row>
    <row r="93" spans="1:93" x14ac:dyDescent="0.2">
      <c r="A93" s="118">
        <f t="shared" si="8"/>
        <v>25</v>
      </c>
      <c r="B93" s="243" t="s">
        <v>559</v>
      </c>
      <c r="C93" s="223"/>
      <c r="D93" s="172">
        <f>'E-13c - prior to updates'!D97</f>
        <v>1243.6143765061483</v>
      </c>
      <c r="E93" s="225" t="s">
        <v>555</v>
      </c>
      <c r="F93" s="183">
        <v>99.86</v>
      </c>
      <c r="G93" s="233" t="s">
        <v>375</v>
      </c>
      <c r="H93" s="174">
        <f>ROUND(D93*F93,2)</f>
        <v>124187.33</v>
      </c>
      <c r="I93" s="229"/>
      <c r="J93" s="172">
        <f t="shared" ref="J93:J95" si="12">D93</f>
        <v>1243.6143765061483</v>
      </c>
      <c r="K93" s="225" t="s">
        <v>555</v>
      </c>
      <c r="L93" s="183">
        <f>L89</f>
        <v>108.35</v>
      </c>
      <c r="M93" s="233" t="s">
        <v>375</v>
      </c>
      <c r="N93" s="174">
        <f>ROUND(J93*L93,2)</f>
        <v>134745.62</v>
      </c>
      <c r="O93" s="227"/>
      <c r="S93" s="230"/>
      <c r="T93" s="327"/>
      <c r="U93" s="178" t="s">
        <v>580</v>
      </c>
      <c r="V93" s="179">
        <v>242</v>
      </c>
      <c r="W93" s="180">
        <v>216</v>
      </c>
      <c r="Y93" s="178"/>
      <c r="Z93" s="181"/>
      <c r="AB93" s="182">
        <f>SUM(AH93:AS93)</f>
        <v>1229.0048297923745</v>
      </c>
      <c r="AC93" s="182">
        <f>SUM(AT93:BE93)</f>
        <v>1228.3944231713842</v>
      </c>
      <c r="AD93" s="182">
        <f>SUM(BF93:BQ93)</f>
        <v>1237.6745690273738</v>
      </c>
      <c r="AE93" s="182">
        <f>SUM(BR93:CC93)</f>
        <v>1243.6143765061483</v>
      </c>
      <c r="AF93" s="182">
        <f>SUM(CD93:CO93)</f>
        <v>1245.2114808359802</v>
      </c>
      <c r="AG93" s="241"/>
      <c r="AH93" s="168">
        <v>17.2447258389955</v>
      </c>
      <c r="AI93" s="168">
        <v>13.874769714201909</v>
      </c>
      <c r="AJ93" s="168">
        <v>288.46715111385413</v>
      </c>
      <c r="AK93" s="168">
        <v>230.94849906251218</v>
      </c>
      <c r="AL93" s="168">
        <v>66.181377200650388</v>
      </c>
      <c r="AM93" s="168">
        <v>60.305583794956569</v>
      </c>
      <c r="AN93" s="168">
        <v>54.768004865767679</v>
      </c>
      <c r="AO93" s="168">
        <v>61.339451550935522</v>
      </c>
      <c r="AP93" s="168">
        <v>71.36408526206769</v>
      </c>
      <c r="AQ93" s="168">
        <v>49.833830085612824</v>
      </c>
      <c r="AR93" s="168">
        <v>51.802850756292443</v>
      </c>
      <c r="AS93" s="168">
        <v>262.87450054652783</v>
      </c>
      <c r="AT93" s="168">
        <v>16.931164713391436</v>
      </c>
      <c r="AU93" s="168">
        <v>13.753934286965627</v>
      </c>
      <c r="AV93" s="168">
        <v>280.6711365071904</v>
      </c>
      <c r="AW93" s="168">
        <v>232.1514884178946</v>
      </c>
      <c r="AX93" s="168">
        <v>65.931064346567098</v>
      </c>
      <c r="AY93" s="168">
        <v>59.133239034212849</v>
      </c>
      <c r="AZ93" s="168">
        <v>56.96452975642935</v>
      </c>
      <c r="BA93" s="168">
        <v>62.006830954808926</v>
      </c>
      <c r="BB93" s="168">
        <v>72.938019684492119</v>
      </c>
      <c r="BC93" s="168">
        <v>51.41138570170034</v>
      </c>
      <c r="BD93" s="168">
        <v>52.957701081544002</v>
      </c>
      <c r="BE93" s="168">
        <v>263.5439286861876</v>
      </c>
      <c r="BF93" s="168">
        <v>16.633583110978357</v>
      </c>
      <c r="BG93" s="168">
        <v>13.896789431916966</v>
      </c>
      <c r="BH93" s="168">
        <v>284.59587995962903</v>
      </c>
      <c r="BI93" s="168">
        <v>229.36637296283376</v>
      </c>
      <c r="BJ93" s="168">
        <v>66.228890584051797</v>
      </c>
      <c r="BK93" s="168">
        <v>60.306876523383892</v>
      </c>
      <c r="BL93" s="168">
        <v>57.430290315234814</v>
      </c>
      <c r="BM93" s="168">
        <v>62.711255924330935</v>
      </c>
      <c r="BN93" s="168">
        <v>73.225915729007468</v>
      </c>
      <c r="BO93" s="168">
        <v>50.814857066702885</v>
      </c>
      <c r="BP93" s="168">
        <v>52.697418422504057</v>
      </c>
      <c r="BQ93" s="168">
        <v>269.76643899679971</v>
      </c>
      <c r="BR93" s="168">
        <v>16.576744606613907</v>
      </c>
      <c r="BS93" s="168">
        <v>13.70135697125332</v>
      </c>
      <c r="BT93" s="168">
        <v>288.27256443397499</v>
      </c>
      <c r="BU93" s="168">
        <v>233.52946626367176</v>
      </c>
      <c r="BV93" s="168">
        <v>64.639034507264782</v>
      </c>
      <c r="BW93" s="168">
        <v>61.502718904058938</v>
      </c>
      <c r="BX93" s="168">
        <v>58.544336432891093</v>
      </c>
      <c r="BY93" s="168">
        <v>63.324899730684834</v>
      </c>
      <c r="BZ93" s="168">
        <v>73.554907023694156</v>
      </c>
      <c r="CA93" s="168">
        <v>51.398238061324335</v>
      </c>
      <c r="CB93" s="168">
        <v>52.939833287044586</v>
      </c>
      <c r="CC93" s="168">
        <v>265.63027628367149</v>
      </c>
      <c r="CD93" s="168">
        <v>16.687405804604296</v>
      </c>
      <c r="CE93" s="168">
        <v>13.545483863690988</v>
      </c>
      <c r="CF93" s="168">
        <v>280.38132132615112</v>
      </c>
      <c r="CG93" s="168">
        <v>238.57871184868384</v>
      </c>
      <c r="CH93" s="168">
        <v>66.457658909255855</v>
      </c>
      <c r="CI93" s="168">
        <v>60.693662202178764</v>
      </c>
      <c r="CJ93" s="168">
        <v>58.60933212248446</v>
      </c>
      <c r="CK93" s="168">
        <v>63.685004507561459</v>
      </c>
      <c r="CL93" s="168">
        <v>75.571852454316215</v>
      </c>
      <c r="CM93" s="168">
        <v>51.717283276458218</v>
      </c>
      <c r="CN93" s="168">
        <v>53.802593928200004</v>
      </c>
      <c r="CO93" s="168">
        <v>265.48117059239507</v>
      </c>
    </row>
    <row r="94" spans="1:93" x14ac:dyDescent="0.2">
      <c r="A94" s="118">
        <f t="shared" si="8"/>
        <v>26</v>
      </c>
      <c r="B94" s="243" t="s">
        <v>560</v>
      </c>
      <c r="C94" s="223"/>
      <c r="D94" s="172">
        <f>'E-13c - prior to updates'!D98</f>
        <v>8759.014502965565</v>
      </c>
      <c r="E94" s="225" t="s">
        <v>555</v>
      </c>
      <c r="F94" s="183">
        <v>85.78</v>
      </c>
      <c r="G94" s="233" t="s">
        <v>375</v>
      </c>
      <c r="H94" s="174">
        <f>ROUND(D94*F94,2)</f>
        <v>751348.26</v>
      </c>
      <c r="I94" s="229"/>
      <c r="J94" s="172">
        <f t="shared" si="12"/>
        <v>8759.014502965565</v>
      </c>
      <c r="K94" s="225" t="s">
        <v>555</v>
      </c>
      <c r="L94" s="183">
        <f>L90</f>
        <v>85.78</v>
      </c>
      <c r="M94" s="233" t="s">
        <v>375</v>
      </c>
      <c r="N94" s="174">
        <f>ROUND(J94*L94,2)</f>
        <v>751348.26</v>
      </c>
      <c r="O94" s="227"/>
      <c r="S94" s="230"/>
      <c r="T94" s="327"/>
      <c r="U94" s="178" t="s">
        <v>580</v>
      </c>
      <c r="V94" s="179">
        <v>242</v>
      </c>
      <c r="W94" s="180">
        <v>216</v>
      </c>
      <c r="Y94" s="178"/>
      <c r="Z94" s="181"/>
      <c r="AB94" s="182">
        <f>SUM(AH94:AS94)</f>
        <v>8877.6475366965369</v>
      </c>
      <c r="AC94" s="182">
        <f>SUM(AT94:BE94)</f>
        <v>8938.6581742942217</v>
      </c>
      <c r="AD94" s="182">
        <f>SUM(BF94:BQ94)</f>
        <v>8983.7491452086888</v>
      </c>
      <c r="AE94" s="182">
        <f>SUM(BR94:CC94)</f>
        <v>9028.4164206917976</v>
      </c>
      <c r="AF94" s="182">
        <f>SUM(CD94:CO94)</f>
        <v>9098.5888932508915</v>
      </c>
      <c r="AG94" s="241"/>
      <c r="AH94" s="168">
        <v>39.735013630308146</v>
      </c>
      <c r="AI94" s="168">
        <v>34.908659231745439</v>
      </c>
      <c r="AJ94" s="168">
        <v>898.86628762882515</v>
      </c>
      <c r="AK94" s="168">
        <v>999.22364860858079</v>
      </c>
      <c r="AL94" s="168">
        <v>1307.7347715381848</v>
      </c>
      <c r="AM94" s="168">
        <v>888.65474736534429</v>
      </c>
      <c r="AN94" s="168">
        <v>789.43880872790203</v>
      </c>
      <c r="AO94" s="168">
        <v>768.85980285054598</v>
      </c>
      <c r="AP94" s="168">
        <v>868.07969977532264</v>
      </c>
      <c r="AQ94" s="168">
        <v>711.74172858612826</v>
      </c>
      <c r="AR94" s="168">
        <v>893.52814535655466</v>
      </c>
      <c r="AS94" s="168">
        <v>676.8762233970964</v>
      </c>
      <c r="AT94" s="168">
        <v>39.012511242265653</v>
      </c>
      <c r="AU94" s="168">
        <v>34.604639573084292</v>
      </c>
      <c r="AV94" s="168">
        <v>874.57383463813426</v>
      </c>
      <c r="AW94" s="168">
        <v>1004.4285121075945</v>
      </c>
      <c r="AX94" s="168">
        <v>1302.7886244966198</v>
      </c>
      <c r="AY94" s="168">
        <v>871.3792370125052</v>
      </c>
      <c r="AZ94" s="168">
        <v>821.10003132082068</v>
      </c>
      <c r="BA94" s="168">
        <v>777.22507485599488</v>
      </c>
      <c r="BB94" s="168">
        <v>887.22519173905789</v>
      </c>
      <c r="BC94" s="168">
        <v>734.27285170481935</v>
      </c>
      <c r="BD94" s="168">
        <v>913.44772997827738</v>
      </c>
      <c r="BE94" s="168">
        <v>678.59993562504803</v>
      </c>
      <c r="BF94" s="168">
        <v>38.326828608722479</v>
      </c>
      <c r="BG94" s="168">
        <v>34.964060426714994</v>
      </c>
      <c r="BH94" s="168">
        <v>886.80337121922196</v>
      </c>
      <c r="BI94" s="168">
        <v>992.3784089975984</v>
      </c>
      <c r="BJ94" s="168">
        <v>1308.6736293591557</v>
      </c>
      <c r="BK94" s="168">
        <v>888.67379683276874</v>
      </c>
      <c r="BL94" s="168">
        <v>827.81361275576637</v>
      </c>
      <c r="BM94" s="168">
        <v>786.05469477426175</v>
      </c>
      <c r="BN94" s="168">
        <v>890.72718732929968</v>
      </c>
      <c r="BO94" s="168">
        <v>725.75305057585115</v>
      </c>
      <c r="BP94" s="168">
        <v>908.95821099997704</v>
      </c>
      <c r="BQ94" s="168">
        <v>694.62229332935146</v>
      </c>
      <c r="BR94" s="168">
        <v>38.195862261867561</v>
      </c>
      <c r="BS94" s="168">
        <v>34.472356037189485</v>
      </c>
      <c r="BT94" s="168">
        <v>898.25995375028958</v>
      </c>
      <c r="BU94" s="168">
        <v>1010.3904822279831</v>
      </c>
      <c r="BV94" s="168">
        <v>1277.2582952984553</v>
      </c>
      <c r="BW94" s="168">
        <v>906.29556486507545</v>
      </c>
      <c r="BX94" s="168">
        <v>843.87173359011172</v>
      </c>
      <c r="BY94" s="168">
        <v>793.74641754067625</v>
      </c>
      <c r="BZ94" s="168">
        <v>894.72906955439294</v>
      </c>
      <c r="CA94" s="168">
        <v>734.08507315615145</v>
      </c>
      <c r="CB94" s="168">
        <v>913.13953502283437</v>
      </c>
      <c r="CC94" s="168">
        <v>683.97207738677253</v>
      </c>
      <c r="CD94" s="168">
        <v>38.450845974078923</v>
      </c>
      <c r="CE94" s="168">
        <v>34.080182234858405</v>
      </c>
      <c r="CF94" s="168">
        <v>873.67076787689837</v>
      </c>
      <c r="CG94" s="168">
        <v>1032.2365891161289</v>
      </c>
      <c r="CH94" s="168">
        <v>1313.1940595186684</v>
      </c>
      <c r="CI94" s="168">
        <v>894.3734171339778</v>
      </c>
      <c r="CJ94" s="168">
        <v>844.80859663434342</v>
      </c>
      <c r="CK94" s="168">
        <v>798.26015349289628</v>
      </c>
      <c r="CL94" s="168">
        <v>919.26339066910998</v>
      </c>
      <c r="CM94" s="168">
        <v>738.6417727420835</v>
      </c>
      <c r="CN94" s="168">
        <v>928.02097309667579</v>
      </c>
      <c r="CO94" s="168">
        <v>683.58814476117209</v>
      </c>
    </row>
    <row r="95" spans="1:93" x14ac:dyDescent="0.2">
      <c r="A95" s="118">
        <f t="shared" si="8"/>
        <v>27</v>
      </c>
      <c r="B95" s="243" t="s">
        <v>561</v>
      </c>
      <c r="C95" s="223"/>
      <c r="D95" s="172">
        <f>'E-13c - prior to updates'!D99</f>
        <v>1592.5606476052953</v>
      </c>
      <c r="E95" s="225" t="s">
        <v>555</v>
      </c>
      <c r="F95" s="183">
        <v>48.8</v>
      </c>
      <c r="G95" s="233" t="s">
        <v>375</v>
      </c>
      <c r="H95" s="174">
        <f>ROUND(D95*F95,2)</f>
        <v>77716.960000000006</v>
      </c>
      <c r="I95" s="229"/>
      <c r="J95" s="172">
        <f t="shared" si="12"/>
        <v>1592.5606476052953</v>
      </c>
      <c r="K95" s="225" t="s">
        <v>555</v>
      </c>
      <c r="L95" s="183">
        <f>L91</f>
        <v>50.77</v>
      </c>
      <c r="M95" s="233" t="s">
        <v>375</v>
      </c>
      <c r="N95" s="174">
        <f>ROUND(J95*L95,2)</f>
        <v>80854.3</v>
      </c>
      <c r="O95" s="227"/>
      <c r="S95" s="230"/>
      <c r="T95" s="327"/>
      <c r="U95" s="178" t="s">
        <v>580</v>
      </c>
      <c r="V95" s="179">
        <v>242</v>
      </c>
      <c r="W95" s="180">
        <v>216</v>
      </c>
      <c r="Y95" s="178"/>
      <c r="Z95" s="181"/>
      <c r="AB95" s="182">
        <f>SUM(AH95:AS95)</f>
        <v>1297.1768853765263</v>
      </c>
      <c r="AC95" s="182">
        <f>SUM(AT95:BE95)</f>
        <v>1311.4928465267176</v>
      </c>
      <c r="AD95" s="182">
        <f>SUM(BF95:BQ95)</f>
        <v>1318.1272697682559</v>
      </c>
      <c r="AE95" s="182">
        <f>SUM(BR95:CC95)</f>
        <v>1323.158729879063</v>
      </c>
      <c r="AF95" s="182">
        <f>SUM(CD95:CO95)</f>
        <v>1335.9327746302181</v>
      </c>
      <c r="AG95" s="241"/>
      <c r="AH95" s="168">
        <v>0</v>
      </c>
      <c r="AI95" s="168">
        <v>0</v>
      </c>
      <c r="AJ95" s="168">
        <v>63.948704851477871</v>
      </c>
      <c r="AK95" s="168">
        <v>15.420121063167464</v>
      </c>
      <c r="AL95" s="168">
        <v>247.44563146525201</v>
      </c>
      <c r="AM95" s="168">
        <v>139.13398766930177</v>
      </c>
      <c r="AN95" s="168">
        <v>137.58279618452295</v>
      </c>
      <c r="AO95" s="168">
        <v>169.64722707788098</v>
      </c>
      <c r="AP95" s="168">
        <v>157.94964782801728</v>
      </c>
      <c r="AQ95" s="168">
        <v>162.17956459433415</v>
      </c>
      <c r="AR95" s="168">
        <v>157.19852607075484</v>
      </c>
      <c r="AS95" s="168">
        <v>46.670678571816886</v>
      </c>
      <c r="AT95" s="168">
        <v>0</v>
      </c>
      <c r="AU95" s="168">
        <v>0</v>
      </c>
      <c r="AV95" s="168">
        <v>62.220449016543732</v>
      </c>
      <c r="AW95" s="168">
        <v>15.500443046523062</v>
      </c>
      <c r="AX95" s="168">
        <v>246.50973643159745</v>
      </c>
      <c r="AY95" s="168">
        <v>136.42921323182875</v>
      </c>
      <c r="AZ95" s="168">
        <v>143.10069001846514</v>
      </c>
      <c r="BA95" s="168">
        <v>171.49300597569191</v>
      </c>
      <c r="BB95" s="168">
        <v>161.43322625284256</v>
      </c>
      <c r="BC95" s="168">
        <v>167.3135726065797</v>
      </c>
      <c r="BD95" s="168">
        <v>160.70298125635722</v>
      </c>
      <c r="BE95" s="168">
        <v>46.789528690288009</v>
      </c>
      <c r="BF95" s="168">
        <v>0</v>
      </c>
      <c r="BG95" s="168">
        <v>0</v>
      </c>
      <c r="BH95" s="168">
        <v>63.090503924662919</v>
      </c>
      <c r="BI95" s="168">
        <v>15.31448462866682</v>
      </c>
      <c r="BJ95" s="168">
        <v>247.62327931206497</v>
      </c>
      <c r="BK95" s="168">
        <v>139.13697018683578</v>
      </c>
      <c r="BL95" s="168">
        <v>144.27072789349782</v>
      </c>
      <c r="BM95" s="168">
        <v>173.44124222075513</v>
      </c>
      <c r="BN95" s="168">
        <v>162.0704246233575</v>
      </c>
      <c r="BO95" s="168">
        <v>165.37222565159476</v>
      </c>
      <c r="BP95" s="168">
        <v>159.91313958228901</v>
      </c>
      <c r="BQ95" s="168">
        <v>47.894271744531068</v>
      </c>
      <c r="BR95" s="168">
        <v>0</v>
      </c>
      <c r="BS95" s="168">
        <v>0</v>
      </c>
      <c r="BT95" s="168">
        <v>63.905567994780078</v>
      </c>
      <c r="BU95" s="168">
        <v>15.592448776330791</v>
      </c>
      <c r="BV95" s="168">
        <v>241.67896449874971</v>
      </c>
      <c r="BW95" s="168">
        <v>141.89595714255427</v>
      </c>
      <c r="BX95" s="168">
        <v>147.06932499998959</v>
      </c>
      <c r="BY95" s="168">
        <v>175.13840395809163</v>
      </c>
      <c r="BZ95" s="168">
        <v>162.79857883346784</v>
      </c>
      <c r="CA95" s="168">
        <v>167.27078483393686</v>
      </c>
      <c r="CB95" s="168">
        <v>160.64876047664268</v>
      </c>
      <c r="CC95" s="168">
        <v>47.159938364519661</v>
      </c>
      <c r="CD95" s="168">
        <v>0</v>
      </c>
      <c r="CE95" s="168">
        <v>0</v>
      </c>
      <c r="CF95" s="168">
        <v>62.156201474311644</v>
      </c>
      <c r="CG95" s="168">
        <v>15.929580121693963</v>
      </c>
      <c r="CH95" s="168">
        <v>248.47862148056862</v>
      </c>
      <c r="CI95" s="168">
        <v>140.02934250922442</v>
      </c>
      <c r="CJ95" s="168">
        <v>147.23260078000226</v>
      </c>
      <c r="CK95" s="168">
        <v>176.13434988375568</v>
      </c>
      <c r="CL95" s="168">
        <v>167.26267053008516</v>
      </c>
      <c r="CM95" s="168">
        <v>168.30908780979539</v>
      </c>
      <c r="CN95" s="168">
        <v>163.26685386651303</v>
      </c>
      <c r="CO95" s="168">
        <v>47.133466174267959</v>
      </c>
    </row>
    <row r="96" spans="1:93" x14ac:dyDescent="0.2">
      <c r="A96" s="118">
        <f t="shared" si="8"/>
        <v>28</v>
      </c>
      <c r="B96" s="234" t="s">
        <v>216</v>
      </c>
      <c r="C96" s="223"/>
      <c r="D96" s="168"/>
      <c r="E96" s="225"/>
      <c r="F96" s="183"/>
      <c r="G96" s="233"/>
      <c r="H96" s="174"/>
      <c r="I96" s="229"/>
      <c r="J96" s="168"/>
      <c r="K96" s="225"/>
      <c r="L96" s="183"/>
      <c r="M96" s="233"/>
      <c r="N96" s="174"/>
      <c r="O96" s="227"/>
      <c r="S96" s="230"/>
      <c r="T96" s="227"/>
      <c r="U96" s="178"/>
      <c r="V96" s="179"/>
      <c r="W96" s="180"/>
      <c r="Y96" s="178"/>
      <c r="Z96" s="181"/>
      <c r="AE96" s="242"/>
    </row>
    <row r="97" spans="1:93" x14ac:dyDescent="0.2">
      <c r="A97" s="118">
        <f t="shared" si="8"/>
        <v>29</v>
      </c>
      <c r="B97" s="243" t="s">
        <v>559</v>
      </c>
      <c r="C97" s="223"/>
      <c r="D97" s="172">
        <f>'E-13c - prior to updates'!D101</f>
        <v>225.8619797650459</v>
      </c>
      <c r="E97" s="225" t="s">
        <v>555</v>
      </c>
      <c r="F97" s="183">
        <v>99.86</v>
      </c>
      <c r="G97" s="233" t="s">
        <v>375</v>
      </c>
      <c r="H97" s="174">
        <f>ROUND(D97*F97,2)</f>
        <v>22554.58</v>
      </c>
      <c r="I97" s="229"/>
      <c r="J97" s="172">
        <f t="shared" ref="J97:J99" si="13">D97</f>
        <v>225.8619797650459</v>
      </c>
      <c r="K97" s="225" t="s">
        <v>555</v>
      </c>
      <c r="L97" s="310">
        <f>L89</f>
        <v>108.35</v>
      </c>
      <c r="M97" s="233" t="s">
        <v>375</v>
      </c>
      <c r="N97" s="174">
        <f>ROUND(J97*L97,2)</f>
        <v>24472.15</v>
      </c>
      <c r="O97" s="227"/>
      <c r="S97" s="230"/>
      <c r="T97" s="176"/>
      <c r="U97" s="178" t="s">
        <v>580</v>
      </c>
      <c r="V97" s="179">
        <v>242</v>
      </c>
      <c r="W97" s="180">
        <v>216</v>
      </c>
      <c r="Y97" s="178"/>
      <c r="Z97" s="181"/>
      <c r="AB97" s="182">
        <f>SUM(AH97:AS97)</f>
        <v>225.68981846495393</v>
      </c>
      <c r="AC97" s="182">
        <f>SUM(AT97:BE97)</f>
        <v>225.31889010055323</v>
      </c>
      <c r="AD97" s="182">
        <f>SUM(BF97:BQ97)</f>
        <v>225.65992810295302</v>
      </c>
      <c r="AE97" s="182">
        <f>SUM(BR97:CC97)</f>
        <v>225.8619797650459</v>
      </c>
      <c r="AF97" s="182">
        <f>SUM(CD97:CO97)</f>
        <v>225.90533069828987</v>
      </c>
      <c r="AH97" s="168">
        <v>52.420734634399444</v>
      </c>
      <c r="AI97" s="168">
        <v>38.564179598807428</v>
      </c>
      <c r="AJ97" s="168">
        <v>32.109999080636925</v>
      </c>
      <c r="AK97" s="168">
        <v>3.5238113006755318</v>
      </c>
      <c r="AL97" s="168">
        <v>3.7739396202633904</v>
      </c>
      <c r="AM97" s="168">
        <v>5.7853877919127239</v>
      </c>
      <c r="AN97" s="168">
        <v>10.0451293972245</v>
      </c>
      <c r="AO97" s="168">
        <v>10.443304460720217</v>
      </c>
      <c r="AP97" s="168">
        <v>13.228877043149943</v>
      </c>
      <c r="AQ97" s="168">
        <v>17.550188844464763</v>
      </c>
      <c r="AR97" s="168">
        <v>21.930461031238206</v>
      </c>
      <c r="AS97" s="168">
        <v>16.313805661460904</v>
      </c>
      <c r="AT97" s="168">
        <v>51.467567578546046</v>
      </c>
      <c r="AU97" s="168">
        <v>38.228323998042477</v>
      </c>
      <c r="AV97" s="168">
        <v>31.242205223048611</v>
      </c>
      <c r="AW97" s="168">
        <v>3.5421665075822526</v>
      </c>
      <c r="AX97" s="168">
        <v>3.7596657317853359</v>
      </c>
      <c r="AY97" s="168">
        <v>5.6729194491837909</v>
      </c>
      <c r="AZ97" s="168">
        <v>10.447999226151058</v>
      </c>
      <c r="BA97" s="168">
        <v>10.556928663891915</v>
      </c>
      <c r="BB97" s="168">
        <v>13.520639837723323</v>
      </c>
      <c r="BC97" s="168">
        <v>18.105763218889074</v>
      </c>
      <c r="BD97" s="168">
        <v>22.419360767161827</v>
      </c>
      <c r="BE97" s="168">
        <v>16.355349898547491</v>
      </c>
      <c r="BF97" s="168">
        <v>50.562975278394759</v>
      </c>
      <c r="BG97" s="168">
        <v>38.625382225313679</v>
      </c>
      <c r="BH97" s="168">
        <v>31.679078219377406</v>
      </c>
      <c r="BI97" s="168">
        <v>3.4996712267985788</v>
      </c>
      <c r="BJ97" s="168">
        <v>3.7766490326040816</v>
      </c>
      <c r="BK97" s="168">
        <v>5.7855118092058344</v>
      </c>
      <c r="BL97" s="168">
        <v>10.533425472602641</v>
      </c>
      <c r="BM97" s="168">
        <v>10.676860033352288</v>
      </c>
      <c r="BN97" s="168">
        <v>13.574007597712358</v>
      </c>
      <c r="BO97" s="168">
        <v>17.895681228856393</v>
      </c>
      <c r="BP97" s="168">
        <v>22.309171489393382</v>
      </c>
      <c r="BQ97" s="168">
        <v>16.741514489341622</v>
      </c>
      <c r="BR97" s="168">
        <v>50.390196877501459</v>
      </c>
      <c r="BS97" s="168">
        <v>38.082188163883217</v>
      </c>
      <c r="BT97" s="168">
        <v>32.088339151290043</v>
      </c>
      <c r="BU97" s="168">
        <v>3.5631916881949905</v>
      </c>
      <c r="BV97" s="168">
        <v>3.6859887729888725</v>
      </c>
      <c r="BW97" s="168">
        <v>5.9002343850411396</v>
      </c>
      <c r="BX97" s="168">
        <v>10.737755307763893</v>
      </c>
      <c r="BY97" s="168">
        <v>10.781335520793965</v>
      </c>
      <c r="BZ97" s="168">
        <v>13.634993251346037</v>
      </c>
      <c r="CA97" s="168">
        <v>18.101132959263001</v>
      </c>
      <c r="CB97" s="168">
        <v>22.411796531501768</v>
      </c>
      <c r="CC97" s="168">
        <v>16.484827155477483</v>
      </c>
      <c r="CD97" s="168">
        <v>50.726586179850436</v>
      </c>
      <c r="CE97" s="168">
        <v>37.64894720648519</v>
      </c>
      <c r="CF97" s="168">
        <v>31.209945171390064</v>
      </c>
      <c r="CG97" s="168">
        <v>3.6402330576976154</v>
      </c>
      <c r="CH97" s="168">
        <v>3.7896943617112608</v>
      </c>
      <c r="CI97" s="168">
        <v>5.8226179112177956</v>
      </c>
      <c r="CJ97" s="168">
        <v>10.749676321023868</v>
      </c>
      <c r="CK97" s="168">
        <v>10.842644902074614</v>
      </c>
      <c r="CL97" s="168">
        <v>14.008877720073679</v>
      </c>
      <c r="CM97" s="168">
        <v>18.213492450112962</v>
      </c>
      <c r="CN97" s="168">
        <v>22.777041654963369</v>
      </c>
      <c r="CO97" s="168">
        <v>16.475573761689031</v>
      </c>
    </row>
    <row r="98" spans="1:93" x14ac:dyDescent="0.2">
      <c r="A98" s="118">
        <f t="shared" si="8"/>
        <v>30</v>
      </c>
      <c r="B98" s="243" t="s">
        <v>560</v>
      </c>
      <c r="C98" s="223"/>
      <c r="D98" s="172">
        <f>'E-13c - prior to updates'!D102</f>
        <v>1890.6066860441856</v>
      </c>
      <c r="E98" s="225" t="s">
        <v>555</v>
      </c>
      <c r="F98" s="183">
        <v>85.78</v>
      </c>
      <c r="G98" s="233" t="s">
        <v>375</v>
      </c>
      <c r="H98" s="174">
        <f>ROUND(D98*F98,2)</f>
        <v>162176.24</v>
      </c>
      <c r="I98" s="229"/>
      <c r="J98" s="172">
        <f t="shared" si="13"/>
        <v>1890.6066860441856</v>
      </c>
      <c r="K98" s="225" t="s">
        <v>555</v>
      </c>
      <c r="L98" s="310">
        <f>L90</f>
        <v>85.78</v>
      </c>
      <c r="M98" s="233" t="s">
        <v>375</v>
      </c>
      <c r="N98" s="174">
        <f>ROUND(J98*L98,2)</f>
        <v>162176.24</v>
      </c>
      <c r="O98" s="227"/>
      <c r="S98" s="230"/>
      <c r="T98" s="176"/>
      <c r="U98" s="178" t="s">
        <v>580</v>
      </c>
      <c r="V98" s="179">
        <v>242</v>
      </c>
      <c r="W98" s="180">
        <v>216</v>
      </c>
      <c r="Y98" s="178"/>
      <c r="Z98" s="181"/>
      <c r="AB98" s="182">
        <f>SUM(AH98:AS98)</f>
        <v>1938.4993531984273</v>
      </c>
      <c r="AC98" s="182">
        <f>SUM(AT98:BE98)</f>
        <v>1951.8305092636858</v>
      </c>
      <c r="AD98" s="182">
        <f>SUM(BF98:BQ98)</f>
        <v>1956.5720750454811</v>
      </c>
      <c r="AE98" s="182">
        <f>SUM(BR98:CC98)</f>
        <v>1965.1063044150073</v>
      </c>
      <c r="AF98" s="182">
        <f>SUM(CD98:CO98)</f>
        <v>1976.2528472005063</v>
      </c>
      <c r="AH98" s="168">
        <v>216.40919522043771</v>
      </c>
      <c r="AI98" s="168">
        <v>161.52752003645492</v>
      </c>
      <c r="AJ98" s="168">
        <v>131.2304220262132</v>
      </c>
      <c r="AK98" s="168">
        <v>146.4561237632004</v>
      </c>
      <c r="AL98" s="168">
        <v>87.357690631133039</v>
      </c>
      <c r="AM98" s="168">
        <v>114.59415324608604</v>
      </c>
      <c r="AN98" s="168">
        <v>164.48974409724707</v>
      </c>
      <c r="AO98" s="168">
        <v>177.01155594172587</v>
      </c>
      <c r="AP98" s="168">
        <v>187.760998353227</v>
      </c>
      <c r="AQ98" s="168">
        <v>206.59141027984779</v>
      </c>
      <c r="AR98" s="168">
        <v>199.12501956163243</v>
      </c>
      <c r="AS98" s="168">
        <v>145.94552004122187</v>
      </c>
      <c r="AT98" s="168">
        <v>212.47422336423435</v>
      </c>
      <c r="AU98" s="168">
        <v>160.12077619161519</v>
      </c>
      <c r="AV98" s="168">
        <v>127.68383350476589</v>
      </c>
      <c r="AW98" s="168">
        <v>147.21900015613164</v>
      </c>
      <c r="AX98" s="168">
        <v>87.027284196680824</v>
      </c>
      <c r="AY98" s="168">
        <v>112.36643490367366</v>
      </c>
      <c r="AZ98" s="168">
        <v>171.08676763414061</v>
      </c>
      <c r="BA98" s="168">
        <v>178.93745947845701</v>
      </c>
      <c r="BB98" s="168">
        <v>191.90206591419522</v>
      </c>
      <c r="BC98" s="168">
        <v>213.13133384106141</v>
      </c>
      <c r="BD98" s="168">
        <v>203.56414965291492</v>
      </c>
      <c r="BE98" s="168">
        <v>146.31718042581514</v>
      </c>
      <c r="BF98" s="168">
        <v>208.73978329879731</v>
      </c>
      <c r="BG98" s="168">
        <v>161.7838695447841</v>
      </c>
      <c r="BH98" s="168">
        <v>129.46929066208656</v>
      </c>
      <c r="BI98" s="168">
        <v>145.45281758539841</v>
      </c>
      <c r="BJ98" s="168">
        <v>87.420407057166813</v>
      </c>
      <c r="BK98" s="168">
        <v>114.59660972043194</v>
      </c>
      <c r="BL98" s="168">
        <v>172.48562879982072</v>
      </c>
      <c r="BM98" s="168">
        <v>180.9702680013007</v>
      </c>
      <c r="BN98" s="168">
        <v>192.65952883888124</v>
      </c>
      <c r="BO98" s="168">
        <v>210.65836132892008</v>
      </c>
      <c r="BP98" s="168">
        <v>202.5636489311166</v>
      </c>
      <c r="BQ98" s="168">
        <v>149.77186127677658</v>
      </c>
      <c r="BR98" s="168">
        <v>208.02649999688305</v>
      </c>
      <c r="BS98" s="168">
        <v>159.50868074123164</v>
      </c>
      <c r="BT98" s="168">
        <v>131.14190001591626</v>
      </c>
      <c r="BU98" s="168">
        <v>148.09284560108284</v>
      </c>
      <c r="BV98" s="168">
        <v>85.321838529604918</v>
      </c>
      <c r="BW98" s="168">
        <v>116.86897881804612</v>
      </c>
      <c r="BX98" s="168">
        <v>175.83154511090316</v>
      </c>
      <c r="BY98" s="168">
        <v>182.74110295678616</v>
      </c>
      <c r="BZ98" s="168">
        <v>193.52511457031818</v>
      </c>
      <c r="CA98" s="168">
        <v>213.07682890811793</v>
      </c>
      <c r="CB98" s="168">
        <v>203.4954676233109</v>
      </c>
      <c r="CC98" s="168">
        <v>147.47550154280628</v>
      </c>
      <c r="CD98" s="168">
        <v>209.41522029448711</v>
      </c>
      <c r="CE98" s="168">
        <v>157.69403465891523</v>
      </c>
      <c r="CF98" s="168">
        <v>127.55198983254694</v>
      </c>
      <c r="CG98" s="168">
        <v>151.29482759841616</v>
      </c>
      <c r="CH98" s="168">
        <v>87.722375275791038</v>
      </c>
      <c r="CI98" s="168">
        <v>115.33158937836733</v>
      </c>
      <c r="CJ98" s="168">
        <v>176.02675259335277</v>
      </c>
      <c r="CK98" s="168">
        <v>183.78028255890649</v>
      </c>
      <c r="CL98" s="168">
        <v>198.83175706824801</v>
      </c>
      <c r="CM98" s="168">
        <v>214.39946457196945</v>
      </c>
      <c r="CN98" s="168">
        <v>206.81183394367613</v>
      </c>
      <c r="CO98" s="168">
        <v>147.39271942582951</v>
      </c>
    </row>
    <row r="99" spans="1:93" x14ac:dyDescent="0.2">
      <c r="A99" s="118">
        <f t="shared" si="8"/>
        <v>31</v>
      </c>
      <c r="B99" s="243" t="s">
        <v>561</v>
      </c>
      <c r="C99" s="223"/>
      <c r="D99" s="172">
        <f>'E-13c - prior to updates'!D103</f>
        <v>1090.0311319480422</v>
      </c>
      <c r="E99" s="225" t="s">
        <v>555</v>
      </c>
      <c r="F99" s="183">
        <v>48.8</v>
      </c>
      <c r="G99" s="233" t="s">
        <v>375</v>
      </c>
      <c r="H99" s="187">
        <f>ROUND(D99*F99,2)</f>
        <v>53193.52</v>
      </c>
      <c r="I99" s="229"/>
      <c r="J99" s="172">
        <f t="shared" si="13"/>
        <v>1090.0311319480422</v>
      </c>
      <c r="K99" s="225" t="s">
        <v>555</v>
      </c>
      <c r="L99" s="310">
        <f>L91</f>
        <v>50.77</v>
      </c>
      <c r="M99" s="233" t="s">
        <v>375</v>
      </c>
      <c r="N99" s="187">
        <f>ROUND(J99*L99,2)</f>
        <v>55340.88</v>
      </c>
      <c r="O99" s="227"/>
      <c r="P99" s="182"/>
      <c r="S99" s="230"/>
      <c r="T99" s="176"/>
      <c r="U99" s="178" t="s">
        <v>580</v>
      </c>
      <c r="V99" s="179">
        <v>242</v>
      </c>
      <c r="W99" s="180">
        <v>216</v>
      </c>
      <c r="Y99" s="178"/>
      <c r="Z99" s="181"/>
      <c r="AB99" s="182">
        <f>SUM(AH99:AS99)</f>
        <v>993.0083242146751</v>
      </c>
      <c r="AC99" s="182">
        <f>SUM(AT99:BE99)</f>
        <v>1005.9562847027319</v>
      </c>
      <c r="AD99" s="182">
        <f>SUM(BF99:BQ99)</f>
        <v>1010.7292727459635</v>
      </c>
      <c r="AE99" s="182">
        <f>SUM(BR99:CC99)</f>
        <v>1015.5315135772205</v>
      </c>
      <c r="AF99" s="182">
        <f>SUM(CD99:CO99)</f>
        <v>1025.9256612157001</v>
      </c>
      <c r="AH99" s="168">
        <v>0</v>
      </c>
      <c r="AI99" s="168">
        <v>0</v>
      </c>
      <c r="AJ99" s="168">
        <v>7.742264710318894</v>
      </c>
      <c r="AK99" s="168">
        <v>73.152843303317837</v>
      </c>
      <c r="AL99" s="168">
        <v>135.27916864715439</v>
      </c>
      <c r="AM99" s="168">
        <v>96.983228553629829</v>
      </c>
      <c r="AN99" s="168">
        <v>115.91340528700759</v>
      </c>
      <c r="AO99" s="168">
        <v>126.45515485132461</v>
      </c>
      <c r="AP99" s="168">
        <v>119.85010927467916</v>
      </c>
      <c r="AQ99" s="168">
        <v>133.82023870799225</v>
      </c>
      <c r="AR99" s="168">
        <v>91.198697798808837</v>
      </c>
      <c r="AS99" s="168">
        <v>92.613213080441611</v>
      </c>
      <c r="AT99" s="168">
        <v>0</v>
      </c>
      <c r="AU99" s="168">
        <v>0</v>
      </c>
      <c r="AV99" s="168">
        <v>7.5330249111346879</v>
      </c>
      <c r="AW99" s="168">
        <v>73.533889693171304</v>
      </c>
      <c r="AX99" s="168">
        <v>134.7675124043503</v>
      </c>
      <c r="AY99" s="168">
        <v>95.097867817193901</v>
      </c>
      <c r="AZ99" s="168">
        <v>120.56222681151425</v>
      </c>
      <c r="BA99" s="168">
        <v>127.83099965801183</v>
      </c>
      <c r="BB99" s="168">
        <v>122.49340263191934</v>
      </c>
      <c r="BC99" s="168">
        <v>138.05649485682301</v>
      </c>
      <c r="BD99" s="168">
        <v>93.23180687056545</v>
      </c>
      <c r="BE99" s="168">
        <v>92.849059048047678</v>
      </c>
      <c r="BF99" s="168">
        <v>0</v>
      </c>
      <c r="BG99" s="168">
        <v>0</v>
      </c>
      <c r="BH99" s="168">
        <v>7.6383623910229161</v>
      </c>
      <c r="BI99" s="168">
        <v>72.651705503653929</v>
      </c>
      <c r="BJ99" s="168">
        <v>135.37628918586222</v>
      </c>
      <c r="BK99" s="168">
        <v>96.985307514957057</v>
      </c>
      <c r="BL99" s="168">
        <v>121.54798286656577</v>
      </c>
      <c r="BM99" s="168">
        <v>129.28321623885421</v>
      </c>
      <c r="BN99" s="168">
        <v>122.97690035024927</v>
      </c>
      <c r="BO99" s="168">
        <v>136.45461909904213</v>
      </c>
      <c r="BP99" s="168">
        <v>92.773580359524075</v>
      </c>
      <c r="BQ99" s="168">
        <v>95.041309236231896</v>
      </c>
      <c r="BR99" s="168">
        <v>0</v>
      </c>
      <c r="BS99" s="168">
        <v>0</v>
      </c>
      <c r="BT99" s="168">
        <v>7.7370421344418521</v>
      </c>
      <c r="BU99" s="168">
        <v>73.970363616304695</v>
      </c>
      <c r="BV99" s="168">
        <v>132.12651685664179</v>
      </c>
      <c r="BW99" s="168">
        <v>98.908457041432982</v>
      </c>
      <c r="BX99" s="168">
        <v>123.90579888452744</v>
      </c>
      <c r="BY99" s="168">
        <v>130.54828171619388</v>
      </c>
      <c r="BZ99" s="168">
        <v>123.52941415987527</v>
      </c>
      <c r="CA99" s="168">
        <v>138.0211891143075</v>
      </c>
      <c r="CB99" s="168">
        <v>93.200350694561749</v>
      </c>
      <c r="CC99" s="168">
        <v>93.584099358933344</v>
      </c>
      <c r="CD99" s="168">
        <v>0</v>
      </c>
      <c r="CE99" s="168">
        <v>0</v>
      </c>
      <c r="CF99" s="168">
        <v>7.5252464662059984</v>
      </c>
      <c r="CG99" s="168">
        <v>75.569710105152751</v>
      </c>
      <c r="CH99" s="168">
        <v>135.84390696831753</v>
      </c>
      <c r="CI99" s="168">
        <v>97.607334888332218</v>
      </c>
      <c r="CJ99" s="168">
        <v>124.04335860992202</v>
      </c>
      <c r="CK99" s="168">
        <v>131.29066046545319</v>
      </c>
      <c r="CL99" s="168">
        <v>126.9167080539036</v>
      </c>
      <c r="CM99" s="168">
        <v>138.87793054426606</v>
      </c>
      <c r="CN99" s="168">
        <v>94.719237123333869</v>
      </c>
      <c r="CO99" s="168">
        <v>93.531567990812903</v>
      </c>
    </row>
    <row r="100" spans="1:93" x14ac:dyDescent="0.2">
      <c r="A100" s="118">
        <f t="shared" si="8"/>
        <v>32</v>
      </c>
      <c r="B100" s="243"/>
      <c r="C100" s="223" t="s">
        <v>374</v>
      </c>
      <c r="D100" s="204">
        <f>SUM(D84:D99)</f>
        <v>2207185.0855162772</v>
      </c>
      <c r="E100" s="233" t="s">
        <v>439</v>
      </c>
      <c r="F100" s="183"/>
      <c r="G100" s="233"/>
      <c r="H100" s="206">
        <f>SUM(H84:H99)-H92</f>
        <v>164105156.91000003</v>
      </c>
      <c r="I100" s="229"/>
      <c r="J100" s="204">
        <f>SUM(J84:J99)</f>
        <v>2207185.0855162772</v>
      </c>
      <c r="K100" s="233" t="s">
        <v>439</v>
      </c>
      <c r="L100" s="183"/>
      <c r="M100" s="233"/>
      <c r="N100" s="206">
        <f>SUM(N84:N99)-N92</f>
        <v>169246411.56999999</v>
      </c>
      <c r="O100" s="227"/>
      <c r="Q100" s="939"/>
      <c r="S100" s="230"/>
      <c r="T100" s="176"/>
      <c r="U100" s="184"/>
      <c r="V100" s="179"/>
      <c r="W100" s="180"/>
      <c r="Y100" s="184" t="s">
        <v>136</v>
      </c>
      <c r="Z100" s="181" t="s">
        <v>141</v>
      </c>
      <c r="AB100" s="204">
        <f>SUM(AB84:AB98)</f>
        <v>2173738.4133137064</v>
      </c>
      <c r="AC100" s="204">
        <f>SUM(AC84:AC98)</f>
        <v>2187422.1898487946</v>
      </c>
      <c r="AD100" s="204">
        <f>SUM(AD84:AD98)</f>
        <v>2196397.3031086666</v>
      </c>
      <c r="AE100" s="204">
        <f>SUM(AE84:AE98)</f>
        <v>2206169.5540027004</v>
      </c>
      <c r="AF100" s="204">
        <f>SUM(AF84:AF98)</f>
        <v>2219124.1364997942</v>
      </c>
      <c r="AH100" s="204">
        <f t="shared" ref="AH100:BM100" si="14">SUM(AH84:AH99)</f>
        <v>175167.0232493782</v>
      </c>
      <c r="AI100" s="204">
        <f t="shared" si="14"/>
        <v>152286.23178611457</v>
      </c>
      <c r="AJ100" s="204">
        <f t="shared" si="14"/>
        <v>137544.16863751574</v>
      </c>
      <c r="AK100" s="204">
        <f t="shared" si="14"/>
        <v>155844.15677428368</v>
      </c>
      <c r="AL100" s="204">
        <f t="shared" si="14"/>
        <v>185611.99134459675</v>
      </c>
      <c r="AM100" s="204">
        <f t="shared" si="14"/>
        <v>208790.58731771674</v>
      </c>
      <c r="AN100" s="204">
        <f t="shared" si="14"/>
        <v>210006.13790865065</v>
      </c>
      <c r="AO100" s="204">
        <f t="shared" si="14"/>
        <v>225154.41244409585</v>
      </c>
      <c r="AP100" s="204">
        <f t="shared" si="14"/>
        <v>213759.62237049843</v>
      </c>
      <c r="AQ100" s="204">
        <f t="shared" si="14"/>
        <v>192934.60967480441</v>
      </c>
      <c r="AR100" s="204">
        <f t="shared" si="14"/>
        <v>170726.94652141698</v>
      </c>
      <c r="AS100" s="204">
        <f t="shared" si="14"/>
        <v>146905.53360884867</v>
      </c>
      <c r="AT100" s="204">
        <f t="shared" si="14"/>
        <v>171981.95846542058</v>
      </c>
      <c r="AU100" s="204">
        <f t="shared" si="14"/>
        <v>150959.97035914162</v>
      </c>
      <c r="AV100" s="204">
        <f t="shared" si="14"/>
        <v>133826.94695865543</v>
      </c>
      <c r="AW100" s="204">
        <f t="shared" si="14"/>
        <v>156655.93456222795</v>
      </c>
      <c r="AX100" s="204">
        <f t="shared" si="14"/>
        <v>184909.9650454963</v>
      </c>
      <c r="AY100" s="204">
        <f t="shared" si="14"/>
        <v>204731.68371822947</v>
      </c>
      <c r="AZ100" s="204">
        <f t="shared" si="14"/>
        <v>218428.64134361513</v>
      </c>
      <c r="BA100" s="204">
        <f t="shared" si="14"/>
        <v>227604.1151029407</v>
      </c>
      <c r="BB100" s="204">
        <f t="shared" si="14"/>
        <v>218474.08941001652</v>
      </c>
      <c r="BC100" s="204">
        <f t="shared" si="14"/>
        <v>199042.20920121559</v>
      </c>
      <c r="BD100" s="204">
        <f t="shared" si="14"/>
        <v>174532.99323199337</v>
      </c>
      <c r="BE100" s="204">
        <f t="shared" si="14"/>
        <v>147279.63873454573</v>
      </c>
      <c r="BF100" s="204">
        <f t="shared" si="14"/>
        <v>168959.20913584845</v>
      </c>
      <c r="BG100" s="204">
        <f t="shared" si="14"/>
        <v>152527.91506482064</v>
      </c>
      <c r="BH100" s="204">
        <f t="shared" si="14"/>
        <v>135698.3058749022</v>
      </c>
      <c r="BI100" s="204">
        <f t="shared" si="14"/>
        <v>154776.53733135221</v>
      </c>
      <c r="BJ100" s="204">
        <f t="shared" si="14"/>
        <v>185745.24716491494</v>
      </c>
      <c r="BK100" s="204">
        <f t="shared" si="14"/>
        <v>208795.06301483462</v>
      </c>
      <c r="BL100" s="204">
        <f t="shared" si="14"/>
        <v>220214.58509644383</v>
      </c>
      <c r="BM100" s="204">
        <f t="shared" si="14"/>
        <v>230189.79831518757</v>
      </c>
      <c r="BN100" s="204">
        <f t="shared" ref="BN100:CO100" si="15">SUM(BN84:BN99)</f>
        <v>219336.43563825681</v>
      </c>
      <c r="BO100" s="204">
        <f t="shared" si="15"/>
        <v>196732.71343989519</v>
      </c>
      <c r="BP100" s="204">
        <f t="shared" si="15"/>
        <v>173675.17820904378</v>
      </c>
      <c r="BQ100" s="204">
        <f t="shared" si="15"/>
        <v>150757.04409591216</v>
      </c>
      <c r="BR100" s="204">
        <f t="shared" si="15"/>
        <v>168381.85976489153</v>
      </c>
      <c r="BS100" s="204">
        <f t="shared" si="15"/>
        <v>150382.89402186303</v>
      </c>
      <c r="BT100" s="204">
        <f t="shared" si="15"/>
        <v>137451.38766398525</v>
      </c>
      <c r="BU100" s="204">
        <f t="shared" si="15"/>
        <v>157585.79466653912</v>
      </c>
      <c r="BV100" s="204">
        <f t="shared" si="15"/>
        <v>181286.34399840835</v>
      </c>
      <c r="BW100" s="204">
        <f t="shared" si="15"/>
        <v>212935.32030592547</v>
      </c>
      <c r="BX100" s="204">
        <f t="shared" si="15"/>
        <v>224486.35879341399</v>
      </c>
      <c r="BY100" s="204">
        <f t="shared" si="15"/>
        <v>232442.25749400555</v>
      </c>
      <c r="BZ100" s="204">
        <f t="shared" si="15"/>
        <v>220321.87606893224</v>
      </c>
      <c r="CA100" s="204">
        <f t="shared" si="15"/>
        <v>198991.30733676464</v>
      </c>
      <c r="CB100" s="204">
        <f t="shared" si="15"/>
        <v>174474.10624119229</v>
      </c>
      <c r="CC100" s="204">
        <f t="shared" si="15"/>
        <v>148445.57916035611</v>
      </c>
      <c r="CD100" s="204">
        <f t="shared" si="15"/>
        <v>169505.92475856942</v>
      </c>
      <c r="CE100" s="204">
        <f t="shared" si="15"/>
        <v>148672.06719904646</v>
      </c>
      <c r="CF100" s="204">
        <f t="shared" si="15"/>
        <v>133688.76003518549</v>
      </c>
      <c r="CG100" s="204">
        <f t="shared" si="15"/>
        <v>160993.02798364975</v>
      </c>
      <c r="CH100" s="204">
        <f t="shared" si="15"/>
        <v>186386.8497757061</v>
      </c>
      <c r="CI100" s="204">
        <f t="shared" si="15"/>
        <v>210134.1962088063</v>
      </c>
      <c r="CJ100" s="204">
        <f t="shared" si="15"/>
        <v>224735.5826566105</v>
      </c>
      <c r="CK100" s="204">
        <f t="shared" si="15"/>
        <v>233764.06878194388</v>
      </c>
      <c r="CL100" s="204">
        <f t="shared" si="15"/>
        <v>226363.31122512333</v>
      </c>
      <c r="CM100" s="204">
        <f t="shared" si="15"/>
        <v>200226.50968715028</v>
      </c>
      <c r="CN100" s="204">
        <f t="shared" si="15"/>
        <v>177317.51133749259</v>
      </c>
      <c r="CO100" s="204">
        <f t="shared" si="15"/>
        <v>148362.25251172512</v>
      </c>
    </row>
    <row r="101" spans="1:93" x14ac:dyDescent="0.2">
      <c r="A101" s="118">
        <f t="shared" si="8"/>
        <v>33</v>
      </c>
      <c r="B101" s="246" t="s">
        <v>563</v>
      </c>
      <c r="C101" s="223"/>
      <c r="D101" s="168"/>
      <c r="E101" s="225"/>
      <c r="F101" s="197"/>
      <c r="G101" s="233"/>
      <c r="H101" s="174"/>
      <c r="I101" s="229"/>
      <c r="J101" s="247"/>
      <c r="K101" s="227"/>
      <c r="L101" s="197"/>
      <c r="M101" s="227"/>
      <c r="N101" s="203"/>
      <c r="O101" s="227"/>
      <c r="S101" s="230"/>
      <c r="T101" s="227"/>
      <c r="U101" s="184"/>
      <c r="V101" s="179"/>
      <c r="W101" s="180"/>
      <c r="Y101" s="184"/>
      <c r="Z101" s="181"/>
      <c r="AB101" s="193">
        <f>SUM(AH101:AS101)</f>
        <v>0</v>
      </c>
      <c r="AC101" s="193">
        <f>SUM(AT101:BE101)</f>
        <v>0</v>
      </c>
      <c r="AD101" s="193">
        <f>SUM(BF101:BQ101)</f>
        <v>0</v>
      </c>
      <c r="AE101" s="193">
        <f>SUM(BR101:CC101)</f>
        <v>0</v>
      </c>
      <c r="AF101" s="193">
        <f>SUM(CD101:CO101)</f>
        <v>0</v>
      </c>
      <c r="AH101" s="193">
        <v>0</v>
      </c>
      <c r="AI101" s="193">
        <v>0</v>
      </c>
      <c r="AJ101" s="193">
        <v>0</v>
      </c>
      <c r="AK101" s="193">
        <v>0</v>
      </c>
      <c r="AL101" s="193">
        <v>0</v>
      </c>
      <c r="AM101" s="193">
        <v>0</v>
      </c>
      <c r="AN101" s="193">
        <v>0</v>
      </c>
      <c r="AO101" s="193">
        <v>0</v>
      </c>
      <c r="AP101" s="193">
        <v>0</v>
      </c>
      <c r="AQ101" s="193">
        <v>0</v>
      </c>
      <c r="AR101" s="193">
        <v>0</v>
      </c>
      <c r="AS101" s="193">
        <v>0</v>
      </c>
      <c r="AT101" s="193">
        <v>0</v>
      </c>
      <c r="AU101" s="193">
        <v>0</v>
      </c>
      <c r="AV101" s="193">
        <v>0</v>
      </c>
      <c r="AW101" s="193">
        <v>0</v>
      </c>
      <c r="AX101" s="193">
        <v>0</v>
      </c>
      <c r="AY101" s="193">
        <v>0</v>
      </c>
      <c r="AZ101" s="193">
        <v>0</v>
      </c>
      <c r="BA101" s="193">
        <v>0</v>
      </c>
      <c r="BB101" s="193">
        <v>0</v>
      </c>
      <c r="BC101" s="193">
        <v>0</v>
      </c>
      <c r="BD101" s="193">
        <v>0</v>
      </c>
      <c r="BE101" s="193">
        <v>0</v>
      </c>
      <c r="BF101" s="193">
        <v>0</v>
      </c>
      <c r="BG101" s="193">
        <v>0</v>
      </c>
      <c r="BH101" s="193">
        <v>0</v>
      </c>
      <c r="BI101" s="193">
        <v>0</v>
      </c>
      <c r="BJ101" s="193">
        <v>0</v>
      </c>
      <c r="BK101" s="193">
        <v>0</v>
      </c>
      <c r="BL101" s="193">
        <v>0</v>
      </c>
      <c r="BM101" s="193">
        <v>0</v>
      </c>
      <c r="BN101" s="193">
        <v>0</v>
      </c>
      <c r="BO101" s="193">
        <v>0</v>
      </c>
      <c r="BP101" s="193">
        <v>0</v>
      </c>
      <c r="BQ101" s="193">
        <v>0</v>
      </c>
      <c r="BR101" s="193">
        <v>0</v>
      </c>
      <c r="BS101" s="193">
        <v>0</v>
      </c>
      <c r="BT101" s="193">
        <v>0</v>
      </c>
      <c r="BU101" s="193">
        <v>0</v>
      </c>
      <c r="BV101" s="193">
        <v>0</v>
      </c>
      <c r="BW101" s="193">
        <v>0</v>
      </c>
      <c r="BX101" s="193">
        <v>0</v>
      </c>
      <c r="BY101" s="193">
        <v>0</v>
      </c>
      <c r="BZ101" s="193">
        <v>0</v>
      </c>
      <c r="CA101" s="193">
        <v>0</v>
      </c>
      <c r="CB101" s="193">
        <v>0</v>
      </c>
      <c r="CC101" s="193">
        <v>0</v>
      </c>
      <c r="CD101" s="193">
        <v>0</v>
      </c>
      <c r="CE101" s="193">
        <v>0</v>
      </c>
      <c r="CF101" s="193">
        <v>0</v>
      </c>
      <c r="CG101" s="193">
        <v>0</v>
      </c>
      <c r="CH101" s="193">
        <v>0</v>
      </c>
      <c r="CI101" s="193">
        <v>0</v>
      </c>
      <c r="CJ101" s="193">
        <v>0</v>
      </c>
      <c r="CK101" s="193">
        <v>0</v>
      </c>
      <c r="CL101" s="193">
        <v>0</v>
      </c>
      <c r="CM101" s="193">
        <v>0</v>
      </c>
      <c r="CN101" s="193">
        <v>0</v>
      </c>
      <c r="CO101" s="193">
        <v>0</v>
      </c>
    </row>
    <row r="102" spans="1:93" x14ac:dyDescent="0.2">
      <c r="A102" s="118">
        <f t="shared" si="8"/>
        <v>34</v>
      </c>
      <c r="B102" s="234" t="s">
        <v>582</v>
      </c>
      <c r="C102" s="227"/>
      <c r="D102" s="172">
        <f>SUM(H85,H93:H95)</f>
        <v>2107139.56</v>
      </c>
      <c r="E102" s="233" t="s">
        <v>10</v>
      </c>
      <c r="F102" s="248">
        <v>0.01</v>
      </c>
      <c r="G102" s="233" t="s">
        <v>375</v>
      </c>
      <c r="H102" s="174">
        <f>ROUND(D102*-F102,2)</f>
        <v>-21071.4</v>
      </c>
      <c r="I102" s="229"/>
      <c r="J102" s="172">
        <f>SUM(N85,N93:N95)</f>
        <v>2158102.62</v>
      </c>
      <c r="K102" s="233" t="s">
        <v>10</v>
      </c>
      <c r="L102" s="248">
        <v>0.01</v>
      </c>
      <c r="M102" s="233" t="s">
        <v>375</v>
      </c>
      <c r="N102" s="174">
        <f>ROUND(J102*-L102,2)</f>
        <v>-21581.03</v>
      </c>
      <c r="O102" s="227"/>
      <c r="S102" s="230"/>
      <c r="T102" s="176"/>
      <c r="U102" s="178" t="s">
        <v>580</v>
      </c>
      <c r="V102" s="179">
        <v>242</v>
      </c>
      <c r="W102" s="180">
        <v>216</v>
      </c>
      <c r="Y102" s="184" t="s">
        <v>136</v>
      </c>
      <c r="Z102" s="181" t="s">
        <v>417</v>
      </c>
      <c r="AB102" s="182"/>
      <c r="AC102" s="182"/>
      <c r="AD102" s="182"/>
      <c r="AE102" s="182"/>
      <c r="AF102" s="182"/>
      <c r="AH102" s="174">
        <v>-238.03714698953019</v>
      </c>
      <c r="AI102" s="174">
        <v>-557.55728692625951</v>
      </c>
      <c r="AJ102" s="174">
        <v>-1532.524300904952</v>
      </c>
      <c r="AK102" s="174">
        <v>-1326.231124321776</v>
      </c>
      <c r="AL102" s="174">
        <v>-1870.8986499066682</v>
      </c>
      <c r="AM102" s="174">
        <v>-1854.9059323120696</v>
      </c>
      <c r="AN102" s="174">
        <v>-2564.2171478120736</v>
      </c>
      <c r="AO102" s="174">
        <v>-2436.2061205780278</v>
      </c>
      <c r="AP102" s="174">
        <v>-2678.214646647928</v>
      </c>
      <c r="AQ102" s="174">
        <v>-2468.4085507862296</v>
      </c>
      <c r="AR102" s="174">
        <v>-1348.7777014425751</v>
      </c>
      <c r="AS102" s="174">
        <v>-1024.9199830194564</v>
      </c>
      <c r="AT102" s="174">
        <v>-240.7062484102662</v>
      </c>
      <c r="AU102" s="174">
        <v>-569.24394899711035</v>
      </c>
      <c r="AV102" s="174">
        <v>-1535.8102243255914</v>
      </c>
      <c r="AW102" s="174">
        <v>-1373.1222049275941</v>
      </c>
      <c r="AX102" s="174">
        <v>-1919.7108996951029</v>
      </c>
      <c r="AY102" s="174">
        <v>-1873.3504110091287</v>
      </c>
      <c r="AZ102" s="174">
        <v>-2746.9397512152395</v>
      </c>
      <c r="BA102" s="174">
        <v>-2536.477373753135</v>
      </c>
      <c r="BB102" s="174">
        <v>-2819.2728100338022</v>
      </c>
      <c r="BC102" s="174">
        <v>-2622.8191134646427</v>
      </c>
      <c r="BD102" s="174">
        <v>-1420.1875813867498</v>
      </c>
      <c r="BE102" s="174">
        <v>-1058.3444677699406</v>
      </c>
      <c r="BF102" s="174">
        <v>-236.47560318737067</v>
      </c>
      <c r="BG102" s="174">
        <v>-575.15639740277993</v>
      </c>
      <c r="BH102" s="174">
        <v>-1557.2861095809164</v>
      </c>
      <c r="BI102" s="174">
        <v>-1356.6488930367525</v>
      </c>
      <c r="BJ102" s="174">
        <v>-1928.3826886307281</v>
      </c>
      <c r="BK102" s="174">
        <v>-1910.53143319941</v>
      </c>
      <c r="BL102" s="174">
        <v>-2769.3996257898493</v>
      </c>
      <c r="BM102" s="174">
        <v>-2565.2928763225464</v>
      </c>
      <c r="BN102" s="174">
        <v>-2830.4008540077057</v>
      </c>
      <c r="BO102" s="174">
        <v>-2592.3864245914351</v>
      </c>
      <c r="BP102" s="174">
        <v>-1413.2074785410905</v>
      </c>
      <c r="BQ102" s="174">
        <v>-1083.3329370384522</v>
      </c>
      <c r="BR102" s="174">
        <v>-235.66754400287778</v>
      </c>
      <c r="BS102" s="174">
        <v>-567.06789389903531</v>
      </c>
      <c r="BT102" s="174">
        <v>-1577.4046357592399</v>
      </c>
      <c r="BU102" s="174">
        <v>-1381.2726242543442</v>
      </c>
      <c r="BV102" s="174">
        <v>-1882.090943308503</v>
      </c>
      <c r="BW102" s="174">
        <v>-1948.4159098816972</v>
      </c>
      <c r="BX102" s="174">
        <v>-2823.1210833066939</v>
      </c>
      <c r="BY102" s="174">
        <v>-2590.394846644087</v>
      </c>
      <c r="BZ102" s="174">
        <v>-2843.1173524245824</v>
      </c>
      <c r="CA102" s="174">
        <v>-2622.1483693871492</v>
      </c>
      <c r="CB102" s="174">
        <v>-1419.7084136861777</v>
      </c>
      <c r="CC102" s="174">
        <v>-1066.7228601261968</v>
      </c>
      <c r="CD102" s="174">
        <v>-237.24078732451318</v>
      </c>
      <c r="CE102" s="174">
        <v>-560.61666173230014</v>
      </c>
      <c r="CF102" s="174">
        <v>-1534.2243786139729</v>
      </c>
      <c r="CG102" s="174">
        <v>-1411.1377406839756</v>
      </c>
      <c r="CH102" s="174">
        <v>-1935.0437224203649</v>
      </c>
      <c r="CI102" s="174">
        <v>-1922.7848649778323</v>
      </c>
      <c r="CJ102" s="174">
        <v>-2826.2553011114405</v>
      </c>
      <c r="CK102" s="174">
        <v>-2605.125443332598</v>
      </c>
      <c r="CL102" s="174">
        <v>-2921.0783313005109</v>
      </c>
      <c r="CM102" s="174">
        <v>-2638.4248785084537</v>
      </c>
      <c r="CN102" s="174">
        <v>-1442.8454064795676</v>
      </c>
      <c r="CO102" s="174">
        <v>-1066.1240787986887</v>
      </c>
    </row>
    <row r="103" spans="1:93" x14ac:dyDescent="0.2">
      <c r="A103" s="118">
        <f t="shared" si="8"/>
        <v>35</v>
      </c>
      <c r="B103" s="234" t="s">
        <v>583</v>
      </c>
      <c r="C103" s="227"/>
      <c r="D103" s="172">
        <f>SUM(H86,H97:H99)</f>
        <v>237924.34</v>
      </c>
      <c r="E103" s="233" t="s">
        <v>10</v>
      </c>
      <c r="F103" s="248">
        <v>0.02</v>
      </c>
      <c r="G103" s="233" t="s">
        <v>375</v>
      </c>
      <c r="H103" s="174">
        <f>ROUND(D103*-F103,2)</f>
        <v>-4758.49</v>
      </c>
      <c r="I103" s="229"/>
      <c r="J103" s="172">
        <f>SUM(N86,N97:N99)</f>
        <v>241989.27</v>
      </c>
      <c r="K103" s="233" t="s">
        <v>10</v>
      </c>
      <c r="L103" s="248">
        <v>0.02</v>
      </c>
      <c r="M103" s="233" t="s">
        <v>375</v>
      </c>
      <c r="N103" s="174">
        <f>ROUND(J103*-L103,2)</f>
        <v>-4839.79</v>
      </c>
      <c r="O103" s="227"/>
      <c r="T103" s="176"/>
      <c r="U103" s="178" t="s">
        <v>580</v>
      </c>
      <c r="V103" s="179">
        <v>242</v>
      </c>
      <c r="W103" s="180">
        <v>216</v>
      </c>
      <c r="X103" s="213"/>
      <c r="Y103" s="184" t="s">
        <v>136</v>
      </c>
      <c r="Z103" s="181" t="s">
        <v>417</v>
      </c>
      <c r="AA103" s="213"/>
      <c r="AB103" s="182"/>
      <c r="AC103" s="182"/>
      <c r="AD103" s="182"/>
      <c r="AE103" s="182"/>
      <c r="AF103" s="182"/>
      <c r="AH103" s="174">
        <v>0</v>
      </c>
      <c r="AI103" s="174">
        <v>0</v>
      </c>
      <c r="AJ103" s="174">
        <v>0</v>
      </c>
      <c r="AK103" s="174">
        <v>0</v>
      </c>
      <c r="AL103" s="174">
        <v>0</v>
      </c>
      <c r="AM103" s="174">
        <v>0</v>
      </c>
      <c r="AN103" s="174">
        <v>0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74">
        <v>0</v>
      </c>
      <c r="BP103" s="174">
        <v>0</v>
      </c>
      <c r="BQ103" s="174">
        <v>0</v>
      </c>
      <c r="BR103" s="174">
        <v>0</v>
      </c>
      <c r="BS103" s="174">
        <v>0</v>
      </c>
      <c r="BT103" s="174">
        <v>0</v>
      </c>
      <c r="BU103" s="174">
        <v>0</v>
      </c>
      <c r="BV103" s="174">
        <v>0</v>
      </c>
      <c r="BW103" s="174">
        <v>0</v>
      </c>
      <c r="BX103" s="174">
        <v>0</v>
      </c>
      <c r="BY103" s="174">
        <v>0</v>
      </c>
      <c r="BZ103" s="174">
        <v>0</v>
      </c>
      <c r="CA103" s="174">
        <v>0</v>
      </c>
      <c r="CB103" s="174">
        <v>0</v>
      </c>
      <c r="CC103" s="174">
        <v>0</v>
      </c>
      <c r="CD103" s="174">
        <v>0</v>
      </c>
      <c r="CE103" s="174">
        <v>0</v>
      </c>
      <c r="CF103" s="174">
        <v>0</v>
      </c>
      <c r="CG103" s="174">
        <v>0</v>
      </c>
      <c r="CH103" s="174">
        <v>0</v>
      </c>
      <c r="CI103" s="174">
        <v>0</v>
      </c>
      <c r="CJ103" s="174">
        <v>0</v>
      </c>
      <c r="CK103" s="174">
        <v>0</v>
      </c>
      <c r="CL103" s="174">
        <v>0</v>
      </c>
      <c r="CM103" s="174">
        <v>0</v>
      </c>
      <c r="CN103" s="174">
        <v>0</v>
      </c>
      <c r="CO103" s="174">
        <v>0</v>
      </c>
    </row>
    <row r="104" spans="1:93" x14ac:dyDescent="0.2">
      <c r="A104" s="118">
        <f t="shared" si="8"/>
        <v>36</v>
      </c>
      <c r="B104" s="171" t="s">
        <v>564</v>
      </c>
      <c r="C104" s="227"/>
      <c r="D104" s="174"/>
      <c r="E104" s="233"/>
      <c r="F104" s="166"/>
      <c r="G104" s="233"/>
      <c r="H104" s="174">
        <f>'MFR E-5 Yr4'!K22*1000</f>
        <v>4105974.5579999997</v>
      </c>
      <c r="I104" s="162"/>
      <c r="J104" s="208"/>
      <c r="K104" s="166"/>
      <c r="L104" s="166"/>
      <c r="M104" s="143"/>
      <c r="N104" s="174">
        <f>H104</f>
        <v>4105974.5579999997</v>
      </c>
      <c r="O104" s="227"/>
      <c r="Q104" s="176"/>
      <c r="T104" s="213"/>
      <c r="U104" s="178"/>
      <c r="V104" s="179"/>
      <c r="W104" s="180"/>
      <c r="X104" s="213"/>
      <c r="Y104" s="184" t="s">
        <v>136</v>
      </c>
      <c r="Z104" s="181" t="s">
        <v>565</v>
      </c>
      <c r="AA104" s="213"/>
      <c r="AB104" s="182"/>
      <c r="AC104" s="182"/>
      <c r="AD104" s="182"/>
      <c r="AE104" s="182"/>
      <c r="AF104" s="182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</row>
    <row r="105" spans="1:93" x14ac:dyDescent="0.2">
      <c r="A105" s="118">
        <f t="shared" si="8"/>
        <v>37</v>
      </c>
      <c r="B105" s="171" t="s">
        <v>566</v>
      </c>
      <c r="C105" s="227"/>
      <c r="D105" s="174"/>
      <c r="E105" s="233"/>
      <c r="F105" s="166"/>
      <c r="G105" s="233"/>
      <c r="H105" s="174">
        <f>'MFR E-5 Yr4'!K23*1000</f>
        <v>1745039.1871499945</v>
      </c>
      <c r="I105" s="162"/>
      <c r="J105" s="208"/>
      <c r="K105" s="166"/>
      <c r="L105" s="166"/>
      <c r="M105" s="143"/>
      <c r="N105" s="174">
        <f>H105</f>
        <v>1745039.1871499945</v>
      </c>
      <c r="O105" s="227"/>
      <c r="Q105" s="176"/>
      <c r="T105" s="213"/>
      <c r="U105" s="178"/>
      <c r="V105" s="179"/>
      <c r="W105" s="180"/>
      <c r="X105" s="213"/>
      <c r="Y105" s="184" t="s">
        <v>136</v>
      </c>
      <c r="Z105" s="181" t="s">
        <v>565</v>
      </c>
      <c r="AA105" s="213"/>
      <c r="AB105" s="182"/>
      <c r="AC105" s="182"/>
      <c r="AD105" s="182"/>
      <c r="AE105" s="182"/>
      <c r="AF105" s="182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</row>
    <row r="106" spans="1:93" x14ac:dyDescent="0.2">
      <c r="A106" s="118">
        <f t="shared" si="8"/>
        <v>38</v>
      </c>
      <c r="B106" s="171" t="s">
        <v>158</v>
      </c>
      <c r="C106" s="227"/>
      <c r="D106" s="174"/>
      <c r="E106" s="233"/>
      <c r="F106" s="166"/>
      <c r="G106" s="233"/>
      <c r="H106" s="174">
        <f>'MFR E-5 Yr4'!K19*1000</f>
        <v>4005505.7</v>
      </c>
      <c r="I106" s="162"/>
      <c r="J106" s="208"/>
      <c r="K106" s="166"/>
      <c r="L106" s="166"/>
      <c r="M106" s="143"/>
      <c r="N106" s="174">
        <f>H106</f>
        <v>4005505.7</v>
      </c>
      <c r="O106" s="227"/>
      <c r="Q106" s="176"/>
      <c r="T106" s="213"/>
      <c r="U106" s="178"/>
      <c r="V106" s="179"/>
      <c r="W106" s="180"/>
      <c r="X106" s="213"/>
      <c r="Y106" s="184" t="s">
        <v>136</v>
      </c>
      <c r="Z106" s="181" t="s">
        <v>569</v>
      </c>
      <c r="AA106" s="213"/>
      <c r="AB106" s="182">
        <v>92.100000000000009</v>
      </c>
      <c r="AC106" s="1142">
        <f>AB106/AB107</f>
        <v>1.0736768477500584</v>
      </c>
      <c r="AD106" s="182"/>
      <c r="AE106" s="182"/>
      <c r="AF106" s="182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</row>
    <row r="107" spans="1:93" x14ac:dyDescent="0.2">
      <c r="A107" s="118">
        <f t="shared" si="8"/>
        <v>39</v>
      </c>
      <c r="B107" s="234"/>
      <c r="C107" s="223" t="s">
        <v>374</v>
      </c>
      <c r="D107" s="304"/>
      <c r="E107" s="168"/>
      <c r="G107" s="223"/>
      <c r="H107" s="206">
        <f>H102+H103+H104+H105+H106</f>
        <v>9830689.5551499948</v>
      </c>
      <c r="I107" s="229"/>
      <c r="J107" s="1226"/>
      <c r="K107" s="168"/>
      <c r="M107" s="223"/>
      <c r="N107" s="206">
        <f>N102+N103+N104+N105+N106</f>
        <v>9830098.6251499951</v>
      </c>
      <c r="O107" s="227"/>
      <c r="Q107" s="176"/>
      <c r="T107" s="182"/>
      <c r="U107" s="184"/>
      <c r="V107" s="179"/>
      <c r="W107" s="180"/>
      <c r="X107" s="182"/>
      <c r="Y107" s="184"/>
      <c r="Z107" s="181"/>
      <c r="AA107" s="182"/>
      <c r="AB107" s="101">
        <v>85.78</v>
      </c>
      <c r="AC107" s="1142"/>
    </row>
    <row r="108" spans="1:93" x14ac:dyDescent="0.2">
      <c r="A108" s="118">
        <f t="shared" si="8"/>
        <v>40</v>
      </c>
      <c r="B108" s="234"/>
      <c r="C108" s="227"/>
      <c r="D108" s="304"/>
      <c r="E108" s="168"/>
      <c r="F108" s="197"/>
      <c r="G108" s="223"/>
      <c r="H108" s="174"/>
      <c r="I108" s="229"/>
      <c r="K108" s="227"/>
      <c r="L108" s="197"/>
      <c r="M108" s="227"/>
      <c r="N108" s="203"/>
      <c r="O108" s="227"/>
      <c r="Q108" s="227"/>
      <c r="T108" s="250"/>
      <c r="U108" s="184"/>
      <c r="V108" s="179"/>
      <c r="W108" s="180"/>
      <c r="X108" s="250"/>
      <c r="Y108" s="184"/>
      <c r="Z108" s="181"/>
      <c r="AA108" s="250"/>
      <c r="AB108" s="101">
        <v>48.06</v>
      </c>
      <c r="AC108" s="1142">
        <f>AB108/AB107</f>
        <v>0.56027045931452557</v>
      </c>
    </row>
    <row r="109" spans="1:93" ht="10.8" thickBot="1" x14ac:dyDescent="0.25">
      <c r="A109" s="118">
        <f t="shared" si="8"/>
        <v>41</v>
      </c>
      <c r="B109" s="246" t="s">
        <v>584</v>
      </c>
      <c r="C109" s="223"/>
      <c r="D109" s="304"/>
      <c r="E109" s="225"/>
      <c r="F109" s="183"/>
      <c r="G109" s="223"/>
      <c r="H109" s="210">
        <f>H80+H100+H107</f>
        <v>199908087.10515001</v>
      </c>
      <c r="I109" s="229"/>
      <c r="J109" s="1226"/>
      <c r="K109" s="225"/>
      <c r="L109" s="183"/>
      <c r="M109" s="223"/>
      <c r="N109" s="210">
        <f>N80+N100+N107</f>
        <v>205818953.49515</v>
      </c>
      <c r="O109" s="227"/>
      <c r="Q109" s="939">
        <f>(N109-H109)/H109</f>
        <v>2.9567920315754503E-2</v>
      </c>
      <c r="T109" s="250"/>
      <c r="U109" s="184"/>
      <c r="V109" s="179"/>
      <c r="W109" s="180"/>
      <c r="X109" s="250"/>
      <c r="Y109" s="184" t="s">
        <v>136</v>
      </c>
      <c r="Z109" s="181" t="s">
        <v>121</v>
      </c>
      <c r="AA109" s="250"/>
    </row>
    <row r="110" spans="1:93" ht="10.8" thickTop="1" x14ac:dyDescent="0.2">
      <c r="A110" s="118">
        <f t="shared" si="8"/>
        <v>42</v>
      </c>
      <c r="B110" s="143"/>
      <c r="C110" s="143"/>
      <c r="D110" s="143"/>
      <c r="E110" s="166"/>
      <c r="F110" s="166"/>
      <c r="G110" s="143"/>
      <c r="H110" s="143"/>
      <c r="I110" s="162"/>
      <c r="J110" s="1283"/>
      <c r="K110" s="166"/>
      <c r="L110" s="166"/>
      <c r="M110" s="143"/>
      <c r="N110" s="174"/>
      <c r="U110" s="184"/>
      <c r="V110" s="139"/>
      <c r="W110" s="140"/>
      <c r="Y110" s="184"/>
      <c r="Z110" s="141"/>
    </row>
    <row r="111" spans="1:93" x14ac:dyDescent="0.2">
      <c r="A111" s="118">
        <f t="shared" si="8"/>
        <v>43</v>
      </c>
      <c r="B111" s="102"/>
      <c r="C111" s="143"/>
      <c r="D111" s="142"/>
      <c r="E111" s="142"/>
      <c r="F111" s="142"/>
      <c r="G111" s="143"/>
      <c r="H111" s="1147"/>
      <c r="I111" s="162"/>
      <c r="J111" s="171" t="s">
        <v>573</v>
      </c>
      <c r="K111" s="166"/>
      <c r="L111" s="166"/>
      <c r="M111" s="143"/>
      <c r="N111" s="174">
        <f>N109-H109</f>
        <v>5910866.3899999857</v>
      </c>
      <c r="S111" s="1147"/>
      <c r="U111" s="184"/>
      <c r="V111" s="139"/>
      <c r="W111" s="140"/>
      <c r="Y111" s="184"/>
      <c r="Z111" s="141"/>
    </row>
    <row r="112" spans="1:93" x14ac:dyDescent="0.2">
      <c r="A112" s="118">
        <f t="shared" si="8"/>
        <v>44</v>
      </c>
      <c r="B112" s="226"/>
      <c r="C112" s="223"/>
      <c r="D112" s="168"/>
      <c r="E112" s="225"/>
      <c r="F112" s="197"/>
      <c r="G112" s="223"/>
      <c r="H112" s="174"/>
      <c r="I112" s="229"/>
      <c r="J112" s="234"/>
      <c r="K112" s="223"/>
      <c r="L112" s="197"/>
      <c r="M112" s="227"/>
      <c r="N112" s="251"/>
      <c r="O112" s="227"/>
      <c r="R112" s="227"/>
      <c r="S112" s="227"/>
      <c r="T112" s="250"/>
      <c r="U112" s="252"/>
      <c r="V112" s="253"/>
      <c r="W112" s="254"/>
      <c r="X112" s="250"/>
      <c r="Y112" s="252"/>
      <c r="Z112" s="255"/>
      <c r="AA112" s="250"/>
    </row>
    <row r="113" spans="1:93" x14ac:dyDescent="0.2">
      <c r="A113" s="215"/>
      <c r="B113" s="215" t="s">
        <v>674</v>
      </c>
      <c r="C113" s="215"/>
      <c r="D113" s="215"/>
      <c r="E113" s="215"/>
      <c r="F113" s="215"/>
      <c r="G113" s="215"/>
      <c r="H113" s="215"/>
      <c r="I113" s="215"/>
      <c r="J113" s="215"/>
      <c r="K113" s="215"/>
      <c r="L113" s="215"/>
      <c r="M113" s="215"/>
      <c r="N113" s="215" t="s">
        <v>675</v>
      </c>
      <c r="O113" s="215"/>
      <c r="P113" s="215"/>
      <c r="Q113" s="215"/>
      <c r="T113" s="250"/>
      <c r="U113" s="250"/>
      <c r="V113" s="250"/>
      <c r="W113" s="250"/>
      <c r="X113" s="250"/>
      <c r="Y113" s="250"/>
      <c r="Z113" s="256"/>
      <c r="AA113" s="250"/>
    </row>
    <row r="114" spans="1:93" x14ac:dyDescent="0.2">
      <c r="A114" s="216"/>
      <c r="B114" s="216"/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7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</row>
    <row r="115" spans="1:93" x14ac:dyDescent="0.2">
      <c r="A115" s="100" t="s">
        <v>505</v>
      </c>
      <c r="C115" s="102"/>
      <c r="D115" s="103"/>
      <c r="F115" s="104"/>
      <c r="G115" s="104"/>
      <c r="H115" s="102" t="s">
        <v>506</v>
      </c>
      <c r="I115" s="104"/>
      <c r="J115" s="104"/>
      <c r="K115" s="104"/>
      <c r="L115" s="104"/>
      <c r="N115" s="105"/>
      <c r="Q115" s="106" t="s">
        <v>586</v>
      </c>
      <c r="R115" s="105"/>
      <c r="S115" s="105"/>
      <c r="T115" s="114"/>
      <c r="U115" s="114"/>
      <c r="V115" s="114"/>
      <c r="W115" s="114"/>
      <c r="X115" s="114"/>
      <c r="Y115" s="114"/>
      <c r="Z115" s="218"/>
      <c r="AA115" s="114"/>
      <c r="AE115" s="114"/>
    </row>
    <row r="116" spans="1:93" ht="10.8" thickBot="1" x14ac:dyDescent="0.25">
      <c r="A116" s="108"/>
      <c r="B116" s="109"/>
      <c r="C116" s="109"/>
      <c r="D116" s="109"/>
      <c r="E116" s="110" t="s">
        <v>416</v>
      </c>
      <c r="F116" s="110" t="s">
        <v>416</v>
      </c>
      <c r="G116" s="109" t="s">
        <v>416</v>
      </c>
      <c r="H116" s="109" t="s">
        <v>416</v>
      </c>
      <c r="I116" s="109" t="s">
        <v>416</v>
      </c>
      <c r="J116" s="109"/>
      <c r="K116" s="109"/>
      <c r="L116" s="110" t="s">
        <v>416</v>
      </c>
      <c r="M116" s="111"/>
      <c r="N116" s="111"/>
      <c r="O116" s="109"/>
      <c r="P116" s="112"/>
      <c r="Q116" s="109"/>
      <c r="T116" s="114"/>
      <c r="U116" s="114"/>
      <c r="V116" s="114"/>
      <c r="W116" s="114"/>
      <c r="X116" s="114"/>
      <c r="Y116" s="114"/>
      <c r="Z116" s="218"/>
      <c r="AA116" s="114"/>
      <c r="AE116" s="114"/>
    </row>
    <row r="117" spans="1:93" x14ac:dyDescent="0.2">
      <c r="A117" s="113"/>
      <c r="M117" s="105"/>
      <c r="N117" s="105"/>
      <c r="P117" s="114"/>
      <c r="T117" s="114"/>
      <c r="U117" s="114"/>
      <c r="V117" s="114"/>
      <c r="W117" s="114"/>
      <c r="X117" s="114"/>
      <c r="Y117" s="114"/>
      <c r="Z117" s="218"/>
      <c r="AA117" s="114"/>
      <c r="AE117" s="114"/>
    </row>
    <row r="118" spans="1:93" x14ac:dyDescent="0.2">
      <c r="A118" s="100" t="s">
        <v>3</v>
      </c>
      <c r="D118" s="106" t="s">
        <v>4</v>
      </c>
      <c r="E118" s="101" t="s">
        <v>508</v>
      </c>
      <c r="O118" s="100" t="s">
        <v>6</v>
      </c>
      <c r="T118" s="114"/>
      <c r="U118" s="114"/>
      <c r="V118" s="114"/>
      <c r="W118" s="114"/>
      <c r="X118" s="114"/>
      <c r="Y118" s="114"/>
      <c r="Z118" s="218"/>
      <c r="AA118" s="114"/>
      <c r="AE118" s="114"/>
    </row>
    <row r="119" spans="1:93" x14ac:dyDescent="0.2">
      <c r="E119" s="101" t="s">
        <v>509</v>
      </c>
      <c r="T119" s="114"/>
      <c r="U119" s="114"/>
      <c r="V119" s="114"/>
      <c r="W119" s="114"/>
      <c r="X119" s="114"/>
      <c r="Y119" s="114"/>
      <c r="Z119" s="218"/>
      <c r="AA119" s="114"/>
      <c r="AE119" s="114"/>
    </row>
    <row r="120" spans="1:93" x14ac:dyDescent="0.2">
      <c r="A120" s="100" t="s">
        <v>9</v>
      </c>
      <c r="E120" s="101" t="s">
        <v>510</v>
      </c>
      <c r="O120" s="101" t="str">
        <f>O61</f>
        <v>__X__  Projected Test Year Ended 12/31/26</v>
      </c>
      <c r="T120" s="114"/>
      <c r="U120" s="114"/>
      <c r="V120" s="114"/>
      <c r="W120" s="114"/>
      <c r="X120" s="114"/>
      <c r="Y120" s="114"/>
      <c r="Z120" s="218"/>
      <c r="AA120" s="114"/>
      <c r="AE120" s="114"/>
    </row>
    <row r="121" spans="1:93" x14ac:dyDescent="0.2">
      <c r="E121" s="101" t="s">
        <v>512</v>
      </c>
      <c r="T121" s="114"/>
      <c r="U121" s="114"/>
      <c r="V121" s="114"/>
      <c r="W121" s="114"/>
      <c r="X121" s="114"/>
      <c r="Y121" s="114"/>
      <c r="Z121" s="218"/>
      <c r="AA121" s="114"/>
      <c r="AE121" s="114"/>
    </row>
    <row r="122" spans="1:93" x14ac:dyDescent="0.2">
      <c r="A122" s="100" t="s">
        <v>491</v>
      </c>
      <c r="C122" s="119" t="str">
        <f>C63</f>
        <v>20240025-EI</v>
      </c>
      <c r="O122" s="100" t="s">
        <v>493</v>
      </c>
      <c r="T122" s="114"/>
      <c r="U122" s="114"/>
      <c r="V122" s="114"/>
      <c r="W122" s="114"/>
      <c r="X122" s="114"/>
      <c r="Y122" s="114"/>
      <c r="Z122" s="218"/>
      <c r="AA122" s="114"/>
      <c r="AE122" s="114"/>
    </row>
    <row r="123" spans="1:93" ht="10.8" thickBot="1" x14ac:dyDescent="0.25">
      <c r="A123" s="123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23"/>
      <c r="O123" s="109"/>
      <c r="P123" s="109"/>
      <c r="Q123" s="109"/>
      <c r="T123" s="114"/>
      <c r="U123" s="114"/>
      <c r="V123" s="114"/>
      <c r="W123" s="114"/>
      <c r="X123" s="114"/>
      <c r="Y123" s="114"/>
      <c r="Z123" s="218"/>
      <c r="AA123" s="114"/>
      <c r="AE123" s="114"/>
    </row>
    <row r="124" spans="1:93" ht="15.6" x14ac:dyDescent="0.2">
      <c r="B124" s="1369"/>
      <c r="C124" s="125"/>
      <c r="D124" s="125"/>
      <c r="E124" s="125"/>
      <c r="F124" s="125"/>
      <c r="G124" s="125"/>
      <c r="H124" s="125"/>
      <c r="I124" s="126" t="s">
        <v>587</v>
      </c>
      <c r="J124" s="125"/>
      <c r="K124" s="125"/>
      <c r="L124" s="125"/>
      <c r="M124" s="125"/>
      <c r="N124" s="125"/>
      <c r="U124" s="127" t="s">
        <v>530</v>
      </c>
      <c r="V124" s="128"/>
      <c r="W124" s="129"/>
      <c r="X124" s="114"/>
      <c r="Y124" s="130" t="s">
        <v>531</v>
      </c>
      <c r="Z124" s="131"/>
      <c r="AA124" s="114"/>
    </row>
    <row r="125" spans="1:93" x14ac:dyDescent="0.2">
      <c r="A125" s="101" t="s">
        <v>30</v>
      </c>
      <c r="B125" s="101" t="s">
        <v>532</v>
      </c>
      <c r="C125" s="132"/>
      <c r="D125" s="133" t="s">
        <v>533</v>
      </c>
      <c r="E125" s="134"/>
      <c r="F125" s="134"/>
      <c r="G125" s="133"/>
      <c r="H125" s="133"/>
      <c r="I125" s="135"/>
      <c r="J125" s="136" t="s">
        <v>534</v>
      </c>
      <c r="K125" s="133"/>
      <c r="L125" s="134"/>
      <c r="M125" s="134"/>
      <c r="N125" s="134"/>
      <c r="O125" s="1372"/>
      <c r="Q125" s="118" t="s">
        <v>332</v>
      </c>
      <c r="U125" s="138"/>
      <c r="V125" s="139"/>
      <c r="W125" s="140"/>
      <c r="X125" s="114"/>
      <c r="Y125" s="138"/>
      <c r="Z125" s="141"/>
      <c r="AA125" s="114"/>
    </row>
    <row r="126" spans="1:93" x14ac:dyDescent="0.2">
      <c r="A126" s="101" t="s">
        <v>39</v>
      </c>
      <c r="B126" s="102" t="s">
        <v>535</v>
      </c>
      <c r="C126" s="104"/>
      <c r="D126" s="142" t="s">
        <v>536</v>
      </c>
      <c r="E126" s="143"/>
      <c r="F126" s="142" t="s">
        <v>537</v>
      </c>
      <c r="G126" s="142"/>
      <c r="H126" s="142" t="s">
        <v>538</v>
      </c>
      <c r="I126" s="144"/>
      <c r="J126" s="142" t="s">
        <v>536</v>
      </c>
      <c r="K126" s="143"/>
      <c r="L126" s="142" t="s">
        <v>537</v>
      </c>
      <c r="M126" s="142"/>
      <c r="N126" s="142" t="s">
        <v>538</v>
      </c>
      <c r="O126" s="132"/>
      <c r="Q126" s="145" t="s">
        <v>539</v>
      </c>
      <c r="R126" s="132"/>
      <c r="S126" s="132"/>
      <c r="U126" s="138" t="s">
        <v>128</v>
      </c>
      <c r="V126" s="146" t="s">
        <v>343</v>
      </c>
      <c r="W126" s="147" t="s">
        <v>344</v>
      </c>
      <c r="X126" s="118"/>
      <c r="Y126" s="148" t="s">
        <v>128</v>
      </c>
      <c r="Z126" s="149"/>
      <c r="AA126" s="118"/>
      <c r="AB126" s="118"/>
      <c r="AH126" s="116"/>
      <c r="AI126" s="116"/>
      <c r="AJ126" s="116"/>
      <c r="AK126" s="116"/>
      <c r="AL126" s="116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  <c r="AW126" s="116"/>
      <c r="AX126" s="116"/>
      <c r="AY126" s="116"/>
      <c r="AZ126" s="116"/>
      <c r="BA126" s="116"/>
      <c r="BB126" s="116"/>
      <c r="BC126" s="116"/>
      <c r="BD126" s="116"/>
      <c r="BE126" s="116"/>
      <c r="BF126" s="116"/>
      <c r="BG126" s="116"/>
      <c r="BH126" s="116"/>
      <c r="BI126" s="116"/>
      <c r="BJ126" s="116"/>
      <c r="BK126" s="116"/>
      <c r="BL126" s="116"/>
      <c r="BM126" s="116"/>
      <c r="BN126" s="116"/>
      <c r="BO126" s="116"/>
      <c r="BP126" s="116"/>
      <c r="BQ126" s="116"/>
      <c r="BR126" s="116"/>
      <c r="BS126" s="116"/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</row>
    <row r="127" spans="1:93" ht="10.8" thickBot="1" x14ac:dyDescent="0.25">
      <c r="A127" s="109"/>
      <c r="B127" s="1370" t="s">
        <v>137</v>
      </c>
      <c r="C127" s="150"/>
      <c r="D127" s="220" t="str">
        <f>+$D$13</f>
        <v>Jan '26-Dec '26</v>
      </c>
      <c r="E127" s="221"/>
      <c r="F127" s="152">
        <f>+$L$13</f>
        <v>46023</v>
      </c>
      <c r="G127" s="153"/>
      <c r="H127" s="153"/>
      <c r="I127" s="153"/>
      <c r="J127" s="153"/>
      <c r="K127" s="151"/>
      <c r="L127" s="152">
        <f>+$L$13</f>
        <v>46023</v>
      </c>
      <c r="M127" s="154"/>
      <c r="N127" s="154"/>
      <c r="O127" s="155"/>
      <c r="P127" s="109"/>
      <c r="Q127" s="156"/>
      <c r="R127" s="132"/>
      <c r="S127" s="132"/>
      <c r="U127" s="157" t="s">
        <v>144</v>
      </c>
      <c r="V127" s="158" t="s">
        <v>540</v>
      </c>
      <c r="W127" s="159" t="s">
        <v>540</v>
      </c>
      <c r="X127" s="118"/>
      <c r="Y127" s="160" t="s">
        <v>144</v>
      </c>
      <c r="Z127" s="159" t="s">
        <v>541</v>
      </c>
      <c r="AA127" s="118"/>
      <c r="AB127" s="118"/>
      <c r="AH127" s="116"/>
      <c r="AI127" s="116"/>
      <c r="AJ127" s="116"/>
      <c r="AK127" s="116"/>
      <c r="AL127" s="116"/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/>
      <c r="AW127" s="116"/>
      <c r="AX127" s="116"/>
      <c r="AY127" s="116"/>
      <c r="AZ127" s="116"/>
      <c r="BA127" s="116"/>
      <c r="BB127" s="116"/>
      <c r="BC127" s="116"/>
      <c r="BD127" s="116"/>
      <c r="BE127" s="116"/>
      <c r="BF127" s="116"/>
      <c r="BG127" s="116"/>
      <c r="BH127" s="116"/>
      <c r="BI127" s="116"/>
      <c r="BJ127" s="116"/>
      <c r="BK127" s="116"/>
      <c r="BL127" s="116"/>
      <c r="BM127" s="116"/>
      <c r="BN127" s="116"/>
      <c r="BO127" s="116"/>
      <c r="BP127" s="116"/>
      <c r="BQ127" s="116"/>
      <c r="BR127" s="116"/>
      <c r="BS127" s="116"/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</row>
    <row r="128" spans="1:93" x14ac:dyDescent="0.2">
      <c r="A128" s="118">
        <v>1</v>
      </c>
      <c r="B128" s="102"/>
      <c r="C128" s="104"/>
      <c r="E128" s="143"/>
      <c r="F128" s="142"/>
      <c r="G128" s="142"/>
      <c r="H128" s="142"/>
      <c r="I128" s="162"/>
      <c r="J128" s="142"/>
      <c r="K128" s="143"/>
      <c r="L128" s="142"/>
      <c r="M128" s="142"/>
      <c r="N128" s="142"/>
      <c r="O128" s="132"/>
      <c r="Q128" s="145"/>
      <c r="R128" s="132"/>
      <c r="S128" s="132"/>
      <c r="T128" s="118"/>
      <c r="U128" s="163"/>
      <c r="V128" s="139"/>
      <c r="W128" s="140"/>
      <c r="X128" s="118"/>
      <c r="Y128" s="163"/>
      <c r="Z128" s="141"/>
      <c r="AA128" s="118"/>
      <c r="AB128" s="118"/>
      <c r="AH128" s="116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116"/>
      <c r="AY128" s="116"/>
      <c r="AZ128" s="116"/>
      <c r="BA128" s="116"/>
      <c r="BB128" s="116"/>
      <c r="BC128" s="116"/>
      <c r="BD128" s="116"/>
      <c r="BE128" s="116"/>
      <c r="BF128" s="116"/>
      <c r="BG128" s="116"/>
      <c r="BH128" s="116"/>
      <c r="BI128" s="116"/>
      <c r="BJ128" s="116"/>
      <c r="BK128" s="116"/>
      <c r="BL128" s="116"/>
      <c r="BM128" s="116"/>
      <c r="BN128" s="116"/>
      <c r="BO128" s="116"/>
      <c r="BP128" s="116"/>
      <c r="BQ128" s="116"/>
      <c r="BR128" s="116"/>
      <c r="BS128" s="116"/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</row>
    <row r="129" spans="1:94" x14ac:dyDescent="0.2">
      <c r="A129" s="118">
        <f t="shared" ref="A129:A147" si="16">+A128+1</f>
        <v>2</v>
      </c>
      <c r="B129" s="222" t="s">
        <v>542</v>
      </c>
      <c r="C129" s="223"/>
      <c r="D129" s="226"/>
      <c r="E129" s="225"/>
      <c r="F129" s="226"/>
      <c r="G129" s="227"/>
      <c r="H129" s="228"/>
      <c r="I129" s="229"/>
      <c r="J129" s="226"/>
      <c r="K129" s="225"/>
      <c r="L129" s="226"/>
      <c r="M129" s="227"/>
      <c r="N129" s="228"/>
      <c r="O129" s="227"/>
      <c r="P129" s="230"/>
      <c r="Q129" s="227"/>
      <c r="R129" s="227"/>
      <c r="S129" s="227"/>
      <c r="T129" s="227"/>
      <c r="U129" s="163"/>
      <c r="V129" s="139"/>
      <c r="W129" s="140"/>
      <c r="X129" s="227"/>
      <c r="Y129" s="163"/>
      <c r="Z129" s="141"/>
      <c r="AA129" s="227"/>
      <c r="AB129" s="118"/>
      <c r="AH129" s="116"/>
      <c r="AI129" s="116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  <c r="BA129" s="116"/>
      <c r="BB129" s="116"/>
      <c r="BC129" s="116"/>
      <c r="BD129" s="116"/>
      <c r="BE129" s="116"/>
      <c r="BF129" s="116"/>
      <c r="BG129" s="116"/>
      <c r="BH129" s="116"/>
      <c r="BI129" s="116"/>
      <c r="BJ129" s="116"/>
      <c r="BK129" s="116"/>
      <c r="BL129" s="116"/>
      <c r="BM129" s="116"/>
      <c r="BN129" s="116"/>
      <c r="BO129" s="116"/>
      <c r="BP129" s="116"/>
      <c r="BQ129" s="116"/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</row>
    <row r="130" spans="1:94" x14ac:dyDescent="0.2">
      <c r="A130" s="118">
        <f t="shared" si="16"/>
        <v>3</v>
      </c>
      <c r="B130" s="228" t="s">
        <v>543</v>
      </c>
      <c r="C130" s="223"/>
      <c r="D130" s="168"/>
      <c r="E130" s="225"/>
      <c r="F130" s="231"/>
      <c r="G130" s="223"/>
      <c r="H130" s="170"/>
      <c r="I130" s="229"/>
      <c r="J130" s="168"/>
      <c r="K130" s="225"/>
      <c r="L130" s="310"/>
      <c r="M130" s="223"/>
      <c r="N130" s="174"/>
      <c r="O130" s="227"/>
      <c r="P130" s="230"/>
      <c r="Q130" s="227"/>
      <c r="R130" s="227"/>
      <c r="S130" s="227"/>
      <c r="T130" s="227"/>
      <c r="U130" s="163"/>
      <c r="V130" s="139"/>
      <c r="W130" s="140"/>
      <c r="X130" s="227"/>
      <c r="Y130" s="163"/>
      <c r="Z130" s="141"/>
      <c r="AA130" s="227"/>
      <c r="AB130" s="227"/>
      <c r="AC130" s="227"/>
    </row>
    <row r="131" spans="1:94" x14ac:dyDescent="0.2">
      <c r="A131" s="118">
        <f t="shared" si="16"/>
        <v>4</v>
      </c>
      <c r="B131" s="232" t="s">
        <v>578</v>
      </c>
      <c r="C131" s="223"/>
      <c r="D131" s="172">
        <f>SUMIF($AH$6:$CP$6,1,$AH131:$CP131)</f>
        <v>10224.542495481846</v>
      </c>
      <c r="E131" s="225" t="s">
        <v>545</v>
      </c>
      <c r="F131" s="183">
        <v>12.18</v>
      </c>
      <c r="G131" s="233" t="s">
        <v>375</v>
      </c>
      <c r="H131" s="174">
        <f>ROUND(D131*F131,2)</f>
        <v>124534.93</v>
      </c>
      <c r="I131" s="229"/>
      <c r="J131" s="168">
        <f>D131</f>
        <v>10224.542495481846</v>
      </c>
      <c r="K131" s="225" t="s">
        <v>545</v>
      </c>
      <c r="L131" s="173">
        <f>'Exhibit MJC-3 - E-13c cal yr'!L141</f>
        <v>12.67</v>
      </c>
      <c r="M131" s="233" t="s">
        <v>375</v>
      </c>
      <c r="N131" s="174">
        <f>ROUND(J131*L131,2)</f>
        <v>129544.95</v>
      </c>
      <c r="O131" s="227"/>
      <c r="P131" s="230"/>
      <c r="Q131" s="939"/>
      <c r="R131" s="227"/>
      <c r="S131" s="227"/>
      <c r="T131" s="227"/>
      <c r="U131" s="178" t="s">
        <v>137</v>
      </c>
      <c r="V131" s="179">
        <v>243</v>
      </c>
      <c r="W131" s="180">
        <v>217</v>
      </c>
      <c r="X131" s="227"/>
      <c r="Y131" s="178"/>
      <c r="Z131" s="181"/>
      <c r="AA131" s="227"/>
      <c r="AB131" s="182">
        <f>SUM(AH131:AS131)</f>
        <v>9923.3030592698997</v>
      </c>
      <c r="AC131" s="182">
        <f>SUM(AT131:BE131)</f>
        <v>10024.019205489247</v>
      </c>
      <c r="AD131" s="182">
        <f>SUM(BF131:BQ131)</f>
        <v>10123.90239371451</v>
      </c>
      <c r="AE131" s="182">
        <f>SUM(BR131:CC131)</f>
        <v>10224.542495481846</v>
      </c>
      <c r="AF131" s="182">
        <f>SUM(CD131:CO131)</f>
        <v>10324.644696744759</v>
      </c>
      <c r="AH131" s="168">
        <v>826.36175612814429</v>
      </c>
      <c r="AI131" s="168">
        <v>821.33865784450791</v>
      </c>
      <c r="AJ131" s="168">
        <v>818.92745941844214</v>
      </c>
      <c r="AK131" s="168">
        <v>821.97301497768694</v>
      </c>
      <c r="AL131" s="168">
        <v>819.93777927459303</v>
      </c>
      <c r="AM131" s="168">
        <v>830.41318016090645</v>
      </c>
      <c r="AN131" s="168">
        <v>830.24910324207224</v>
      </c>
      <c r="AO131" s="168">
        <v>831.79939194163501</v>
      </c>
      <c r="AP131" s="168">
        <v>828.89578322778334</v>
      </c>
      <c r="AQ131" s="168">
        <v>832.07347832418293</v>
      </c>
      <c r="AR131" s="168">
        <v>833.81710649475428</v>
      </c>
      <c r="AS131" s="168">
        <v>827.5163482351918</v>
      </c>
      <c r="AT131" s="168">
        <v>835.645639074972</v>
      </c>
      <c r="AU131" s="168">
        <v>829.83893659152011</v>
      </c>
      <c r="AV131" s="168">
        <v>826.99480839316629</v>
      </c>
      <c r="AW131" s="168">
        <v>830.12530097165654</v>
      </c>
      <c r="AX131" s="168">
        <v>828.12006231741339</v>
      </c>
      <c r="AY131" s="168">
        <v>838.75484085115068</v>
      </c>
      <c r="AZ131" s="168">
        <v>838.62373039962688</v>
      </c>
      <c r="BA131" s="168">
        <v>840.2043336148771</v>
      </c>
      <c r="BB131" s="168">
        <v>837.25175601656815</v>
      </c>
      <c r="BC131" s="168">
        <v>840.44626731773246</v>
      </c>
      <c r="BD131" s="168">
        <v>842.20387654759986</v>
      </c>
      <c r="BE131" s="168">
        <v>835.80965339296461</v>
      </c>
      <c r="BF131" s="168">
        <v>844.01394177502777</v>
      </c>
      <c r="BG131" s="168">
        <v>838.12808491421367</v>
      </c>
      <c r="BH131" s="168">
        <v>835.23998572238577</v>
      </c>
      <c r="BI131" s="168">
        <v>838.40528297572644</v>
      </c>
      <c r="BJ131" s="168">
        <v>836.37901507975482</v>
      </c>
      <c r="BK131" s="168">
        <v>847.12282622809914</v>
      </c>
      <c r="BL131" s="168">
        <v>846.97268619246665</v>
      </c>
      <c r="BM131" s="168">
        <v>848.56469975239168</v>
      </c>
      <c r="BN131" s="168">
        <v>845.57670309958962</v>
      </c>
      <c r="BO131" s="168">
        <v>848.80134757352209</v>
      </c>
      <c r="BP131" s="168">
        <v>850.58595395195346</v>
      </c>
      <c r="BQ131" s="168">
        <v>844.11186644937868</v>
      </c>
      <c r="BR131" s="168">
        <v>852.40408623644555</v>
      </c>
      <c r="BS131" s="168">
        <v>846.45259941309826</v>
      </c>
      <c r="BT131" s="168">
        <v>843.5336446154588</v>
      </c>
      <c r="BU131" s="168">
        <v>846.74728178691419</v>
      </c>
      <c r="BV131" s="168">
        <v>844.71324362850248</v>
      </c>
      <c r="BW131" s="168">
        <v>855.58076742260096</v>
      </c>
      <c r="BX131" s="168">
        <v>855.42448918812784</v>
      </c>
      <c r="BY131" s="168">
        <v>857.0258639518438</v>
      </c>
      <c r="BZ131" s="168">
        <v>853.98383138385714</v>
      </c>
      <c r="CA131" s="168">
        <v>857.22073824485051</v>
      </c>
      <c r="CB131" s="168">
        <v>859.01403204162546</v>
      </c>
      <c r="CC131" s="168">
        <v>852.44191756852194</v>
      </c>
      <c r="CD131" s="168">
        <v>860.8037651198124</v>
      </c>
      <c r="CE131" s="168">
        <v>854.76901007989136</v>
      </c>
      <c r="CF131" s="168">
        <v>851.80145595178396</v>
      </c>
      <c r="CG131" s="168">
        <v>855.04537958728599</v>
      </c>
      <c r="CH131" s="168">
        <v>852.98584767594582</v>
      </c>
      <c r="CI131" s="168">
        <v>863.95823398621053</v>
      </c>
      <c r="CJ131" s="168">
        <v>863.77758220348994</v>
      </c>
      <c r="CK131" s="168">
        <v>865.39168465419414</v>
      </c>
      <c r="CL131" s="168">
        <v>862.32075656160794</v>
      </c>
      <c r="CM131" s="168">
        <v>865.59447120208108</v>
      </c>
      <c r="CN131" s="168">
        <v>867.42084070582791</v>
      </c>
      <c r="CO131" s="168">
        <v>860.77566901662601</v>
      </c>
    </row>
    <row r="132" spans="1:94" x14ac:dyDescent="0.2">
      <c r="A132" s="118">
        <f t="shared" si="16"/>
        <v>5</v>
      </c>
      <c r="B132" s="234" t="s">
        <v>149</v>
      </c>
      <c r="C132" s="223"/>
      <c r="D132" s="172">
        <f>SUMIF($AH$6:$CP$6,1,$AH132:$CP132)</f>
        <v>168887.72794582756</v>
      </c>
      <c r="E132" s="225" t="s">
        <v>545</v>
      </c>
      <c r="F132" s="183">
        <v>21.57</v>
      </c>
      <c r="G132" s="233" t="s">
        <v>375</v>
      </c>
      <c r="H132" s="187">
        <f>ROUND(D132*F132,2)</f>
        <v>3642908.29</v>
      </c>
      <c r="I132" s="229"/>
      <c r="J132" s="257">
        <f>D132</f>
        <v>168887.72794582756</v>
      </c>
      <c r="K132" s="225" t="s">
        <v>545</v>
      </c>
      <c r="L132" s="173">
        <f>'Exhibit MJC-3 - E-13c cal yr'!L142</f>
        <v>22.51</v>
      </c>
      <c r="M132" s="233"/>
      <c r="N132" s="187">
        <f>ROUND(J132*L132,2)</f>
        <v>3801662.76</v>
      </c>
      <c r="O132" s="227"/>
      <c r="P132" s="230"/>
      <c r="Q132" s="939"/>
      <c r="R132" s="227"/>
      <c r="S132" s="227"/>
      <c r="T132" s="227"/>
      <c r="U132" s="178" t="s">
        <v>137</v>
      </c>
      <c r="V132" s="179">
        <v>243</v>
      </c>
      <c r="W132" s="180">
        <v>217</v>
      </c>
      <c r="X132" s="227"/>
      <c r="Y132" s="178"/>
      <c r="Z132" s="181"/>
      <c r="AA132" s="227"/>
      <c r="AB132" s="182">
        <f>SUM(AH132:AS132)</f>
        <v>163911.89220823839</v>
      </c>
      <c r="AC132" s="182">
        <f>SUM(AT132:BE132)</f>
        <v>165575.50905074866</v>
      </c>
      <c r="AD132" s="182">
        <f>SUM(BF132:BQ132)</f>
        <v>167225.3671961673</v>
      </c>
      <c r="AE132" s="182">
        <f>SUM(BR132:CC132)</f>
        <v>168887.72794582756</v>
      </c>
      <c r="AF132" s="182">
        <f>SUM(CD132:CO132)</f>
        <v>170541.20372150553</v>
      </c>
      <c r="AH132" s="168">
        <v>13649.741249105078</v>
      </c>
      <c r="AI132" s="168">
        <v>13566.770333120641</v>
      </c>
      <c r="AJ132" s="168">
        <v>13526.942455835691</v>
      </c>
      <c r="AK132" s="168">
        <v>13577.248565762951</v>
      </c>
      <c r="AL132" s="168">
        <v>13543.630794221421</v>
      </c>
      <c r="AM132" s="168">
        <v>13716.662170030457</v>
      </c>
      <c r="AN132" s="168">
        <v>13713.951967784978</v>
      </c>
      <c r="AO132" s="168">
        <v>13739.559444720493</v>
      </c>
      <c r="AP132" s="168">
        <v>13691.597995223579</v>
      </c>
      <c r="AQ132" s="168">
        <v>13744.086769677073</v>
      </c>
      <c r="AR132" s="168">
        <v>13772.887804074482</v>
      </c>
      <c r="AS132" s="168">
        <v>13668.812658681556</v>
      </c>
      <c r="AT132" s="168">
        <v>13803.091279005937</v>
      </c>
      <c r="AU132" s="168">
        <v>13707.176885797544</v>
      </c>
      <c r="AV132" s="168">
        <v>13660.19792809661</v>
      </c>
      <c r="AW132" s="168">
        <v>13711.907017199239</v>
      </c>
      <c r="AX132" s="168">
        <v>13678.784733199351</v>
      </c>
      <c r="AY132" s="168">
        <v>13854.448689270112</v>
      </c>
      <c r="AZ132" s="168">
        <v>13852.283023053009</v>
      </c>
      <c r="BA132" s="168">
        <v>13878.391231408095</v>
      </c>
      <c r="BB132" s="168">
        <v>13829.620919936213</v>
      </c>
      <c r="BC132" s="168">
        <v>13882.387462379487</v>
      </c>
      <c r="BD132" s="168">
        <v>13911.419434184592</v>
      </c>
      <c r="BE132" s="168">
        <v>13805.800447218462</v>
      </c>
      <c r="BF132" s="168">
        <v>13941.317867667472</v>
      </c>
      <c r="BG132" s="168">
        <v>13844.096012246899</v>
      </c>
      <c r="BH132" s="168">
        <v>13796.390747115911</v>
      </c>
      <c r="BI132" s="168">
        <v>13848.674735531638</v>
      </c>
      <c r="BJ132" s="168">
        <v>13815.205093118648</v>
      </c>
      <c r="BK132" s="168">
        <v>13992.67003642782</v>
      </c>
      <c r="BL132" s="168">
        <v>13990.190041894775</v>
      </c>
      <c r="BM132" s="168">
        <v>14016.486724911498</v>
      </c>
      <c r="BN132" s="168">
        <v>13967.131365879592</v>
      </c>
      <c r="BO132" s="168">
        <v>14020.395644342532</v>
      </c>
      <c r="BP132" s="168">
        <v>14049.873551707493</v>
      </c>
      <c r="BQ132" s="168">
        <v>13942.935375323024</v>
      </c>
      <c r="BR132" s="168">
        <v>14079.905235840892</v>
      </c>
      <c r="BS132" s="168">
        <v>13981.599312819024</v>
      </c>
      <c r="BT132" s="168">
        <v>13933.384378608742</v>
      </c>
      <c r="BU132" s="168">
        <v>13986.466839811204</v>
      </c>
      <c r="BV132" s="168">
        <v>13952.868849164575</v>
      </c>
      <c r="BW132" s="168">
        <v>14132.377262650416</v>
      </c>
      <c r="BX132" s="168">
        <v>14129.795878108349</v>
      </c>
      <c r="BY132" s="168">
        <v>14156.247188331108</v>
      </c>
      <c r="BZ132" s="168">
        <v>14105.999270737582</v>
      </c>
      <c r="CA132" s="168">
        <v>14159.466097792876</v>
      </c>
      <c r="CB132" s="168">
        <v>14189.087502859215</v>
      </c>
      <c r="CC132" s="168">
        <v>14080.530129103585</v>
      </c>
      <c r="CD132" s="168">
        <v>14218.650092416456</v>
      </c>
      <c r="CE132" s="168">
        <v>14118.96875529528</v>
      </c>
      <c r="CF132" s="168">
        <v>14069.951063357104</v>
      </c>
      <c r="CG132" s="168">
        <v>14123.533792625607</v>
      </c>
      <c r="CH132" s="168">
        <v>14089.514699322228</v>
      </c>
      <c r="CI132" s="168">
        <v>14270.755218876368</v>
      </c>
      <c r="CJ132" s="168">
        <v>14267.771235079877</v>
      </c>
      <c r="CK132" s="168">
        <v>14294.43277966162</v>
      </c>
      <c r="CL132" s="168">
        <v>14243.707569367753</v>
      </c>
      <c r="CM132" s="168">
        <v>14297.782382770585</v>
      </c>
      <c r="CN132" s="168">
        <v>14327.950128272514</v>
      </c>
      <c r="CO132" s="168">
        <v>14218.186004460111</v>
      </c>
    </row>
    <row r="133" spans="1:94" x14ac:dyDescent="0.2">
      <c r="A133" s="118">
        <f t="shared" si="16"/>
        <v>6</v>
      </c>
      <c r="B133" s="234"/>
      <c r="C133" s="223" t="s">
        <v>374</v>
      </c>
      <c r="D133" s="204">
        <f>D131+D132</f>
        <v>179112.2704413094</v>
      </c>
      <c r="E133" s="233" t="s">
        <v>581</v>
      </c>
      <c r="F133" s="183"/>
      <c r="G133" s="233"/>
      <c r="H133" s="206">
        <f>H131+H132</f>
        <v>3767443.22</v>
      </c>
      <c r="I133" s="229"/>
      <c r="J133" s="168">
        <f>J131+J132</f>
        <v>179112.2704413094</v>
      </c>
      <c r="K133" s="225"/>
      <c r="L133" s="183"/>
      <c r="M133" s="233"/>
      <c r="N133" s="206">
        <f>N131+N132</f>
        <v>3931207.71</v>
      </c>
      <c r="O133" s="227"/>
      <c r="P133" s="230"/>
      <c r="Q133" s="939"/>
      <c r="R133" s="227"/>
      <c r="S133" s="227"/>
      <c r="T133" s="227"/>
      <c r="U133" s="178"/>
      <c r="V133" s="179"/>
      <c r="W133" s="180"/>
      <c r="X133" s="227"/>
      <c r="Y133" s="178" t="s">
        <v>137</v>
      </c>
      <c r="Z133" s="181" t="s">
        <v>451</v>
      </c>
      <c r="AA133" s="227"/>
      <c r="AB133" s="204">
        <f>AB131+AB132</f>
        <v>173835.1952675083</v>
      </c>
      <c r="AC133" s="204">
        <f>AC131+AC132</f>
        <v>175599.52825623791</v>
      </c>
      <c r="AD133" s="204">
        <f>AD131+AD132</f>
        <v>177349.26958988182</v>
      </c>
      <c r="AE133" s="204">
        <f>AE131+AE132</f>
        <v>179112.2704413094</v>
      </c>
      <c r="AF133" s="204">
        <f>AF131+AF132</f>
        <v>180865.8484182503</v>
      </c>
      <c r="AH133" s="204">
        <f t="shared" ref="AH133:CO133" si="17">AH131+AH132</f>
        <v>14476.103005233223</v>
      </c>
      <c r="AI133" s="204">
        <f t="shared" si="17"/>
        <v>14388.108990965149</v>
      </c>
      <c r="AJ133" s="204">
        <f t="shared" si="17"/>
        <v>14345.869915254134</v>
      </c>
      <c r="AK133" s="204">
        <f t="shared" si="17"/>
        <v>14399.221580740639</v>
      </c>
      <c r="AL133" s="204">
        <f t="shared" si="17"/>
        <v>14363.568573496013</v>
      </c>
      <c r="AM133" s="204">
        <f t="shared" si="17"/>
        <v>14547.075350191364</v>
      </c>
      <c r="AN133" s="204">
        <f t="shared" si="17"/>
        <v>14544.201071027052</v>
      </c>
      <c r="AO133" s="204">
        <f t="shared" si="17"/>
        <v>14571.358836662128</v>
      </c>
      <c r="AP133" s="204">
        <f t="shared" si="17"/>
        <v>14520.493778451362</v>
      </c>
      <c r="AQ133" s="204">
        <f t="shared" si="17"/>
        <v>14576.160248001255</v>
      </c>
      <c r="AR133" s="204">
        <f t="shared" si="17"/>
        <v>14606.704910569237</v>
      </c>
      <c r="AS133" s="204">
        <f t="shared" si="17"/>
        <v>14496.329006916749</v>
      </c>
      <c r="AT133" s="204">
        <f t="shared" si="17"/>
        <v>14638.736918080909</v>
      </c>
      <c r="AU133" s="204">
        <f t="shared" si="17"/>
        <v>14537.015822389065</v>
      </c>
      <c r="AV133" s="204">
        <f t="shared" si="17"/>
        <v>14487.192736489777</v>
      </c>
      <c r="AW133" s="204">
        <f t="shared" si="17"/>
        <v>14542.032318170895</v>
      </c>
      <c r="AX133" s="204">
        <f t="shared" si="17"/>
        <v>14506.904795516764</v>
      </c>
      <c r="AY133" s="204">
        <f t="shared" si="17"/>
        <v>14693.203530121262</v>
      </c>
      <c r="AZ133" s="204">
        <f t="shared" si="17"/>
        <v>14690.906753452637</v>
      </c>
      <c r="BA133" s="204">
        <f t="shared" si="17"/>
        <v>14718.595565022972</v>
      </c>
      <c r="BB133" s="204">
        <f t="shared" si="17"/>
        <v>14666.872675952782</v>
      </c>
      <c r="BC133" s="204">
        <f t="shared" si="17"/>
        <v>14722.83372969722</v>
      </c>
      <c r="BD133" s="204">
        <f t="shared" si="17"/>
        <v>14753.623310732191</v>
      </c>
      <c r="BE133" s="204">
        <f t="shared" si="17"/>
        <v>14641.610100611426</v>
      </c>
      <c r="BF133" s="204">
        <f t="shared" si="17"/>
        <v>14785.331809442499</v>
      </c>
      <c r="BG133" s="204">
        <f t="shared" si="17"/>
        <v>14682.224097161112</v>
      </c>
      <c r="BH133" s="204">
        <f t="shared" si="17"/>
        <v>14631.630732838297</v>
      </c>
      <c r="BI133" s="204">
        <f t="shared" si="17"/>
        <v>14687.080018507364</v>
      </c>
      <c r="BJ133" s="204">
        <f t="shared" si="17"/>
        <v>14651.584108198402</v>
      </c>
      <c r="BK133" s="204">
        <f t="shared" si="17"/>
        <v>14839.792862655919</v>
      </c>
      <c r="BL133" s="204">
        <f t="shared" si="17"/>
        <v>14837.162728087242</v>
      </c>
      <c r="BM133" s="204">
        <f t="shared" si="17"/>
        <v>14865.051424663889</v>
      </c>
      <c r="BN133" s="204">
        <f t="shared" si="17"/>
        <v>14812.708068979182</v>
      </c>
      <c r="BO133" s="204">
        <f t="shared" si="17"/>
        <v>14869.196991916055</v>
      </c>
      <c r="BP133" s="204">
        <f t="shared" si="17"/>
        <v>14900.459505659446</v>
      </c>
      <c r="BQ133" s="204">
        <f t="shared" si="17"/>
        <v>14787.047241772403</v>
      </c>
      <c r="BR133" s="204">
        <f t="shared" si="17"/>
        <v>14932.309322077337</v>
      </c>
      <c r="BS133" s="204">
        <f t="shared" si="17"/>
        <v>14828.051912232122</v>
      </c>
      <c r="BT133" s="204">
        <f t="shared" si="17"/>
        <v>14776.9180232242</v>
      </c>
      <c r="BU133" s="204">
        <f t="shared" si="17"/>
        <v>14833.214121598119</v>
      </c>
      <c r="BV133" s="204">
        <f t="shared" si="17"/>
        <v>14797.582092793078</v>
      </c>
      <c r="BW133" s="204">
        <f t="shared" si="17"/>
        <v>14987.958030073018</v>
      </c>
      <c r="BX133" s="204">
        <f t="shared" si="17"/>
        <v>14985.220367296477</v>
      </c>
      <c r="BY133" s="204">
        <f t="shared" si="17"/>
        <v>15013.273052282952</v>
      </c>
      <c r="BZ133" s="204">
        <f t="shared" si="17"/>
        <v>14959.98310212144</v>
      </c>
      <c r="CA133" s="204">
        <f t="shared" si="17"/>
        <v>15016.686836037727</v>
      </c>
      <c r="CB133" s="204">
        <f t="shared" si="17"/>
        <v>15048.101534900839</v>
      </c>
      <c r="CC133" s="204">
        <f t="shared" si="17"/>
        <v>14932.972046672106</v>
      </c>
      <c r="CD133" s="204">
        <f t="shared" si="17"/>
        <v>15079.453857536268</v>
      </c>
      <c r="CE133" s="204">
        <f t="shared" si="17"/>
        <v>14973.737765375172</v>
      </c>
      <c r="CF133" s="204">
        <f t="shared" si="17"/>
        <v>14921.752519308888</v>
      </c>
      <c r="CG133" s="204">
        <f t="shared" si="17"/>
        <v>14978.579172212892</v>
      </c>
      <c r="CH133" s="204">
        <f t="shared" si="17"/>
        <v>14942.500546998173</v>
      </c>
      <c r="CI133" s="204">
        <f t="shared" si="17"/>
        <v>15134.713452862577</v>
      </c>
      <c r="CJ133" s="204">
        <f t="shared" si="17"/>
        <v>15131.548817283367</v>
      </c>
      <c r="CK133" s="204">
        <f t="shared" si="17"/>
        <v>15159.824464315814</v>
      </c>
      <c r="CL133" s="204">
        <f t="shared" si="17"/>
        <v>15106.028325929361</v>
      </c>
      <c r="CM133" s="204">
        <f t="shared" si="17"/>
        <v>15163.376853972666</v>
      </c>
      <c r="CN133" s="204">
        <f t="shared" si="17"/>
        <v>15195.370968978343</v>
      </c>
      <c r="CO133" s="204">
        <f t="shared" si="17"/>
        <v>15078.961673476737</v>
      </c>
    </row>
    <row r="134" spans="1:94" x14ac:dyDescent="0.2">
      <c r="A134" s="118">
        <f t="shared" si="16"/>
        <v>7</v>
      </c>
      <c r="B134" s="243"/>
      <c r="C134" s="223"/>
      <c r="D134" s="168"/>
      <c r="E134" s="225"/>
      <c r="F134" s="183"/>
      <c r="G134" s="233"/>
      <c r="H134" s="174"/>
      <c r="I134" s="229"/>
      <c r="J134" s="168"/>
      <c r="K134" s="225"/>
      <c r="L134" s="183"/>
      <c r="M134" s="233"/>
      <c r="N134" s="174"/>
      <c r="O134" s="227"/>
      <c r="P134" s="230"/>
      <c r="Q134" s="227"/>
      <c r="R134" s="227"/>
      <c r="S134" s="227"/>
      <c r="T134" s="227"/>
      <c r="U134" s="178"/>
      <c r="V134" s="179"/>
      <c r="W134" s="180"/>
      <c r="X134" s="227"/>
      <c r="Y134" s="178"/>
      <c r="Z134" s="181"/>
      <c r="AA134" s="227"/>
      <c r="AB134" s="193">
        <f>SUM(AH134:AS134)</f>
        <v>0</v>
      </c>
      <c r="AC134" s="193">
        <f>SUM(AT134:BE134)</f>
        <v>0</v>
      </c>
      <c r="AD134" s="193">
        <f>SUM(BF134:BQ134)</f>
        <v>0</v>
      </c>
      <c r="AE134" s="193">
        <f>SUM(BR134:CC134)</f>
        <v>0</v>
      </c>
      <c r="AF134" s="193">
        <f>SUM(CD134:CO134)</f>
        <v>0</v>
      </c>
      <c r="AH134" s="258">
        <v>0</v>
      </c>
      <c r="AI134" s="258">
        <v>0</v>
      </c>
      <c r="AJ134" s="258">
        <v>0</v>
      </c>
      <c r="AK134" s="258">
        <v>0</v>
      </c>
      <c r="AL134" s="258">
        <v>0</v>
      </c>
      <c r="AM134" s="258">
        <v>0</v>
      </c>
      <c r="AN134" s="258">
        <v>0</v>
      </c>
      <c r="AO134" s="258">
        <v>0</v>
      </c>
      <c r="AP134" s="258">
        <v>0</v>
      </c>
      <c r="AQ134" s="258">
        <v>0</v>
      </c>
      <c r="AR134" s="258">
        <v>0</v>
      </c>
      <c r="AS134" s="258">
        <v>0</v>
      </c>
      <c r="AT134" s="258">
        <v>0</v>
      </c>
      <c r="AU134" s="258">
        <v>0</v>
      </c>
      <c r="AV134" s="258">
        <v>0</v>
      </c>
      <c r="AW134" s="258">
        <v>0</v>
      </c>
      <c r="AX134" s="258">
        <v>0</v>
      </c>
      <c r="AY134" s="258">
        <v>0</v>
      </c>
      <c r="AZ134" s="258">
        <v>0</v>
      </c>
      <c r="BA134" s="258">
        <v>0</v>
      </c>
      <c r="BB134" s="258">
        <v>0</v>
      </c>
      <c r="BC134" s="258">
        <v>0</v>
      </c>
      <c r="BD134" s="258">
        <v>0</v>
      </c>
      <c r="BE134" s="258">
        <v>0</v>
      </c>
      <c r="BF134" s="258">
        <v>0</v>
      </c>
      <c r="BG134" s="258">
        <v>0</v>
      </c>
      <c r="BH134" s="258">
        <v>0</v>
      </c>
      <c r="BI134" s="258">
        <v>0</v>
      </c>
      <c r="BJ134" s="258">
        <v>0</v>
      </c>
      <c r="BK134" s="258">
        <v>0</v>
      </c>
      <c r="BL134" s="258">
        <v>0</v>
      </c>
      <c r="BM134" s="258">
        <v>0</v>
      </c>
      <c r="BN134" s="258">
        <v>0</v>
      </c>
      <c r="BO134" s="258">
        <v>0</v>
      </c>
      <c r="BP134" s="258">
        <v>0</v>
      </c>
      <c r="BQ134" s="258">
        <v>0</v>
      </c>
      <c r="BR134" s="258">
        <v>0</v>
      </c>
      <c r="BS134" s="258">
        <v>0</v>
      </c>
      <c r="BT134" s="258">
        <v>0</v>
      </c>
      <c r="BU134" s="258">
        <v>0</v>
      </c>
      <c r="BV134" s="258">
        <v>0</v>
      </c>
      <c r="BW134" s="258">
        <v>0</v>
      </c>
      <c r="BX134" s="258">
        <v>0</v>
      </c>
      <c r="BY134" s="258">
        <v>0</v>
      </c>
      <c r="BZ134" s="258">
        <v>0</v>
      </c>
      <c r="CA134" s="258">
        <v>0</v>
      </c>
      <c r="CB134" s="258">
        <v>0</v>
      </c>
      <c r="CC134" s="258">
        <v>0</v>
      </c>
      <c r="CD134" s="258">
        <v>0</v>
      </c>
      <c r="CE134" s="258">
        <v>0</v>
      </c>
      <c r="CF134" s="258">
        <v>0</v>
      </c>
      <c r="CG134" s="258">
        <v>0</v>
      </c>
      <c r="CH134" s="258">
        <v>0</v>
      </c>
      <c r="CI134" s="258">
        <v>0</v>
      </c>
      <c r="CJ134" s="258">
        <v>0</v>
      </c>
      <c r="CK134" s="258">
        <v>0</v>
      </c>
      <c r="CL134" s="258">
        <v>0</v>
      </c>
      <c r="CM134" s="258">
        <v>0</v>
      </c>
      <c r="CN134" s="258">
        <v>0</v>
      </c>
      <c r="CO134" s="258">
        <v>0</v>
      </c>
    </row>
    <row r="135" spans="1:94" x14ac:dyDescent="0.2">
      <c r="A135" s="118">
        <f t="shared" si="16"/>
        <v>8</v>
      </c>
      <c r="B135" s="239" t="s">
        <v>551</v>
      </c>
      <c r="C135" s="223"/>
      <c r="D135" s="168"/>
      <c r="E135" s="225"/>
      <c r="F135" s="183"/>
      <c r="G135" s="233"/>
      <c r="H135" s="174"/>
      <c r="I135" s="229"/>
      <c r="J135" s="168"/>
      <c r="K135" s="225"/>
      <c r="L135" s="183"/>
      <c r="M135" s="233"/>
      <c r="N135" s="174"/>
      <c r="O135" s="227"/>
      <c r="P135" s="230"/>
      <c r="Q135" s="227"/>
      <c r="R135" s="230"/>
      <c r="S135" s="230"/>
      <c r="T135" s="227"/>
      <c r="U135" s="184"/>
      <c r="V135" s="179"/>
      <c r="W135" s="180"/>
      <c r="X135" s="227"/>
      <c r="Y135" s="184"/>
      <c r="Z135" s="181"/>
      <c r="AA135" s="227"/>
      <c r="AB135" s="227"/>
      <c r="AC135" s="227"/>
    </row>
    <row r="136" spans="1:94" x14ac:dyDescent="0.2">
      <c r="A136" s="118">
        <f t="shared" si="16"/>
        <v>9</v>
      </c>
      <c r="B136" s="228" t="s">
        <v>543</v>
      </c>
      <c r="C136" s="223"/>
      <c r="D136" s="168"/>
      <c r="E136" s="225"/>
      <c r="F136" s="183"/>
      <c r="G136" s="233"/>
      <c r="H136" s="174"/>
      <c r="I136" s="229"/>
      <c r="J136" s="168"/>
      <c r="K136" s="225"/>
      <c r="L136" s="310"/>
      <c r="M136" s="233"/>
      <c r="N136" s="174"/>
      <c r="O136" s="227"/>
      <c r="P136" s="230"/>
      <c r="Q136" s="227"/>
      <c r="R136" s="259"/>
      <c r="S136" s="259"/>
      <c r="T136" s="227"/>
      <c r="U136" s="178"/>
      <c r="V136" s="179"/>
      <c r="W136" s="180"/>
      <c r="X136" s="227"/>
      <c r="Y136" s="178"/>
      <c r="Z136" s="181"/>
      <c r="AA136" s="227"/>
      <c r="AB136" s="227"/>
      <c r="AC136" s="227"/>
    </row>
    <row r="137" spans="1:94" x14ac:dyDescent="0.2">
      <c r="A137" s="118">
        <f t="shared" si="16"/>
        <v>10</v>
      </c>
      <c r="B137" s="234" t="s">
        <v>149</v>
      </c>
      <c r="C137" s="223"/>
      <c r="D137" s="172">
        <f>SUMIF($AH$6:$CP$6,1,$AH137:$CP137)</f>
        <v>208924.4911548431</v>
      </c>
      <c r="E137" s="225" t="s">
        <v>555</v>
      </c>
      <c r="F137" s="183">
        <v>37.369999999999997</v>
      </c>
      <c r="G137" s="233" t="s">
        <v>375</v>
      </c>
      <c r="H137" s="174">
        <f>ROUND(D137*F137,2)</f>
        <v>7807508.2300000004</v>
      </c>
      <c r="I137" s="229"/>
      <c r="J137" s="168">
        <f>D137</f>
        <v>208924.4911548431</v>
      </c>
      <c r="K137" s="225" t="s">
        <v>555</v>
      </c>
      <c r="L137" s="173">
        <f>'Exhibit MJC-3 - E-13c cal yr'!L147</f>
        <v>38.909999999999997</v>
      </c>
      <c r="M137" s="233" t="s">
        <v>375</v>
      </c>
      <c r="N137" s="174">
        <f>ROUND(J137*L137,2)</f>
        <v>8129251.9500000002</v>
      </c>
      <c r="O137" s="227"/>
      <c r="P137" s="230"/>
      <c r="Q137" s="939"/>
      <c r="R137" s="227"/>
      <c r="S137" s="227"/>
      <c r="T137" s="227"/>
      <c r="U137" s="178" t="s">
        <v>137</v>
      </c>
      <c r="V137" s="179">
        <v>243</v>
      </c>
      <c r="W137" s="180">
        <v>217</v>
      </c>
      <c r="X137" s="227"/>
      <c r="Y137" s="178" t="s">
        <v>137</v>
      </c>
      <c r="Z137" s="181" t="s">
        <v>141</v>
      </c>
      <c r="AA137" s="227"/>
      <c r="AB137" s="182">
        <f>SUM(AH137:AS137)</f>
        <v>207091.11871676077</v>
      </c>
      <c r="AC137" s="182">
        <f>SUM(AT137:BE137)</f>
        <v>208021.93172298439</v>
      </c>
      <c r="AD137" s="182">
        <f>SUM(BF137:BQ137)</f>
        <v>208403.52389238146</v>
      </c>
      <c r="AE137" s="182">
        <f>SUM(BR137:CC137)</f>
        <v>208924.4911548431</v>
      </c>
      <c r="AF137" s="182">
        <f>SUM(CD137:CO137)</f>
        <v>209825.98007780476</v>
      </c>
      <c r="AH137" s="168">
        <v>20281.105336934685</v>
      </c>
      <c r="AI137" s="168">
        <v>16598.46037892883</v>
      </c>
      <c r="AJ137" s="168">
        <v>14203.829541062916</v>
      </c>
      <c r="AK137" s="168">
        <v>18225.808902171986</v>
      </c>
      <c r="AL137" s="168">
        <v>17301.212017398015</v>
      </c>
      <c r="AM137" s="168">
        <v>17809.625573317862</v>
      </c>
      <c r="AN137" s="168">
        <v>17030.474484203107</v>
      </c>
      <c r="AO137" s="168">
        <v>17472.48629911368</v>
      </c>
      <c r="AP137" s="168">
        <v>17128.74202919169</v>
      </c>
      <c r="AQ137" s="168">
        <v>17890.841976548883</v>
      </c>
      <c r="AR137" s="168">
        <v>16966.58908295607</v>
      </c>
      <c r="AS137" s="168">
        <v>16181.943094933027</v>
      </c>
      <c r="AT137" s="168">
        <v>19933.600488934568</v>
      </c>
      <c r="AU137" s="168">
        <v>16443.418339268999</v>
      </c>
      <c r="AV137" s="168">
        <v>13794.442217934526</v>
      </c>
      <c r="AW137" s="168">
        <v>18349.703595538842</v>
      </c>
      <c r="AX137" s="168">
        <v>17329.182431565721</v>
      </c>
      <c r="AY137" s="168">
        <v>17513.091819610883</v>
      </c>
      <c r="AZ137" s="168">
        <v>17730.872352424511</v>
      </c>
      <c r="BA137" s="168">
        <v>17613.004562141145</v>
      </c>
      <c r="BB137" s="168">
        <v>17502.252780583356</v>
      </c>
      <c r="BC137" s="168">
        <v>18468.096064581267</v>
      </c>
      <c r="BD137" s="168">
        <v>17169.091283228332</v>
      </c>
      <c r="BE137" s="168">
        <v>16175.175787172218</v>
      </c>
      <c r="BF137" s="168">
        <v>19495.224901935973</v>
      </c>
      <c r="BG137" s="168">
        <v>16580.116383911576</v>
      </c>
      <c r="BH137" s="168">
        <v>13961.327812883177</v>
      </c>
      <c r="BI137" s="168">
        <v>18065.730064148207</v>
      </c>
      <c r="BJ137" s="168">
        <v>17381.344127900018</v>
      </c>
      <c r="BK137" s="168">
        <v>17842.86604053609</v>
      </c>
      <c r="BL137" s="168">
        <v>17858.007269095076</v>
      </c>
      <c r="BM137" s="168">
        <v>17802.66782401111</v>
      </c>
      <c r="BN137" s="168">
        <v>17559.613525888777</v>
      </c>
      <c r="BO137" s="168">
        <v>18228.597613187871</v>
      </c>
      <c r="BP137" s="168">
        <v>17059.699248610341</v>
      </c>
      <c r="BQ137" s="168">
        <v>16568.329080273212</v>
      </c>
      <c r="BR137" s="168">
        <v>19395.012165316293</v>
      </c>
      <c r="BS137" s="168">
        <v>16299.352549359028</v>
      </c>
      <c r="BT137" s="168">
        <v>14131.01317016997</v>
      </c>
      <c r="BU137" s="168">
        <v>18395.584502268495</v>
      </c>
      <c r="BV137" s="168">
        <v>16923.404348854521</v>
      </c>
      <c r="BW137" s="168">
        <v>18189.73749181924</v>
      </c>
      <c r="BX137" s="168">
        <v>18193.177992706431</v>
      </c>
      <c r="BY137" s="168">
        <v>17967.429681887676</v>
      </c>
      <c r="BZ137" s="168">
        <v>17625.180518568581</v>
      </c>
      <c r="CA137" s="168">
        <v>18424.967030692645</v>
      </c>
      <c r="CB137" s="168">
        <v>17114.054590472177</v>
      </c>
      <c r="CC137" s="168">
        <v>16265.577112728053</v>
      </c>
      <c r="CD137" s="168">
        <v>19490.746253895231</v>
      </c>
      <c r="CE137" s="168">
        <v>16056.201592017729</v>
      </c>
      <c r="CF137" s="168">
        <v>13699.438530415162</v>
      </c>
      <c r="CG137" s="168">
        <v>18780.494681411197</v>
      </c>
      <c r="CH137" s="168">
        <v>17383.819734269684</v>
      </c>
      <c r="CI137" s="168">
        <v>17911.732712443601</v>
      </c>
      <c r="CJ137" s="168">
        <v>18191.110880364366</v>
      </c>
      <c r="CK137" s="168">
        <v>18047.663799022204</v>
      </c>
      <c r="CL137" s="168">
        <v>18100.194949675722</v>
      </c>
      <c r="CM137" s="168">
        <v>18524.561387008525</v>
      </c>
      <c r="CN137" s="168">
        <v>17400.380586589832</v>
      </c>
      <c r="CO137" s="168">
        <v>16239.634970691513</v>
      </c>
    </row>
    <row r="138" spans="1:94" x14ac:dyDescent="0.2">
      <c r="A138" s="118">
        <f t="shared" si="16"/>
        <v>11</v>
      </c>
      <c r="B138" s="223"/>
      <c r="C138" s="223"/>
      <c r="D138" s="168"/>
      <c r="E138" s="225"/>
      <c r="F138" s="183"/>
      <c r="G138" s="223"/>
      <c r="H138" s="174"/>
      <c r="I138" s="229"/>
      <c r="J138" s="223"/>
      <c r="K138" s="225"/>
      <c r="L138" s="183"/>
      <c r="M138" s="223"/>
      <c r="N138" s="174"/>
      <c r="O138" s="227"/>
      <c r="P138" s="230"/>
      <c r="Q138" s="227"/>
      <c r="R138" s="227"/>
      <c r="S138" s="227"/>
      <c r="T138" s="227"/>
      <c r="U138" s="178"/>
      <c r="V138" s="179"/>
      <c r="W138" s="180"/>
      <c r="X138" s="227"/>
      <c r="Y138" s="178"/>
      <c r="Z138" s="181"/>
      <c r="AA138" s="227"/>
      <c r="AB138" s="193">
        <f>SUM(AH138:AS138)</f>
        <v>0</v>
      </c>
      <c r="AC138" s="193">
        <f>SUM(AT138:BE138)</f>
        <v>0</v>
      </c>
      <c r="AD138" s="193">
        <f>SUM(BF138:BQ138)</f>
        <v>0</v>
      </c>
      <c r="AE138" s="193">
        <f>SUM(BR138:CC138)</f>
        <v>0</v>
      </c>
      <c r="AF138" s="193">
        <f>SUM(CD138:CO138)</f>
        <v>0</v>
      </c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  <c r="AW138" s="193"/>
      <c r="AX138" s="193"/>
      <c r="AY138" s="193"/>
      <c r="AZ138" s="193"/>
      <c r="BA138" s="193"/>
      <c r="BB138" s="193"/>
      <c r="BC138" s="193"/>
      <c r="BD138" s="193"/>
      <c r="BE138" s="193"/>
      <c r="BF138" s="193"/>
      <c r="BG138" s="193"/>
      <c r="BH138" s="193"/>
      <c r="BI138" s="193"/>
      <c r="BJ138" s="193"/>
      <c r="BK138" s="193"/>
      <c r="BL138" s="193"/>
      <c r="BM138" s="193"/>
      <c r="BN138" s="193"/>
      <c r="BO138" s="193"/>
      <c r="BP138" s="193"/>
      <c r="BQ138" s="193"/>
      <c r="BR138" s="193"/>
      <c r="BS138" s="193"/>
      <c r="BT138" s="193"/>
      <c r="BU138" s="193"/>
      <c r="BV138" s="193"/>
      <c r="BW138" s="193"/>
      <c r="BX138" s="193"/>
      <c r="BY138" s="193"/>
      <c r="BZ138" s="193"/>
      <c r="CA138" s="193"/>
      <c r="CB138" s="193"/>
      <c r="CC138" s="193"/>
      <c r="CD138" s="193"/>
      <c r="CE138" s="193"/>
      <c r="CF138" s="193"/>
      <c r="CG138" s="193"/>
      <c r="CH138" s="193"/>
      <c r="CI138" s="193"/>
      <c r="CJ138" s="193"/>
      <c r="CK138" s="193"/>
      <c r="CL138" s="193"/>
      <c r="CM138" s="193"/>
      <c r="CN138" s="193"/>
      <c r="CO138" s="193"/>
    </row>
    <row r="139" spans="1:94" x14ac:dyDescent="0.2">
      <c r="A139" s="118">
        <f t="shared" si="16"/>
        <v>12</v>
      </c>
      <c r="B139" s="246" t="s">
        <v>563</v>
      </c>
      <c r="C139" s="223"/>
      <c r="D139" s="168"/>
      <c r="E139" s="225"/>
      <c r="F139" s="183"/>
      <c r="G139" s="223"/>
      <c r="H139" s="174"/>
      <c r="I139" s="229"/>
      <c r="J139" s="223"/>
      <c r="K139" s="225"/>
      <c r="L139" s="183"/>
      <c r="M139" s="223"/>
      <c r="N139" s="174"/>
      <c r="O139" s="227"/>
      <c r="P139" s="230"/>
      <c r="Q139" s="227"/>
      <c r="R139" s="227"/>
      <c r="S139" s="227"/>
      <c r="T139" s="227"/>
      <c r="U139" s="178"/>
      <c r="V139" s="179"/>
      <c r="W139" s="180"/>
      <c r="X139" s="227"/>
      <c r="Y139" s="178"/>
      <c r="Z139" s="181"/>
      <c r="AA139" s="227"/>
      <c r="AB139" s="227"/>
      <c r="AC139" s="227"/>
      <c r="AE139" s="260"/>
      <c r="AF139" s="260"/>
      <c r="AG139" s="260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</row>
    <row r="140" spans="1:94" x14ac:dyDescent="0.2">
      <c r="A140" s="118">
        <f t="shared" si="16"/>
        <v>13</v>
      </c>
      <c r="B140" s="223"/>
      <c r="C140" s="223"/>
      <c r="D140" s="168"/>
      <c r="E140" s="225"/>
      <c r="F140" s="223"/>
      <c r="G140" s="223"/>
      <c r="H140" s="174"/>
      <c r="I140" s="229"/>
      <c r="J140" s="223"/>
      <c r="K140" s="225"/>
      <c r="L140" s="223"/>
      <c r="M140" s="223"/>
      <c r="N140" s="174"/>
      <c r="O140" s="227"/>
      <c r="P140" s="103"/>
      <c r="Q140" s="227"/>
      <c r="R140" s="227"/>
      <c r="S140" s="227"/>
      <c r="T140" s="227"/>
      <c r="U140" s="178"/>
      <c r="V140" s="179"/>
      <c r="W140" s="180"/>
      <c r="X140" s="227"/>
      <c r="Y140" s="178"/>
      <c r="Z140" s="181"/>
      <c r="AA140" s="227"/>
      <c r="AB140" s="227"/>
      <c r="AC140" s="227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</row>
    <row r="141" spans="1:94" x14ac:dyDescent="0.2">
      <c r="A141" s="118">
        <f t="shared" si="16"/>
        <v>14</v>
      </c>
      <c r="B141" s="171" t="s">
        <v>564</v>
      </c>
      <c r="C141" s="223"/>
      <c r="D141" s="168"/>
      <c r="E141" s="225"/>
      <c r="F141" s="166"/>
      <c r="G141" s="223"/>
      <c r="H141" s="174">
        <f>'MFR E-5 Yr4'!L22*1000</f>
        <v>287440.734</v>
      </c>
      <c r="I141" s="162"/>
      <c r="J141" s="208"/>
      <c r="K141" s="166"/>
      <c r="L141" s="166"/>
      <c r="M141" s="143"/>
      <c r="N141" s="174">
        <f>H141</f>
        <v>287440.734</v>
      </c>
      <c r="O141" s="227"/>
      <c r="P141" s="103"/>
      <c r="Q141" s="227"/>
      <c r="R141" s="227"/>
      <c r="S141" s="227"/>
      <c r="T141" s="227"/>
      <c r="U141" s="184"/>
      <c r="V141" s="179"/>
      <c r="W141" s="180"/>
      <c r="X141" s="227"/>
      <c r="Y141" s="184" t="s">
        <v>137</v>
      </c>
      <c r="Z141" s="181" t="s">
        <v>565</v>
      </c>
      <c r="AA141" s="227"/>
      <c r="AB141" s="227"/>
      <c r="AC141" s="227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</row>
    <row r="142" spans="1:94" x14ac:dyDescent="0.2">
      <c r="A142" s="118">
        <f t="shared" si="16"/>
        <v>15</v>
      </c>
      <c r="B142" s="171" t="s">
        <v>566</v>
      </c>
      <c r="C142" s="223"/>
      <c r="D142" s="168"/>
      <c r="E142" s="225"/>
      <c r="F142" s="166"/>
      <c r="G142" s="223"/>
      <c r="H142" s="174">
        <f>'MFR E-5 Yr4'!L23*1000</f>
        <v>122162.31194999962</v>
      </c>
      <c r="I142" s="162"/>
      <c r="J142" s="208"/>
      <c r="K142" s="166"/>
      <c r="L142" s="166"/>
      <c r="M142" s="143"/>
      <c r="N142" s="174">
        <f>H142</f>
        <v>122162.31194999962</v>
      </c>
      <c r="O142" s="227"/>
      <c r="P142" s="103"/>
      <c r="Q142" s="227"/>
      <c r="R142" s="227"/>
      <c r="S142" s="227"/>
      <c r="T142" s="227"/>
      <c r="U142" s="184"/>
      <c r="V142" s="179"/>
      <c r="W142" s="180"/>
      <c r="X142" s="227"/>
      <c r="Y142" s="184" t="s">
        <v>137</v>
      </c>
      <c r="Z142" s="181" t="s">
        <v>565</v>
      </c>
      <c r="AA142" s="227"/>
      <c r="AB142" s="227"/>
      <c r="AC142" s="227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</row>
    <row r="143" spans="1:94" x14ac:dyDescent="0.2">
      <c r="A143" s="118">
        <f>+A141+1</f>
        <v>15</v>
      </c>
      <c r="B143" s="223"/>
      <c r="C143" s="223"/>
      <c r="D143" s="168"/>
      <c r="E143" s="225"/>
      <c r="F143" s="223"/>
      <c r="G143" s="223"/>
      <c r="H143" s="174"/>
      <c r="I143" s="229"/>
      <c r="J143" s="223"/>
      <c r="K143" s="225"/>
      <c r="L143" s="223"/>
      <c r="M143" s="223"/>
      <c r="N143" s="174"/>
      <c r="O143" s="227"/>
      <c r="P143" s="103"/>
      <c r="Q143" s="227"/>
      <c r="R143" s="227"/>
      <c r="S143" s="227"/>
      <c r="T143" s="227"/>
      <c r="U143" s="184"/>
      <c r="V143" s="179"/>
      <c r="W143" s="180"/>
      <c r="X143" s="227"/>
      <c r="Y143" s="184"/>
      <c r="Z143" s="181"/>
      <c r="AA143" s="227"/>
      <c r="AB143" s="227"/>
      <c r="AC143" s="227"/>
      <c r="AE143" s="114"/>
      <c r="AF143" s="114"/>
      <c r="AG143" s="238"/>
      <c r="AH143" s="227"/>
      <c r="AI143" s="227"/>
      <c r="AJ143" s="227"/>
      <c r="AK143" s="227"/>
      <c r="AL143" s="227"/>
      <c r="AM143" s="227"/>
      <c r="AN143" s="227"/>
      <c r="AO143" s="227"/>
      <c r="AP143" s="227"/>
      <c r="AQ143" s="227"/>
      <c r="AR143" s="227"/>
      <c r="AS143" s="227"/>
      <c r="AT143" s="227"/>
      <c r="AU143" s="227"/>
      <c r="AV143" s="227"/>
      <c r="AW143" s="227"/>
      <c r="AX143" s="227"/>
      <c r="AY143" s="227"/>
      <c r="AZ143" s="227"/>
      <c r="BA143" s="227"/>
      <c r="BB143" s="227"/>
      <c r="BC143" s="227"/>
      <c r="BD143" s="227"/>
      <c r="BE143" s="227"/>
      <c r="BF143" s="227"/>
      <c r="BG143" s="227"/>
      <c r="BH143" s="2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  <c r="CL143" s="227"/>
      <c r="CM143" s="227"/>
      <c r="CN143" s="227"/>
      <c r="CO143" s="227"/>
      <c r="CP143" s="227"/>
    </row>
    <row r="144" spans="1:94" ht="10.8" thickBot="1" x14ac:dyDescent="0.25">
      <c r="A144" s="118">
        <f t="shared" si="16"/>
        <v>16</v>
      </c>
      <c r="B144" s="246" t="s">
        <v>588</v>
      </c>
      <c r="C144" s="223"/>
      <c r="D144" s="168"/>
      <c r="E144" s="225"/>
      <c r="F144" s="261"/>
      <c r="G144" s="223"/>
      <c r="H144" s="210">
        <f>H133+H137+H141+H142</f>
        <v>11984554.49595</v>
      </c>
      <c r="I144" s="229"/>
      <c r="J144" s="223"/>
      <c r="K144" s="225"/>
      <c r="L144" s="261"/>
      <c r="M144" s="223"/>
      <c r="N144" s="210">
        <f>N133+N137+N141+N142</f>
        <v>12470062.705949999</v>
      </c>
      <c r="O144" s="251"/>
      <c r="P144" s="103"/>
      <c r="Q144" s="939">
        <f>(N144-H144)/H144</f>
        <v>4.0511160441055127E-2</v>
      </c>
      <c r="R144" s="227"/>
      <c r="S144" s="227"/>
      <c r="T144" s="227"/>
      <c r="U144" s="184"/>
      <c r="V144" s="179"/>
      <c r="W144" s="180"/>
      <c r="X144" s="227"/>
      <c r="Y144" s="184" t="s">
        <v>137</v>
      </c>
      <c r="Z144" s="181" t="s">
        <v>121</v>
      </c>
      <c r="AA144" s="227"/>
      <c r="AB144" s="227"/>
      <c r="AC144" s="227"/>
      <c r="AE144" s="114"/>
      <c r="AF144" s="114"/>
      <c r="AG144" s="114"/>
      <c r="AH144" s="227"/>
      <c r="AI144" s="227"/>
      <c r="AJ144" s="227"/>
      <c r="AK144" s="227"/>
      <c r="AL144" s="227"/>
      <c r="AM144" s="227"/>
      <c r="AN144" s="227"/>
      <c r="AO144" s="227"/>
      <c r="AP144" s="227"/>
      <c r="AQ144" s="227"/>
      <c r="AR144" s="227"/>
      <c r="AS144" s="227"/>
      <c r="AT144" s="227"/>
      <c r="AU144" s="227"/>
      <c r="AV144" s="227"/>
      <c r="AW144" s="227"/>
      <c r="AX144" s="227"/>
      <c r="AY144" s="227"/>
      <c r="AZ144" s="227"/>
      <c r="BA144" s="227"/>
      <c r="BB144" s="227"/>
      <c r="BC144" s="227"/>
      <c r="BD144" s="227"/>
      <c r="BE144" s="227"/>
      <c r="BF144" s="227"/>
      <c r="BG144" s="227"/>
      <c r="BH144" s="2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  <c r="CL144" s="227"/>
      <c r="CM144" s="227"/>
      <c r="CN144" s="227"/>
      <c r="CO144" s="227"/>
      <c r="CP144" s="227"/>
    </row>
    <row r="145" spans="1:94" ht="10.8" thickTop="1" x14ac:dyDescent="0.2">
      <c r="A145" s="118">
        <f t="shared" si="16"/>
        <v>17</v>
      </c>
      <c r="B145" s="223"/>
      <c r="C145" s="223"/>
      <c r="D145" s="168"/>
      <c r="E145" s="225"/>
      <c r="F145" s="223"/>
      <c r="G145" s="223"/>
      <c r="H145" s="174"/>
      <c r="I145" s="229"/>
      <c r="J145" s="223"/>
      <c r="K145" s="225"/>
      <c r="L145" s="223"/>
      <c r="M145" s="223"/>
      <c r="N145" s="174"/>
      <c r="O145" s="227"/>
      <c r="P145" s="262"/>
      <c r="Q145" s="227"/>
      <c r="R145" s="227"/>
      <c r="S145" s="227"/>
      <c r="T145" s="227"/>
      <c r="U145" s="178"/>
      <c r="V145" s="179"/>
      <c r="W145" s="180"/>
      <c r="X145" s="227"/>
      <c r="Y145" s="178"/>
      <c r="Z145" s="181"/>
      <c r="AA145" s="227"/>
      <c r="AB145" s="227"/>
      <c r="AC145" s="227"/>
      <c r="AE145" s="114"/>
      <c r="AF145" s="114"/>
      <c r="AG145" s="238"/>
      <c r="AH145" s="227"/>
      <c r="AI145" s="227"/>
      <c r="AJ145" s="227"/>
      <c r="AK145" s="227"/>
      <c r="AL145" s="227"/>
      <c r="AM145" s="227"/>
      <c r="AN145" s="227"/>
      <c r="AO145" s="227"/>
      <c r="AP145" s="227"/>
      <c r="AQ145" s="227"/>
      <c r="AR145" s="227"/>
      <c r="AS145" s="227"/>
      <c r="AT145" s="227"/>
      <c r="AU145" s="227"/>
      <c r="AV145" s="227"/>
      <c r="AW145" s="227"/>
      <c r="AX145" s="227"/>
      <c r="AY145" s="227"/>
      <c r="AZ145" s="227"/>
      <c r="BA145" s="227"/>
      <c r="BB145" s="227"/>
      <c r="BC145" s="227"/>
      <c r="BD145" s="227"/>
      <c r="BE145" s="227"/>
      <c r="BF145" s="227"/>
      <c r="BG145" s="227"/>
      <c r="BH145" s="2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  <c r="CL145" s="227"/>
      <c r="CM145" s="227"/>
      <c r="CN145" s="227"/>
      <c r="CO145" s="227"/>
      <c r="CP145" s="227"/>
    </row>
    <row r="146" spans="1:94" x14ac:dyDescent="0.2">
      <c r="A146" s="118">
        <f t="shared" si="16"/>
        <v>18</v>
      </c>
      <c r="B146" s="102"/>
      <c r="C146" s="143"/>
      <c r="D146" s="143"/>
      <c r="E146" s="166"/>
      <c r="F146" s="166"/>
      <c r="G146" s="143"/>
      <c r="H146" s="211"/>
      <c r="I146" s="162"/>
      <c r="J146" s="171" t="s">
        <v>573</v>
      </c>
      <c r="K146" s="166"/>
      <c r="L146" s="166"/>
      <c r="M146" s="143"/>
      <c r="N146" s="174">
        <f>N144-H144</f>
        <v>485508.20999999903</v>
      </c>
      <c r="U146" s="184"/>
      <c r="V146" s="139"/>
      <c r="W146" s="140"/>
      <c r="Y146" s="184"/>
      <c r="Z146" s="141"/>
    </row>
    <row r="147" spans="1:94" x14ac:dyDescent="0.2">
      <c r="A147" s="118">
        <f t="shared" si="16"/>
        <v>19</v>
      </c>
      <c r="B147" s="234"/>
      <c r="C147" s="223"/>
      <c r="D147" s="168"/>
      <c r="E147" s="225"/>
      <c r="F147" s="183"/>
      <c r="G147" s="233"/>
      <c r="H147" s="174"/>
      <c r="I147" s="229"/>
      <c r="J147" s="168"/>
      <c r="K147" s="225"/>
      <c r="L147" s="183"/>
      <c r="M147" s="233"/>
      <c r="N147" s="174"/>
      <c r="O147" s="227"/>
      <c r="Q147" s="176"/>
      <c r="T147" s="265"/>
      <c r="U147" s="298"/>
      <c r="V147" s="253"/>
      <c r="W147" s="254"/>
      <c r="Y147" s="298"/>
      <c r="Z147" s="255"/>
      <c r="AA147" s="265"/>
      <c r="AB147" s="227"/>
      <c r="AC147" s="264"/>
      <c r="AD147" s="264"/>
      <c r="AE147" s="242"/>
    </row>
    <row r="148" spans="1:94" x14ac:dyDescent="0.2">
      <c r="A148" s="215"/>
      <c r="B148" s="215" t="s">
        <v>674</v>
      </c>
      <c r="C148" s="215"/>
      <c r="D148" s="215"/>
      <c r="E148" s="215"/>
      <c r="F148" s="215"/>
      <c r="G148" s="215"/>
      <c r="H148" s="215"/>
      <c r="I148" s="215"/>
      <c r="J148" s="215"/>
      <c r="K148" s="215"/>
      <c r="L148" s="215"/>
      <c r="M148" s="215"/>
      <c r="N148" s="215" t="s">
        <v>675</v>
      </c>
      <c r="O148" s="215"/>
      <c r="P148" s="215"/>
      <c r="Q148" s="215"/>
      <c r="Y148" s="101"/>
    </row>
    <row r="149" spans="1:94" x14ac:dyDescent="0.2">
      <c r="A149" s="216"/>
      <c r="B149" s="216"/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7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</row>
    <row r="150" spans="1:94" x14ac:dyDescent="0.2">
      <c r="A150" s="100" t="s">
        <v>505</v>
      </c>
      <c r="C150" s="102"/>
      <c r="D150" s="103"/>
      <c r="F150" s="268"/>
      <c r="G150" s="104"/>
      <c r="H150" s="269" t="s">
        <v>506</v>
      </c>
      <c r="I150" s="104"/>
      <c r="J150" s="104"/>
      <c r="K150" s="104"/>
      <c r="L150" s="268"/>
      <c r="N150" s="270"/>
      <c r="Q150" s="106" t="s">
        <v>590</v>
      </c>
      <c r="R150" s="105"/>
      <c r="S150" s="105"/>
      <c r="U150" s="114"/>
      <c r="V150" s="114"/>
      <c r="W150" s="114"/>
      <c r="Y150" s="114"/>
      <c r="Z150" s="218"/>
    </row>
    <row r="151" spans="1:94" ht="10.8" thickBot="1" x14ac:dyDescent="0.25">
      <c r="A151" s="108"/>
      <c r="B151" s="109"/>
      <c r="C151" s="109"/>
      <c r="D151" s="109"/>
      <c r="E151" s="110" t="s">
        <v>416</v>
      </c>
      <c r="F151" s="271" t="s">
        <v>416</v>
      </c>
      <c r="G151" s="109" t="s">
        <v>416</v>
      </c>
      <c r="H151" s="272" t="s">
        <v>416</v>
      </c>
      <c r="I151" s="109" t="s">
        <v>416</v>
      </c>
      <c r="J151" s="109"/>
      <c r="K151" s="109"/>
      <c r="L151" s="271" t="s">
        <v>416</v>
      </c>
      <c r="M151" s="111"/>
      <c r="N151" s="273"/>
      <c r="O151" s="109"/>
      <c r="P151" s="112"/>
      <c r="Q151" s="109"/>
      <c r="U151" s="114"/>
      <c r="V151" s="114"/>
      <c r="W151" s="114"/>
      <c r="Y151" s="114"/>
      <c r="Z151" s="218"/>
    </row>
    <row r="152" spans="1:94" x14ac:dyDescent="0.2">
      <c r="A152" s="113"/>
      <c r="F152" s="197"/>
      <c r="H152" s="203"/>
      <c r="L152" s="197"/>
      <c r="M152" s="105"/>
      <c r="N152" s="270"/>
      <c r="P152" s="114"/>
      <c r="U152" s="114"/>
      <c r="V152" s="114"/>
      <c r="W152" s="114"/>
      <c r="Y152" s="114"/>
      <c r="Z152" s="218"/>
    </row>
    <row r="153" spans="1:94" x14ac:dyDescent="0.2">
      <c r="A153" s="100" t="s">
        <v>3</v>
      </c>
      <c r="D153" s="106" t="s">
        <v>4</v>
      </c>
      <c r="E153" s="101" t="s">
        <v>508</v>
      </c>
      <c r="F153" s="197"/>
      <c r="H153" s="203"/>
      <c r="L153" s="197"/>
      <c r="N153" s="203"/>
      <c r="O153" s="100" t="s">
        <v>6</v>
      </c>
      <c r="U153" s="114"/>
      <c r="V153" s="114"/>
      <c r="W153" s="114"/>
      <c r="Y153" s="114"/>
      <c r="Z153" s="218"/>
    </row>
    <row r="154" spans="1:94" x14ac:dyDescent="0.2">
      <c r="E154" s="101" t="s">
        <v>509</v>
      </c>
      <c r="F154" s="197"/>
      <c r="H154" s="203"/>
      <c r="L154" s="197"/>
      <c r="N154" s="203"/>
      <c r="U154" s="114"/>
      <c r="V154" s="114"/>
      <c r="W154" s="114"/>
      <c r="Y154" s="114"/>
      <c r="Z154" s="218"/>
    </row>
    <row r="155" spans="1:94" x14ac:dyDescent="0.2">
      <c r="A155" s="100" t="s">
        <v>9</v>
      </c>
      <c r="E155" s="101" t="s">
        <v>510</v>
      </c>
      <c r="F155" s="197"/>
      <c r="H155" s="203"/>
      <c r="L155" s="197"/>
      <c r="N155" s="203"/>
      <c r="O155" s="101" t="str">
        <f>O120</f>
        <v>__X__  Projected Test Year Ended 12/31/26</v>
      </c>
      <c r="U155" s="114"/>
      <c r="V155" s="114"/>
      <c r="W155" s="114"/>
      <c r="Y155" s="114"/>
      <c r="Z155" s="218"/>
    </row>
    <row r="156" spans="1:94" x14ac:dyDescent="0.2">
      <c r="E156" s="101" t="s">
        <v>512</v>
      </c>
      <c r="F156" s="197"/>
      <c r="H156" s="203"/>
      <c r="L156" s="197"/>
      <c r="N156" s="203"/>
      <c r="U156" s="114"/>
      <c r="V156" s="114"/>
      <c r="W156" s="114"/>
      <c r="Y156" s="114"/>
      <c r="Z156" s="218"/>
    </row>
    <row r="157" spans="1:94" x14ac:dyDescent="0.2">
      <c r="A157" s="100" t="s">
        <v>491</v>
      </c>
      <c r="C157" s="119" t="str">
        <f>C122</f>
        <v>20240025-EI</v>
      </c>
      <c r="F157" s="197"/>
      <c r="H157" s="203"/>
      <c r="L157" s="197"/>
      <c r="N157" s="203"/>
      <c r="O157" s="100" t="s">
        <v>493</v>
      </c>
      <c r="U157" s="114"/>
      <c r="V157" s="114"/>
      <c r="W157" s="114"/>
      <c r="Y157" s="114"/>
      <c r="Z157" s="218"/>
    </row>
    <row r="158" spans="1:94" ht="10.8" thickBot="1" x14ac:dyDescent="0.25">
      <c r="A158" s="123"/>
      <c r="B158" s="109"/>
      <c r="C158" s="109"/>
      <c r="D158" s="109"/>
      <c r="E158" s="109"/>
      <c r="F158" s="274"/>
      <c r="G158" s="109"/>
      <c r="H158" s="272"/>
      <c r="I158" s="109"/>
      <c r="J158" s="109"/>
      <c r="K158" s="109"/>
      <c r="L158" s="274"/>
      <c r="M158" s="109"/>
      <c r="N158" s="275"/>
      <c r="O158" s="109"/>
      <c r="P158" s="109"/>
      <c r="Q158" s="109"/>
      <c r="U158" s="114"/>
      <c r="V158" s="114"/>
      <c r="W158" s="114"/>
      <c r="Y158" s="114"/>
      <c r="Z158" s="218"/>
    </row>
    <row r="159" spans="1:94" ht="15.6" x14ac:dyDescent="0.2">
      <c r="B159" s="1369"/>
      <c r="C159" s="125"/>
      <c r="D159" s="125"/>
      <c r="E159" s="125"/>
      <c r="F159" s="276"/>
      <c r="G159" s="125"/>
      <c r="H159" s="277"/>
      <c r="I159" s="126" t="s">
        <v>591</v>
      </c>
      <c r="J159" s="125"/>
      <c r="K159" s="125"/>
      <c r="L159" s="276"/>
      <c r="M159" s="125"/>
      <c r="N159" s="277"/>
      <c r="U159" s="127" t="s">
        <v>530</v>
      </c>
      <c r="V159" s="128"/>
      <c r="W159" s="129"/>
      <c r="Y159" s="130" t="s">
        <v>531</v>
      </c>
      <c r="Z159" s="131"/>
    </row>
    <row r="160" spans="1:94" x14ac:dyDescent="0.2">
      <c r="A160" s="101" t="s">
        <v>30</v>
      </c>
      <c r="B160" s="101" t="s">
        <v>532</v>
      </c>
      <c r="C160" s="132"/>
      <c r="D160" s="133" t="s">
        <v>533</v>
      </c>
      <c r="E160" s="134"/>
      <c r="F160" s="278"/>
      <c r="G160" s="133"/>
      <c r="H160" s="279"/>
      <c r="I160" s="135"/>
      <c r="J160" s="136" t="s">
        <v>534</v>
      </c>
      <c r="K160" s="133"/>
      <c r="L160" s="278"/>
      <c r="M160" s="134"/>
      <c r="N160" s="280"/>
      <c r="O160" s="1372"/>
      <c r="Q160" s="118" t="s">
        <v>332</v>
      </c>
      <c r="U160" s="138"/>
      <c r="V160" s="139"/>
      <c r="W160" s="140"/>
      <c r="Y160" s="138"/>
      <c r="Z160" s="141"/>
    </row>
    <row r="161" spans="1:93" x14ac:dyDescent="0.2">
      <c r="A161" s="101" t="s">
        <v>39</v>
      </c>
      <c r="B161" s="102" t="s">
        <v>535</v>
      </c>
      <c r="C161" s="104"/>
      <c r="D161" s="142" t="s">
        <v>536</v>
      </c>
      <c r="E161" s="143"/>
      <c r="F161" s="281" t="s">
        <v>537</v>
      </c>
      <c r="G161" s="142"/>
      <c r="H161" s="282" t="s">
        <v>538</v>
      </c>
      <c r="I161" s="144"/>
      <c r="J161" s="142" t="s">
        <v>536</v>
      </c>
      <c r="K161" s="143"/>
      <c r="L161" s="281" t="s">
        <v>537</v>
      </c>
      <c r="M161" s="142"/>
      <c r="N161" s="282" t="s">
        <v>538</v>
      </c>
      <c r="O161" s="132"/>
      <c r="Q161" s="145" t="s">
        <v>539</v>
      </c>
      <c r="R161" s="132"/>
      <c r="S161" s="132"/>
      <c r="U161" s="138" t="s">
        <v>128</v>
      </c>
      <c r="V161" s="146" t="s">
        <v>343</v>
      </c>
      <c r="W161" s="147" t="s">
        <v>344</v>
      </c>
      <c r="Y161" s="148" t="s">
        <v>128</v>
      </c>
      <c r="Z161" s="149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  <c r="BB161" s="116"/>
      <c r="BC161" s="116"/>
      <c r="BD161" s="116"/>
      <c r="BE161" s="116"/>
      <c r="BF161" s="116"/>
      <c r="BG161" s="116"/>
      <c r="BH161" s="116"/>
      <c r="BI161" s="116"/>
      <c r="BJ161" s="116"/>
      <c r="BK161" s="116"/>
      <c r="BL161" s="116"/>
      <c r="BM161" s="116"/>
      <c r="BN161" s="116"/>
      <c r="BO161" s="116"/>
      <c r="BP161" s="116"/>
      <c r="BQ161" s="116"/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</row>
    <row r="162" spans="1:93" ht="10.8" thickBot="1" x14ac:dyDescent="0.25">
      <c r="A162" s="109"/>
      <c r="B162" s="1370" t="s">
        <v>272</v>
      </c>
      <c r="C162" s="150"/>
      <c r="D162" s="220" t="str">
        <f>+$D$13</f>
        <v>Jan '26-Dec '26</v>
      </c>
      <c r="E162" s="221"/>
      <c r="F162" s="152">
        <f>+$L$13</f>
        <v>46023</v>
      </c>
      <c r="G162" s="153"/>
      <c r="H162" s="153"/>
      <c r="I162" s="153"/>
      <c r="J162" s="153"/>
      <c r="K162" s="151"/>
      <c r="L162" s="152">
        <f>+$L$13</f>
        <v>46023</v>
      </c>
      <c r="M162" s="154"/>
      <c r="N162" s="283"/>
      <c r="O162" s="155"/>
      <c r="P162" s="109"/>
      <c r="Q162" s="156"/>
      <c r="R162" s="132"/>
      <c r="S162" s="132"/>
      <c r="U162" s="157" t="s">
        <v>144</v>
      </c>
      <c r="V162" s="158" t="s">
        <v>540</v>
      </c>
      <c r="W162" s="159" t="s">
        <v>540</v>
      </c>
      <c r="Y162" s="160" t="s">
        <v>144</v>
      </c>
      <c r="Z162" s="159" t="s">
        <v>541</v>
      </c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  <c r="BC162" s="116"/>
      <c r="BD162" s="116"/>
      <c r="BE162" s="116"/>
      <c r="BF162" s="116"/>
      <c r="BG162" s="116"/>
      <c r="BH162" s="116"/>
      <c r="BI162" s="116"/>
      <c r="BJ162" s="116"/>
      <c r="BK162" s="116"/>
      <c r="BL162" s="116"/>
      <c r="BM162" s="116"/>
      <c r="BN162" s="116"/>
      <c r="BO162" s="116"/>
      <c r="BP162" s="116"/>
      <c r="BQ162" s="116"/>
      <c r="BR162" s="116"/>
      <c r="BS162" s="116"/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</row>
    <row r="163" spans="1:93" x14ac:dyDescent="0.2">
      <c r="A163" s="118">
        <v>1</v>
      </c>
      <c r="B163" s="222" t="s">
        <v>542</v>
      </c>
      <c r="C163" s="223"/>
      <c r="E163" s="225"/>
      <c r="F163" s="284"/>
      <c r="G163" s="227"/>
      <c r="H163" s="285"/>
      <c r="I163" s="229"/>
      <c r="J163" s="226"/>
      <c r="K163" s="225"/>
      <c r="L163" s="284"/>
      <c r="M163" s="227"/>
      <c r="N163" s="285"/>
      <c r="O163" s="228"/>
      <c r="P163" s="227"/>
      <c r="Q163" s="286"/>
      <c r="R163" s="227"/>
      <c r="S163" s="227"/>
      <c r="U163" s="163"/>
      <c r="V163" s="139"/>
      <c r="W163" s="140"/>
      <c r="Y163" s="163"/>
      <c r="Z163" s="141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116"/>
      <c r="AZ163" s="116"/>
      <c r="BA163" s="116"/>
      <c r="BB163" s="116"/>
      <c r="BC163" s="116"/>
      <c r="BD163" s="116"/>
      <c r="BE163" s="116"/>
      <c r="BF163" s="116"/>
      <c r="BG163" s="116"/>
      <c r="BH163" s="116"/>
      <c r="BI163" s="116"/>
      <c r="BJ163" s="116"/>
      <c r="BK163" s="116"/>
      <c r="BL163" s="116"/>
      <c r="BM163" s="116"/>
      <c r="BN163" s="116"/>
      <c r="BO163" s="116"/>
      <c r="BP163" s="116"/>
      <c r="BQ163" s="116"/>
      <c r="BR163" s="116"/>
      <c r="BS163" s="116"/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</row>
    <row r="164" spans="1:93" x14ac:dyDescent="0.2">
      <c r="A164" s="118">
        <f t="shared" ref="A164:A201" si="18">+A163+1</f>
        <v>2</v>
      </c>
      <c r="B164" s="228" t="s">
        <v>543</v>
      </c>
      <c r="C164" s="223"/>
      <c r="D164" s="168"/>
      <c r="E164" s="225"/>
      <c r="F164" s="183"/>
      <c r="G164" s="223"/>
      <c r="H164" s="174"/>
      <c r="I164" s="229"/>
      <c r="J164" s="168"/>
      <c r="K164" s="225"/>
      <c r="L164" s="310"/>
      <c r="M164" s="223"/>
      <c r="N164" s="174"/>
      <c r="O164" s="227"/>
      <c r="P164" s="227"/>
      <c r="Q164" s="287"/>
      <c r="R164" s="227"/>
      <c r="S164" s="227"/>
      <c r="U164" s="163"/>
      <c r="V164" s="139"/>
      <c r="W164" s="140"/>
      <c r="Y164" s="163"/>
      <c r="Z164" s="141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116"/>
      <c r="AZ164" s="116"/>
      <c r="BA164" s="116"/>
      <c r="BB164" s="116"/>
      <c r="BC164" s="116"/>
      <c r="BD164" s="116"/>
      <c r="BE164" s="116"/>
      <c r="BF164" s="116"/>
      <c r="BG164" s="116"/>
      <c r="BH164" s="116"/>
      <c r="BI164" s="116"/>
      <c r="BJ164" s="116"/>
      <c r="BK164" s="116"/>
      <c r="BL164" s="116"/>
      <c r="BM164" s="116"/>
      <c r="BN164" s="116"/>
      <c r="BO164" s="116"/>
      <c r="BP164" s="116"/>
      <c r="BQ164" s="116"/>
      <c r="BR164" s="116"/>
      <c r="BS164" s="116"/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</row>
    <row r="165" spans="1:93" x14ac:dyDescent="0.2">
      <c r="A165" s="118">
        <f t="shared" si="18"/>
        <v>3</v>
      </c>
      <c r="B165" s="234" t="s">
        <v>149</v>
      </c>
      <c r="C165" s="223"/>
      <c r="D165" s="172">
        <f>SUMIF($AH$6:$CP$6,1,$AH165:$CP165)</f>
        <v>402564.554752575</v>
      </c>
      <c r="E165" s="225" t="s">
        <v>545</v>
      </c>
      <c r="F165" s="183">
        <v>21.56</v>
      </c>
      <c r="G165" s="233" t="s">
        <v>375</v>
      </c>
      <c r="H165" s="174">
        <f>ROUND(D165*F165,2)</f>
        <v>8679291.8000000007</v>
      </c>
      <c r="I165" s="229"/>
      <c r="J165" s="172">
        <f>SUMIF($AH$6:$CP$6,1,$AH165:$CP165)</f>
        <v>402564.554752575</v>
      </c>
      <c r="K165" s="225" t="s">
        <v>545</v>
      </c>
      <c r="L165" s="173">
        <f>'Exhibit MJC-3 - E-13c cal yr'!L180</f>
        <v>22.07</v>
      </c>
      <c r="M165" s="233" t="s">
        <v>375</v>
      </c>
      <c r="N165" s="174">
        <f>ROUND(J165*L165,2)</f>
        <v>8884599.7200000007</v>
      </c>
      <c r="O165" s="227"/>
      <c r="Q165" s="939"/>
      <c r="R165" s="186"/>
      <c r="S165" s="263"/>
      <c r="T165" s="197"/>
      <c r="U165" s="184" t="s">
        <v>122</v>
      </c>
      <c r="V165" s="179">
        <v>244</v>
      </c>
      <c r="W165" s="180">
        <v>218</v>
      </c>
      <c r="Y165" s="184"/>
      <c r="Z165" s="181"/>
      <c r="AB165" s="182">
        <f>SUM(AH165:AS165)</f>
        <v>388603.90223949461</v>
      </c>
      <c r="AC165" s="182">
        <f>SUM(AT165:BE165)</f>
        <v>393258.94718897447</v>
      </c>
      <c r="AD165" s="182">
        <f>SUM(BF165:BQ165)</f>
        <v>397868.84237897175</v>
      </c>
      <c r="AE165" s="182">
        <f>SUM(BR165:CC165)</f>
        <v>402564.554752575</v>
      </c>
      <c r="AF165" s="182">
        <f>SUM(CD165:CO165)</f>
        <v>407288.27473931282</v>
      </c>
      <c r="AH165" s="168">
        <v>30810.599569688333</v>
      </c>
      <c r="AI165" s="168">
        <v>31461.353092178797</v>
      </c>
      <c r="AJ165" s="168">
        <v>32231.352444960619</v>
      </c>
      <c r="AK165" s="168">
        <v>32093.535226559863</v>
      </c>
      <c r="AL165" s="168">
        <v>32583.211447918027</v>
      </c>
      <c r="AM165" s="168">
        <v>32462.228360614481</v>
      </c>
      <c r="AN165" s="168">
        <v>32362.231937225508</v>
      </c>
      <c r="AO165" s="168">
        <v>32684.522455521677</v>
      </c>
      <c r="AP165" s="168">
        <v>33091.708554890531</v>
      </c>
      <c r="AQ165" s="168">
        <v>33012.879077396989</v>
      </c>
      <c r="AR165" s="168">
        <v>32563.48558603528</v>
      </c>
      <c r="AS165" s="168">
        <v>33246.794486504434</v>
      </c>
      <c r="AT165" s="168">
        <v>31170.199276335399</v>
      </c>
      <c r="AU165" s="168">
        <v>31840.46555611349</v>
      </c>
      <c r="AV165" s="168">
        <v>32619.739519376206</v>
      </c>
      <c r="AW165" s="168">
        <v>32480.348145576227</v>
      </c>
      <c r="AX165" s="168">
        <v>32975.319956706357</v>
      </c>
      <c r="AY165" s="168">
        <v>32853.175150695119</v>
      </c>
      <c r="AZ165" s="168">
        <v>32752.919890893711</v>
      </c>
      <c r="BA165" s="168">
        <v>33078.266389738426</v>
      </c>
      <c r="BB165" s="168">
        <v>33488.585824379727</v>
      </c>
      <c r="BC165" s="168">
        <v>33406.805216385845</v>
      </c>
      <c r="BD165" s="168">
        <v>32951.515694492518</v>
      </c>
      <c r="BE165" s="168">
        <v>33641.606568281401</v>
      </c>
      <c r="BF165" s="168">
        <v>31539.929098155586</v>
      </c>
      <c r="BG165" s="168">
        <v>32216.18012190278</v>
      </c>
      <c r="BH165" s="168">
        <v>33003.833948922693</v>
      </c>
      <c r="BI165" s="168">
        <v>32862.418085286772</v>
      </c>
      <c r="BJ165" s="168">
        <v>33361.973328631313</v>
      </c>
      <c r="BK165" s="168">
        <v>33237.722475995244</v>
      </c>
      <c r="BL165" s="168">
        <v>33135.96243601614</v>
      </c>
      <c r="BM165" s="168">
        <v>33464.339434669011</v>
      </c>
      <c r="BN165" s="168">
        <v>33879.27899574508</v>
      </c>
      <c r="BO165" s="168">
        <v>33796.04292705757</v>
      </c>
      <c r="BP165" s="168">
        <v>33336.431408607416</v>
      </c>
      <c r="BQ165" s="168">
        <v>34034.730117982137</v>
      </c>
      <c r="BR165" s="168">
        <v>31909.581265560708</v>
      </c>
      <c r="BS165" s="168">
        <v>32593.362285934814</v>
      </c>
      <c r="BT165" s="168">
        <v>33391.11626568417</v>
      </c>
      <c r="BU165" s="168">
        <v>33249.386465026539</v>
      </c>
      <c r="BV165" s="168">
        <v>33755.186289857076</v>
      </c>
      <c r="BW165" s="168">
        <v>33630.206762292641</v>
      </c>
      <c r="BX165" s="168">
        <v>33528.295244350855</v>
      </c>
      <c r="BY165" s="168">
        <v>33860.637574168024</v>
      </c>
      <c r="BZ165" s="168">
        <v>34280.621104672035</v>
      </c>
      <c r="CA165" s="168">
        <v>34196.229135039204</v>
      </c>
      <c r="CB165" s="168">
        <v>33732.018080827373</v>
      </c>
      <c r="CC165" s="168">
        <v>34437.91427916153</v>
      </c>
      <c r="CD165" s="168">
        <v>32287.483046219262</v>
      </c>
      <c r="CE165" s="168">
        <v>32977.435009121298</v>
      </c>
      <c r="CF165" s="168">
        <v>33783.700360408438</v>
      </c>
      <c r="CG165" s="168">
        <v>33640.045409274469</v>
      </c>
      <c r="CH165" s="168">
        <v>34150.7774966203</v>
      </c>
      <c r="CI165" s="168">
        <v>34023.908479004298</v>
      </c>
      <c r="CJ165" s="168">
        <v>33920.680469916813</v>
      </c>
      <c r="CK165" s="168">
        <v>34256.540359379913</v>
      </c>
      <c r="CL165" s="168">
        <v>34681.660679863009</v>
      </c>
      <c r="CM165" s="168">
        <v>34596.130809072201</v>
      </c>
      <c r="CN165" s="168">
        <v>34127.694824685706</v>
      </c>
      <c r="CO165" s="168">
        <v>34842.217795747107</v>
      </c>
    </row>
    <row r="166" spans="1:93" x14ac:dyDescent="0.2">
      <c r="A166" s="118">
        <f t="shared" si="18"/>
        <v>4</v>
      </c>
      <c r="B166" s="234" t="s">
        <v>148</v>
      </c>
      <c r="C166" s="223"/>
      <c r="D166" s="172">
        <f>SUMIF($AH$6:$CP$6,1,$AH166:$CP166)</f>
        <v>1588.4280385472864</v>
      </c>
      <c r="E166" s="225" t="s">
        <v>545</v>
      </c>
      <c r="F166" s="183">
        <v>272.61</v>
      </c>
      <c r="G166" s="233" t="s">
        <v>375</v>
      </c>
      <c r="H166" s="174">
        <f>ROUND(D166*F166,2)</f>
        <v>433021.37</v>
      </c>
      <c r="I166" s="229"/>
      <c r="J166" s="172">
        <f>SUMIF($AH$6:$CP$6,1,$AH166:$CP166)</f>
        <v>1588.4280385472864</v>
      </c>
      <c r="K166" s="225" t="s">
        <v>545</v>
      </c>
      <c r="L166" s="173">
        <f>'Exhibit MJC-3 - E-13c cal yr'!L181</f>
        <v>279.02999999999997</v>
      </c>
      <c r="M166" s="233" t="s">
        <v>375</v>
      </c>
      <c r="N166" s="174">
        <f>ROUND(J166*L166,2)</f>
        <v>443219.08</v>
      </c>
      <c r="O166" s="227"/>
      <c r="R166" s="186"/>
      <c r="S166" s="263"/>
      <c r="T166" s="197"/>
      <c r="U166" s="184" t="s">
        <v>122</v>
      </c>
      <c r="V166" s="179">
        <v>244</v>
      </c>
      <c r="W166" s="180">
        <v>218</v>
      </c>
      <c r="Y166" s="184"/>
      <c r="Z166" s="181"/>
      <c r="AB166" s="182">
        <f>SUM(AH166:AS166)</f>
        <v>1533.3424836309525</v>
      </c>
      <c r="AC166" s="182">
        <f>SUM(AT166:BE166)</f>
        <v>1551.7102306945169</v>
      </c>
      <c r="AD166" s="182">
        <f>SUM(BF166:BQ166)</f>
        <v>1569.8998270911907</v>
      </c>
      <c r="AE166" s="182">
        <f>SUM(BR166:CC166)</f>
        <v>1588.4280385472864</v>
      </c>
      <c r="AF166" s="182">
        <f>SUM(CD166:CO166)</f>
        <v>1607.0667616653525</v>
      </c>
      <c r="AH166" s="168">
        <v>121.57160798974408</v>
      </c>
      <c r="AI166" s="168">
        <v>124.13933316351797</v>
      </c>
      <c r="AJ166" s="168">
        <v>127.17757522229449</v>
      </c>
      <c r="AK166" s="168">
        <v>126.63377986992695</v>
      </c>
      <c r="AL166" s="168">
        <v>128.56593070296108</v>
      </c>
      <c r="AM166" s="168">
        <v>128.08855899749364</v>
      </c>
      <c r="AN166" s="168">
        <v>127.69399588757673</v>
      </c>
      <c r="AO166" s="168">
        <v>128.96568086275846</v>
      </c>
      <c r="AP166" s="168">
        <v>130.57234446368506</v>
      </c>
      <c r="AQ166" s="168">
        <v>130.26130130095126</v>
      </c>
      <c r="AR166" s="168">
        <v>128.4880969450478</v>
      </c>
      <c r="AS166" s="168">
        <v>131.18427822499487</v>
      </c>
      <c r="AT166" s="168">
        <v>122.99050652402425</v>
      </c>
      <c r="AU166" s="168">
        <v>125.63522459351913</v>
      </c>
      <c r="AV166" s="168">
        <v>128.71006215272044</v>
      </c>
      <c r="AW166" s="168">
        <v>128.16005554170223</v>
      </c>
      <c r="AX166" s="168">
        <v>130.11310156576877</v>
      </c>
      <c r="AY166" s="168">
        <v>129.63114598289235</v>
      </c>
      <c r="AZ166" s="168">
        <v>129.23556156344867</v>
      </c>
      <c r="BA166" s="168">
        <v>130.51930474179622</v>
      </c>
      <c r="BB166" s="168">
        <v>132.13833177000964</v>
      </c>
      <c r="BC166" s="168">
        <v>131.81564411851789</v>
      </c>
      <c r="BD166" s="168">
        <v>130.0191753691104</v>
      </c>
      <c r="BE166" s="168">
        <v>132.74211677100698</v>
      </c>
      <c r="BF166" s="168">
        <v>124.4493761853814</v>
      </c>
      <c r="BG166" s="168">
        <v>127.11770869139788</v>
      </c>
      <c r="BH166" s="168">
        <v>130.22561128425403</v>
      </c>
      <c r="BI166" s="168">
        <v>129.6676164974732</v>
      </c>
      <c r="BJ166" s="168">
        <v>131.63874770106236</v>
      </c>
      <c r="BK166" s="168">
        <v>131.14848213791106</v>
      </c>
      <c r="BL166" s="168">
        <v>130.74696019863885</v>
      </c>
      <c r="BM166" s="168">
        <v>132.04266103895455</v>
      </c>
      <c r="BN166" s="168">
        <v>133.67991803372604</v>
      </c>
      <c r="BO166" s="168">
        <v>133.35148746585611</v>
      </c>
      <c r="BP166" s="168">
        <v>131.53796510248205</v>
      </c>
      <c r="BQ166" s="168">
        <v>134.2932927540532</v>
      </c>
      <c r="BR166" s="168">
        <v>125.90793944010449</v>
      </c>
      <c r="BS166" s="168">
        <v>128.60598359765896</v>
      </c>
      <c r="BT166" s="168">
        <v>131.75373909261404</v>
      </c>
      <c r="BU166" s="168">
        <v>131.19450558185284</v>
      </c>
      <c r="BV166" s="168">
        <v>133.19027648162054</v>
      </c>
      <c r="BW166" s="168">
        <v>132.69713573317648</v>
      </c>
      <c r="BX166" s="168">
        <v>132.29501609636657</v>
      </c>
      <c r="BY166" s="168">
        <v>133.60636323024968</v>
      </c>
      <c r="BZ166" s="168">
        <v>135.26352257948912</v>
      </c>
      <c r="CA166" s="168">
        <v>134.93053108977537</v>
      </c>
      <c r="CB166" s="168">
        <v>133.09886000594915</v>
      </c>
      <c r="CC166" s="168">
        <v>135.88416561842931</v>
      </c>
      <c r="CD166" s="168">
        <v>127.39905378966252</v>
      </c>
      <c r="CE166" s="168">
        <v>130.12144708084017</v>
      </c>
      <c r="CF166" s="168">
        <v>133.30278650919794</v>
      </c>
      <c r="CG166" s="168">
        <v>132.73595679316003</v>
      </c>
      <c r="CH166" s="168">
        <v>134.75118927736253</v>
      </c>
      <c r="CI166" s="168">
        <v>134.25059303155527</v>
      </c>
      <c r="CJ166" s="168">
        <v>133.84327882054941</v>
      </c>
      <c r="CK166" s="168">
        <v>135.16850544358005</v>
      </c>
      <c r="CL166" s="168">
        <v>136.84593339603992</v>
      </c>
      <c r="CM166" s="168">
        <v>136.5084520075433</v>
      </c>
      <c r="CN166" s="168">
        <v>134.66011031158516</v>
      </c>
      <c r="CO166" s="168">
        <v>137.47945520427601</v>
      </c>
    </row>
    <row r="167" spans="1:93" x14ac:dyDescent="0.2">
      <c r="A167" s="118">
        <f t="shared" si="18"/>
        <v>5</v>
      </c>
      <c r="B167" s="234" t="s">
        <v>216</v>
      </c>
      <c r="C167" s="223"/>
      <c r="D167" s="172">
        <f>SUMIF($AH$6:$CP$6,1,$AH167:$CP167)</f>
        <v>37.722617090019</v>
      </c>
      <c r="E167" s="225" t="s">
        <v>545</v>
      </c>
      <c r="F167" s="183">
        <v>1344.66</v>
      </c>
      <c r="G167" s="233" t="s">
        <v>375</v>
      </c>
      <c r="H167" s="174">
        <f>ROUND(D167*F167,2)</f>
        <v>50724.09</v>
      </c>
      <c r="I167" s="229"/>
      <c r="J167" s="172">
        <f>SUMIF($AH$6:$CP$6,1,$AH167:$CP167)</f>
        <v>37.722617090019</v>
      </c>
      <c r="K167" s="225" t="s">
        <v>545</v>
      </c>
      <c r="L167" s="173">
        <f>'Exhibit MJC-3 - E-13c cal yr'!L182</f>
        <v>1376.31</v>
      </c>
      <c r="M167" s="233"/>
      <c r="N167" s="174">
        <f>ROUND(J167*L167,2)</f>
        <v>51918.02</v>
      </c>
      <c r="O167" s="227"/>
      <c r="R167" s="288"/>
      <c r="S167" s="263"/>
      <c r="T167" s="927"/>
      <c r="U167" s="184" t="s">
        <v>122</v>
      </c>
      <c r="V167" s="179">
        <v>244</v>
      </c>
      <c r="W167" s="180">
        <v>218</v>
      </c>
      <c r="Y167" s="184"/>
      <c r="Z167" s="181"/>
      <c r="AB167" s="182">
        <f>SUM(AH167:AS167)</f>
        <v>36.414423552211318</v>
      </c>
      <c r="AC167" s="182">
        <f>SUM(AT167:BE167)</f>
        <v>36.85062807169264</v>
      </c>
      <c r="AD167" s="182">
        <f>SUM(BF167:BQ167)</f>
        <v>37.282601798699652</v>
      </c>
      <c r="AE167" s="182">
        <f>SUM(BR167:CC167)</f>
        <v>37.722617090019</v>
      </c>
      <c r="AF167" s="182">
        <f>SUM(CD167:CO167)</f>
        <v>38.165256855980772</v>
      </c>
      <c r="AH167" s="168">
        <v>2.8871306133636274</v>
      </c>
      <c r="AI167" s="168">
        <v>2.9481099660142269</v>
      </c>
      <c r="AJ167" s="168">
        <v>3.0202633396822183</v>
      </c>
      <c r="AK167" s="168">
        <v>3.0073490726490997</v>
      </c>
      <c r="AL167" s="168">
        <v>3.0532345545632604</v>
      </c>
      <c r="AM167" s="168">
        <v>3.04189774255922</v>
      </c>
      <c r="AN167" s="168">
        <v>3.0325275018230675</v>
      </c>
      <c r="AO167" s="168">
        <v>3.0627279794108238</v>
      </c>
      <c r="AP167" s="168">
        <v>3.1008836618461793</v>
      </c>
      <c r="AQ167" s="168">
        <v>3.0934968858377383</v>
      </c>
      <c r="AR167" s="168">
        <v>3.0513861277065271</v>
      </c>
      <c r="AS167" s="168">
        <v>3.1154161067553341</v>
      </c>
      <c r="AT167" s="168">
        <v>2.9208271767579577</v>
      </c>
      <c r="AU167" s="168">
        <v>2.9836349871374894</v>
      </c>
      <c r="AV167" s="168">
        <v>3.0566574452186499</v>
      </c>
      <c r="AW167" s="168">
        <v>3.0435956707592959</v>
      </c>
      <c r="AX167" s="168">
        <v>3.0899773799316081</v>
      </c>
      <c r="AY167" s="168">
        <v>3.078531708194491</v>
      </c>
      <c r="AZ167" s="168">
        <v>3.0691372129958929</v>
      </c>
      <c r="BA167" s="168">
        <v>3.0996240535599875</v>
      </c>
      <c r="BB167" s="168">
        <v>3.1380733475547862</v>
      </c>
      <c r="BC167" s="168">
        <v>3.1304100336233391</v>
      </c>
      <c r="BD167" s="168">
        <v>3.0877467834769479</v>
      </c>
      <c r="BE167" s="168">
        <v>3.1524122724821941</v>
      </c>
      <c r="BF167" s="168">
        <v>2.9554729902818435</v>
      </c>
      <c r="BG167" s="168">
        <v>3.0188416056365348</v>
      </c>
      <c r="BH167" s="168">
        <v>3.0926493052101405</v>
      </c>
      <c r="BI167" s="168">
        <v>3.0793978243944218</v>
      </c>
      <c r="BJ167" s="168">
        <v>3.1262090275605314</v>
      </c>
      <c r="BK167" s="168">
        <v>3.1145660071262578</v>
      </c>
      <c r="BL167" s="168">
        <v>3.1050305053592027</v>
      </c>
      <c r="BM167" s="168">
        <v>3.1358013212075209</v>
      </c>
      <c r="BN167" s="168">
        <v>3.1746835476558815</v>
      </c>
      <c r="BO167" s="168">
        <v>3.1668838486756585</v>
      </c>
      <c r="BP167" s="168">
        <v>3.1238156025621544</v>
      </c>
      <c r="BQ167" s="168">
        <v>3.1892502130295046</v>
      </c>
      <c r="BR167" s="168">
        <v>2.9901115271398369</v>
      </c>
      <c r="BS167" s="168">
        <v>3.0541857465426077</v>
      </c>
      <c r="BT167" s="168">
        <v>3.1289398885922464</v>
      </c>
      <c r="BU167" s="168">
        <v>3.1156589900696758</v>
      </c>
      <c r="BV167" s="168">
        <v>3.1630553464826447</v>
      </c>
      <c r="BW167" s="168">
        <v>3.1513440450112515</v>
      </c>
      <c r="BX167" s="168">
        <v>3.1417943488867541</v>
      </c>
      <c r="BY167" s="168">
        <v>3.1729367391009236</v>
      </c>
      <c r="BZ167" s="168">
        <v>3.2122916145321554</v>
      </c>
      <c r="CA167" s="168">
        <v>3.2043836009766942</v>
      </c>
      <c r="CB167" s="168">
        <v>3.160884351874274</v>
      </c>
      <c r="CC167" s="168">
        <v>3.2270308908099388</v>
      </c>
      <c r="CD167" s="168">
        <v>3.0255231002679803</v>
      </c>
      <c r="CE167" s="168">
        <v>3.0901755725231621</v>
      </c>
      <c r="CF167" s="168">
        <v>3.16572727910162</v>
      </c>
      <c r="CG167" s="168">
        <v>3.1522659828927613</v>
      </c>
      <c r="CH167" s="168">
        <v>3.2001245207075826</v>
      </c>
      <c r="CI167" s="168">
        <v>3.1882361631370641</v>
      </c>
      <c r="CJ167" s="168">
        <v>3.178563104210737</v>
      </c>
      <c r="CK167" s="168">
        <v>3.2100351100208355</v>
      </c>
      <c r="CL167" s="168">
        <v>3.2498713322551209</v>
      </c>
      <c r="CM167" s="168">
        <v>3.2418566908081532</v>
      </c>
      <c r="CN167" s="168">
        <v>3.197961541417619</v>
      </c>
      <c r="CO167" s="168">
        <v>3.2649164586381332</v>
      </c>
    </row>
    <row r="168" spans="1:93" x14ac:dyDescent="0.2">
      <c r="A168" s="118">
        <f t="shared" si="18"/>
        <v>6</v>
      </c>
      <c r="B168" s="226" t="s">
        <v>546</v>
      </c>
      <c r="C168" s="223"/>
      <c r="D168" s="172"/>
      <c r="E168" s="225"/>
      <c r="F168" s="183"/>
      <c r="G168" s="233"/>
      <c r="H168" s="174"/>
      <c r="I168" s="229"/>
      <c r="J168" s="172"/>
      <c r="K168" s="225"/>
      <c r="L168" s="183"/>
      <c r="M168" s="233"/>
      <c r="N168" s="174"/>
      <c r="O168" s="227"/>
      <c r="R168" s="227"/>
      <c r="S168" s="263"/>
      <c r="T168" s="227"/>
      <c r="U168" s="178"/>
      <c r="V168" s="179"/>
      <c r="W168" s="180"/>
      <c r="Y168" s="178"/>
      <c r="Z168" s="181"/>
    </row>
    <row r="169" spans="1:93" x14ac:dyDescent="0.2">
      <c r="A169" s="118">
        <f t="shared" si="18"/>
        <v>7</v>
      </c>
      <c r="B169" s="234" t="s">
        <v>149</v>
      </c>
      <c r="C169" s="223"/>
      <c r="D169" s="172">
        <f>SUMIF($AH$6:$CP$6,1,$AH169:$CP169)</f>
        <v>182347.05289238534</v>
      </c>
      <c r="E169" s="225" t="s">
        <v>545</v>
      </c>
      <c r="F169" s="183">
        <v>21.56</v>
      </c>
      <c r="G169" s="233" t="s">
        <v>375</v>
      </c>
      <c r="H169" s="174">
        <f>ROUND(D169*F169,2)</f>
        <v>3931402.46</v>
      </c>
      <c r="I169" s="229"/>
      <c r="J169" s="172">
        <f>SUMIF($AH$6:$CP$6,1,$AH169:$CP169)</f>
        <v>182347.05289238534</v>
      </c>
      <c r="K169" s="225" t="s">
        <v>545</v>
      </c>
      <c r="L169" s="183">
        <f>L165</f>
        <v>22.07</v>
      </c>
      <c r="M169" s="233" t="s">
        <v>375</v>
      </c>
      <c r="N169" s="174">
        <f>ROUND(J169*L169,2)</f>
        <v>4024399.46</v>
      </c>
      <c r="O169" s="227"/>
      <c r="R169" s="289"/>
      <c r="S169" s="263"/>
      <c r="T169" s="197"/>
      <c r="U169" s="178" t="s">
        <v>592</v>
      </c>
      <c r="V169" s="179">
        <v>245</v>
      </c>
      <c r="W169" s="180">
        <v>219</v>
      </c>
      <c r="Y169" s="178"/>
      <c r="Z169" s="181"/>
      <c r="AB169" s="182">
        <f>SUM(AH169:AS169)</f>
        <v>176023.38675695148</v>
      </c>
      <c r="AC169" s="182">
        <f>SUM(AT169:BE169)</f>
        <v>178131.95224687879</v>
      </c>
      <c r="AD169" s="182">
        <f>SUM(BF169:BQ169)</f>
        <v>180220.06654336833</v>
      </c>
      <c r="AE169" s="182">
        <f>SUM(BR169:CC169)</f>
        <v>182347.05289238534</v>
      </c>
      <c r="AF169" s="182">
        <f>SUM(CD169:CO169)</f>
        <v>184486.72566809686</v>
      </c>
      <c r="AH169" s="168">
        <v>13956.077262771303</v>
      </c>
      <c r="AI169" s="168">
        <v>14250.844861121852</v>
      </c>
      <c r="AJ169" s="168">
        <v>14599.6264690682</v>
      </c>
      <c r="AK169" s="168">
        <v>14537.200298367083</v>
      </c>
      <c r="AL169" s="168">
        <v>14759.005757347495</v>
      </c>
      <c r="AM169" s="168">
        <v>14704.204833721264</v>
      </c>
      <c r="AN169" s="168">
        <v>14658.910103001699</v>
      </c>
      <c r="AO169" s="168">
        <v>14804.895946744418</v>
      </c>
      <c r="AP169" s="168">
        <v>14989.336390698287</v>
      </c>
      <c r="AQ169" s="168">
        <v>14953.629514043861</v>
      </c>
      <c r="AR169" s="168">
        <v>14750.070661751979</v>
      </c>
      <c r="AS169" s="168">
        <v>15059.584658314016</v>
      </c>
      <c r="AT169" s="168">
        <v>14118.962807347774</v>
      </c>
      <c r="AU169" s="168">
        <v>14422.568972688878</v>
      </c>
      <c r="AV169" s="168">
        <v>14775.551640733414</v>
      </c>
      <c r="AW169" s="168">
        <v>14712.412435080625</v>
      </c>
      <c r="AX169" s="168">
        <v>14936.61660298075</v>
      </c>
      <c r="AY169" s="168">
        <v>14881.289463173445</v>
      </c>
      <c r="AZ169" s="168">
        <v>14835.877489004522</v>
      </c>
      <c r="BA169" s="168">
        <v>14983.247580416701</v>
      </c>
      <c r="BB169" s="168">
        <v>15169.107310907128</v>
      </c>
      <c r="BC169" s="168">
        <v>15132.063679828883</v>
      </c>
      <c r="BD169" s="168">
        <v>14925.834140864486</v>
      </c>
      <c r="BE169" s="168">
        <v>15238.420123852171</v>
      </c>
      <c r="BF169" s="168">
        <v>14286.436924428886</v>
      </c>
      <c r="BG169" s="168">
        <v>14592.753960392345</v>
      </c>
      <c r="BH169" s="168">
        <v>14949.532400920392</v>
      </c>
      <c r="BI169" s="168">
        <v>14885.476175249727</v>
      </c>
      <c r="BJ169" s="168">
        <v>15111.756470684089</v>
      </c>
      <c r="BK169" s="168">
        <v>15055.475368609719</v>
      </c>
      <c r="BL169" s="168">
        <v>15009.381783932833</v>
      </c>
      <c r="BM169" s="168">
        <v>15158.124581168917</v>
      </c>
      <c r="BN169" s="168">
        <v>15346.077060336351</v>
      </c>
      <c r="BO169" s="168">
        <v>15308.374158676655</v>
      </c>
      <c r="BP169" s="168">
        <v>15100.186912990581</v>
      </c>
      <c r="BQ169" s="168">
        <v>15416.49074597781</v>
      </c>
      <c r="BR169" s="168">
        <v>14453.875866893741</v>
      </c>
      <c r="BS169" s="168">
        <v>14763.603716544092</v>
      </c>
      <c r="BT169" s="168">
        <v>15124.957157683179</v>
      </c>
      <c r="BU169" s="168">
        <v>15060.758729997888</v>
      </c>
      <c r="BV169" s="168">
        <v>15289.867592967754</v>
      </c>
      <c r="BW169" s="168">
        <v>15233.256427741686</v>
      </c>
      <c r="BX169" s="168">
        <v>15187.094229075448</v>
      </c>
      <c r="BY169" s="168">
        <v>15337.633176625854</v>
      </c>
      <c r="BZ169" s="168">
        <v>15527.870389879297</v>
      </c>
      <c r="CA169" s="168">
        <v>15489.643907272583</v>
      </c>
      <c r="CB169" s="168">
        <v>15279.37323973301</v>
      </c>
      <c r="CC169" s="168">
        <v>15599.118457970832</v>
      </c>
      <c r="CD169" s="168">
        <v>14625.051583117009</v>
      </c>
      <c r="CE169" s="168">
        <v>14937.574644542095</v>
      </c>
      <c r="CF169" s="168">
        <v>15302.783426390301</v>
      </c>
      <c r="CG169" s="168">
        <v>15237.712975791941</v>
      </c>
      <c r="CH169" s="168">
        <v>15469.05597369281</v>
      </c>
      <c r="CI169" s="168">
        <v>15411.588938424768</v>
      </c>
      <c r="CJ169" s="168">
        <v>15364.830417311003</v>
      </c>
      <c r="CK169" s="168">
        <v>15516.962691018012</v>
      </c>
      <c r="CL169" s="168">
        <v>15709.526682679927</v>
      </c>
      <c r="CM169" s="168">
        <v>15670.78477237301</v>
      </c>
      <c r="CN169" s="168">
        <v>15458.600365640725</v>
      </c>
      <c r="CO169" s="168">
        <v>15782.253197115262</v>
      </c>
    </row>
    <row r="170" spans="1:93" x14ac:dyDescent="0.2">
      <c r="A170" s="118">
        <f t="shared" si="18"/>
        <v>8</v>
      </c>
      <c r="B170" s="234" t="s">
        <v>148</v>
      </c>
      <c r="C170" s="223"/>
      <c r="D170" s="172">
        <f>SUMIF($AH$6:$CP$6,1,$AH170:$CP170)</f>
        <v>2959.6961462790582</v>
      </c>
      <c r="E170" s="225" t="s">
        <v>545</v>
      </c>
      <c r="F170" s="183">
        <v>272.61</v>
      </c>
      <c r="G170" s="233" t="s">
        <v>375</v>
      </c>
      <c r="H170" s="174">
        <f>ROUND(D170*F170,2)</f>
        <v>806842.77</v>
      </c>
      <c r="I170" s="229"/>
      <c r="J170" s="172">
        <f>SUMIF($AH$6:$CP$6,1,$AH170:$CP170)</f>
        <v>2959.6961462790582</v>
      </c>
      <c r="K170" s="225" t="s">
        <v>545</v>
      </c>
      <c r="L170" s="183">
        <f>L166</f>
        <v>279.02999999999997</v>
      </c>
      <c r="M170" s="233" t="s">
        <v>375</v>
      </c>
      <c r="N170" s="174">
        <f>ROUND(J170*L170,2)</f>
        <v>825844.02</v>
      </c>
      <c r="O170" s="227"/>
      <c r="R170" s="288"/>
      <c r="S170" s="263"/>
      <c r="T170" s="197"/>
      <c r="U170" s="178" t="s">
        <v>592</v>
      </c>
      <c r="V170" s="179">
        <v>245</v>
      </c>
      <c r="W170" s="180">
        <v>219</v>
      </c>
      <c r="Y170" s="178"/>
      <c r="Z170" s="181"/>
      <c r="AB170" s="182">
        <f>SUM(AH170:AS170)</f>
        <v>2857.0559884343106</v>
      </c>
      <c r="AC170" s="182">
        <f>SUM(AT170:BE170)</f>
        <v>2891.2803592465871</v>
      </c>
      <c r="AD170" s="182">
        <f>SUM(BF170:BQ170)</f>
        <v>2925.1727843682456</v>
      </c>
      <c r="AE170" s="182">
        <f>SUM(BR170:CC170)</f>
        <v>2959.6961462790582</v>
      </c>
      <c r="AF170" s="182">
        <f>SUM(CD170:CO170)</f>
        <v>2994.4254230516804</v>
      </c>
      <c r="AH170" s="168">
        <v>226.52270731336785</v>
      </c>
      <c r="AI170" s="168">
        <v>231.30711436052164</v>
      </c>
      <c r="AJ170" s="168">
        <v>236.96822905668864</v>
      </c>
      <c r="AK170" s="168">
        <v>235.95498264595503</v>
      </c>
      <c r="AL170" s="168">
        <v>239.55513275397689</v>
      </c>
      <c r="AM170" s="168">
        <v>238.66565261214637</v>
      </c>
      <c r="AN170" s="168">
        <v>237.93046858898282</v>
      </c>
      <c r="AO170" s="168">
        <v>240.29998173593572</v>
      </c>
      <c r="AP170" s="168">
        <v>243.2936559551205</v>
      </c>
      <c r="AQ170" s="168">
        <v>242.71409350235012</v>
      </c>
      <c r="AR170" s="168">
        <v>239.41010618194721</v>
      </c>
      <c r="AS170" s="168">
        <v>244.43386372731717</v>
      </c>
      <c r="AT170" s="168">
        <v>229.16652146292839</v>
      </c>
      <c r="AU170" s="168">
        <v>234.09438831513864</v>
      </c>
      <c r="AV170" s="168">
        <v>239.82369090458758</v>
      </c>
      <c r="AW170" s="168">
        <v>238.79887114092531</v>
      </c>
      <c r="AX170" s="168">
        <v>242.43795497139072</v>
      </c>
      <c r="AY170" s="168">
        <v>241.53993375374614</v>
      </c>
      <c r="AZ170" s="168">
        <v>240.80284673856963</v>
      </c>
      <c r="BA170" s="168">
        <v>243.19482776985521</v>
      </c>
      <c r="BB170" s="168">
        <v>246.21153859328498</v>
      </c>
      <c r="BC170" s="168">
        <v>245.61027912455549</v>
      </c>
      <c r="BD170" s="168">
        <v>242.26294357928592</v>
      </c>
      <c r="BE170" s="168">
        <v>247.33656289231914</v>
      </c>
      <c r="BF170" s="168">
        <v>231.8848132645457</v>
      </c>
      <c r="BG170" s="168">
        <v>236.85668057196921</v>
      </c>
      <c r="BH170" s="168">
        <v>242.6475927844605</v>
      </c>
      <c r="BI170" s="168">
        <v>241.60788876262177</v>
      </c>
      <c r="BJ170" s="168">
        <v>245.28067045968169</v>
      </c>
      <c r="BK170" s="168">
        <v>244.36716536993313</v>
      </c>
      <c r="BL170" s="168">
        <v>243.61901505561528</v>
      </c>
      <c r="BM170" s="168">
        <v>246.03327663420092</v>
      </c>
      <c r="BN170" s="168">
        <v>249.08395510391955</v>
      </c>
      <c r="BO170" s="168">
        <v>248.47199493798476</v>
      </c>
      <c r="BP170" s="168">
        <v>245.09288362805225</v>
      </c>
      <c r="BQ170" s="168">
        <v>250.22684779526088</v>
      </c>
      <c r="BR170" s="168">
        <v>234.60253414289045</v>
      </c>
      <c r="BS170" s="168">
        <v>239.62976276251862</v>
      </c>
      <c r="BT170" s="168">
        <v>245.49493234008892</v>
      </c>
      <c r="BU170" s="168">
        <v>244.45292022087216</v>
      </c>
      <c r="BV170" s="168">
        <v>248.17161272538155</v>
      </c>
      <c r="BW170" s="168">
        <v>247.25275034236924</v>
      </c>
      <c r="BX170" s="168">
        <v>246.50348634643913</v>
      </c>
      <c r="BY170" s="168">
        <v>248.9469014489184</v>
      </c>
      <c r="BZ170" s="168">
        <v>252.03466370234722</v>
      </c>
      <c r="CA170" s="168">
        <v>251.41420523338766</v>
      </c>
      <c r="CB170" s="168">
        <v>248.00127766191937</v>
      </c>
      <c r="CC170" s="168">
        <v>253.19109935192574</v>
      </c>
      <c r="CD170" s="168">
        <v>237.38090702913371</v>
      </c>
      <c r="CE170" s="168">
        <v>242.45350505499295</v>
      </c>
      <c r="CF170" s="168">
        <v>248.38125111437847</v>
      </c>
      <c r="CG170" s="168">
        <v>247.32508509020769</v>
      </c>
      <c r="CH170" s="168">
        <v>251.08004009767873</v>
      </c>
      <c r="CI170" s="168">
        <v>250.14728598883505</v>
      </c>
      <c r="CJ170" s="168">
        <v>249.38834301415594</v>
      </c>
      <c r="CK170" s="168">
        <v>251.85761957812119</v>
      </c>
      <c r="CL170" s="168">
        <v>254.98314804153011</v>
      </c>
      <c r="CM170" s="168">
        <v>254.35432360583968</v>
      </c>
      <c r="CN170" s="168">
        <v>250.91033391176617</v>
      </c>
      <c r="CO170" s="168">
        <v>256.16358052504057</v>
      </c>
    </row>
    <row r="171" spans="1:93" x14ac:dyDescent="0.2">
      <c r="A171" s="118">
        <f t="shared" si="18"/>
        <v>9</v>
      </c>
      <c r="B171" s="234" t="s">
        <v>216</v>
      </c>
      <c r="C171" s="223"/>
      <c r="D171" s="172">
        <f>SUMIF($AH$6:$CP$6,1,$AH171:$CP171)</f>
        <v>21.410134024064838</v>
      </c>
      <c r="E171" s="225" t="s">
        <v>545</v>
      </c>
      <c r="F171" s="183">
        <v>1344.66</v>
      </c>
      <c r="G171" s="233" t="s">
        <v>375</v>
      </c>
      <c r="H171" s="187">
        <f>ROUND(D171*F171,2)</f>
        <v>28789.35</v>
      </c>
      <c r="I171" s="229"/>
      <c r="J171" s="172">
        <f>SUMIF($AH$6:$CP$6,1,$AH171:$CP171)</f>
        <v>21.410134024064838</v>
      </c>
      <c r="K171" s="225" t="s">
        <v>545</v>
      </c>
      <c r="L171" s="183">
        <f>L167</f>
        <v>1376.31</v>
      </c>
      <c r="M171" s="233" t="s">
        <v>375</v>
      </c>
      <c r="N171" s="187">
        <f>ROUND(J171*L171,2)</f>
        <v>29466.98</v>
      </c>
      <c r="O171" s="227"/>
      <c r="P171" s="182"/>
      <c r="R171" s="186"/>
      <c r="S171" s="227"/>
      <c r="T171" s="927"/>
      <c r="U171" s="178" t="s">
        <v>592</v>
      </c>
      <c r="V171" s="179">
        <v>245</v>
      </c>
      <c r="W171" s="180">
        <v>219</v>
      </c>
      <c r="X171" s="260"/>
      <c r="Y171" s="178"/>
      <c r="Z171" s="181"/>
      <c r="AA171" s="260"/>
      <c r="AB171" s="182">
        <f>SUM(AH171:AS171)</f>
        <v>20.667645799903724</v>
      </c>
      <c r="AC171" s="182">
        <f>SUM(AT171:BE171)</f>
        <v>20.915221337987717</v>
      </c>
      <c r="AD171" s="182">
        <f>SUM(BF171:BQ171)</f>
        <v>21.16039561547818</v>
      </c>
      <c r="AE171" s="182">
        <f>SUM(BR171:CC171)</f>
        <v>21.410134024064838</v>
      </c>
      <c r="AF171" s="182">
        <f>SUM(CD171:CO171)</f>
        <v>21.661361999340436</v>
      </c>
      <c r="AH171" s="168">
        <v>1.6386416994766533</v>
      </c>
      <c r="AI171" s="168">
        <v>1.6732516023323989</v>
      </c>
      <c r="AJ171" s="168">
        <v>1.7142035171169345</v>
      </c>
      <c r="AK171" s="168">
        <v>1.7068737979900295</v>
      </c>
      <c r="AL171" s="168">
        <v>1.7329169093467152</v>
      </c>
      <c r="AM171" s="168">
        <v>1.7264825025336112</v>
      </c>
      <c r="AN171" s="168">
        <v>1.7211642577914708</v>
      </c>
      <c r="AO171" s="168">
        <v>1.7383050693953321</v>
      </c>
      <c r="AP171" s="168">
        <v>1.7599609972640478</v>
      </c>
      <c r="AQ171" s="168">
        <v>1.7557685027727705</v>
      </c>
      <c r="AR171" s="168">
        <v>1.7318678022118126</v>
      </c>
      <c r="AS171" s="168">
        <v>1.7682091416719463</v>
      </c>
      <c r="AT171" s="168">
        <v>1.6577667759977595</v>
      </c>
      <c r="AU171" s="168">
        <v>1.6934144521591155</v>
      </c>
      <c r="AV171" s="168">
        <v>1.7348596310700442</v>
      </c>
      <c r="AW171" s="168">
        <v>1.7274461915120327</v>
      </c>
      <c r="AX171" s="168">
        <v>1.7537709453665882</v>
      </c>
      <c r="AY171" s="168">
        <v>1.7472747532995758</v>
      </c>
      <c r="AZ171" s="168">
        <v>1.7419427425111824</v>
      </c>
      <c r="BA171" s="168">
        <v>1.7592460844529658</v>
      </c>
      <c r="BB171" s="168">
        <v>1.781068656720284</v>
      </c>
      <c r="BC171" s="168">
        <v>1.7767192082727059</v>
      </c>
      <c r="BD171" s="168">
        <v>1.7525049311625918</v>
      </c>
      <c r="BE171" s="168">
        <v>1.7892069654628666</v>
      </c>
      <c r="BF171" s="168">
        <v>1.6774306161059109</v>
      </c>
      <c r="BG171" s="168">
        <v>1.7133965869828982</v>
      </c>
      <c r="BH171" s="168">
        <v>1.7552874434976473</v>
      </c>
      <c r="BI171" s="168">
        <v>1.7477663327644013</v>
      </c>
      <c r="BJ171" s="168">
        <v>1.7743348534803014</v>
      </c>
      <c r="BK171" s="168">
        <v>1.7677266526932811</v>
      </c>
      <c r="BL171" s="168">
        <v>1.7623146111498178</v>
      </c>
      <c r="BM171" s="168">
        <v>1.7797791282529172</v>
      </c>
      <c r="BN171" s="168">
        <v>1.8018474189398246</v>
      </c>
      <c r="BO171" s="168">
        <v>1.7974205627618602</v>
      </c>
      <c r="BP171" s="168">
        <v>1.7729764230758172</v>
      </c>
      <c r="BQ171" s="168">
        <v>1.8101149857735026</v>
      </c>
      <c r="BR171" s="168">
        <v>1.6970903262145018</v>
      </c>
      <c r="BS171" s="168">
        <v>1.733456775064723</v>
      </c>
      <c r="BT171" s="168">
        <v>1.775884801633437</v>
      </c>
      <c r="BU171" s="168">
        <v>1.7683469943638701</v>
      </c>
      <c r="BV171" s="168">
        <v>1.7952476290847441</v>
      </c>
      <c r="BW171" s="168">
        <v>1.7886006741955749</v>
      </c>
      <c r="BX171" s="168">
        <v>1.7831805763951849</v>
      </c>
      <c r="BY171" s="168">
        <v>1.8008559870572807</v>
      </c>
      <c r="BZ171" s="168">
        <v>1.8231925379777096</v>
      </c>
      <c r="CA171" s="168">
        <v>1.8187042059597451</v>
      </c>
      <c r="CB171" s="168">
        <v>1.7940154429556689</v>
      </c>
      <c r="CC171" s="168">
        <v>1.8315580731623975</v>
      </c>
      <c r="CD171" s="168">
        <v>1.7171887866385831</v>
      </c>
      <c r="CE171" s="168">
        <v>1.7538834330536865</v>
      </c>
      <c r="CF171" s="168">
        <v>1.7967641313820004</v>
      </c>
      <c r="CG171" s="168">
        <v>1.7891239362364317</v>
      </c>
      <c r="CH171" s="168">
        <v>1.8162868901313307</v>
      </c>
      <c r="CI171" s="168">
        <v>1.809539443942658</v>
      </c>
      <c r="CJ171" s="168">
        <v>1.8040493294169047</v>
      </c>
      <c r="CK171" s="168">
        <v>1.8219118192010144</v>
      </c>
      <c r="CL171" s="168">
        <v>1.844521566955609</v>
      </c>
      <c r="CM171" s="168">
        <v>1.8399727164046271</v>
      </c>
      <c r="CN171" s="168">
        <v>1.8150592532370269</v>
      </c>
      <c r="CO171" s="168">
        <v>1.853060692740562</v>
      </c>
    </row>
    <row r="172" spans="1:93" x14ac:dyDescent="0.2">
      <c r="A172" s="118">
        <f t="shared" si="18"/>
        <v>10</v>
      </c>
      <c r="B172" s="226"/>
      <c r="C172" s="223" t="s">
        <v>374</v>
      </c>
      <c r="D172" s="206">
        <f>SUM(D165:D171)</f>
        <v>589518.86458090087</v>
      </c>
      <c r="E172" s="235" t="s">
        <v>593</v>
      </c>
      <c r="F172" s="183"/>
      <c r="G172" s="233"/>
      <c r="H172" s="206">
        <f>SUM(H165:H171)</f>
        <v>13930071.839999998</v>
      </c>
      <c r="I172" s="229"/>
      <c r="J172" s="206">
        <f>SUM(J165:J171)</f>
        <v>589518.86458090087</v>
      </c>
      <c r="K172" s="235" t="s">
        <v>593</v>
      </c>
      <c r="L172" s="183"/>
      <c r="M172" s="233"/>
      <c r="N172" s="206">
        <f>SUM(N165:N171)</f>
        <v>14259447.280000001</v>
      </c>
      <c r="O172" s="227"/>
      <c r="Q172" s="939"/>
      <c r="R172" s="227"/>
      <c r="S172" s="227"/>
      <c r="T172" s="176"/>
      <c r="U172" s="178"/>
      <c r="V172" s="179"/>
      <c r="W172" s="180"/>
      <c r="X172" s="114"/>
      <c r="Y172" s="178" t="s">
        <v>122</v>
      </c>
      <c r="Z172" s="181" t="s">
        <v>451</v>
      </c>
      <c r="AA172" s="114"/>
      <c r="AB172" s="206">
        <f>SUM(AB165:AB171)</f>
        <v>569074.76953786355</v>
      </c>
      <c r="AC172" s="206">
        <f>SUM(AC165:AC171)</f>
        <v>575891.65587520401</v>
      </c>
      <c r="AD172" s="206">
        <f>SUM(AD165:AD171)</f>
        <v>582642.42453121371</v>
      </c>
      <c r="AE172" s="206">
        <f>SUM(AE165:AE171)</f>
        <v>589518.86458090087</v>
      </c>
      <c r="AF172" s="206">
        <f>SUM(AF165:AF171)</f>
        <v>596436.31921098207</v>
      </c>
      <c r="AH172" s="206">
        <f t="shared" ref="AH172:BM172" si="19">SUM(AH165:AH171)</f>
        <v>45119.296920075583</v>
      </c>
      <c r="AI172" s="206">
        <f t="shared" si="19"/>
        <v>46072.265762393035</v>
      </c>
      <c r="AJ172" s="206">
        <f t="shared" si="19"/>
        <v>47199.859185164598</v>
      </c>
      <c r="AK172" s="206">
        <f t="shared" si="19"/>
        <v>46998.038510313469</v>
      </c>
      <c r="AL172" s="206">
        <f t="shared" si="19"/>
        <v>47715.124420186374</v>
      </c>
      <c r="AM172" s="206">
        <f t="shared" si="19"/>
        <v>47537.955786190476</v>
      </c>
      <c r="AN172" s="206">
        <f t="shared" si="19"/>
        <v>47391.520196463374</v>
      </c>
      <c r="AO172" s="206">
        <f t="shared" si="19"/>
        <v>47863.485097913603</v>
      </c>
      <c r="AP172" s="206">
        <f t="shared" si="19"/>
        <v>48459.771790666739</v>
      </c>
      <c r="AQ172" s="206">
        <f t="shared" si="19"/>
        <v>48344.333251632757</v>
      </c>
      <c r="AR172" s="206">
        <f t="shared" si="19"/>
        <v>47686.237704844178</v>
      </c>
      <c r="AS172" s="206">
        <f t="shared" si="19"/>
        <v>48686.880912019187</v>
      </c>
      <c r="AT172" s="206">
        <f t="shared" si="19"/>
        <v>45645.897705622883</v>
      </c>
      <c r="AU172" s="206">
        <f t="shared" si="19"/>
        <v>46627.441191150327</v>
      </c>
      <c r="AV172" s="206">
        <f t="shared" si="19"/>
        <v>47768.616430243215</v>
      </c>
      <c r="AW172" s="206">
        <f t="shared" si="19"/>
        <v>47564.490549201757</v>
      </c>
      <c r="AX172" s="206">
        <f t="shared" si="19"/>
        <v>48289.331364549565</v>
      </c>
      <c r="AY172" s="206">
        <f t="shared" si="19"/>
        <v>48110.461500066704</v>
      </c>
      <c r="AZ172" s="206">
        <f t="shared" si="19"/>
        <v>47963.64686815576</v>
      </c>
      <c r="BA172" s="206">
        <f t="shared" si="19"/>
        <v>48440.086972804791</v>
      </c>
      <c r="BB172" s="206">
        <f t="shared" si="19"/>
        <v>49040.96214765442</v>
      </c>
      <c r="BC172" s="206">
        <f t="shared" si="19"/>
        <v>48921.201948699701</v>
      </c>
      <c r="BD172" s="206">
        <f t="shared" si="19"/>
        <v>48254.472206020044</v>
      </c>
      <c r="BE172" s="206">
        <f t="shared" si="19"/>
        <v>49265.04699103484</v>
      </c>
      <c r="BF172" s="206">
        <f t="shared" si="19"/>
        <v>46187.33311564078</v>
      </c>
      <c r="BG172" s="206">
        <f t="shared" si="19"/>
        <v>47177.640709751111</v>
      </c>
      <c r="BH172" s="206">
        <f t="shared" si="19"/>
        <v>48331.087490660502</v>
      </c>
      <c r="BI172" s="206">
        <f t="shared" si="19"/>
        <v>48123.996929953755</v>
      </c>
      <c r="BJ172" s="206">
        <f t="shared" si="19"/>
        <v>48855.549761357193</v>
      </c>
      <c r="BK172" s="206">
        <f t="shared" si="19"/>
        <v>48673.595784772631</v>
      </c>
      <c r="BL172" s="206">
        <f t="shared" si="19"/>
        <v>48524.577540319733</v>
      </c>
      <c r="BM172" s="206">
        <f t="shared" si="19"/>
        <v>49005.455533960543</v>
      </c>
      <c r="BN172" s="206">
        <f t="shared" ref="BN172:CO172" si="20">SUM(BN165:BN171)</f>
        <v>49613.096460185669</v>
      </c>
      <c r="BO172" s="206">
        <f t="shared" si="20"/>
        <v>49491.204872549504</v>
      </c>
      <c r="BP172" s="206">
        <f t="shared" si="20"/>
        <v>48818.145962354174</v>
      </c>
      <c r="BQ172" s="206">
        <f t="shared" si="20"/>
        <v>49840.740369708066</v>
      </c>
      <c r="BR172" s="206">
        <f t="shared" si="20"/>
        <v>46728.654807890794</v>
      </c>
      <c r="BS172" s="206">
        <f t="shared" si="20"/>
        <v>47729.989391360694</v>
      </c>
      <c r="BT172" s="206">
        <f t="shared" si="20"/>
        <v>48898.226919490276</v>
      </c>
      <c r="BU172" s="206">
        <f t="shared" si="20"/>
        <v>48690.67662681159</v>
      </c>
      <c r="BV172" s="206">
        <f t="shared" si="20"/>
        <v>49431.374075007399</v>
      </c>
      <c r="BW172" s="206">
        <f t="shared" si="20"/>
        <v>49248.35302082909</v>
      </c>
      <c r="BX172" s="206">
        <f t="shared" si="20"/>
        <v>49099.112950794384</v>
      </c>
      <c r="BY172" s="206">
        <f t="shared" si="20"/>
        <v>49585.797808199197</v>
      </c>
      <c r="BZ172" s="206">
        <f t="shared" si="20"/>
        <v>50200.825164985676</v>
      </c>
      <c r="CA172" s="206">
        <f t="shared" si="20"/>
        <v>50077.240866441884</v>
      </c>
      <c r="CB172" s="206">
        <f t="shared" si="20"/>
        <v>49397.44635802308</v>
      </c>
      <c r="CC172" s="206">
        <f t="shared" si="20"/>
        <v>50431.1665910667</v>
      </c>
      <c r="CD172" s="206">
        <f t="shared" si="20"/>
        <v>47282.057302041969</v>
      </c>
      <c r="CE172" s="206">
        <f t="shared" si="20"/>
        <v>48292.4286648048</v>
      </c>
      <c r="CF172" s="206">
        <f t="shared" si="20"/>
        <v>49473.130315832794</v>
      </c>
      <c r="CG172" s="206">
        <f t="shared" si="20"/>
        <v>49262.760816868904</v>
      </c>
      <c r="CH172" s="206">
        <f t="shared" si="20"/>
        <v>50010.681111098995</v>
      </c>
      <c r="CI172" s="206">
        <f t="shared" si="20"/>
        <v>49824.893072056533</v>
      </c>
      <c r="CJ172" s="206">
        <f t="shared" si="20"/>
        <v>49673.725121496143</v>
      </c>
      <c r="CK172" s="206">
        <f t="shared" si="20"/>
        <v>50165.561122348845</v>
      </c>
      <c r="CL172" s="206">
        <f t="shared" si="20"/>
        <v>50788.110836879721</v>
      </c>
      <c r="CM172" s="206">
        <f t="shared" si="20"/>
        <v>50662.860186465805</v>
      </c>
      <c r="CN172" s="206">
        <f t="shared" si="20"/>
        <v>49976.878655344437</v>
      </c>
      <c r="CO172" s="206">
        <f t="shared" si="20"/>
        <v>51023.232005743062</v>
      </c>
    </row>
    <row r="173" spans="1:93" x14ac:dyDescent="0.2">
      <c r="A173" s="118">
        <f t="shared" si="18"/>
        <v>11</v>
      </c>
      <c r="B173" s="226"/>
      <c r="C173" s="223"/>
      <c r="D173" s="168"/>
      <c r="E173" s="237"/>
      <c r="F173" s="183"/>
      <c r="G173" s="233"/>
      <c r="H173" s="203"/>
      <c r="I173" s="229"/>
      <c r="J173" s="168"/>
      <c r="K173" s="237"/>
      <c r="L173" s="183"/>
      <c r="M173" s="233"/>
      <c r="N173" s="203"/>
      <c r="O173" s="227"/>
      <c r="R173" s="227"/>
      <c r="S173" s="227"/>
      <c r="T173" s="227"/>
      <c r="U173" s="178"/>
      <c r="V173" s="179"/>
      <c r="W173" s="180"/>
      <c r="X173" s="114"/>
      <c r="Y173" s="178"/>
      <c r="Z173" s="181"/>
      <c r="AA173" s="114"/>
      <c r="AB173" s="193">
        <f>SUM(AH173:AS173)</f>
        <v>0</v>
      </c>
      <c r="AC173" s="193">
        <f>SUM(AT173:BE173)</f>
        <v>0</v>
      </c>
      <c r="AD173" s="193">
        <f>SUM(BF173:BQ173)</f>
        <v>0</v>
      </c>
      <c r="AE173" s="193">
        <f>SUM(BR173:CC173)</f>
        <v>0</v>
      </c>
      <c r="AF173" s="193">
        <f>SUM(CD173:CO173)</f>
        <v>0</v>
      </c>
      <c r="AH173" s="193">
        <v>0</v>
      </c>
      <c r="AI173" s="193">
        <v>0</v>
      </c>
      <c r="AJ173" s="193">
        <v>0</v>
      </c>
      <c r="AK173" s="193">
        <v>0</v>
      </c>
      <c r="AL173" s="193">
        <v>0</v>
      </c>
      <c r="AM173" s="193">
        <v>0</v>
      </c>
      <c r="AN173" s="193">
        <v>0</v>
      </c>
      <c r="AO173" s="193">
        <v>0</v>
      </c>
      <c r="AP173" s="193">
        <v>0</v>
      </c>
      <c r="AQ173" s="193">
        <v>0</v>
      </c>
      <c r="AR173" s="193">
        <v>0</v>
      </c>
      <c r="AS173" s="193">
        <v>0</v>
      </c>
      <c r="AT173" s="193">
        <v>0</v>
      </c>
      <c r="AU173" s="193">
        <v>0</v>
      </c>
      <c r="AV173" s="193">
        <v>0</v>
      </c>
      <c r="AW173" s="193">
        <v>0</v>
      </c>
      <c r="AX173" s="193">
        <v>0</v>
      </c>
      <c r="AY173" s="193">
        <v>0</v>
      </c>
      <c r="AZ173" s="193">
        <v>0</v>
      </c>
      <c r="BA173" s="193">
        <v>0</v>
      </c>
      <c r="BB173" s="193">
        <v>0</v>
      </c>
      <c r="BC173" s="193">
        <v>0</v>
      </c>
      <c r="BD173" s="193">
        <v>0</v>
      </c>
      <c r="BE173" s="193">
        <v>0</v>
      </c>
      <c r="BF173" s="193">
        <v>0</v>
      </c>
      <c r="BG173" s="193">
        <v>0</v>
      </c>
      <c r="BH173" s="193">
        <v>0</v>
      </c>
      <c r="BI173" s="193">
        <v>0</v>
      </c>
      <c r="BJ173" s="193">
        <v>0</v>
      </c>
      <c r="BK173" s="193">
        <v>0</v>
      </c>
      <c r="BL173" s="193">
        <v>0</v>
      </c>
      <c r="BM173" s="193">
        <v>0</v>
      </c>
      <c r="BN173" s="193">
        <v>0</v>
      </c>
      <c r="BO173" s="193">
        <v>0</v>
      </c>
      <c r="BP173" s="193">
        <v>0</v>
      </c>
      <c r="BQ173" s="193">
        <v>0</v>
      </c>
      <c r="BR173" s="193">
        <v>0</v>
      </c>
      <c r="BS173" s="193">
        <v>0</v>
      </c>
      <c r="BT173" s="193">
        <v>0</v>
      </c>
      <c r="BU173" s="193">
        <v>0</v>
      </c>
      <c r="BV173" s="193">
        <v>0</v>
      </c>
      <c r="BW173" s="193">
        <v>0</v>
      </c>
      <c r="BX173" s="193">
        <v>0</v>
      </c>
      <c r="BY173" s="193">
        <v>0</v>
      </c>
      <c r="BZ173" s="193">
        <v>0</v>
      </c>
      <c r="CA173" s="193">
        <v>0</v>
      </c>
      <c r="CB173" s="193">
        <v>0</v>
      </c>
      <c r="CC173" s="193">
        <v>0</v>
      </c>
      <c r="CD173" s="193">
        <v>0</v>
      </c>
      <c r="CE173" s="193">
        <v>0</v>
      </c>
      <c r="CF173" s="193">
        <v>0</v>
      </c>
      <c r="CG173" s="193">
        <v>0</v>
      </c>
      <c r="CH173" s="193">
        <v>0</v>
      </c>
      <c r="CI173" s="193">
        <v>0</v>
      </c>
      <c r="CJ173" s="193">
        <v>0</v>
      </c>
      <c r="CK173" s="193">
        <v>0</v>
      </c>
      <c r="CL173" s="193">
        <v>0</v>
      </c>
      <c r="CM173" s="193">
        <v>0</v>
      </c>
      <c r="CN173" s="193">
        <v>0</v>
      </c>
      <c r="CO173" s="193">
        <v>0</v>
      </c>
    </row>
    <row r="174" spans="1:93" x14ac:dyDescent="0.2">
      <c r="A174" s="118">
        <f t="shared" si="18"/>
        <v>12</v>
      </c>
      <c r="B174" s="239" t="s">
        <v>594</v>
      </c>
      <c r="C174" s="223"/>
      <c r="D174" s="168"/>
      <c r="E174" s="225"/>
      <c r="F174" s="183"/>
      <c r="G174" s="233"/>
      <c r="H174" s="174"/>
      <c r="I174" s="229"/>
      <c r="J174" s="168"/>
      <c r="K174" s="225"/>
      <c r="L174" s="183"/>
      <c r="M174" s="233"/>
      <c r="N174" s="174"/>
      <c r="O174" s="227"/>
      <c r="R174" s="227"/>
      <c r="S174" s="227"/>
      <c r="T174" s="227"/>
      <c r="U174" s="184"/>
      <c r="V174" s="179"/>
      <c r="W174" s="180"/>
      <c r="X174" s="114"/>
      <c r="Y174" s="184"/>
      <c r="Z174" s="181"/>
      <c r="AA174" s="114"/>
      <c r="AB174" s="238"/>
      <c r="AC174" s="114"/>
    </row>
    <row r="175" spans="1:93" x14ac:dyDescent="0.2">
      <c r="A175" s="118">
        <f t="shared" si="18"/>
        <v>13</v>
      </c>
      <c r="B175" s="228" t="s">
        <v>595</v>
      </c>
      <c r="C175" s="223"/>
      <c r="D175" s="168"/>
      <c r="E175" s="225"/>
      <c r="F175" s="183"/>
      <c r="G175" s="233"/>
      <c r="H175" s="174"/>
      <c r="I175" s="229"/>
      <c r="J175" s="168"/>
      <c r="K175" s="225"/>
      <c r="L175" s="310"/>
      <c r="M175" s="233"/>
      <c r="N175" s="174"/>
      <c r="O175" s="227"/>
      <c r="R175" s="227"/>
      <c r="S175" s="227"/>
      <c r="T175" s="227"/>
      <c r="U175" s="184"/>
      <c r="V175" s="179"/>
      <c r="W175" s="180"/>
      <c r="X175" s="245"/>
      <c r="Y175" s="184"/>
      <c r="Z175" s="181"/>
      <c r="AA175" s="245"/>
      <c r="AB175" s="241"/>
      <c r="AC175" s="114"/>
    </row>
    <row r="176" spans="1:93" x14ac:dyDescent="0.2">
      <c r="A176" s="118">
        <f t="shared" si="18"/>
        <v>14</v>
      </c>
      <c r="B176" s="234" t="s">
        <v>149</v>
      </c>
      <c r="C176" s="223"/>
      <c r="D176" s="172">
        <f>SUMIF($AH$6:$CP$6,1,$AH176:$CP176)</f>
        <v>10725376.603371939</v>
      </c>
      <c r="E176" s="225" t="s">
        <v>596</v>
      </c>
      <c r="F176" s="183">
        <v>9.3800000000000008</v>
      </c>
      <c r="G176" s="233" t="s">
        <v>375</v>
      </c>
      <c r="H176" s="174">
        <f>ROUND(D176*F176,2)</f>
        <v>100604032.54000001</v>
      </c>
      <c r="I176" s="229"/>
      <c r="J176" s="172">
        <f>SUMIF($AH$6:$CP$6,1,$AH176:$CP176)</f>
        <v>10725376.603371939</v>
      </c>
      <c r="K176" s="225" t="s">
        <v>596</v>
      </c>
      <c r="L176" s="173">
        <f>'Exhibit MJC-3 - E-13c cal yr'!L191</f>
        <v>9.68</v>
      </c>
      <c r="M176" s="233" t="s">
        <v>375</v>
      </c>
      <c r="N176" s="174">
        <f>ROUND(J176*L176,2)</f>
        <v>103821645.52</v>
      </c>
      <c r="O176" s="227"/>
      <c r="Q176" s="1022"/>
      <c r="R176" s="227"/>
      <c r="S176" s="262"/>
      <c r="T176" s="247"/>
      <c r="U176" s="184" t="s">
        <v>122</v>
      </c>
      <c r="V176" s="179">
        <v>244</v>
      </c>
      <c r="W176" s="180">
        <v>218</v>
      </c>
      <c r="X176" s="245"/>
      <c r="Y176" s="184"/>
      <c r="Z176" s="181"/>
      <c r="AA176" s="245"/>
      <c r="AB176" s="182">
        <f>SUM(AH176:AS176)</f>
        <v>10569565.465304464</v>
      </c>
      <c r="AC176" s="182">
        <f>SUM(AT176:BE176)</f>
        <v>10624955.856831726</v>
      </c>
      <c r="AD176" s="182">
        <f>SUM(BF176:BQ176)</f>
        <v>10672219.183253082</v>
      </c>
      <c r="AE176" s="182">
        <f>SUM(BR176:CC176)</f>
        <v>10725376.603371939</v>
      </c>
      <c r="AF176" s="182">
        <f>SUM(CD176:CO176)</f>
        <v>10789885.821678326</v>
      </c>
      <c r="AH176" s="175">
        <v>886486.95234748791</v>
      </c>
      <c r="AI176" s="175">
        <v>732295.96487570426</v>
      </c>
      <c r="AJ176" s="175">
        <v>672912.35025174508</v>
      </c>
      <c r="AK176" s="175">
        <v>781416.57583195565</v>
      </c>
      <c r="AL176" s="175">
        <v>909585.30621138331</v>
      </c>
      <c r="AM176" s="175">
        <v>1003129.3177020162</v>
      </c>
      <c r="AN176" s="175">
        <v>966724.24312810635</v>
      </c>
      <c r="AO176" s="175">
        <v>1065931.9696008386</v>
      </c>
      <c r="AP176" s="175">
        <v>1021750.3762418146</v>
      </c>
      <c r="AQ176" s="175">
        <v>935981.17816602823</v>
      </c>
      <c r="AR176" s="175">
        <v>852743.68894200458</v>
      </c>
      <c r="AS176" s="175">
        <v>740607.54200538131</v>
      </c>
      <c r="AT176" s="175">
        <v>872819.34681715234</v>
      </c>
      <c r="AU176" s="175">
        <v>726715.13998778816</v>
      </c>
      <c r="AV176" s="175">
        <v>656685.07943511708</v>
      </c>
      <c r="AW176" s="175">
        <v>784319.32571831264</v>
      </c>
      <c r="AX176" s="175">
        <v>903362.92385796958</v>
      </c>
      <c r="AY176" s="175">
        <v>981147.18579723989</v>
      </c>
      <c r="AZ176" s="175">
        <v>999900.03479244129</v>
      </c>
      <c r="BA176" s="175">
        <v>1077587.8358458332</v>
      </c>
      <c r="BB176" s="175">
        <v>1041653.4420400891</v>
      </c>
      <c r="BC176" s="175">
        <v>962540.53229694802</v>
      </c>
      <c r="BD176" s="175">
        <v>875122.77483851975</v>
      </c>
      <c r="BE176" s="175">
        <v>743102.23540431459</v>
      </c>
      <c r="BF176" s="175">
        <v>859352.80312262196</v>
      </c>
      <c r="BG176" s="175">
        <v>734783.77511191252</v>
      </c>
      <c r="BH176" s="175">
        <v>666142.20437387761</v>
      </c>
      <c r="BI176" s="175">
        <v>776788.28329428285</v>
      </c>
      <c r="BJ176" s="175">
        <v>907974.3165809632</v>
      </c>
      <c r="BK176" s="175">
        <v>1000025.8340771872</v>
      </c>
      <c r="BL176" s="175">
        <v>1008092.5536922147</v>
      </c>
      <c r="BM176" s="175">
        <v>1089439.9717561859</v>
      </c>
      <c r="BN176" s="175">
        <v>1045859.7735670512</v>
      </c>
      <c r="BO176" s="175">
        <v>952658.25900793239</v>
      </c>
      <c r="BP176" s="175">
        <v>871847.12019228644</v>
      </c>
      <c r="BQ176" s="175">
        <v>759254.28847656562</v>
      </c>
      <c r="BR176" s="175">
        <v>857661.79949135787</v>
      </c>
      <c r="BS176" s="175">
        <v>726257.93356297549</v>
      </c>
      <c r="BT176" s="175">
        <v>674605.35598806513</v>
      </c>
      <c r="BU176" s="175">
        <v>790638.82398596162</v>
      </c>
      <c r="BV176" s="175">
        <v>888466.99832873011</v>
      </c>
      <c r="BW176" s="175">
        <v>1019182.2019078535</v>
      </c>
      <c r="BX176" s="175">
        <v>1026874.1000884171</v>
      </c>
      <c r="BY176" s="175">
        <v>1100153.7995565927</v>
      </c>
      <c r="BZ176" s="175">
        <v>1051037.1986901013</v>
      </c>
      <c r="CA176" s="175">
        <v>963741.80911492952</v>
      </c>
      <c r="CB176" s="175">
        <v>876728.00342086621</v>
      </c>
      <c r="CC176" s="175">
        <v>750028.57923608879</v>
      </c>
      <c r="CD176" s="175">
        <v>863239.34257729631</v>
      </c>
      <c r="CE176" s="175">
        <v>718983.37377175898</v>
      </c>
      <c r="CF176" s="175">
        <v>659453.93073652021</v>
      </c>
      <c r="CG176" s="175">
        <v>806752.95137692511</v>
      </c>
      <c r="CH176" s="175">
        <v>912187.06310658308</v>
      </c>
      <c r="CI176" s="175">
        <v>1007457.488517588</v>
      </c>
      <c r="CJ176" s="175">
        <v>1028594.0314669365</v>
      </c>
      <c r="CK176" s="175">
        <v>1106367.7868163963</v>
      </c>
      <c r="CL176" s="175">
        <v>1078048.9759564649</v>
      </c>
      <c r="CM176" s="175">
        <v>969380.36313716893</v>
      </c>
      <c r="CN176" s="175">
        <v>889617.478684325</v>
      </c>
      <c r="CO176" s="175">
        <v>749803.03553036321</v>
      </c>
    </row>
    <row r="177" spans="1:93" x14ac:dyDescent="0.2">
      <c r="A177" s="118">
        <f t="shared" si="18"/>
        <v>15</v>
      </c>
      <c r="B177" s="234" t="s">
        <v>148</v>
      </c>
      <c r="C177" s="223"/>
      <c r="D177" s="172">
        <f>SUMIF($AH$6:$CP$6,1,$AH177:$CP177)</f>
        <v>271955.06287337415</v>
      </c>
      <c r="E177" s="225" t="s">
        <v>596</v>
      </c>
      <c r="F177" s="183">
        <v>8.08</v>
      </c>
      <c r="G177" s="233" t="s">
        <v>375</v>
      </c>
      <c r="H177" s="174">
        <f>ROUND(D177*F177,2)</f>
        <v>2197396.91</v>
      </c>
      <c r="I177" s="229"/>
      <c r="J177" s="172">
        <f>SUMIF($AH$6:$CP$6,1,$AH177:$CP177)</f>
        <v>271955.06287337415</v>
      </c>
      <c r="K177" s="225" t="s">
        <v>596</v>
      </c>
      <c r="L177" s="173">
        <f>'Exhibit MJC-3 - E-13c cal yr'!L192</f>
        <v>8.34</v>
      </c>
      <c r="M177" s="233" t="s">
        <v>375</v>
      </c>
      <c r="N177" s="174">
        <f>ROUND(J177*L177,2)</f>
        <v>2268105.2200000002</v>
      </c>
      <c r="O177" s="227"/>
      <c r="R177" s="227"/>
      <c r="S177" s="262"/>
      <c r="T177" s="247"/>
      <c r="U177" s="184" t="s">
        <v>122</v>
      </c>
      <c r="V177" s="179">
        <v>244</v>
      </c>
      <c r="W177" s="180">
        <v>218</v>
      </c>
      <c r="X177" s="245"/>
      <c r="Y177" s="184"/>
      <c r="Z177" s="181"/>
      <c r="AA177" s="245"/>
      <c r="AB177" s="182">
        <f>SUM(AH177:AS177)</f>
        <v>268004.28059164144</v>
      </c>
      <c r="AC177" s="182">
        <f>SUM(AT177:BE177)</f>
        <v>269408.77182467101</v>
      </c>
      <c r="AD177" s="182">
        <f>SUM(BF177:BQ177)</f>
        <v>270607.19136590033</v>
      </c>
      <c r="AE177" s="182">
        <f>SUM(BR177:CC177)</f>
        <v>271955.06287337415</v>
      </c>
      <c r="AF177" s="182">
        <f>SUM(CD177:CO177)</f>
        <v>273590.77313038352</v>
      </c>
      <c r="AH177" s="175">
        <v>15003.608016747909</v>
      </c>
      <c r="AI177" s="175">
        <v>22995.43964124348</v>
      </c>
      <c r="AJ177" s="175">
        <v>21269.902815692578</v>
      </c>
      <c r="AK177" s="175">
        <v>18019.71032236372</v>
      </c>
      <c r="AL177" s="175">
        <v>28954.339184735003</v>
      </c>
      <c r="AM177" s="175">
        <v>23113.793272261093</v>
      </c>
      <c r="AN177" s="175">
        <v>21372.597279986196</v>
      </c>
      <c r="AO177" s="175">
        <v>26961.233222185449</v>
      </c>
      <c r="AP177" s="175">
        <v>25843.321190588598</v>
      </c>
      <c r="AQ177" s="175">
        <v>26366.373847046812</v>
      </c>
      <c r="AR177" s="175">
        <v>20871.726453338357</v>
      </c>
      <c r="AS177" s="175">
        <v>17232.235345452242</v>
      </c>
      <c r="AT177" s="175">
        <v>14794.653400287145</v>
      </c>
      <c r="AU177" s="175">
        <v>22851.175065267009</v>
      </c>
      <c r="AV177" s="175">
        <v>20754.512877910347</v>
      </c>
      <c r="AW177" s="175">
        <v>18101.347220874479</v>
      </c>
      <c r="AX177" s="175">
        <v>28768.313792430497</v>
      </c>
      <c r="AY177" s="175">
        <v>22592.134241625754</v>
      </c>
      <c r="AZ177" s="175">
        <v>22107.981940556485</v>
      </c>
      <c r="BA177" s="175">
        <v>27258.067010073144</v>
      </c>
      <c r="BB177" s="175">
        <v>26349.160866621667</v>
      </c>
      <c r="BC177" s="175">
        <v>27117.193847550498</v>
      </c>
      <c r="BD177" s="175">
        <v>21422.157458769674</v>
      </c>
      <c r="BE177" s="175">
        <v>17292.0741027043</v>
      </c>
      <c r="BF177" s="175">
        <v>14598.108674898725</v>
      </c>
      <c r="BG177" s="175">
        <v>23144.627919290782</v>
      </c>
      <c r="BH177" s="175">
        <v>21025.558408862395</v>
      </c>
      <c r="BI177" s="175">
        <v>17936.705753871389</v>
      </c>
      <c r="BJ177" s="175">
        <v>28907.056182257973</v>
      </c>
      <c r="BK177" s="175">
        <v>22971.196762390653</v>
      </c>
      <c r="BL177" s="175">
        <v>22268.842751741464</v>
      </c>
      <c r="BM177" s="175">
        <v>27532.05300133552</v>
      </c>
      <c r="BN177" s="175">
        <v>26431.635145612308</v>
      </c>
      <c r="BO177" s="175">
        <v>26814.882245073833</v>
      </c>
      <c r="BP177" s="175">
        <v>21324.080597077958</v>
      </c>
      <c r="BQ177" s="175">
        <v>17652.443923487328</v>
      </c>
      <c r="BR177" s="175">
        <v>14633.017854799622</v>
      </c>
      <c r="BS177" s="175">
        <v>22961.053392532143</v>
      </c>
      <c r="BT177" s="175">
        <v>21286.205436328521</v>
      </c>
      <c r="BU177" s="175">
        <v>18294.6625468083</v>
      </c>
      <c r="BV177" s="175">
        <v>28315.703087071408</v>
      </c>
      <c r="BW177" s="175">
        <v>23370.542125750726</v>
      </c>
      <c r="BX177" s="175">
        <v>22689.131733827333</v>
      </c>
      <c r="BY177" s="175">
        <v>27808.432772096232</v>
      </c>
      <c r="BZ177" s="175">
        <v>26568.94551792906</v>
      </c>
      <c r="CA177" s="175">
        <v>27133.976059877921</v>
      </c>
      <c r="CB177" s="175">
        <v>21450.536350709823</v>
      </c>
      <c r="CC177" s="175">
        <v>17442.855995643018</v>
      </c>
      <c r="CD177" s="175">
        <v>14711.496406484108</v>
      </c>
      <c r="CE177" s="175">
        <v>22711.509149418955</v>
      </c>
      <c r="CF177" s="175">
        <v>20818.841691592213</v>
      </c>
      <c r="CG177" s="175">
        <v>18662.425752250318</v>
      </c>
      <c r="CH177" s="175">
        <v>29073.853513528196</v>
      </c>
      <c r="CI177" s="175">
        <v>23124.597117082838</v>
      </c>
      <c r="CJ177" s="175">
        <v>22734.708192978953</v>
      </c>
      <c r="CK177" s="175">
        <v>27975.167808714439</v>
      </c>
      <c r="CL177" s="175">
        <v>27260.855337574929</v>
      </c>
      <c r="CM177" s="175">
        <v>27301.624045430344</v>
      </c>
      <c r="CN177" s="175">
        <v>21772.52278427246</v>
      </c>
      <c r="CO177" s="175">
        <v>17443.171331055779</v>
      </c>
    </row>
    <row r="178" spans="1:93" x14ac:dyDescent="0.2">
      <c r="A178" s="118">
        <f t="shared" si="18"/>
        <v>16</v>
      </c>
      <c r="B178" s="234" t="s">
        <v>597</v>
      </c>
      <c r="C178" s="223"/>
      <c r="D178" s="172">
        <f>SUMIF($AH$6:$CP$6,1,$AH178:$CP178)</f>
        <v>388.67626969648086</v>
      </c>
      <c r="E178" s="225" t="s">
        <v>596</v>
      </c>
      <c r="F178" s="183">
        <v>3.2</v>
      </c>
      <c r="G178" s="233" t="s">
        <v>375</v>
      </c>
      <c r="H178" s="174">
        <f>ROUND(D178*F178,2)</f>
        <v>1243.76</v>
      </c>
      <c r="I178" s="229"/>
      <c r="J178" s="172">
        <f>SUMIF($AH$6:$CP$6,1,$AH178:$CP178)</f>
        <v>388.67626969648086</v>
      </c>
      <c r="K178" s="225" t="s">
        <v>596</v>
      </c>
      <c r="L178" s="173">
        <f>'Exhibit MJC-3 - E-13c cal yr'!L193</f>
        <v>3.21</v>
      </c>
      <c r="M178" s="233" t="s">
        <v>375</v>
      </c>
      <c r="N178" s="174">
        <f>ROUND(J178*L178,2)</f>
        <v>1247.6500000000001</v>
      </c>
      <c r="O178" s="227"/>
      <c r="P178" s="182"/>
      <c r="S178" s="262"/>
      <c r="T178" s="247"/>
      <c r="U178" s="184" t="s">
        <v>122</v>
      </c>
      <c r="V178" s="179">
        <v>244</v>
      </c>
      <c r="W178" s="180">
        <v>218</v>
      </c>
      <c r="Y178" s="184"/>
      <c r="Z178" s="181"/>
      <c r="AB178" s="182"/>
      <c r="AC178" s="114"/>
      <c r="AH178" s="175">
        <v>2.427901766741468</v>
      </c>
      <c r="AI178" s="175">
        <v>1.6817819949236843</v>
      </c>
      <c r="AJ178" s="175">
        <v>0</v>
      </c>
      <c r="AK178" s="175">
        <v>0.39458153506233701</v>
      </c>
      <c r="AL178" s="175">
        <v>6.4134206154617068</v>
      </c>
      <c r="AM178" s="175">
        <v>279.97128128175484</v>
      </c>
      <c r="AN178" s="175">
        <v>-270.11997191299622</v>
      </c>
      <c r="AO178" s="175">
        <v>64.719987376083722</v>
      </c>
      <c r="AP178" s="175">
        <v>69.138008691938794</v>
      </c>
      <c r="AQ178" s="175">
        <v>71.643726839552016</v>
      </c>
      <c r="AR178" s="175">
        <v>72.74214679376918</v>
      </c>
      <c r="AS178" s="175">
        <v>84.016974368592997</v>
      </c>
      <c r="AT178" s="175">
        <v>2.36190462628785</v>
      </c>
      <c r="AU178" s="175">
        <v>1.649230409521762</v>
      </c>
      <c r="AV178" s="175">
        <v>0</v>
      </c>
      <c r="AW178" s="175">
        <v>0.52983079476337747</v>
      </c>
      <c r="AX178" s="175">
        <v>9.7754887364760989</v>
      </c>
      <c r="AY178" s="175">
        <v>366.33947688243893</v>
      </c>
      <c r="AZ178" s="175">
        <v>-373.76487827903895</v>
      </c>
      <c r="BA178" s="175">
        <v>67.474811966951549</v>
      </c>
      <c r="BB178" s="175">
        <v>72.670066730043459</v>
      </c>
      <c r="BC178" s="175">
        <v>75.330422389021479</v>
      </c>
      <c r="BD178" s="175">
        <v>76.878177046139029</v>
      </c>
      <c r="BE178" s="175">
        <v>85.792597074296381</v>
      </c>
      <c r="BF178" s="175">
        <v>2.3241317242206128</v>
      </c>
      <c r="BG178" s="175">
        <v>1.6667490947281016</v>
      </c>
      <c r="BH178" s="175">
        <v>0</v>
      </c>
      <c r="BI178" s="175">
        <v>0.49182176703550073</v>
      </c>
      <c r="BJ178" s="175">
        <v>8.9868034345466938</v>
      </c>
      <c r="BK178" s="175">
        <v>349.96432868005735</v>
      </c>
      <c r="BL178" s="175">
        <v>-353.18424350450971</v>
      </c>
      <c r="BM178" s="175">
        <v>67.511481530410009</v>
      </c>
      <c r="BN178" s="175">
        <v>72.213769302981888</v>
      </c>
      <c r="BO178" s="175">
        <v>73.933479466997127</v>
      </c>
      <c r="BP178" s="175">
        <v>75.823264460992391</v>
      </c>
      <c r="BQ178" s="175">
        <v>87.018315227915082</v>
      </c>
      <c r="BR178" s="175">
        <v>2.3230573679277242</v>
      </c>
      <c r="BS178" s="175">
        <v>1.6500057692224561</v>
      </c>
      <c r="BT178" s="175">
        <v>0</v>
      </c>
      <c r="BU178" s="175">
        <v>0.50245807096222961</v>
      </c>
      <c r="BV178" s="175">
        <v>8.8338840074959197</v>
      </c>
      <c r="BW178" s="175">
        <v>357.99958802652071</v>
      </c>
      <c r="BX178" s="175">
        <v>-361.10498517042856</v>
      </c>
      <c r="BY178" s="175">
        <v>68.308450605536876</v>
      </c>
      <c r="BZ178" s="175">
        <v>72.712839837107396</v>
      </c>
      <c r="CA178" s="175">
        <v>74.934884945608559</v>
      </c>
      <c r="CB178" s="175">
        <v>76.395832231893053</v>
      </c>
      <c r="CC178" s="175">
        <v>86.120254004634518</v>
      </c>
      <c r="CD178" s="175">
        <v>2.3297822156195651</v>
      </c>
      <c r="CE178" s="175">
        <v>1.6276820548464581</v>
      </c>
      <c r="CF178" s="175">
        <v>0</v>
      </c>
      <c r="CG178" s="175">
        <v>0.55075822308925215</v>
      </c>
      <c r="CH178" s="175">
        <v>10.021830712959494</v>
      </c>
      <c r="CI178" s="175">
        <v>380.1517479895698</v>
      </c>
      <c r="CJ178" s="175">
        <v>-388.56022868909923</v>
      </c>
      <c r="CK178" s="175">
        <v>69.261461822790935</v>
      </c>
      <c r="CL178" s="175">
        <v>75.191744957373999</v>
      </c>
      <c r="CM178" s="175">
        <v>75.817897300860622</v>
      </c>
      <c r="CN178" s="175">
        <v>78.12910652515032</v>
      </c>
      <c r="CO178" s="175">
        <v>86.492232217769384</v>
      </c>
    </row>
    <row r="179" spans="1:93" x14ac:dyDescent="0.2">
      <c r="A179" s="118">
        <f t="shared" si="18"/>
        <v>17</v>
      </c>
      <c r="B179" s="234" t="s">
        <v>598</v>
      </c>
      <c r="C179" s="223"/>
      <c r="D179" s="172">
        <f>SUMIF($AH$6:$CP$6,1,$AH179:$CP179)</f>
        <v>0</v>
      </c>
      <c r="E179" s="225" t="s">
        <v>596</v>
      </c>
      <c r="F179" s="183">
        <v>0.77</v>
      </c>
      <c r="G179" s="233" t="s">
        <v>375</v>
      </c>
      <c r="H179" s="174">
        <f>ROUND(D179*F179,2)</f>
        <v>0</v>
      </c>
      <c r="I179" s="229"/>
      <c r="J179" s="172">
        <f>SUMIF($AH$6:$CP$6,1,$AH179:$CP179)</f>
        <v>0</v>
      </c>
      <c r="K179" s="225" t="s">
        <v>596</v>
      </c>
      <c r="L179" s="173">
        <f>'Exhibit MJC-3 - E-13c cal yr'!L194</f>
        <v>0.64</v>
      </c>
      <c r="M179" s="233" t="s">
        <v>375</v>
      </c>
      <c r="N179" s="174">
        <f>ROUND(J179*L179,2)</f>
        <v>0</v>
      </c>
      <c r="O179" s="227"/>
      <c r="S179" s="262"/>
      <c r="T179" s="247"/>
      <c r="U179" s="184" t="s">
        <v>122</v>
      </c>
      <c r="V179" s="179">
        <v>244</v>
      </c>
      <c r="W179" s="180">
        <v>218</v>
      </c>
      <c r="Y179" s="184"/>
      <c r="Z179" s="181"/>
      <c r="AB179" s="114"/>
      <c r="AC179" s="114"/>
    </row>
    <row r="180" spans="1:93" x14ac:dyDescent="0.2">
      <c r="A180" s="118">
        <f t="shared" si="18"/>
        <v>18</v>
      </c>
      <c r="B180" s="226" t="s">
        <v>546</v>
      </c>
      <c r="C180" s="223"/>
      <c r="D180" s="168"/>
      <c r="E180" s="225"/>
      <c r="F180" s="183"/>
      <c r="G180" s="233"/>
      <c r="H180" s="174"/>
      <c r="I180" s="229"/>
      <c r="J180" s="168"/>
      <c r="K180" s="225"/>
      <c r="L180" s="183"/>
      <c r="M180" s="233"/>
      <c r="N180" s="174"/>
      <c r="O180" s="227"/>
      <c r="S180" s="262"/>
      <c r="T180" s="247"/>
      <c r="U180" s="178"/>
      <c r="V180" s="179"/>
      <c r="W180" s="180"/>
      <c r="Y180" s="178"/>
      <c r="Z180" s="181"/>
    </row>
    <row r="181" spans="1:93" x14ac:dyDescent="0.2">
      <c r="A181" s="118">
        <f t="shared" si="18"/>
        <v>19</v>
      </c>
      <c r="B181" s="234" t="s">
        <v>149</v>
      </c>
      <c r="C181" s="223"/>
      <c r="D181" s="168"/>
      <c r="E181" s="225"/>
      <c r="F181" s="183"/>
      <c r="G181" s="233"/>
      <c r="H181" s="174"/>
      <c r="I181" s="229"/>
      <c r="J181" s="168"/>
      <c r="K181" s="225"/>
      <c r="L181" s="310"/>
      <c r="M181" s="233"/>
      <c r="N181" s="174"/>
      <c r="O181" s="227"/>
      <c r="R181" s="290"/>
      <c r="S181" s="262"/>
      <c r="T181" s="247"/>
      <c r="U181" s="178"/>
      <c r="V181" s="179"/>
      <c r="W181" s="180"/>
      <c r="Y181" s="178"/>
      <c r="Z181" s="181"/>
    </row>
    <row r="182" spans="1:93" x14ac:dyDescent="0.2">
      <c r="A182" s="118">
        <f t="shared" si="18"/>
        <v>20</v>
      </c>
      <c r="B182" s="243" t="s">
        <v>559</v>
      </c>
      <c r="C182" s="223"/>
      <c r="D182" s="172">
        <f>SUMIF($AH$6:$CP$6,1,$AH182:$CP182)</f>
        <v>15546306.845036916</v>
      </c>
      <c r="E182" s="225" t="s">
        <v>596</v>
      </c>
      <c r="F182" s="183">
        <v>2.64</v>
      </c>
      <c r="G182" s="233" t="s">
        <v>375</v>
      </c>
      <c r="H182" s="174">
        <f>ROUND(D182*F182,2)</f>
        <v>41042250.07</v>
      </c>
      <c r="I182" s="229"/>
      <c r="J182" s="172">
        <f>SUMIF($AH$6:$CP$6,1,$AH182:$CP182)</f>
        <v>15546306.845036916</v>
      </c>
      <c r="K182" s="225" t="s">
        <v>596</v>
      </c>
      <c r="L182" s="173">
        <f>'Exhibit MJC-3 - E-13c cal yr'!L197</f>
        <v>2.72</v>
      </c>
      <c r="M182" s="233" t="s">
        <v>375</v>
      </c>
      <c r="N182" s="174">
        <f>ROUND(J182*L182,2)</f>
        <v>42285954.619999997</v>
      </c>
      <c r="O182" s="227"/>
      <c r="Q182" s="1022"/>
      <c r="R182" s="291"/>
      <c r="S182" s="731"/>
      <c r="T182" s="927"/>
      <c r="U182" s="184" t="s">
        <v>592</v>
      </c>
      <c r="V182" s="179">
        <v>245</v>
      </c>
      <c r="W182" s="180">
        <v>219</v>
      </c>
      <c r="Y182" s="184"/>
      <c r="Z182" s="181"/>
      <c r="AB182" s="182">
        <f>SUM(AH182:AS182)</f>
        <v>15320460.438719606</v>
      </c>
      <c r="AC182" s="182">
        <f>SUM(AT182:BE182)</f>
        <v>15400748.157724153</v>
      </c>
      <c r="AD182" s="182">
        <f>SUM(BF182:BQ182)</f>
        <v>15469255.791743504</v>
      </c>
      <c r="AE182" s="182">
        <f>SUM(BR182:CC182)</f>
        <v>15546306.845036916</v>
      </c>
      <c r="AF182" s="182">
        <f>SUM(CD182:CO182)</f>
        <v>15639812.195870869</v>
      </c>
      <c r="AH182" s="168">
        <v>2195687.0426314976</v>
      </c>
      <c r="AI182" s="168">
        <v>2294406.1410180298</v>
      </c>
      <c r="AJ182" s="168">
        <v>1461948.4369961491</v>
      </c>
      <c r="AK182" s="168">
        <v>941943.85344179778</v>
      </c>
      <c r="AL182" s="168">
        <v>973512.04146702378</v>
      </c>
      <c r="AM182" s="168">
        <v>1031260.025583101</v>
      </c>
      <c r="AN182" s="168">
        <v>1006575.1357610868</v>
      </c>
      <c r="AO182" s="168">
        <v>1082942.7477716033</v>
      </c>
      <c r="AP182" s="168">
        <v>1018008.3757316867</v>
      </c>
      <c r="AQ182" s="168">
        <v>997660.88614425191</v>
      </c>
      <c r="AR182" s="168">
        <v>923152.29170783341</v>
      </c>
      <c r="AS182" s="168">
        <v>1393363.4604655448</v>
      </c>
      <c r="AT182" s="168">
        <v>2171545.2954058405</v>
      </c>
      <c r="AU182" s="168">
        <v>2286986.0851193885</v>
      </c>
      <c r="AV182" s="168">
        <v>1433180.5815405042</v>
      </c>
      <c r="AW182" s="168">
        <v>949731.08452958474</v>
      </c>
      <c r="AX182" s="168">
        <v>971253.32125922432</v>
      </c>
      <c r="AY182" s="168">
        <v>1013237.0383380963</v>
      </c>
      <c r="AZ182" s="168">
        <v>1045833.8898911714</v>
      </c>
      <c r="BA182" s="168">
        <v>1099741.1598436148</v>
      </c>
      <c r="BB182" s="168">
        <v>1042546.3199251777</v>
      </c>
      <c r="BC182" s="168">
        <v>1030630.2047226416</v>
      </c>
      <c r="BD182" s="168">
        <v>951678.830970207</v>
      </c>
      <c r="BE182" s="168">
        <v>1404384.3461787011</v>
      </c>
      <c r="BF182" s="168">
        <v>2138108.1697965874</v>
      </c>
      <c r="BG182" s="168">
        <v>2312085.1828524256</v>
      </c>
      <c r="BH182" s="168">
        <v>1453788.1935990204</v>
      </c>
      <c r="BI182" s="168">
        <v>940577.26116829982</v>
      </c>
      <c r="BJ182" s="168">
        <v>976188.27617859724</v>
      </c>
      <c r="BK182" s="168">
        <v>1032692.4385231313</v>
      </c>
      <c r="BL182" s="168">
        <v>1054358.2877311104</v>
      </c>
      <c r="BM182" s="168">
        <v>1111786.744021843</v>
      </c>
      <c r="BN182" s="168">
        <v>1046719.3880260483</v>
      </c>
      <c r="BO182" s="168">
        <v>1020021.6926658623</v>
      </c>
      <c r="BP182" s="168">
        <v>948086.74379958189</v>
      </c>
      <c r="BQ182" s="168">
        <v>1434843.4133809973</v>
      </c>
      <c r="BR182" s="168">
        <v>2139077.6029281914</v>
      </c>
      <c r="BS182" s="168">
        <v>2290844.8944766037</v>
      </c>
      <c r="BT182" s="168">
        <v>1475949.1904682887</v>
      </c>
      <c r="BU182" s="168">
        <v>959745.904730913</v>
      </c>
      <c r="BV182" s="168">
        <v>957615.71611408517</v>
      </c>
      <c r="BW182" s="168">
        <v>1055112.7907521748</v>
      </c>
      <c r="BX182" s="168">
        <v>1076688.2055675127</v>
      </c>
      <c r="BY182" s="168">
        <v>1125528.6529100367</v>
      </c>
      <c r="BZ182" s="168">
        <v>1054535.2088169088</v>
      </c>
      <c r="CA182" s="168">
        <v>1034473.7015005419</v>
      </c>
      <c r="CB182" s="168">
        <v>955782.05537118181</v>
      </c>
      <c r="CC182" s="168">
        <v>1420952.9214004765</v>
      </c>
      <c r="CD182" s="168">
        <v>2159390.8409182616</v>
      </c>
      <c r="CE182" s="168">
        <v>2274818.1786718997</v>
      </c>
      <c r="CF182" s="168">
        <v>1447245.3389015025</v>
      </c>
      <c r="CG182" s="168">
        <v>982326.21203358273</v>
      </c>
      <c r="CH182" s="168">
        <v>986217.42450157087</v>
      </c>
      <c r="CI182" s="168">
        <v>1046194.0019256478</v>
      </c>
      <c r="CJ182" s="168">
        <v>1081815.5114497291</v>
      </c>
      <c r="CK182" s="168">
        <v>1135375.5991267669</v>
      </c>
      <c r="CL182" s="168">
        <v>1084971.0727731907</v>
      </c>
      <c r="CM182" s="168">
        <v>1043731.0874439765</v>
      </c>
      <c r="CN182" s="168">
        <v>972822.30406569433</v>
      </c>
      <c r="CO182" s="168">
        <v>1424904.6240590459</v>
      </c>
    </row>
    <row r="183" spans="1:93" x14ac:dyDescent="0.2">
      <c r="A183" s="118">
        <f t="shared" si="18"/>
        <v>21</v>
      </c>
      <c r="B183" s="243" t="s">
        <v>599</v>
      </c>
      <c r="C183" s="223"/>
      <c r="D183" s="172">
        <f>SUMIF($AH$6:$CP$6,1,$AH183:$CP183)</f>
        <v>17486022.908084743</v>
      </c>
      <c r="E183" s="225" t="s">
        <v>596</v>
      </c>
      <c r="F183" s="183">
        <v>4.72</v>
      </c>
      <c r="G183" s="233"/>
      <c r="H183" s="174">
        <f>ROUND(D183*F183,2)</f>
        <v>82534028.129999995</v>
      </c>
      <c r="I183" s="229"/>
      <c r="J183" s="172">
        <f>SUMIF($AH$6:$CP$6,1,$AH183:$CP183)</f>
        <v>17486022.908084743</v>
      </c>
      <c r="K183" s="225" t="s">
        <v>596</v>
      </c>
      <c r="L183" s="173">
        <f>'Exhibit MJC-3 - E-13c cal yr'!L198</f>
        <v>4.8600000000000003</v>
      </c>
      <c r="M183" s="233" t="s">
        <v>375</v>
      </c>
      <c r="N183" s="174">
        <f>ROUND(J183*L183,2)</f>
        <v>84982071.329999998</v>
      </c>
      <c r="O183" s="227"/>
      <c r="Q183" s="1022"/>
      <c r="R183" s="291"/>
      <c r="S183" s="732"/>
      <c r="T183" s="927"/>
      <c r="U183" s="184" t="s">
        <v>592</v>
      </c>
      <c r="V183" s="179">
        <v>245</v>
      </c>
      <c r="W183" s="180">
        <v>219</v>
      </c>
      <c r="Y183" s="184"/>
      <c r="Z183" s="181"/>
      <c r="AB183" s="182"/>
      <c r="AC183" s="182"/>
      <c r="AD183" s="182"/>
      <c r="AE183" s="182"/>
      <c r="AF183" s="182"/>
      <c r="AH183" s="168">
        <v>1450160.3105787768</v>
      </c>
      <c r="AI183" s="168">
        <v>1381252.0840970599</v>
      </c>
      <c r="AJ183" s="168">
        <v>1242207.9150687174</v>
      </c>
      <c r="AK183" s="168">
        <v>1408356.7450202969</v>
      </c>
      <c r="AL183" s="168">
        <v>1268154.2494031708</v>
      </c>
      <c r="AM183" s="168">
        <v>1575121.7099936542</v>
      </c>
      <c r="AN183" s="168">
        <v>1526445.1311738421</v>
      </c>
      <c r="AO183" s="168">
        <v>1615528.7798174601</v>
      </c>
      <c r="AP183" s="168">
        <v>1581081.6798441501</v>
      </c>
      <c r="AQ183" s="168">
        <v>1507093.7248740769</v>
      </c>
      <c r="AR183" s="168">
        <v>1363784.0887693237</v>
      </c>
      <c r="AS183" s="168">
        <v>1312811.1782280074</v>
      </c>
      <c r="AT183" s="168">
        <v>1428102.2283267402</v>
      </c>
      <c r="AU183" s="168">
        <v>1371186.7818885739</v>
      </c>
      <c r="AV183" s="168">
        <v>1212798.0327848531</v>
      </c>
      <c r="AW183" s="168">
        <v>1414223.4727843127</v>
      </c>
      <c r="AX183" s="168">
        <v>1260063.3289102314</v>
      </c>
      <c r="AY183" s="168">
        <v>1541307.9201277993</v>
      </c>
      <c r="AZ183" s="168">
        <v>1579530.0475066318</v>
      </c>
      <c r="BA183" s="168">
        <v>1633921.7120476214</v>
      </c>
      <c r="BB183" s="168">
        <v>1612602.2316359067</v>
      </c>
      <c r="BC183" s="168">
        <v>1550549.1582415383</v>
      </c>
      <c r="BD183" s="168">
        <v>1400200.0218099093</v>
      </c>
      <c r="BE183" s="168">
        <v>1317817.8958512607</v>
      </c>
      <c r="BF183" s="168">
        <v>1405756.1405441232</v>
      </c>
      <c r="BG183" s="168">
        <v>1386238.0725313209</v>
      </c>
      <c r="BH183" s="168">
        <v>1230220.0904758603</v>
      </c>
      <c r="BI183" s="168">
        <v>1400593.2235418309</v>
      </c>
      <c r="BJ183" s="168">
        <v>1266463.9435754486</v>
      </c>
      <c r="BK183" s="168">
        <v>1570915.8716198951</v>
      </c>
      <c r="BL183" s="168">
        <v>1592407.2568381256</v>
      </c>
      <c r="BM183" s="168">
        <v>1651827.4899467949</v>
      </c>
      <c r="BN183" s="168">
        <v>1619053.5387351532</v>
      </c>
      <c r="BO183" s="168">
        <v>1534569.5422674909</v>
      </c>
      <c r="BP183" s="168">
        <v>1394905.727730914</v>
      </c>
      <c r="BQ183" s="168">
        <v>1346407.2804219751</v>
      </c>
      <c r="BR183" s="168">
        <v>1402735.8024536774</v>
      </c>
      <c r="BS183" s="168">
        <v>1369997.4339548051</v>
      </c>
      <c r="BT183" s="168">
        <v>1245783.6946914215</v>
      </c>
      <c r="BU183" s="168">
        <v>1425490.1732290601</v>
      </c>
      <c r="BV183" s="168">
        <v>1239198.0510819901</v>
      </c>
      <c r="BW183" s="168">
        <v>1600928.2669390698</v>
      </c>
      <c r="BX183" s="168">
        <v>1621983.4736291249</v>
      </c>
      <c r="BY183" s="168">
        <v>1667979.1197231889</v>
      </c>
      <c r="BZ183" s="168">
        <v>1626980.226523906</v>
      </c>
      <c r="CA183" s="168">
        <v>1552336.8472277285</v>
      </c>
      <c r="CB183" s="168">
        <v>1402637.8666227439</v>
      </c>
      <c r="CC183" s="168">
        <v>1329971.9520080276</v>
      </c>
      <c r="CD183" s="168">
        <v>1412637.4472418199</v>
      </c>
      <c r="CE183" s="168">
        <v>1357073.3076016344</v>
      </c>
      <c r="CF183" s="168">
        <v>1218560.6295501764</v>
      </c>
      <c r="CG183" s="168">
        <v>1455446.7589768008</v>
      </c>
      <c r="CH183" s="168">
        <v>1273077.5526848848</v>
      </c>
      <c r="CI183" s="168">
        <v>1583497.2974234258</v>
      </c>
      <c r="CJ183" s="168">
        <v>1625706.7490524261</v>
      </c>
      <c r="CK183" s="168">
        <v>1678440.388796045</v>
      </c>
      <c r="CL183" s="168">
        <v>1669829.7573863955</v>
      </c>
      <c r="CM183" s="168">
        <v>1562387.1485556331</v>
      </c>
      <c r="CN183" s="168">
        <v>1424142.1374578765</v>
      </c>
      <c r="CO183" s="168">
        <v>1330395.7670122234</v>
      </c>
    </row>
    <row r="184" spans="1:93" x14ac:dyDescent="0.2">
      <c r="A184" s="118">
        <f t="shared" si="18"/>
        <v>22</v>
      </c>
      <c r="B184" s="243" t="s">
        <v>145</v>
      </c>
      <c r="C184" s="223"/>
      <c r="D184" s="172">
        <f>SUMIF($AH$6:$CP$6,1,$AH184:$CP184)</f>
        <v>20917952.449712753</v>
      </c>
      <c r="E184" s="225" t="s">
        <v>596</v>
      </c>
      <c r="F184" s="183">
        <v>3.2</v>
      </c>
      <c r="G184" s="233" t="s">
        <v>375</v>
      </c>
      <c r="H184" s="174">
        <f>ROUND(D184*F184,2)</f>
        <v>66937447.840000004</v>
      </c>
      <c r="I184" s="229"/>
      <c r="J184" s="172">
        <f>SUMIF($AH$6:$CP$6,1,$AH184:$CP184)</f>
        <v>20917952.449712753</v>
      </c>
      <c r="K184" s="225" t="s">
        <v>596</v>
      </c>
      <c r="L184" s="173">
        <f>'Exhibit MJC-3 - E-13c cal yr'!L199</f>
        <v>3.32</v>
      </c>
      <c r="M184" s="233" t="s">
        <v>375</v>
      </c>
      <c r="N184" s="174">
        <f>ROUND(J184*L184,2)</f>
        <v>69447602.129999995</v>
      </c>
      <c r="O184" s="227"/>
      <c r="Q184" s="1022"/>
      <c r="R184" s="291"/>
      <c r="S184" s="731"/>
      <c r="T184" s="927"/>
      <c r="U184" s="184" t="s">
        <v>592</v>
      </c>
      <c r="V184" s="179">
        <v>245</v>
      </c>
      <c r="W184" s="180">
        <v>219</v>
      </c>
      <c r="X184" s="244"/>
      <c r="Y184" s="184"/>
      <c r="Z184" s="181"/>
      <c r="AA184" s="244"/>
      <c r="AB184" s="182">
        <f>SUM(AH184:AS184)</f>
        <v>20614070.348621182</v>
      </c>
      <c r="AC184" s="182">
        <f>SUM(AT184:BE184)</f>
        <v>20722099.522699218</v>
      </c>
      <c r="AD184" s="182">
        <f>SUM(BF184:BQ184)</f>
        <v>20814278.291917108</v>
      </c>
      <c r="AE184" s="182">
        <f>SUM(BR184:CC184)</f>
        <v>20917952.449712753</v>
      </c>
      <c r="AF184" s="182">
        <f>SUM(CD184:CO184)</f>
        <v>21043766.284601945</v>
      </c>
      <c r="AH184" s="168">
        <v>1774946.7777502278</v>
      </c>
      <c r="AI184" s="168">
        <v>1650096.1031833312</v>
      </c>
      <c r="AJ184" s="168">
        <v>1485865.9092469413</v>
      </c>
      <c r="AK184" s="168">
        <v>1680665.1796535579</v>
      </c>
      <c r="AL184" s="168">
        <v>1513807.4031939798</v>
      </c>
      <c r="AM184" s="168">
        <v>1879186.4897823103</v>
      </c>
      <c r="AN184" s="168">
        <v>1821168.0777270086</v>
      </c>
      <c r="AO184" s="168">
        <v>1927804.5243964577</v>
      </c>
      <c r="AP184" s="168">
        <v>1886424.2147282162</v>
      </c>
      <c r="AQ184" s="168">
        <v>1799097.2579338874</v>
      </c>
      <c r="AR184" s="168">
        <v>1627415.5393927421</v>
      </c>
      <c r="AS184" s="168">
        <v>1567592.8716325192</v>
      </c>
      <c r="AT184" s="168">
        <v>1748577.979400527</v>
      </c>
      <c r="AU184" s="168">
        <v>1638122.4599766391</v>
      </c>
      <c r="AV184" s="168">
        <v>1450758.5245136076</v>
      </c>
      <c r="AW184" s="168">
        <v>1687694.9782199182</v>
      </c>
      <c r="AX184" s="168">
        <v>1504180.9705549872</v>
      </c>
      <c r="AY184" s="168">
        <v>1838869.7596880235</v>
      </c>
      <c r="AZ184" s="168">
        <v>1884528.6857959847</v>
      </c>
      <c r="BA184" s="168">
        <v>1949784.4457865441</v>
      </c>
      <c r="BB184" s="168">
        <v>1924059.6339981719</v>
      </c>
      <c r="BC184" s="168">
        <v>1851012.372578955</v>
      </c>
      <c r="BD184" s="168">
        <v>1670898.6716128846</v>
      </c>
      <c r="BE184" s="168">
        <v>1573611.0405729748</v>
      </c>
      <c r="BF184" s="168">
        <v>1721731.1450088657</v>
      </c>
      <c r="BG184" s="168">
        <v>1656146.4033674006</v>
      </c>
      <c r="BH184" s="168">
        <v>1471658.6722147616</v>
      </c>
      <c r="BI184" s="168">
        <v>1671452.4106562042</v>
      </c>
      <c r="BJ184" s="168">
        <v>1511847.9083300736</v>
      </c>
      <c r="BK184" s="168">
        <v>1874214.3113415069</v>
      </c>
      <c r="BL184" s="168">
        <v>1899914.055047703</v>
      </c>
      <c r="BM184" s="168">
        <v>1971178.0678758544</v>
      </c>
      <c r="BN184" s="168">
        <v>1931779.6587218256</v>
      </c>
      <c r="BO184" s="168">
        <v>1831968.9142044606</v>
      </c>
      <c r="BP184" s="168">
        <v>1664603.4969676416</v>
      </c>
      <c r="BQ184" s="168">
        <v>1607783.2481808069</v>
      </c>
      <c r="BR184" s="168">
        <v>1718247.2096561305</v>
      </c>
      <c r="BS184" s="168">
        <v>1636761.2747926011</v>
      </c>
      <c r="BT184" s="168">
        <v>1490302.2564421161</v>
      </c>
      <c r="BU184" s="168">
        <v>1701174.3007332047</v>
      </c>
      <c r="BV184" s="168">
        <v>1479310.0424702419</v>
      </c>
      <c r="BW184" s="168">
        <v>1910030.1723026901</v>
      </c>
      <c r="BX184" s="168">
        <v>1935211.1090871023</v>
      </c>
      <c r="BY184" s="168">
        <v>1990463.652334658</v>
      </c>
      <c r="BZ184" s="168">
        <v>1941247.1566042532</v>
      </c>
      <c r="CA184" s="168">
        <v>1853193.5599602784</v>
      </c>
      <c r="CB184" s="168">
        <v>1673840.325263805</v>
      </c>
      <c r="CC184" s="168">
        <v>1588171.3900656688</v>
      </c>
      <c r="CD184" s="168">
        <v>1730421.0131358486</v>
      </c>
      <c r="CE184" s="168">
        <v>1621324.2133886432</v>
      </c>
      <c r="CF184" s="168">
        <v>1457741.1987581537</v>
      </c>
      <c r="CG184" s="168">
        <v>1736926.6289313259</v>
      </c>
      <c r="CH184" s="168">
        <v>1519756.5971419255</v>
      </c>
      <c r="CI184" s="168">
        <v>1889235.6269316631</v>
      </c>
      <c r="CJ184" s="168">
        <v>1939655.4848613099</v>
      </c>
      <c r="CK184" s="168">
        <v>2002949.9606218901</v>
      </c>
      <c r="CL184" s="168">
        <v>1992375.6765108204</v>
      </c>
      <c r="CM184" s="168">
        <v>1865194.7496874225</v>
      </c>
      <c r="CN184" s="168">
        <v>1699504.6428491478</v>
      </c>
      <c r="CO184" s="168">
        <v>1588680.4917837947</v>
      </c>
    </row>
    <row r="185" spans="1:93" x14ac:dyDescent="0.2">
      <c r="A185" s="118">
        <f t="shared" si="18"/>
        <v>23</v>
      </c>
      <c r="B185" s="847" t="s">
        <v>600</v>
      </c>
      <c r="C185" s="848"/>
      <c r="D185" s="185">
        <v>8617.9500763369797</v>
      </c>
      <c r="E185" s="849" t="s">
        <v>596</v>
      </c>
      <c r="F185" s="183">
        <v>-1.3</v>
      </c>
      <c r="G185" s="850" t="s">
        <v>375</v>
      </c>
      <c r="H185" s="174">
        <f>ROUND(D185*F185,0)</f>
        <v>-11203</v>
      </c>
      <c r="I185" s="1154"/>
      <c r="J185" s="185">
        <f>+D185</f>
        <v>8617.9500763369797</v>
      </c>
      <c r="K185" s="849" t="s">
        <v>596</v>
      </c>
      <c r="L185" s="173">
        <f>'Exhibit MJC-3 - E-13c cal yr'!L200</f>
        <v>-1.34</v>
      </c>
      <c r="M185" s="850" t="s">
        <v>375</v>
      </c>
      <c r="N185" s="174">
        <f>ROUND(J185*L185,0)</f>
        <v>-11548</v>
      </c>
      <c r="O185" s="852"/>
      <c r="P185" s="1155"/>
      <c r="Q185" s="854"/>
      <c r="R185" s="288"/>
      <c r="T185" s="245"/>
      <c r="U185" s="184" t="s">
        <v>592</v>
      </c>
      <c r="V185" s="179">
        <v>219</v>
      </c>
      <c r="W185" s="180">
        <v>219</v>
      </c>
      <c r="X185" s="245"/>
      <c r="Y185" s="184"/>
      <c r="Z185" s="181"/>
      <c r="AA185" s="245"/>
      <c r="AB185" s="182"/>
      <c r="AC185" s="182"/>
      <c r="AD185" s="182"/>
      <c r="AE185" s="182"/>
      <c r="AF185" s="182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  <c r="AU185" s="168"/>
      <c r="AV185" s="168"/>
      <c r="AW185" s="168"/>
      <c r="AX185" s="168"/>
      <c r="AY185" s="168"/>
      <c r="AZ185" s="168"/>
      <c r="BA185" s="168"/>
      <c r="BB185" s="168"/>
      <c r="BC185" s="168"/>
      <c r="BD185" s="168"/>
      <c r="BE185" s="168"/>
      <c r="BF185" s="168"/>
      <c r="BG185" s="168"/>
      <c r="BH185" s="168"/>
      <c r="BI185" s="168"/>
      <c r="BJ185" s="168"/>
      <c r="BK185" s="168"/>
      <c r="BL185" s="168"/>
      <c r="BM185" s="168"/>
      <c r="BN185" s="168"/>
      <c r="BO185" s="168"/>
      <c r="BP185" s="168"/>
      <c r="BQ185" s="168"/>
      <c r="BR185" s="168"/>
      <c r="BS185" s="168"/>
      <c r="BT185" s="168"/>
      <c r="BU185" s="168"/>
      <c r="BV185" s="168"/>
      <c r="BW185" s="168"/>
      <c r="BX185" s="168"/>
      <c r="BY185" s="168"/>
      <c r="BZ185" s="168"/>
      <c r="CA185" s="168"/>
      <c r="CB185" s="168"/>
      <c r="CC185" s="168"/>
      <c r="CD185" s="168"/>
      <c r="CE185" s="168"/>
      <c r="CF185" s="168"/>
      <c r="CG185" s="168"/>
      <c r="CH185" s="168"/>
      <c r="CI185" s="168"/>
      <c r="CJ185" s="168"/>
      <c r="CK185" s="168"/>
      <c r="CL185" s="168"/>
      <c r="CM185" s="168"/>
      <c r="CN185" s="168"/>
      <c r="CO185" s="168"/>
    </row>
    <row r="186" spans="1:93" x14ac:dyDescent="0.2">
      <c r="A186" s="118">
        <f>+A184+1</f>
        <v>23</v>
      </c>
      <c r="B186" s="234" t="s">
        <v>148</v>
      </c>
      <c r="C186" s="223"/>
      <c r="D186" s="168"/>
      <c r="E186" s="225"/>
      <c r="F186" s="183"/>
      <c r="G186" s="233"/>
      <c r="H186" s="174"/>
      <c r="I186" s="229"/>
      <c r="J186" s="168"/>
      <c r="K186" s="225"/>
      <c r="L186" s="183"/>
      <c r="M186" s="233"/>
      <c r="N186" s="174"/>
      <c r="O186" s="227"/>
      <c r="S186" s="262"/>
      <c r="T186" s="247"/>
      <c r="U186" s="184"/>
      <c r="V186" s="179"/>
      <c r="W186" s="180"/>
      <c r="X186" s="245"/>
      <c r="Y186" s="184"/>
      <c r="Z186" s="181"/>
      <c r="AA186" s="245"/>
      <c r="AH186" s="168" t="s">
        <v>416</v>
      </c>
      <c r="AI186" s="168" t="s">
        <v>416</v>
      </c>
      <c r="AJ186" s="168" t="s">
        <v>416</v>
      </c>
      <c r="AK186" s="168" t="s">
        <v>416</v>
      </c>
      <c r="AL186" s="168" t="s">
        <v>416</v>
      </c>
      <c r="AM186" s="168" t="s">
        <v>416</v>
      </c>
      <c r="AN186" s="168" t="s">
        <v>416</v>
      </c>
      <c r="AO186" s="168" t="s">
        <v>416</v>
      </c>
      <c r="AP186" s="168" t="s">
        <v>416</v>
      </c>
      <c r="AQ186" s="168" t="s">
        <v>416</v>
      </c>
      <c r="AR186" s="168" t="s">
        <v>416</v>
      </c>
      <c r="AS186" s="168" t="s">
        <v>416</v>
      </c>
      <c r="AT186" s="168" t="s">
        <v>416</v>
      </c>
      <c r="AU186" s="168" t="s">
        <v>416</v>
      </c>
      <c r="AV186" s="168" t="s">
        <v>416</v>
      </c>
      <c r="AW186" s="168" t="s">
        <v>416</v>
      </c>
      <c r="AX186" s="168" t="s">
        <v>416</v>
      </c>
      <c r="AY186" s="168" t="s">
        <v>416</v>
      </c>
      <c r="AZ186" s="168" t="s">
        <v>416</v>
      </c>
      <c r="BA186" s="168" t="s">
        <v>416</v>
      </c>
      <c r="BB186" s="168" t="s">
        <v>416</v>
      </c>
      <c r="BC186" s="168" t="s">
        <v>416</v>
      </c>
      <c r="BD186" s="168" t="s">
        <v>416</v>
      </c>
      <c r="BE186" s="168" t="s">
        <v>416</v>
      </c>
      <c r="BF186" s="168" t="s">
        <v>416</v>
      </c>
      <c r="BG186" s="168" t="s">
        <v>416</v>
      </c>
      <c r="BH186" s="168" t="s">
        <v>416</v>
      </c>
      <c r="BI186" s="168" t="s">
        <v>416</v>
      </c>
      <c r="BJ186" s="168" t="s">
        <v>416</v>
      </c>
      <c r="BK186" s="168" t="s">
        <v>416</v>
      </c>
      <c r="BL186" s="168" t="s">
        <v>416</v>
      </c>
      <c r="BM186" s="168" t="s">
        <v>416</v>
      </c>
      <c r="BN186" s="168" t="s">
        <v>416</v>
      </c>
      <c r="BO186" s="168" t="s">
        <v>416</v>
      </c>
      <c r="BP186" s="168" t="s">
        <v>416</v>
      </c>
      <c r="BQ186" s="168" t="s">
        <v>416</v>
      </c>
      <c r="BR186" s="168" t="s">
        <v>416</v>
      </c>
      <c r="BS186" s="168" t="s">
        <v>416</v>
      </c>
      <c r="BT186" s="168" t="s">
        <v>416</v>
      </c>
      <c r="BU186" s="168" t="s">
        <v>416</v>
      </c>
      <c r="BV186" s="168" t="s">
        <v>416</v>
      </c>
      <c r="BW186" s="168" t="s">
        <v>416</v>
      </c>
      <c r="BX186" s="168" t="s">
        <v>416</v>
      </c>
      <c r="BY186" s="168" t="s">
        <v>416</v>
      </c>
      <c r="BZ186" s="168" t="s">
        <v>416</v>
      </c>
      <c r="CA186" s="168" t="s">
        <v>416</v>
      </c>
      <c r="CB186" s="168" t="s">
        <v>416</v>
      </c>
      <c r="CC186" s="168" t="s">
        <v>416</v>
      </c>
      <c r="CD186" s="168" t="s">
        <v>416</v>
      </c>
      <c r="CE186" s="168" t="s">
        <v>416</v>
      </c>
      <c r="CF186" s="168" t="s">
        <v>416</v>
      </c>
      <c r="CG186" s="168" t="s">
        <v>416</v>
      </c>
      <c r="CH186" s="168" t="s">
        <v>416</v>
      </c>
      <c r="CI186" s="168" t="s">
        <v>416</v>
      </c>
      <c r="CJ186" s="168" t="s">
        <v>416</v>
      </c>
      <c r="CK186" s="168" t="s">
        <v>416</v>
      </c>
      <c r="CL186" s="168" t="s">
        <v>416</v>
      </c>
      <c r="CM186" s="168" t="s">
        <v>416</v>
      </c>
      <c r="CN186" s="168" t="s">
        <v>416</v>
      </c>
      <c r="CO186" s="168" t="s">
        <v>416</v>
      </c>
    </row>
    <row r="187" spans="1:93" x14ac:dyDescent="0.2">
      <c r="A187" s="118">
        <f t="shared" si="18"/>
        <v>24</v>
      </c>
      <c r="B187" s="243" t="s">
        <v>559</v>
      </c>
      <c r="C187" s="223"/>
      <c r="D187" s="172">
        <f>SUMIF($AH$6:$CP$6,1,$AH187:$CP187)</f>
        <v>3150671.7437989893</v>
      </c>
      <c r="E187" s="225" t="s">
        <v>596</v>
      </c>
      <c r="F187" s="183">
        <v>2.64</v>
      </c>
      <c r="G187" s="233" t="s">
        <v>375</v>
      </c>
      <c r="H187" s="174">
        <f>ROUND(D187*F187,2)</f>
        <v>8317773.4000000004</v>
      </c>
      <c r="I187" s="229"/>
      <c r="J187" s="172">
        <f>SUMIF($AH$6:$CP$6,1,$AH187:$CP187)</f>
        <v>3150671.7437989893</v>
      </c>
      <c r="K187" s="225" t="s">
        <v>596</v>
      </c>
      <c r="L187" s="183">
        <f>L182</f>
        <v>2.72</v>
      </c>
      <c r="M187" s="233" t="s">
        <v>375</v>
      </c>
      <c r="N187" s="174">
        <f>ROUND(J187*L187,2)</f>
        <v>8569827.1400000006</v>
      </c>
      <c r="O187" s="227"/>
      <c r="S187" s="263"/>
      <c r="T187" s="247"/>
      <c r="U187" s="184" t="s">
        <v>592</v>
      </c>
      <c r="V187" s="179">
        <v>245</v>
      </c>
      <c r="W187" s="180">
        <v>219</v>
      </c>
      <c r="X187" s="245"/>
      <c r="Y187" s="184"/>
      <c r="Z187" s="181"/>
      <c r="AA187" s="245"/>
      <c r="AB187" s="182">
        <f>SUM(AH187:AS187)</f>
        <v>3104900.8801517384</v>
      </c>
      <c r="AC187" s="182">
        <f>SUM(AT187:BE187)</f>
        <v>3121172.2846829356</v>
      </c>
      <c r="AD187" s="182">
        <f>SUM(BF187:BQ187)</f>
        <v>3135056.2938492801</v>
      </c>
      <c r="AE187" s="182">
        <f>SUM(BR187:CC187)</f>
        <v>3150671.7437989893</v>
      </c>
      <c r="AF187" s="182">
        <f>SUM(CD187:CO187)</f>
        <v>3169621.8822275638</v>
      </c>
      <c r="AH187" s="168">
        <v>207644.98354020825</v>
      </c>
      <c r="AI187" s="168">
        <v>383028.07047386223</v>
      </c>
      <c r="AJ187" s="168">
        <v>556324.9828608915</v>
      </c>
      <c r="AK187" s="168">
        <v>224463.60804475832</v>
      </c>
      <c r="AL187" s="168">
        <v>173132.51192454118</v>
      </c>
      <c r="AM187" s="168">
        <v>196051.0194941636</v>
      </c>
      <c r="AN187" s="168">
        <v>278674.79259007057</v>
      </c>
      <c r="AO187" s="168">
        <v>198014.54055030469</v>
      </c>
      <c r="AP187" s="168">
        <v>224864.23569309074</v>
      </c>
      <c r="AQ187" s="168">
        <v>205223.10563979595</v>
      </c>
      <c r="AR187" s="168">
        <v>191734.87577689291</v>
      </c>
      <c r="AS187" s="168">
        <v>265744.15356315853</v>
      </c>
      <c r="AT187" s="168">
        <v>206053.71387678204</v>
      </c>
      <c r="AU187" s="168">
        <v>381624.00795561116</v>
      </c>
      <c r="AV187" s="168">
        <v>544929.98135594907</v>
      </c>
      <c r="AW187" s="168">
        <v>226185.33074081322</v>
      </c>
      <c r="AX187" s="168">
        <v>172593.48094199036</v>
      </c>
      <c r="AY187" s="168">
        <v>192474.4326212694</v>
      </c>
      <c r="AZ187" s="168">
        <v>289311.98577064427</v>
      </c>
      <c r="BA187" s="168">
        <v>200926.71038668414</v>
      </c>
      <c r="BB187" s="168">
        <v>230101.8840489586</v>
      </c>
      <c r="BC187" s="168">
        <v>211835.42327792922</v>
      </c>
      <c r="BD187" s="168">
        <v>197502.22572925672</v>
      </c>
      <c r="BE187" s="168">
        <v>267633.10797704681</v>
      </c>
      <c r="BF187" s="168">
        <v>203479.54768881496</v>
      </c>
      <c r="BG187" s="168">
        <v>385129.78474281303</v>
      </c>
      <c r="BH187" s="168">
        <v>551518.02602536534</v>
      </c>
      <c r="BI187" s="168">
        <v>223564.11220911902</v>
      </c>
      <c r="BJ187" s="168">
        <v>173084.7602500105</v>
      </c>
      <c r="BK187" s="168">
        <v>195737.77768809651</v>
      </c>
      <c r="BL187" s="168">
        <v>291019.66788199975</v>
      </c>
      <c r="BM187" s="168">
        <v>202676.53424241353</v>
      </c>
      <c r="BN187" s="168">
        <v>230510.06732364767</v>
      </c>
      <c r="BO187" s="168">
        <v>209187.41708069874</v>
      </c>
      <c r="BP187" s="168">
        <v>196318.79208018151</v>
      </c>
      <c r="BQ187" s="168">
        <v>272829.80663611903</v>
      </c>
      <c r="BR187" s="168">
        <v>203507.46062913901</v>
      </c>
      <c r="BS187" s="168">
        <v>380732.00468155212</v>
      </c>
      <c r="BT187" s="168">
        <v>558557.440563777</v>
      </c>
      <c r="BU187" s="168">
        <v>227588.55415502196</v>
      </c>
      <c r="BV187" s="168">
        <v>169378.70478171672</v>
      </c>
      <c r="BW187" s="168">
        <v>199502.01139316233</v>
      </c>
      <c r="BX187" s="168">
        <v>296459.23616613791</v>
      </c>
      <c r="BY187" s="168">
        <v>204682.52005630647</v>
      </c>
      <c r="BZ187" s="168">
        <v>231666.76451837455</v>
      </c>
      <c r="CA187" s="168">
        <v>211635.16554721622</v>
      </c>
      <c r="CB187" s="168">
        <v>197430.90687886009</v>
      </c>
      <c r="CC187" s="168">
        <v>269530.97442772461</v>
      </c>
      <c r="CD187" s="168">
        <v>205595.55090068333</v>
      </c>
      <c r="CE187" s="168">
        <v>378752.92226910708</v>
      </c>
      <c r="CF187" s="168">
        <v>548745.80461251293</v>
      </c>
      <c r="CG187" s="168">
        <v>233375.45369181549</v>
      </c>
      <c r="CH187" s="168">
        <v>174771.17665531501</v>
      </c>
      <c r="CI187" s="168">
        <v>198193.14854170909</v>
      </c>
      <c r="CJ187" s="168">
        <v>298441.08421410719</v>
      </c>
      <c r="CK187" s="168">
        <v>206867.9579301246</v>
      </c>
      <c r="CL187" s="168">
        <v>238808.67221226924</v>
      </c>
      <c r="CM187" s="168">
        <v>213937.52698327837</v>
      </c>
      <c r="CN187" s="168">
        <v>201335.13447656177</v>
      </c>
      <c r="CO187" s="168">
        <v>270797.44974007952</v>
      </c>
    </row>
    <row r="188" spans="1:93" x14ac:dyDescent="0.2">
      <c r="A188" s="118">
        <f t="shared" si="18"/>
        <v>25</v>
      </c>
      <c r="B188" s="243" t="s">
        <v>599</v>
      </c>
      <c r="C188" s="223"/>
      <c r="D188" s="172">
        <f>SUMIF($AH$6:$CP$6,1,$AH188:$CP188)</f>
        <v>3370903.6067370013</v>
      </c>
      <c r="E188" s="225" t="s">
        <v>596</v>
      </c>
      <c r="F188" s="183">
        <v>4.72</v>
      </c>
      <c r="G188" s="233"/>
      <c r="H188" s="174">
        <f>ROUND(D188*F188,2)</f>
        <v>15910665.02</v>
      </c>
      <c r="I188" s="229"/>
      <c r="J188" s="172">
        <f>SUMIF($AH$6:$CP$6,1,$AH188:$CP188)</f>
        <v>3370903.6067370013</v>
      </c>
      <c r="K188" s="225" t="s">
        <v>596</v>
      </c>
      <c r="L188" s="183">
        <f>L183</f>
        <v>4.8600000000000003</v>
      </c>
      <c r="M188" s="233" t="s">
        <v>375</v>
      </c>
      <c r="N188" s="174">
        <f>ROUND(J188*L188,2)</f>
        <v>16382591.529999999</v>
      </c>
      <c r="O188" s="227"/>
      <c r="R188" s="292"/>
      <c r="S188" s="263"/>
      <c r="T188" s="197"/>
      <c r="U188" s="184" t="s">
        <v>592</v>
      </c>
      <c r="V188" s="179">
        <v>245</v>
      </c>
      <c r="W188" s="180">
        <v>219</v>
      </c>
      <c r="X188" s="245"/>
      <c r="Y188" s="184"/>
      <c r="Z188" s="181"/>
      <c r="AA188" s="245"/>
      <c r="AB188" s="182"/>
      <c r="AC188" s="182"/>
      <c r="AD188" s="182"/>
      <c r="AE188" s="182"/>
      <c r="AF188" s="182"/>
      <c r="AH188" s="168">
        <v>93889.823327817561</v>
      </c>
      <c r="AI188" s="168">
        <v>232226.99555137623</v>
      </c>
      <c r="AJ188" s="168">
        <v>399641.80351284792</v>
      </c>
      <c r="AK188" s="168">
        <v>282326.93274535018</v>
      </c>
      <c r="AL188" s="168">
        <v>226594.96833318146</v>
      </c>
      <c r="AM188" s="168">
        <v>284212.78798628523</v>
      </c>
      <c r="AN188" s="168">
        <v>375149.46667315566</v>
      </c>
      <c r="AO188" s="168">
        <v>286425.88923385937</v>
      </c>
      <c r="AP188" s="168">
        <v>325615.24391300074</v>
      </c>
      <c r="AQ188" s="168">
        <v>295670.27349796036</v>
      </c>
      <c r="AR188" s="168">
        <v>266083.49479008908</v>
      </c>
      <c r="AS188" s="168">
        <v>254095.68149172328</v>
      </c>
      <c r="AT188" s="168">
        <v>92377.484888941544</v>
      </c>
      <c r="AU188" s="168">
        <v>230324.80126686525</v>
      </c>
      <c r="AV188" s="168">
        <v>389825.6375195398</v>
      </c>
      <c r="AW188" s="168">
        <v>283245.54512881517</v>
      </c>
      <c r="AX188" s="168">
        <v>224944.79497130113</v>
      </c>
      <c r="AY188" s="168">
        <v>277858.82214830251</v>
      </c>
      <c r="AZ188" s="168">
        <v>387843.45446891111</v>
      </c>
      <c r="BA188" s="168">
        <v>289423.68852375826</v>
      </c>
      <c r="BB188" s="168">
        <v>331805.0632540661</v>
      </c>
      <c r="BC188" s="168">
        <v>303919.36053101934</v>
      </c>
      <c r="BD188" s="168">
        <v>272940.4249894449</v>
      </c>
      <c r="BE188" s="168">
        <v>254833.05859872326</v>
      </c>
      <c r="BF188" s="168">
        <v>90807.33656256691</v>
      </c>
      <c r="BG188" s="168">
        <v>232533.76370471669</v>
      </c>
      <c r="BH188" s="168">
        <v>394883.55521184375</v>
      </c>
      <c r="BI188" s="168">
        <v>280131.15514677844</v>
      </c>
      <c r="BJ188" s="168">
        <v>225777.54474968914</v>
      </c>
      <c r="BK188" s="168">
        <v>282808.21723049326</v>
      </c>
      <c r="BL188" s="168">
        <v>390469.46035331493</v>
      </c>
      <c r="BM188" s="168">
        <v>292194.36127582419</v>
      </c>
      <c r="BN188" s="168">
        <v>332675.86064877722</v>
      </c>
      <c r="BO188" s="168">
        <v>300374.97540634818</v>
      </c>
      <c r="BP188" s="168">
        <v>271535.73768637434</v>
      </c>
      <c r="BQ188" s="168">
        <v>260004.6693148232</v>
      </c>
      <c r="BR188" s="168">
        <v>90492.975002285486</v>
      </c>
      <c r="BS188" s="168">
        <v>229507.02748900902</v>
      </c>
      <c r="BT188" s="168">
        <v>399353.44659638335</v>
      </c>
      <c r="BU188" s="168">
        <v>284735.91204516531</v>
      </c>
      <c r="BV188" s="168">
        <v>220626.28562288644</v>
      </c>
      <c r="BW188" s="168">
        <v>287832.29727123119</v>
      </c>
      <c r="BX188" s="168">
        <v>397198.85562322132</v>
      </c>
      <c r="BY188" s="168">
        <v>294663.46581423236</v>
      </c>
      <c r="BZ188" s="168">
        <v>333865.03149126226</v>
      </c>
      <c r="CA188" s="168">
        <v>303453.23565739166</v>
      </c>
      <c r="CB188" s="168">
        <v>272681.92596130399</v>
      </c>
      <c r="CC188" s="168">
        <v>256493.14816262887</v>
      </c>
      <c r="CD188" s="168">
        <v>91235.68389188539</v>
      </c>
      <c r="CE188" s="168">
        <v>227601.21475432819</v>
      </c>
      <c r="CF188" s="168">
        <v>391072.59582504036</v>
      </c>
      <c r="CG188" s="168">
        <v>291051.49827762146</v>
      </c>
      <c r="CH188" s="168">
        <v>226916.9209599547</v>
      </c>
      <c r="CI188" s="168">
        <v>285023.33614618034</v>
      </c>
      <c r="CJ188" s="168">
        <v>398565.11235814355</v>
      </c>
      <c r="CK188" s="168">
        <v>296849.98814245133</v>
      </c>
      <c r="CL188" s="168">
        <v>343049.12618885463</v>
      </c>
      <c r="CM188" s="168">
        <v>305766.54581370496</v>
      </c>
      <c r="CN188" s="168">
        <v>277178.57031448896</v>
      </c>
      <c r="CO188" s="168">
        <v>256867.76661601212</v>
      </c>
    </row>
    <row r="189" spans="1:93" x14ac:dyDescent="0.2">
      <c r="A189" s="118">
        <f t="shared" si="18"/>
        <v>26</v>
      </c>
      <c r="B189" s="243" t="s">
        <v>145</v>
      </c>
      <c r="C189" s="223"/>
      <c r="D189" s="172">
        <f>SUMIF($AH$6:$CP$6,1,$AH189:$CP189)</f>
        <v>4139436.2154810955</v>
      </c>
      <c r="E189" s="225" t="s">
        <v>596</v>
      </c>
      <c r="F189" s="183">
        <v>3.2</v>
      </c>
      <c r="G189" s="233" t="s">
        <v>375</v>
      </c>
      <c r="H189" s="174">
        <f>ROUND(D189*F189,2)</f>
        <v>13246195.890000001</v>
      </c>
      <c r="I189" s="229"/>
      <c r="J189" s="172">
        <f>SUMIF($AH$6:$CP$6,1,$AH189:$CP189)</f>
        <v>4139436.2154810955</v>
      </c>
      <c r="K189" s="225" t="s">
        <v>596</v>
      </c>
      <c r="L189" s="183">
        <f>L184</f>
        <v>3.32</v>
      </c>
      <c r="M189" s="233" t="s">
        <v>375</v>
      </c>
      <c r="N189" s="174">
        <f>ROUND(J189*L189,2)</f>
        <v>13742928.24</v>
      </c>
      <c r="O189" s="227"/>
      <c r="R189" s="292"/>
      <c r="S189" s="263"/>
      <c r="T189" s="197"/>
      <c r="U189" s="184" t="s">
        <v>592</v>
      </c>
      <c r="V189" s="179">
        <v>245</v>
      </c>
      <c r="W189" s="180">
        <v>219</v>
      </c>
      <c r="X189" s="245"/>
      <c r="Y189" s="184"/>
      <c r="Z189" s="181"/>
      <c r="AA189" s="245"/>
      <c r="AB189" s="182">
        <f>SUM(AH189:AS189)</f>
        <v>4079301.2391960626</v>
      </c>
      <c r="AC189" s="182">
        <f>SUM(AT189:BE189)</f>
        <v>4100679.0426202836</v>
      </c>
      <c r="AD189" s="182">
        <f>SUM(BF189:BQ189)</f>
        <v>4118920.2226074883</v>
      </c>
      <c r="AE189" s="182">
        <f>SUM(BR189:CC189)</f>
        <v>4139436.2154810955</v>
      </c>
      <c r="AF189" s="182">
        <f>SUM(CD189:CO189)</f>
        <v>4164333.4106440037</v>
      </c>
      <c r="AH189" s="168">
        <v>178213.57804333823</v>
      </c>
      <c r="AI189" s="168">
        <v>290714.68174440472</v>
      </c>
      <c r="AJ189" s="168">
        <v>480980.69790856878</v>
      </c>
      <c r="AK189" s="168">
        <v>343171.57081624388</v>
      </c>
      <c r="AL189" s="168">
        <v>272725.32343463431</v>
      </c>
      <c r="AM189" s="168">
        <v>342389.0431233517</v>
      </c>
      <c r="AN189" s="168">
        <v>451593.89439434418</v>
      </c>
      <c r="AO189" s="168">
        <v>344919.60440006264</v>
      </c>
      <c r="AP189" s="168">
        <v>392125.40516237204</v>
      </c>
      <c r="AQ189" s="168">
        <v>356056.78406674683</v>
      </c>
      <c r="AR189" s="168">
        <v>320428.58387054247</v>
      </c>
      <c r="AS189" s="168">
        <v>305982.07223145262</v>
      </c>
      <c r="AT189" s="168">
        <v>176583.21004222953</v>
      </c>
      <c r="AU189" s="168">
        <v>288548.21036262839</v>
      </c>
      <c r="AV189" s="168">
        <v>469166.02709760953</v>
      </c>
      <c r="AW189" s="168">
        <v>344353.30624106515</v>
      </c>
      <c r="AX189" s="168">
        <v>270739.06825831765</v>
      </c>
      <c r="AY189" s="168">
        <v>334740.26910616743</v>
      </c>
      <c r="AZ189" s="168">
        <v>466875.72883038135</v>
      </c>
      <c r="BA189" s="168">
        <v>348533.0077818748</v>
      </c>
      <c r="BB189" s="168">
        <v>399583.70987770689</v>
      </c>
      <c r="BC189" s="168">
        <v>365994.29463099351</v>
      </c>
      <c r="BD189" s="168">
        <v>328689.29330533836</v>
      </c>
      <c r="BE189" s="168">
        <v>306872.91708597075</v>
      </c>
      <c r="BF189" s="168">
        <v>174697.71857998995</v>
      </c>
      <c r="BG189" s="168">
        <v>291514.07082960312</v>
      </c>
      <c r="BH189" s="168">
        <v>475252.79213325825</v>
      </c>
      <c r="BI189" s="168">
        <v>340625.99287828873</v>
      </c>
      <c r="BJ189" s="168">
        <v>271741.22211406799</v>
      </c>
      <c r="BK189" s="168">
        <v>340708.27703833312</v>
      </c>
      <c r="BL189" s="168">
        <v>470037.9377582561</v>
      </c>
      <c r="BM189" s="168">
        <v>351872.67573072418</v>
      </c>
      <c r="BN189" s="168">
        <v>400636.19857123843</v>
      </c>
      <c r="BO189" s="168">
        <v>361729.28959223384</v>
      </c>
      <c r="BP189" s="168">
        <v>327000.71303205355</v>
      </c>
      <c r="BQ189" s="168">
        <v>313103.33434944082</v>
      </c>
      <c r="BR189" s="168">
        <v>174668.08827808843</v>
      </c>
      <c r="BS189" s="168">
        <v>287820.95395641954</v>
      </c>
      <c r="BT189" s="168">
        <v>480632.12115965399</v>
      </c>
      <c r="BU189" s="168">
        <v>346256.16077664751</v>
      </c>
      <c r="BV189" s="168">
        <v>265541.2080128052</v>
      </c>
      <c r="BW189" s="168">
        <v>346763.79510311142</v>
      </c>
      <c r="BX189" s="168">
        <v>478139.19990035769</v>
      </c>
      <c r="BY189" s="168">
        <v>354847.71122127026</v>
      </c>
      <c r="BZ189" s="168">
        <v>402070.27619210415</v>
      </c>
      <c r="CA189" s="168">
        <v>365438.04388593335</v>
      </c>
      <c r="CB189" s="168">
        <v>328382.5940355662</v>
      </c>
      <c r="CC189" s="168">
        <v>308876.06295913813</v>
      </c>
      <c r="CD189" s="168">
        <v>176071.45514073817</v>
      </c>
      <c r="CE189" s="168">
        <v>285425.67285114055</v>
      </c>
      <c r="CF189" s="168">
        <v>470665.92022409826</v>
      </c>
      <c r="CG189" s="168">
        <v>353934.64669046539</v>
      </c>
      <c r="CH189" s="168">
        <v>273112.48929212074</v>
      </c>
      <c r="CI189" s="168">
        <v>343379.57359796949</v>
      </c>
      <c r="CJ189" s="168">
        <v>479783.83951950597</v>
      </c>
      <c r="CK189" s="168">
        <v>357480.7391834695</v>
      </c>
      <c r="CL189" s="168">
        <v>413130.48256751365</v>
      </c>
      <c r="CM189" s="168">
        <v>368223.79097408912</v>
      </c>
      <c r="CN189" s="168">
        <v>333797.68380454282</v>
      </c>
      <c r="CO189" s="168">
        <v>309327.1167983496</v>
      </c>
    </row>
    <row r="190" spans="1:93" x14ac:dyDescent="0.2">
      <c r="A190" s="118">
        <f t="shared" si="18"/>
        <v>27</v>
      </c>
      <c r="B190" s="243" t="s">
        <v>601</v>
      </c>
      <c r="C190" s="223"/>
      <c r="D190" s="172">
        <f>D188</f>
        <v>3370903.6067370013</v>
      </c>
      <c r="E190" s="225" t="s">
        <v>596</v>
      </c>
      <c r="F190" s="183">
        <v>-1.3</v>
      </c>
      <c r="G190" s="233" t="s">
        <v>375</v>
      </c>
      <c r="H190" s="174">
        <f>ROUND(D190*F190,2)</f>
        <v>-4382174.6900000004</v>
      </c>
      <c r="I190" s="229"/>
      <c r="J190" s="172">
        <f>J188</f>
        <v>3370903.6067370013</v>
      </c>
      <c r="K190" s="225" t="s">
        <v>596</v>
      </c>
      <c r="L190" s="173">
        <f>'Exhibit MJC-3 - E-13c cal yr'!L205</f>
        <v>-1.34</v>
      </c>
      <c r="M190" s="233" t="s">
        <v>375</v>
      </c>
      <c r="N190" s="174">
        <f>ROUND(J190*L190,2)</f>
        <v>-4517010.83</v>
      </c>
      <c r="O190" s="227"/>
      <c r="R190" s="288"/>
      <c r="S190" s="263"/>
      <c r="T190" s="927"/>
      <c r="U190" s="184" t="s">
        <v>592</v>
      </c>
      <c r="V190" s="179">
        <v>245</v>
      </c>
      <c r="W190" s="180">
        <v>219</v>
      </c>
      <c r="X190" s="245"/>
      <c r="Y190" s="184"/>
      <c r="Z190" s="181"/>
      <c r="AA190" s="245"/>
      <c r="AB190" s="182"/>
      <c r="AC190" s="182"/>
      <c r="AD190" s="182"/>
      <c r="AE190" s="182"/>
      <c r="AF190" s="182"/>
      <c r="AH190" s="168"/>
      <c r="AI190" s="168"/>
      <c r="AJ190" s="168"/>
      <c r="AK190" s="168"/>
      <c r="AL190" s="168"/>
      <c r="AM190" s="168"/>
      <c r="AN190" s="168"/>
      <c r="AO190" s="168"/>
      <c r="AP190" s="168"/>
      <c r="AQ190" s="168"/>
      <c r="AR190" s="168"/>
      <c r="AS190" s="168"/>
      <c r="AT190" s="168"/>
      <c r="AU190" s="168"/>
      <c r="AV190" s="168"/>
      <c r="AW190" s="168"/>
      <c r="AX190" s="168"/>
      <c r="AY190" s="168"/>
      <c r="AZ190" s="168"/>
      <c r="BA190" s="168"/>
      <c r="BB190" s="168"/>
      <c r="BC190" s="168"/>
      <c r="BD190" s="168"/>
      <c r="BE190" s="168"/>
      <c r="BF190" s="168"/>
      <c r="BG190" s="168"/>
      <c r="BH190" s="168"/>
      <c r="BI190" s="168"/>
      <c r="BJ190" s="168"/>
      <c r="BK190" s="168"/>
      <c r="BL190" s="168"/>
      <c r="BM190" s="168"/>
      <c r="BN190" s="168"/>
      <c r="BO190" s="168"/>
      <c r="BP190" s="168"/>
      <c r="BQ190" s="168"/>
      <c r="BR190" s="168"/>
      <c r="BS190" s="168"/>
      <c r="BT190" s="168"/>
      <c r="BU190" s="168"/>
      <c r="BV190" s="168"/>
      <c r="BW190" s="168"/>
      <c r="BX190" s="168"/>
      <c r="BY190" s="168"/>
      <c r="BZ190" s="168"/>
      <c r="CA190" s="168"/>
      <c r="CB190" s="168"/>
      <c r="CC190" s="168"/>
      <c r="CD190" s="168"/>
      <c r="CE190" s="168"/>
      <c r="CF190" s="168"/>
      <c r="CG190" s="168"/>
      <c r="CH190" s="168"/>
      <c r="CI190" s="168"/>
      <c r="CJ190" s="168"/>
      <c r="CK190" s="168"/>
      <c r="CL190" s="168"/>
      <c r="CM190" s="168"/>
      <c r="CN190" s="168"/>
      <c r="CO190" s="168"/>
    </row>
    <row r="191" spans="1:93" x14ac:dyDescent="0.2">
      <c r="A191" s="118">
        <f t="shared" si="18"/>
        <v>28</v>
      </c>
      <c r="B191" s="234" t="s">
        <v>216</v>
      </c>
      <c r="C191" s="223"/>
      <c r="D191" s="168"/>
      <c r="E191" s="225"/>
      <c r="F191" s="183"/>
      <c r="G191" s="233"/>
      <c r="H191" s="174"/>
      <c r="I191" s="229"/>
      <c r="J191" s="168"/>
      <c r="K191" s="225"/>
      <c r="L191" s="183"/>
      <c r="M191" s="233"/>
      <c r="N191" s="174"/>
      <c r="O191" s="227"/>
      <c r="R191" s="293"/>
      <c r="S191" s="263"/>
      <c r="T191" s="247"/>
      <c r="U191" s="184"/>
      <c r="V191" s="179"/>
      <c r="W191" s="180"/>
      <c r="X191" s="245"/>
      <c r="Y191" s="184"/>
      <c r="Z191" s="181"/>
      <c r="AA191" s="245"/>
    </row>
    <row r="192" spans="1:93" x14ac:dyDescent="0.2">
      <c r="A192" s="118">
        <f t="shared" si="18"/>
        <v>29</v>
      </c>
      <c r="B192" s="243" t="s">
        <v>559</v>
      </c>
      <c r="C192" s="223"/>
      <c r="D192" s="172">
        <f>SUMIF($AH$6:$CP$6,1,$AH192:$CP192)</f>
        <v>834623.55341443862</v>
      </c>
      <c r="E192" s="225" t="s">
        <v>596</v>
      </c>
      <c r="F192" s="183">
        <v>2.64</v>
      </c>
      <c r="G192" s="233" t="s">
        <v>375</v>
      </c>
      <c r="H192" s="174">
        <f>ROUND(D192*F192,2)</f>
        <v>2203406.1800000002</v>
      </c>
      <c r="I192" s="229"/>
      <c r="J192" s="172">
        <f>SUMIF($AH$6:$CP$6,1,$AH192:$CP192)</f>
        <v>834623.55341443862</v>
      </c>
      <c r="K192" s="225" t="s">
        <v>596</v>
      </c>
      <c r="L192" s="183">
        <f>L182</f>
        <v>2.72</v>
      </c>
      <c r="M192" s="233" t="s">
        <v>375</v>
      </c>
      <c r="N192" s="174">
        <f>ROUND(J192*L192,2)</f>
        <v>2270176.0699999998</v>
      </c>
      <c r="O192" s="227"/>
      <c r="S192" s="263"/>
      <c r="T192" s="197"/>
      <c r="U192" s="184" t="s">
        <v>592</v>
      </c>
      <c r="V192" s="179">
        <v>245</v>
      </c>
      <c r="W192" s="180">
        <v>219</v>
      </c>
      <c r="X192" s="245"/>
      <c r="Y192" s="184"/>
      <c r="Z192" s="181"/>
      <c r="AA192" s="245"/>
      <c r="AB192" s="182">
        <f>SUM(AH192:AS192)</f>
        <v>822498.69752130983</v>
      </c>
      <c r="AC192" s="182">
        <f>SUM(AT192:BE192)</f>
        <v>826809.04736832238</v>
      </c>
      <c r="AD192" s="182">
        <f>SUM(BF192:BQ192)</f>
        <v>830486.96814469644</v>
      </c>
      <c r="AE192" s="182">
        <f>SUM(BR192:CC192)</f>
        <v>834623.55341443862</v>
      </c>
      <c r="AF192" s="182">
        <f>SUM(CD192:CO192)</f>
        <v>839643.50889030844</v>
      </c>
      <c r="AH192" s="168">
        <v>0</v>
      </c>
      <c r="AI192" s="168">
        <v>0</v>
      </c>
      <c r="AJ192" s="168">
        <v>249785.38660222309</v>
      </c>
      <c r="AK192" s="168">
        <v>64760.021055618548</v>
      </c>
      <c r="AL192" s="168">
        <v>54635.042240392075</v>
      </c>
      <c r="AM192" s="168">
        <v>62749.391565444566</v>
      </c>
      <c r="AN192" s="168">
        <v>65502.34892473495</v>
      </c>
      <c r="AO192" s="168">
        <v>60508.292979346508</v>
      </c>
      <c r="AP192" s="168">
        <v>68685.628274439034</v>
      </c>
      <c r="AQ192" s="168">
        <v>68375.170533753917</v>
      </c>
      <c r="AR192" s="168">
        <v>66690.191132925203</v>
      </c>
      <c r="AS192" s="168">
        <v>60807.224212431916</v>
      </c>
      <c r="AT192" s="168">
        <v>0</v>
      </c>
      <c r="AU192" s="168">
        <v>0</v>
      </c>
      <c r="AV192" s="168">
        <v>244857.75204009391</v>
      </c>
      <c r="AW192" s="168">
        <v>65292.771402282247</v>
      </c>
      <c r="AX192" s="168">
        <v>54506.00017384973</v>
      </c>
      <c r="AY192" s="168">
        <v>61650.618540910364</v>
      </c>
      <c r="AZ192" s="168">
        <v>68054.422140791052</v>
      </c>
      <c r="BA192" s="168">
        <v>61444.646298482221</v>
      </c>
      <c r="BB192" s="168">
        <v>70338.240310576104</v>
      </c>
      <c r="BC192" s="168">
        <v>70631.181291433444</v>
      </c>
      <c r="BD192" s="168">
        <v>68747.573954144915</v>
      </c>
      <c r="BE192" s="168">
        <v>61285.841215758381</v>
      </c>
      <c r="BF192" s="168">
        <v>0</v>
      </c>
      <c r="BG192" s="168">
        <v>0</v>
      </c>
      <c r="BH192" s="168">
        <v>247622.97601794041</v>
      </c>
      <c r="BI192" s="168">
        <v>64467.652687679125</v>
      </c>
      <c r="BJ192" s="168">
        <v>54616.962234074039</v>
      </c>
      <c r="BK192" s="168">
        <v>62644.60892791822</v>
      </c>
      <c r="BL192" s="168">
        <v>68401.462419333489</v>
      </c>
      <c r="BM192" s="168">
        <v>61929.879609397671</v>
      </c>
      <c r="BN192" s="168">
        <v>70405.763060310928</v>
      </c>
      <c r="BO192" s="168">
        <v>69691.575362206437</v>
      </c>
      <c r="BP192" s="168">
        <v>68280.284671858593</v>
      </c>
      <c r="BQ192" s="168">
        <v>62425.803153977489</v>
      </c>
      <c r="BR192" s="168">
        <v>0</v>
      </c>
      <c r="BS192" s="168">
        <v>0</v>
      </c>
      <c r="BT192" s="168">
        <v>249915.05667464939</v>
      </c>
      <c r="BU192" s="168">
        <v>65393.681125261588</v>
      </c>
      <c r="BV192" s="168">
        <v>53261.959867566664</v>
      </c>
      <c r="BW192" s="168">
        <v>63627.417498544732</v>
      </c>
      <c r="BX192" s="168">
        <v>69438.350811787357</v>
      </c>
      <c r="BY192" s="168">
        <v>62325.789992033104</v>
      </c>
      <c r="BZ192" s="168">
        <v>70513.285229887551</v>
      </c>
      <c r="CA192" s="168">
        <v>70262.144414987677</v>
      </c>
      <c r="CB192" s="168">
        <v>68428.745224826052</v>
      </c>
      <c r="CC192" s="168">
        <v>61457.122574894536</v>
      </c>
      <c r="CD192" s="168">
        <v>0</v>
      </c>
      <c r="CE192" s="168">
        <v>0</v>
      </c>
      <c r="CF192" s="168">
        <v>245745.37555022811</v>
      </c>
      <c r="CG192" s="168">
        <v>67120.682503587741</v>
      </c>
      <c r="CH192" s="168">
        <v>55007.227563363587</v>
      </c>
      <c r="CI192" s="168">
        <v>63267.136219249231</v>
      </c>
      <c r="CJ192" s="168">
        <v>69965.456944547317</v>
      </c>
      <c r="CK192" s="168">
        <v>63048.029851247469</v>
      </c>
      <c r="CL192" s="168">
        <v>72752.733800624454</v>
      </c>
      <c r="CM192" s="168">
        <v>71090.665504017074</v>
      </c>
      <c r="CN192" s="168">
        <v>69844.762558219867</v>
      </c>
      <c r="CO192" s="168">
        <v>61801.438395223631</v>
      </c>
    </row>
    <row r="193" spans="1:93" x14ac:dyDescent="0.2">
      <c r="A193" s="118">
        <f t="shared" si="18"/>
        <v>30</v>
      </c>
      <c r="B193" s="243" t="s">
        <v>599</v>
      </c>
      <c r="C193" s="223"/>
      <c r="D193" s="172">
        <f>SUMIF($AH$6:$CP$6,1,$AH193:$CP193)</f>
        <v>894292.77862042398</v>
      </c>
      <c r="E193" s="225" t="s">
        <v>596</v>
      </c>
      <c r="F193" s="183">
        <v>4.72</v>
      </c>
      <c r="G193" s="233"/>
      <c r="H193" s="174">
        <f>ROUND(D193*F193,2)</f>
        <v>4221061.92</v>
      </c>
      <c r="I193" s="229"/>
      <c r="J193" s="172">
        <f>SUMIF($AH$6:$CP$6,1,$AH193:$CP193)</f>
        <v>894292.77862042398</v>
      </c>
      <c r="K193" s="225" t="s">
        <v>596</v>
      </c>
      <c r="L193" s="183">
        <f>L183</f>
        <v>4.8600000000000003</v>
      </c>
      <c r="M193" s="233" t="s">
        <v>375</v>
      </c>
      <c r="N193" s="174">
        <f>ROUND(J193*L193,2)</f>
        <v>4346262.9000000004</v>
      </c>
      <c r="O193" s="227"/>
      <c r="S193" s="263"/>
      <c r="T193" s="197"/>
      <c r="U193" s="184" t="s">
        <v>592</v>
      </c>
      <c r="V193" s="179">
        <v>245</v>
      </c>
      <c r="W193" s="180">
        <v>219</v>
      </c>
      <c r="X193" s="245"/>
      <c r="Y193" s="184"/>
      <c r="Z193" s="181"/>
      <c r="AA193" s="245"/>
      <c r="AB193" s="182">
        <f>SUM(AH193:AS193)</f>
        <v>881301.087908271</v>
      </c>
      <c r="AC193" s="182">
        <f>SUM(AT193:BE193)</f>
        <v>885919.59492948011</v>
      </c>
      <c r="AD193" s="182">
        <f>SUM(BF193:BQ193)</f>
        <v>889860.45901987585</v>
      </c>
      <c r="AE193" s="182">
        <f>SUM(BR193:CC193)</f>
        <v>894292.77862042398</v>
      </c>
      <c r="AF193" s="182">
        <f>SUM(CD193:CO193)</f>
        <v>899671.622666582</v>
      </c>
      <c r="AH193" s="168">
        <v>0</v>
      </c>
      <c r="AI193" s="168">
        <v>0</v>
      </c>
      <c r="AJ193" s="168">
        <v>147025.0014345682</v>
      </c>
      <c r="AK193" s="168">
        <v>78711.794007207398</v>
      </c>
      <c r="AL193" s="168">
        <v>68931.726388902534</v>
      </c>
      <c r="AM193" s="168">
        <v>81915.737990446869</v>
      </c>
      <c r="AN193" s="168">
        <v>84309.74314919833</v>
      </c>
      <c r="AO193" s="168">
        <v>85646.427957080246</v>
      </c>
      <c r="AP193" s="168">
        <v>86828.529196040719</v>
      </c>
      <c r="AQ193" s="168">
        <v>95964.195060860031</v>
      </c>
      <c r="AR193" s="168">
        <v>85940.906522390927</v>
      </c>
      <c r="AS193" s="168">
        <v>66027.026201575893</v>
      </c>
      <c r="AT193" s="168">
        <v>0</v>
      </c>
      <c r="AU193" s="168">
        <v>0</v>
      </c>
      <c r="AV193" s="168">
        <v>143385.16165183045</v>
      </c>
      <c r="AW193" s="168">
        <v>78952.178797482164</v>
      </c>
      <c r="AX193" s="168">
        <v>68416.109202662978</v>
      </c>
      <c r="AY193" s="168">
        <v>80068.456048484004</v>
      </c>
      <c r="AZ193" s="168">
        <v>87145.191697265007</v>
      </c>
      <c r="BA193" s="168">
        <v>86525.59390677698</v>
      </c>
      <c r="BB193" s="168">
        <v>88461.491054913786</v>
      </c>
      <c r="BC193" s="168">
        <v>98621.921289551159</v>
      </c>
      <c r="BD193" s="168">
        <v>88138.039935662731</v>
      </c>
      <c r="BE193" s="168">
        <v>66205.451344850866</v>
      </c>
      <c r="BF193" s="168">
        <v>0</v>
      </c>
      <c r="BG193" s="168">
        <v>0</v>
      </c>
      <c r="BH193" s="168">
        <v>145225.76649672521</v>
      </c>
      <c r="BI193" s="168">
        <v>78073.4301326001</v>
      </c>
      <c r="BJ193" s="168">
        <v>68660.029661167966</v>
      </c>
      <c r="BK193" s="168">
        <v>81483.580574095817</v>
      </c>
      <c r="BL193" s="168">
        <v>87723.278084588004</v>
      </c>
      <c r="BM193" s="168">
        <v>87342.006044149253</v>
      </c>
      <c r="BN193" s="168">
        <v>88681.565727554829</v>
      </c>
      <c r="BO193" s="168">
        <v>97458.485283305781</v>
      </c>
      <c r="BP193" s="168">
        <v>87672.489378481623</v>
      </c>
      <c r="BQ193" s="168">
        <v>67539.827637207272</v>
      </c>
      <c r="BR193" s="168">
        <v>0</v>
      </c>
      <c r="BS193" s="168">
        <v>0</v>
      </c>
      <c r="BT193" s="168">
        <v>146640.16856575059</v>
      </c>
      <c r="BU193" s="168">
        <v>79232.795459920948</v>
      </c>
      <c r="BV193" s="168">
        <v>66988.673676538048</v>
      </c>
      <c r="BW193" s="168">
        <v>82801.554350697465</v>
      </c>
      <c r="BX193" s="168">
        <v>89095.681379219823</v>
      </c>
      <c r="BY193" s="168">
        <v>87942.439644069469</v>
      </c>
      <c r="BZ193" s="168">
        <v>88859.503484004279</v>
      </c>
      <c r="CA193" s="168">
        <v>98303.406253746303</v>
      </c>
      <c r="CB193" s="168">
        <v>87905.000206931931</v>
      </c>
      <c r="CC193" s="168">
        <v>66523.5555995451</v>
      </c>
      <c r="CD193" s="168">
        <v>0</v>
      </c>
      <c r="CE193" s="168">
        <v>0</v>
      </c>
      <c r="CF193" s="168">
        <v>143577.23947973485</v>
      </c>
      <c r="CG193" s="168">
        <v>80977.669382771288</v>
      </c>
      <c r="CH193" s="168">
        <v>68888.020966163167</v>
      </c>
      <c r="CI193" s="168">
        <v>81980.787405625568</v>
      </c>
      <c r="CJ193" s="168">
        <v>89388.293548180038</v>
      </c>
      <c r="CK193" s="168">
        <v>88581.280351023801</v>
      </c>
      <c r="CL193" s="168">
        <v>91289.739170503133</v>
      </c>
      <c r="CM193" s="168">
        <v>99037.452751761055</v>
      </c>
      <c r="CN193" s="168">
        <v>89340.746618059988</v>
      </c>
      <c r="CO193" s="168">
        <v>66610.392992759167</v>
      </c>
    </row>
    <row r="194" spans="1:93" x14ac:dyDescent="0.2">
      <c r="A194" s="118">
        <f t="shared" si="18"/>
        <v>31</v>
      </c>
      <c r="B194" s="243" t="s">
        <v>145</v>
      </c>
      <c r="C194" s="223"/>
      <c r="D194" s="172">
        <f>SUMIF($AH$6:$CP$6,1,$AH194:$CP194)</f>
        <v>979622.41945506213</v>
      </c>
      <c r="E194" s="225" t="s">
        <v>596</v>
      </c>
      <c r="F194" s="183">
        <v>3.2</v>
      </c>
      <c r="G194" s="233" t="s">
        <v>375</v>
      </c>
      <c r="H194" s="174">
        <f>ROUND(D194*F194,2)</f>
        <v>3134791.74</v>
      </c>
      <c r="I194" s="229"/>
      <c r="J194" s="172">
        <f>SUMIF($AH$6:$CP$6,1,$AH194:$CP194)</f>
        <v>979622.41945506213</v>
      </c>
      <c r="K194" s="225" t="s">
        <v>596</v>
      </c>
      <c r="L194" s="183">
        <f>L184</f>
        <v>3.32</v>
      </c>
      <c r="M194" s="233" t="s">
        <v>375</v>
      </c>
      <c r="N194" s="174">
        <f>ROUND(J194*L194,2)</f>
        <v>3252346.43</v>
      </c>
      <c r="O194" s="227"/>
      <c r="P194" s="182"/>
      <c r="S194" s="263"/>
      <c r="T194" s="927"/>
      <c r="U194" s="184" t="s">
        <v>592</v>
      </c>
      <c r="V194" s="179">
        <v>245</v>
      </c>
      <c r="W194" s="180">
        <v>219</v>
      </c>
      <c r="Y194" s="184"/>
      <c r="Z194" s="181"/>
      <c r="AB194" s="182">
        <f>SUM(AH194:AS194)</f>
        <v>965391.11647184426</v>
      </c>
      <c r="AC194" s="182">
        <f>SUM(AT194:BE194)</f>
        <v>970450.30193162896</v>
      </c>
      <c r="AD194" s="182">
        <f>SUM(BF194:BQ194)</f>
        <v>974767.18663345161</v>
      </c>
      <c r="AE194" s="182">
        <f>SUM(BR194:CC194)</f>
        <v>979622.41945506213</v>
      </c>
      <c r="AF194" s="182">
        <f>SUM(CD194:CO194)</f>
        <v>985514.49008823594</v>
      </c>
      <c r="AH194" s="168">
        <v>0</v>
      </c>
      <c r="AI194" s="168">
        <v>0</v>
      </c>
      <c r="AJ194" s="168">
        <v>161049.51650653163</v>
      </c>
      <c r="AK194" s="168">
        <v>86220.00506399585</v>
      </c>
      <c r="AL194" s="168">
        <v>75507.030087218474</v>
      </c>
      <c r="AM194" s="168">
        <v>89729.568909464433</v>
      </c>
      <c r="AN194" s="168">
        <v>92351.934966727524</v>
      </c>
      <c r="AO194" s="168">
        <v>93816.124321806783</v>
      </c>
      <c r="AP194" s="168">
        <v>95110.984591412547</v>
      </c>
      <c r="AQ194" s="168">
        <v>105118.08920721599</v>
      </c>
      <c r="AR194" s="168">
        <v>94154.612577608277</v>
      </c>
      <c r="AS194" s="168">
        <v>72333.250239862653</v>
      </c>
      <c r="AT194" s="168">
        <v>0</v>
      </c>
      <c r="AU194" s="168">
        <v>0</v>
      </c>
      <c r="AV194" s="168">
        <v>157062.47735365646</v>
      </c>
      <c r="AW194" s="168">
        <v>86483.319832719077</v>
      </c>
      <c r="AX194" s="168">
        <v>74942.228878335023</v>
      </c>
      <c r="AY194" s="168">
        <v>87706.077253613199</v>
      </c>
      <c r="AZ194" s="168">
        <v>95457.853098267282</v>
      </c>
      <c r="BA194" s="168">
        <v>94779.152716611323</v>
      </c>
      <c r="BB194" s="168">
        <v>96899.712462720607</v>
      </c>
      <c r="BC194" s="168">
        <v>108029.33232886919</v>
      </c>
      <c r="BD194" s="168">
        <v>96561.531163785708</v>
      </c>
      <c r="BE194" s="168">
        <v>72528.61684305119</v>
      </c>
      <c r="BF194" s="168">
        <v>0</v>
      </c>
      <c r="BG194" s="168">
        <v>0</v>
      </c>
      <c r="BH194" s="168">
        <v>159078.6549932248</v>
      </c>
      <c r="BI194" s="168">
        <v>85520.748526960582</v>
      </c>
      <c r="BJ194" s="168">
        <v>75209.416577875774</v>
      </c>
      <c r="BK194" s="168">
        <v>89256.188584492818</v>
      </c>
      <c r="BL194" s="168">
        <v>96091.082360426546</v>
      </c>
      <c r="BM194" s="168">
        <v>95673.441298219535</v>
      </c>
      <c r="BN194" s="168">
        <v>97140.779759291545</v>
      </c>
      <c r="BO194" s="168">
        <v>106754.91774316013</v>
      </c>
      <c r="BP194" s="168">
        <v>96051.508840933151</v>
      </c>
      <c r="BQ194" s="168">
        <v>73990.447948866757</v>
      </c>
      <c r="BR194" s="168">
        <v>0</v>
      </c>
      <c r="BS194" s="168">
        <v>0</v>
      </c>
      <c r="BT194" s="168">
        <v>160627.97495336609</v>
      </c>
      <c r="BU194" s="168">
        <v>86790.70413721478</v>
      </c>
      <c r="BV194" s="168">
        <v>73378.632217334656</v>
      </c>
      <c r="BW194" s="168">
        <v>90699.882088447295</v>
      </c>
      <c r="BX194" s="168">
        <v>97594.397340163428</v>
      </c>
      <c r="BY194" s="168">
        <v>96331.149443214599</v>
      </c>
      <c r="BZ194" s="168">
        <v>97335.690756501746</v>
      </c>
      <c r="CA194" s="168">
        <v>107680.43457667794</v>
      </c>
      <c r="CB194" s="168">
        <v>96306.374546031904</v>
      </c>
      <c r="CC194" s="168">
        <v>72877.179396109597</v>
      </c>
      <c r="CD194" s="168">
        <v>0</v>
      </c>
      <c r="CE194" s="168">
        <v>0</v>
      </c>
      <c r="CF194" s="168">
        <v>157272.87722452061</v>
      </c>
      <c r="CG194" s="168">
        <v>88702.019212188345</v>
      </c>
      <c r="CH194" s="168">
        <v>75459.155663602025</v>
      </c>
      <c r="CI194" s="168">
        <v>89800.823299951386</v>
      </c>
      <c r="CJ194" s="168">
        <v>97914.9213862451</v>
      </c>
      <c r="CK194" s="168">
        <v>97030.928296986458</v>
      </c>
      <c r="CL194" s="168">
        <v>99997.743322314796</v>
      </c>
      <c r="CM194" s="168">
        <v>108484.50077252967</v>
      </c>
      <c r="CN194" s="168">
        <v>97879.252836049665</v>
      </c>
      <c r="CO194" s="168">
        <v>72972.268073847881</v>
      </c>
    </row>
    <row r="195" spans="1:93" x14ac:dyDescent="0.2">
      <c r="A195" s="118">
        <f t="shared" si="18"/>
        <v>32</v>
      </c>
      <c r="B195" s="243" t="s">
        <v>601</v>
      </c>
      <c r="C195" s="223"/>
      <c r="D195" s="172">
        <f>D193</f>
        <v>894292.77862042398</v>
      </c>
      <c r="E195" s="225" t="s">
        <v>596</v>
      </c>
      <c r="F195" s="183">
        <v>-6.18</v>
      </c>
      <c r="G195" s="233" t="s">
        <v>375</v>
      </c>
      <c r="H195" s="174">
        <f>ROUND(D195*F195,2)</f>
        <v>-5526729.3700000001</v>
      </c>
      <c r="I195" s="229"/>
      <c r="J195" s="172">
        <f>J193</f>
        <v>894292.77862042398</v>
      </c>
      <c r="K195" s="225" t="s">
        <v>596</v>
      </c>
      <c r="L195" s="173">
        <f>'Exhibit MJC-3 - E-13c cal yr'!L210</f>
        <v>-6.47</v>
      </c>
      <c r="M195" s="233" t="s">
        <v>375</v>
      </c>
      <c r="N195" s="174">
        <f>ROUND(J195*L195,2)</f>
        <v>-5786074.2800000003</v>
      </c>
      <c r="O195" s="227"/>
      <c r="P195" s="182"/>
      <c r="S195" s="262"/>
      <c r="T195" s="247"/>
      <c r="U195" s="184"/>
      <c r="V195" s="179"/>
      <c r="W195" s="180"/>
      <c r="X195" s="245"/>
      <c r="Y195" s="184"/>
      <c r="Z195" s="181"/>
      <c r="AA195" s="245"/>
      <c r="AB195" s="182"/>
      <c r="AC195" s="182"/>
      <c r="AD195" s="182"/>
      <c r="AE195" s="182"/>
      <c r="AF195" s="182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  <c r="AU195" s="168"/>
      <c r="AV195" s="168"/>
      <c r="AW195" s="168"/>
      <c r="AX195" s="168"/>
      <c r="AY195" s="168"/>
      <c r="AZ195" s="168"/>
      <c r="BA195" s="168"/>
      <c r="BB195" s="168"/>
      <c r="BC195" s="168"/>
      <c r="BD195" s="168"/>
      <c r="BE195" s="168"/>
      <c r="BF195" s="168"/>
      <c r="BG195" s="168"/>
      <c r="BH195" s="168"/>
      <c r="BI195" s="168"/>
      <c r="BJ195" s="168"/>
      <c r="BK195" s="168"/>
      <c r="BL195" s="168"/>
      <c r="BM195" s="168"/>
      <c r="BN195" s="168"/>
      <c r="BO195" s="168"/>
      <c r="BP195" s="168"/>
      <c r="BQ195" s="168"/>
      <c r="BR195" s="168"/>
      <c r="BS195" s="168"/>
      <c r="BT195" s="168"/>
      <c r="BU195" s="168"/>
      <c r="BV195" s="168"/>
      <c r="BW195" s="168"/>
      <c r="BX195" s="168"/>
      <c r="BY195" s="168"/>
      <c r="BZ195" s="168"/>
      <c r="CA195" s="168"/>
      <c r="CB195" s="168"/>
      <c r="CC195" s="168"/>
      <c r="CD195" s="168"/>
      <c r="CE195" s="168"/>
      <c r="CF195" s="168"/>
      <c r="CG195" s="168"/>
      <c r="CH195" s="168"/>
      <c r="CI195" s="168"/>
      <c r="CJ195" s="168"/>
      <c r="CK195" s="168"/>
      <c r="CL195" s="168"/>
      <c r="CM195" s="168"/>
      <c r="CN195" s="168"/>
      <c r="CO195" s="168"/>
    </row>
    <row r="196" spans="1:93" x14ac:dyDescent="0.2">
      <c r="A196" s="118">
        <f t="shared" si="18"/>
        <v>33</v>
      </c>
      <c r="B196" s="243"/>
      <c r="C196" s="223"/>
      <c r="D196" s="168"/>
      <c r="E196" s="225"/>
      <c r="F196" s="183"/>
      <c r="G196" s="233"/>
      <c r="H196" s="174"/>
      <c r="I196" s="229"/>
      <c r="J196" s="168"/>
      <c r="K196" s="225"/>
      <c r="L196" s="183"/>
      <c r="M196" s="233"/>
      <c r="N196" s="174"/>
      <c r="O196" s="227"/>
      <c r="S196" s="262"/>
      <c r="T196" s="247"/>
      <c r="U196" s="184"/>
      <c r="V196" s="179"/>
      <c r="W196" s="180"/>
      <c r="Y196" s="184"/>
      <c r="Z196" s="181"/>
    </row>
    <row r="197" spans="1:93" x14ac:dyDescent="0.2">
      <c r="A197" s="118">
        <f t="shared" si="18"/>
        <v>34</v>
      </c>
      <c r="B197" s="223" t="s">
        <v>602</v>
      </c>
      <c r="C197" s="223"/>
      <c r="D197" s="172">
        <f>SUMIF($AH$6:$CP$6,1,$AH197:$CP197)</f>
        <v>0</v>
      </c>
      <c r="E197" s="225" t="s">
        <v>596</v>
      </c>
      <c r="F197" s="183">
        <v>2.5099999999999998</v>
      </c>
      <c r="G197" s="233" t="s">
        <v>375</v>
      </c>
      <c r="H197" s="187">
        <f>ROUND(D197*F197,2)</f>
        <v>0</v>
      </c>
      <c r="I197" s="229"/>
      <c r="J197" s="172">
        <f>SUMIF($AH$6:$CP$6,1,$AH197:$CP197)</f>
        <v>0</v>
      </c>
      <c r="K197" s="225" t="s">
        <v>596</v>
      </c>
      <c r="L197" s="173">
        <f>'Exhibit MJC-3 - E-13c cal yr'!L212</f>
        <v>2.64</v>
      </c>
      <c r="M197" s="233" t="s">
        <v>375</v>
      </c>
      <c r="N197" s="187">
        <f>ROUND(J197*L197,2)</f>
        <v>0</v>
      </c>
      <c r="O197" s="227"/>
      <c r="S197" s="262"/>
      <c r="T197" s="247"/>
      <c r="U197" s="184" t="s">
        <v>122</v>
      </c>
      <c r="V197" s="179">
        <v>244</v>
      </c>
      <c r="W197" s="180">
        <v>218</v>
      </c>
      <c r="Y197" s="184"/>
      <c r="Z197" s="181"/>
      <c r="AB197" s="182">
        <f>SUM(AH197:AS197)</f>
        <v>0</v>
      </c>
      <c r="AC197" s="182">
        <f>SUM(AT197:BE197)</f>
        <v>0</v>
      </c>
      <c r="AD197" s="182">
        <f>SUM(BF197:BQ197)</f>
        <v>0</v>
      </c>
      <c r="AE197" s="182">
        <f>SUM(BR197:CC197)</f>
        <v>0</v>
      </c>
      <c r="AF197" s="182">
        <f>SUM(CD197:CO197)</f>
        <v>0</v>
      </c>
      <c r="AH197" s="175">
        <v>0</v>
      </c>
      <c r="AI197" s="175">
        <v>0</v>
      </c>
      <c r="AJ197" s="175">
        <v>0</v>
      </c>
      <c r="AK197" s="175">
        <v>0</v>
      </c>
      <c r="AL197" s="175">
        <v>0</v>
      </c>
      <c r="AM197" s="175">
        <v>0</v>
      </c>
      <c r="AN197" s="175">
        <v>0</v>
      </c>
      <c r="AO197" s="175">
        <v>0</v>
      </c>
      <c r="AP197" s="175">
        <v>0</v>
      </c>
      <c r="AQ197" s="175">
        <v>0</v>
      </c>
      <c r="AR197" s="175">
        <v>0</v>
      </c>
      <c r="AS197" s="175">
        <v>0</v>
      </c>
      <c r="AT197" s="175">
        <v>0</v>
      </c>
      <c r="AU197" s="175">
        <v>0</v>
      </c>
      <c r="AV197" s="175">
        <v>0</v>
      </c>
      <c r="AW197" s="175">
        <v>0</v>
      </c>
      <c r="AX197" s="175">
        <v>0</v>
      </c>
      <c r="AY197" s="175">
        <v>0</v>
      </c>
      <c r="AZ197" s="175">
        <v>0</v>
      </c>
      <c r="BA197" s="175">
        <v>0</v>
      </c>
      <c r="BB197" s="175">
        <v>0</v>
      </c>
      <c r="BC197" s="175">
        <v>0</v>
      </c>
      <c r="BD197" s="175">
        <v>0</v>
      </c>
      <c r="BE197" s="175">
        <v>0</v>
      </c>
      <c r="BF197" s="175">
        <v>0</v>
      </c>
      <c r="BG197" s="175">
        <v>0</v>
      </c>
      <c r="BH197" s="175">
        <v>0</v>
      </c>
      <c r="BI197" s="175">
        <v>0</v>
      </c>
      <c r="BJ197" s="175">
        <v>0</v>
      </c>
      <c r="BK197" s="175">
        <v>0</v>
      </c>
      <c r="BL197" s="175">
        <v>0</v>
      </c>
      <c r="BM197" s="175">
        <v>0</v>
      </c>
      <c r="BN197" s="175">
        <v>0</v>
      </c>
      <c r="BO197" s="175">
        <v>0</v>
      </c>
      <c r="BP197" s="175">
        <v>0</v>
      </c>
      <c r="BQ197" s="175">
        <v>0</v>
      </c>
      <c r="BR197" s="175">
        <v>0</v>
      </c>
      <c r="BS197" s="175">
        <v>0</v>
      </c>
      <c r="BT197" s="175">
        <v>0</v>
      </c>
      <c r="BU197" s="175">
        <v>0</v>
      </c>
      <c r="BV197" s="175">
        <v>0</v>
      </c>
      <c r="BW197" s="175">
        <v>0</v>
      </c>
      <c r="BX197" s="175">
        <v>0</v>
      </c>
      <c r="BY197" s="175">
        <v>0</v>
      </c>
      <c r="BZ197" s="175">
        <v>0</v>
      </c>
      <c r="CA197" s="175">
        <v>0</v>
      </c>
      <c r="CB197" s="175">
        <v>0</v>
      </c>
      <c r="CC197" s="175">
        <v>0</v>
      </c>
      <c r="CD197" s="175">
        <v>0</v>
      </c>
      <c r="CE197" s="175">
        <v>0</v>
      </c>
      <c r="CF197" s="175">
        <v>0</v>
      </c>
      <c r="CG197" s="175">
        <v>0</v>
      </c>
      <c r="CH197" s="175">
        <v>0</v>
      </c>
      <c r="CI197" s="175">
        <v>0</v>
      </c>
      <c r="CJ197" s="175">
        <v>0</v>
      </c>
      <c r="CK197" s="175">
        <v>0</v>
      </c>
      <c r="CL197" s="175">
        <v>0</v>
      </c>
      <c r="CM197" s="175">
        <v>0</v>
      </c>
      <c r="CN197" s="175">
        <v>0</v>
      </c>
      <c r="CO197" s="175">
        <v>0</v>
      </c>
    </row>
    <row r="198" spans="1:93" x14ac:dyDescent="0.2">
      <c r="A198" s="118">
        <f t="shared" si="18"/>
        <v>35</v>
      </c>
      <c r="B198" s="243"/>
      <c r="C198" s="223" t="s">
        <v>603</v>
      </c>
      <c r="D198" s="204">
        <f>SUM(D176:D179,D184,D189,D194)</f>
        <v>37034731.427163921</v>
      </c>
      <c r="E198" s="233"/>
      <c r="F198" s="205"/>
      <c r="G198" s="233"/>
      <c r="H198" s="206">
        <f>SUM(H176:H197)</f>
        <v>330430186.33999997</v>
      </c>
      <c r="I198" s="229"/>
      <c r="J198" s="204">
        <f>SUM(J176:J179,J184,J189,J194)</f>
        <v>37034731.427163921</v>
      </c>
      <c r="K198" s="233"/>
      <c r="L198" s="205"/>
      <c r="M198" s="233"/>
      <c r="N198" s="206">
        <f>SUM(N176:N197)</f>
        <v>341056125.66999996</v>
      </c>
      <c r="O198" s="227"/>
      <c r="Q198" s="939"/>
      <c r="S198" s="262"/>
      <c r="T198" s="247"/>
      <c r="U198" s="178"/>
      <c r="V198" s="179"/>
      <c r="W198" s="180"/>
      <c r="Y198" s="178" t="s">
        <v>122</v>
      </c>
      <c r="Z198" s="181" t="s">
        <v>146</v>
      </c>
      <c r="AB198" s="204">
        <f>AB176+AB177+AB184+AB189+AB194+AB178</f>
        <v>36496332.450185195</v>
      </c>
      <c r="AC198" s="204">
        <f>AC176+AC177+AC184+AC189+AC194+AC178</f>
        <v>36687593.49590753</v>
      </c>
      <c r="AD198" s="204">
        <f>AD176+AD177+AD184+AD189+AD194+AD178</f>
        <v>36850792.075777031</v>
      </c>
      <c r="AE198" s="204">
        <f>AE176+AE177+AE184+AE189+AE194+AE178</f>
        <v>37034342.750894219</v>
      </c>
      <c r="AF198" s="204">
        <f>AF176+AF177+AF184+AF189+AF194+AF178</f>
        <v>37257090.780142896</v>
      </c>
      <c r="AH198" s="204">
        <f t="shared" ref="AH198:BM198" si="21">AH176+AH177+AH184+AH189+AH194+AH178</f>
        <v>2854653.3440595688</v>
      </c>
      <c r="AI198" s="204">
        <f t="shared" si="21"/>
        <v>2696103.8712266786</v>
      </c>
      <c r="AJ198" s="204">
        <f t="shared" si="21"/>
        <v>2822078.3767294795</v>
      </c>
      <c r="AK198" s="204">
        <f t="shared" si="21"/>
        <v>2909493.4362696521</v>
      </c>
      <c r="AL198" s="204">
        <f t="shared" si="21"/>
        <v>2800585.815532566</v>
      </c>
      <c r="AM198" s="204">
        <f t="shared" si="21"/>
        <v>3337828.1840706854</v>
      </c>
      <c r="AN198" s="204">
        <f t="shared" si="21"/>
        <v>3352940.62752426</v>
      </c>
      <c r="AO198" s="204">
        <f t="shared" si="21"/>
        <v>3459498.1759287273</v>
      </c>
      <c r="AP198" s="204">
        <f t="shared" si="21"/>
        <v>3421323.4399230955</v>
      </c>
      <c r="AQ198" s="204">
        <f t="shared" si="21"/>
        <v>3222691.3269477654</v>
      </c>
      <c r="AR198" s="204">
        <f t="shared" si="21"/>
        <v>2915686.8933830294</v>
      </c>
      <c r="AS198" s="204">
        <f t="shared" si="21"/>
        <v>2703831.9884290365</v>
      </c>
      <c r="AT198" s="204">
        <f t="shared" si="21"/>
        <v>2812777.551564822</v>
      </c>
      <c r="AU198" s="204">
        <f t="shared" si="21"/>
        <v>2676238.6346227322</v>
      </c>
      <c r="AV198" s="204">
        <f t="shared" si="21"/>
        <v>2754426.6212779009</v>
      </c>
      <c r="AW198" s="204">
        <f t="shared" si="21"/>
        <v>2920952.8070636843</v>
      </c>
      <c r="AX198" s="204">
        <f t="shared" si="21"/>
        <v>2782003.2808307763</v>
      </c>
      <c r="AY198" s="204">
        <f t="shared" si="21"/>
        <v>3265421.7655635523</v>
      </c>
      <c r="AZ198" s="204">
        <f t="shared" si="21"/>
        <v>3468496.5195793519</v>
      </c>
      <c r="BA198" s="204">
        <f t="shared" si="21"/>
        <v>3498009.9839529041</v>
      </c>
      <c r="BB198" s="204">
        <f t="shared" si="21"/>
        <v>3488618.3293120405</v>
      </c>
      <c r="BC198" s="204">
        <f t="shared" si="21"/>
        <v>3314769.056105705</v>
      </c>
      <c r="BD198" s="204">
        <f t="shared" si="21"/>
        <v>2992771.3065563445</v>
      </c>
      <c r="BE198" s="204">
        <f t="shared" si="21"/>
        <v>2713492.6766060903</v>
      </c>
      <c r="BF198" s="204">
        <f t="shared" si="21"/>
        <v>2770382.0995181007</v>
      </c>
      <c r="BG198" s="204">
        <f t="shared" si="21"/>
        <v>2705590.5439773016</v>
      </c>
      <c r="BH198" s="204">
        <f t="shared" si="21"/>
        <v>2793157.8821239849</v>
      </c>
      <c r="BI198" s="204">
        <f t="shared" si="21"/>
        <v>2892324.6329313749</v>
      </c>
      <c r="BJ198" s="204">
        <f t="shared" si="21"/>
        <v>2795688.9065886727</v>
      </c>
      <c r="BK198" s="204">
        <f t="shared" si="21"/>
        <v>3327525.7721325909</v>
      </c>
      <c r="BL198" s="204">
        <f t="shared" si="21"/>
        <v>3496051.2873668373</v>
      </c>
      <c r="BM198" s="204">
        <f t="shared" si="21"/>
        <v>3535763.7211438501</v>
      </c>
      <c r="BN198" s="204">
        <f t="shared" ref="BN198:CO198" si="22">BN176+BN177+BN184+BN189+BN194+BN178</f>
        <v>3501920.2595343222</v>
      </c>
      <c r="BO198" s="204">
        <f t="shared" si="22"/>
        <v>3280000.1962723276</v>
      </c>
      <c r="BP198" s="204">
        <f t="shared" si="22"/>
        <v>2980902.7428944535</v>
      </c>
      <c r="BQ198" s="204">
        <f t="shared" si="22"/>
        <v>2771870.7811943954</v>
      </c>
      <c r="BR198" s="204">
        <f t="shared" si="22"/>
        <v>2765212.4383377442</v>
      </c>
      <c r="BS198" s="204">
        <f t="shared" si="22"/>
        <v>2673802.8657102981</v>
      </c>
      <c r="BT198" s="204">
        <f t="shared" si="22"/>
        <v>2827453.9139795299</v>
      </c>
      <c r="BU198" s="204">
        <f t="shared" si="22"/>
        <v>2943155.1546379076</v>
      </c>
      <c r="BV198" s="204">
        <f t="shared" si="22"/>
        <v>2735021.4180001905</v>
      </c>
      <c r="BW198" s="204">
        <f t="shared" si="22"/>
        <v>3390404.5931158797</v>
      </c>
      <c r="BX198" s="204">
        <f t="shared" si="22"/>
        <v>3560146.8331646975</v>
      </c>
      <c r="BY198" s="204">
        <f t="shared" si="22"/>
        <v>3569673.0537784379</v>
      </c>
      <c r="BZ198" s="204">
        <f t="shared" si="22"/>
        <v>3518331.9806007263</v>
      </c>
      <c r="CA198" s="204">
        <f t="shared" si="22"/>
        <v>3317262.7584826425</v>
      </c>
      <c r="CB198" s="204">
        <f t="shared" si="22"/>
        <v>2996784.2294492112</v>
      </c>
      <c r="CC198" s="204">
        <f t="shared" si="22"/>
        <v>2737482.1879066536</v>
      </c>
      <c r="CD198" s="204">
        <f t="shared" si="22"/>
        <v>2784445.637042583</v>
      </c>
      <c r="CE198" s="204">
        <f t="shared" si="22"/>
        <v>2648446.3968430166</v>
      </c>
      <c r="CF198" s="204">
        <f t="shared" si="22"/>
        <v>2765952.7686348855</v>
      </c>
      <c r="CG198" s="204">
        <f t="shared" si="22"/>
        <v>3004979.2227213783</v>
      </c>
      <c r="CH198" s="204">
        <f t="shared" si="22"/>
        <v>2809599.1805484723</v>
      </c>
      <c r="CI198" s="204">
        <f t="shared" si="22"/>
        <v>3353378.2612122442</v>
      </c>
      <c r="CJ198" s="204">
        <f t="shared" si="22"/>
        <v>3568294.4251982872</v>
      </c>
      <c r="CK198" s="204">
        <f t="shared" si="22"/>
        <v>3591873.8441892797</v>
      </c>
      <c r="CL198" s="204">
        <f t="shared" si="22"/>
        <v>3610888.9254396465</v>
      </c>
      <c r="CM198" s="204">
        <f t="shared" si="22"/>
        <v>3338660.846513941</v>
      </c>
      <c r="CN198" s="204">
        <f t="shared" si="22"/>
        <v>3042649.7100648629</v>
      </c>
      <c r="CO198" s="204">
        <f t="shared" si="22"/>
        <v>2738312.5757496292</v>
      </c>
    </row>
    <row r="199" spans="1:93" x14ac:dyDescent="0.2">
      <c r="A199" s="118">
        <f t="shared" si="18"/>
        <v>36</v>
      </c>
      <c r="B199" s="243"/>
      <c r="C199" s="223"/>
      <c r="D199" s="943"/>
      <c r="E199" s="233"/>
      <c r="F199" s="205"/>
      <c r="G199" s="233"/>
      <c r="H199" s="174"/>
      <c r="I199" s="229"/>
      <c r="J199" s="168"/>
      <c r="K199" s="233"/>
      <c r="L199" s="205"/>
      <c r="M199" s="233"/>
      <c r="N199" s="174"/>
      <c r="O199" s="227"/>
      <c r="R199" s="227"/>
      <c r="S199" s="262"/>
      <c r="T199" s="247"/>
      <c r="U199" s="178"/>
      <c r="V199" s="179"/>
      <c r="W199" s="180"/>
      <c r="Y199" s="178"/>
      <c r="Z199" s="181"/>
      <c r="AB199" s="193">
        <f>SUM(AH199:AS199)</f>
        <v>0</v>
      </c>
      <c r="AC199" s="193">
        <f>SUM(AT199:BE199)</f>
        <v>0</v>
      </c>
      <c r="AD199" s="193">
        <f>SUM(BF199:BQ199)</f>
        <v>0</v>
      </c>
      <c r="AE199" s="193">
        <f>SUM(BR199:CC199)</f>
        <v>0</v>
      </c>
      <c r="AF199" s="193">
        <f>SUM(CD199:CO199)</f>
        <v>0</v>
      </c>
      <c r="AH199" s="294">
        <v>0</v>
      </c>
      <c r="AI199" s="294">
        <v>0</v>
      </c>
      <c r="AJ199" s="294">
        <v>0</v>
      </c>
      <c r="AK199" s="294">
        <v>0</v>
      </c>
      <c r="AL199" s="294">
        <v>0</v>
      </c>
      <c r="AM199" s="294">
        <v>0</v>
      </c>
      <c r="AN199" s="294">
        <v>0</v>
      </c>
      <c r="AO199" s="294">
        <v>0</v>
      </c>
      <c r="AP199" s="294">
        <v>0</v>
      </c>
      <c r="AQ199" s="294">
        <v>0</v>
      </c>
      <c r="AR199" s="294">
        <v>0</v>
      </c>
      <c r="AS199" s="294">
        <v>0</v>
      </c>
      <c r="AT199" s="294">
        <v>0</v>
      </c>
      <c r="AU199" s="294">
        <v>0</v>
      </c>
      <c r="AV199" s="294">
        <v>0</v>
      </c>
      <c r="AW199" s="294">
        <v>0</v>
      </c>
      <c r="AX199" s="294">
        <v>0</v>
      </c>
      <c r="AY199" s="294">
        <v>0</v>
      </c>
      <c r="AZ199" s="294">
        <v>0</v>
      </c>
      <c r="BA199" s="294">
        <v>0</v>
      </c>
      <c r="BB199" s="294">
        <v>0</v>
      </c>
      <c r="BC199" s="294">
        <v>0</v>
      </c>
      <c r="BD199" s="294">
        <v>0</v>
      </c>
      <c r="BE199" s="294">
        <v>0</v>
      </c>
      <c r="BF199" s="294">
        <v>0</v>
      </c>
      <c r="BG199" s="294">
        <v>0</v>
      </c>
      <c r="BH199" s="294">
        <v>0</v>
      </c>
      <c r="BI199" s="294">
        <v>0</v>
      </c>
      <c r="BJ199" s="294">
        <v>0</v>
      </c>
      <c r="BK199" s="294">
        <v>0</v>
      </c>
      <c r="BL199" s="294">
        <v>0</v>
      </c>
      <c r="BM199" s="294">
        <v>0</v>
      </c>
      <c r="BN199" s="294">
        <v>0</v>
      </c>
      <c r="BO199" s="294">
        <v>0</v>
      </c>
      <c r="BP199" s="294">
        <v>0</v>
      </c>
      <c r="BQ199" s="294">
        <v>0</v>
      </c>
      <c r="BR199" s="294">
        <v>0</v>
      </c>
      <c r="BS199" s="294">
        <v>0</v>
      </c>
      <c r="BT199" s="294">
        <v>0</v>
      </c>
      <c r="BU199" s="294">
        <v>0</v>
      </c>
      <c r="BV199" s="294">
        <v>0</v>
      </c>
      <c r="BW199" s="294">
        <v>0</v>
      </c>
      <c r="BX199" s="294">
        <v>0</v>
      </c>
      <c r="BY199" s="294">
        <v>0</v>
      </c>
      <c r="BZ199" s="294">
        <v>0</v>
      </c>
      <c r="CA199" s="294">
        <v>0</v>
      </c>
      <c r="CB199" s="294">
        <v>0</v>
      </c>
      <c r="CC199" s="294">
        <v>0</v>
      </c>
      <c r="CD199" s="294">
        <v>0</v>
      </c>
      <c r="CE199" s="294">
        <v>0</v>
      </c>
      <c r="CF199" s="294">
        <v>0</v>
      </c>
      <c r="CG199" s="294">
        <v>0</v>
      </c>
      <c r="CH199" s="294">
        <v>0</v>
      </c>
      <c r="CI199" s="294">
        <v>0</v>
      </c>
      <c r="CJ199" s="294">
        <v>0</v>
      </c>
      <c r="CK199" s="294">
        <v>0</v>
      </c>
      <c r="CL199" s="294">
        <v>0</v>
      </c>
      <c r="CM199" s="294">
        <v>0</v>
      </c>
      <c r="CN199" s="294">
        <v>0</v>
      </c>
      <c r="CO199" s="294">
        <v>0</v>
      </c>
    </row>
    <row r="200" spans="1:93" x14ac:dyDescent="0.2">
      <c r="A200" s="118">
        <f t="shared" si="18"/>
        <v>37</v>
      </c>
      <c r="B200" s="295"/>
      <c r="C200" s="296"/>
      <c r="D200" s="943"/>
      <c r="E200" s="233"/>
      <c r="F200" s="205"/>
      <c r="G200" s="233"/>
      <c r="H200" s="940"/>
      <c r="I200" s="297"/>
      <c r="J200" s="168"/>
      <c r="K200" s="233"/>
      <c r="L200" s="205"/>
      <c r="M200" s="233"/>
      <c r="N200" s="940"/>
      <c r="O200" s="227"/>
      <c r="P200" s="227"/>
      <c r="R200" s="227"/>
      <c r="T200" s="247"/>
      <c r="U200" s="184"/>
      <c r="V200" s="179"/>
      <c r="W200" s="180"/>
      <c r="Y200" s="184"/>
      <c r="Z200" s="181"/>
      <c r="AB200" s="193">
        <f>SUM(AH200:AS200)</f>
        <v>0</v>
      </c>
      <c r="AC200" s="193">
        <f>SUM(AT200:BE200)</f>
        <v>0</v>
      </c>
      <c r="AD200" s="193">
        <f>SUM(BF200:BQ200)</f>
        <v>0</v>
      </c>
      <c r="AE200" s="193">
        <f>SUM(BR200:CC200)</f>
        <v>0</v>
      </c>
      <c r="AF200" s="193">
        <f>SUM(CD200:CO200)</f>
        <v>0</v>
      </c>
      <c r="AH200" s="193">
        <v>0</v>
      </c>
      <c r="AI200" s="193">
        <v>0</v>
      </c>
      <c r="AJ200" s="193">
        <v>0</v>
      </c>
      <c r="AK200" s="193">
        <v>0</v>
      </c>
      <c r="AL200" s="193">
        <v>0</v>
      </c>
      <c r="AM200" s="193">
        <v>0</v>
      </c>
      <c r="AN200" s="193">
        <v>0</v>
      </c>
      <c r="AO200" s="193">
        <v>0</v>
      </c>
      <c r="AP200" s="193">
        <v>0</v>
      </c>
      <c r="AQ200" s="193">
        <v>0</v>
      </c>
      <c r="AR200" s="193">
        <v>0</v>
      </c>
      <c r="AS200" s="193">
        <v>0</v>
      </c>
      <c r="AT200" s="193">
        <v>0</v>
      </c>
      <c r="AU200" s="193">
        <v>0</v>
      </c>
      <c r="AV200" s="193">
        <v>0</v>
      </c>
      <c r="AW200" s="193">
        <v>0</v>
      </c>
      <c r="AX200" s="193">
        <v>0</v>
      </c>
      <c r="AY200" s="193">
        <v>0</v>
      </c>
      <c r="AZ200" s="193">
        <v>0</v>
      </c>
      <c r="BA200" s="193">
        <v>0</v>
      </c>
      <c r="BB200" s="193">
        <v>0</v>
      </c>
      <c r="BC200" s="193">
        <v>0</v>
      </c>
      <c r="BD200" s="193">
        <v>0</v>
      </c>
      <c r="BE200" s="193">
        <v>0</v>
      </c>
      <c r="BF200" s="193">
        <v>0</v>
      </c>
      <c r="BG200" s="193">
        <v>0</v>
      </c>
      <c r="BH200" s="193">
        <v>0</v>
      </c>
      <c r="BI200" s="193">
        <v>0</v>
      </c>
      <c r="BJ200" s="193">
        <v>0</v>
      </c>
      <c r="BK200" s="193">
        <v>0</v>
      </c>
      <c r="BL200" s="193">
        <v>0</v>
      </c>
      <c r="BM200" s="193">
        <v>0</v>
      </c>
      <c r="BN200" s="193">
        <v>0</v>
      </c>
      <c r="BO200" s="193">
        <v>0</v>
      </c>
      <c r="BP200" s="193">
        <v>0</v>
      </c>
      <c r="BQ200" s="193">
        <v>0</v>
      </c>
      <c r="BR200" s="193">
        <v>0</v>
      </c>
      <c r="BS200" s="193">
        <v>0</v>
      </c>
      <c r="BT200" s="193">
        <v>0</v>
      </c>
      <c r="BU200" s="193">
        <v>0</v>
      </c>
      <c r="BV200" s="193">
        <v>0</v>
      </c>
      <c r="BW200" s="193">
        <v>0</v>
      </c>
      <c r="BX200" s="193">
        <v>0</v>
      </c>
      <c r="BY200" s="193">
        <v>0</v>
      </c>
      <c r="BZ200" s="193">
        <v>0</v>
      </c>
      <c r="CA200" s="193">
        <v>0</v>
      </c>
      <c r="CB200" s="193">
        <v>0</v>
      </c>
      <c r="CC200" s="193">
        <v>0</v>
      </c>
      <c r="CD200" s="193">
        <v>0</v>
      </c>
      <c r="CE200" s="193">
        <v>0</v>
      </c>
      <c r="CF200" s="193">
        <v>0</v>
      </c>
      <c r="CG200" s="193">
        <v>0</v>
      </c>
      <c r="CH200" s="193">
        <v>0</v>
      </c>
      <c r="CI200" s="193">
        <v>0</v>
      </c>
      <c r="CJ200" s="193">
        <v>0</v>
      </c>
      <c r="CK200" s="193">
        <v>0</v>
      </c>
      <c r="CL200" s="193">
        <v>0</v>
      </c>
      <c r="CM200" s="193">
        <v>0</v>
      </c>
      <c r="CN200" s="193">
        <v>0</v>
      </c>
      <c r="CO200" s="193">
        <v>0</v>
      </c>
    </row>
    <row r="201" spans="1:93" x14ac:dyDescent="0.2">
      <c r="A201" s="118">
        <f t="shared" si="18"/>
        <v>38</v>
      </c>
      <c r="B201" s="243"/>
      <c r="C201" s="296"/>
      <c r="D201" s="168"/>
      <c r="E201" s="233"/>
      <c r="F201" s="205"/>
      <c r="G201" s="233"/>
      <c r="H201" s="174"/>
      <c r="I201" s="229"/>
      <c r="J201" s="168"/>
      <c r="K201" s="168"/>
      <c r="L201" s="205"/>
      <c r="M201" s="233"/>
      <c r="N201" s="174"/>
      <c r="O201" s="227"/>
      <c r="P201" s="227"/>
      <c r="Q201" s="227"/>
      <c r="U201" s="298"/>
      <c r="V201" s="253"/>
      <c r="W201" s="254"/>
      <c r="Y201" s="298"/>
      <c r="Z201" s="255"/>
    </row>
    <row r="202" spans="1:93" x14ac:dyDescent="0.2">
      <c r="A202" s="215"/>
      <c r="B202" s="215" t="s">
        <v>674</v>
      </c>
      <c r="C202" s="215"/>
      <c r="D202" s="215"/>
      <c r="E202" s="215"/>
      <c r="F202" s="215"/>
      <c r="G202" s="215"/>
      <c r="H202" s="215"/>
      <c r="I202" s="215"/>
      <c r="J202" s="215"/>
      <c r="K202" s="215"/>
      <c r="L202" s="215"/>
      <c r="M202" s="215"/>
      <c r="N202" s="215" t="s">
        <v>675</v>
      </c>
      <c r="O202" s="215"/>
      <c r="P202" s="215"/>
      <c r="Q202" s="215"/>
      <c r="Y202" s="101"/>
      <c r="AC202" s="301"/>
    </row>
    <row r="203" spans="1:93" x14ac:dyDescent="0.2">
      <c r="A203" s="216"/>
      <c r="B203" s="216"/>
      <c r="C203" s="216"/>
      <c r="D203" s="216"/>
      <c r="E203" s="216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7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C203" s="216"/>
      <c r="BD203" s="216"/>
      <c r="BE203" s="216"/>
      <c r="BF203" s="216"/>
      <c r="BG203" s="216"/>
      <c r="BH203" s="216"/>
      <c r="BI203" s="216"/>
      <c r="BJ203" s="216"/>
      <c r="BK203" s="216"/>
      <c r="BL203" s="216"/>
      <c r="BM203" s="216"/>
      <c r="BN203" s="216"/>
      <c r="BO203" s="216"/>
      <c r="BP203" s="216"/>
      <c r="BQ203" s="216"/>
      <c r="BR203" s="216"/>
      <c r="BS203" s="216"/>
      <c r="BT203" s="216"/>
      <c r="BU203" s="216"/>
      <c r="BV203" s="216"/>
      <c r="BW203" s="216"/>
      <c r="BX203" s="216"/>
      <c r="BY203" s="216"/>
      <c r="BZ203" s="216"/>
      <c r="CA203" s="216"/>
      <c r="CB203" s="216"/>
      <c r="CC203" s="216"/>
      <c r="CD203" s="216"/>
      <c r="CE203" s="216"/>
      <c r="CF203" s="216"/>
      <c r="CG203" s="216"/>
      <c r="CH203" s="216"/>
      <c r="CI203" s="216"/>
      <c r="CJ203" s="216"/>
      <c r="CK203" s="216"/>
      <c r="CL203" s="216"/>
      <c r="CM203" s="216"/>
      <c r="CN203" s="216"/>
      <c r="CO203" s="216"/>
    </row>
    <row r="204" spans="1:93" x14ac:dyDescent="0.2">
      <c r="A204" s="100" t="s">
        <v>505</v>
      </c>
      <c r="C204" s="102"/>
      <c r="D204" s="103"/>
      <c r="F204" s="268"/>
      <c r="G204" s="104"/>
      <c r="H204" s="269" t="s">
        <v>506</v>
      </c>
      <c r="I204" s="104"/>
      <c r="J204" s="104"/>
      <c r="K204" s="104"/>
      <c r="L204" s="268"/>
      <c r="N204" s="270"/>
      <c r="Q204" s="106" t="s">
        <v>604</v>
      </c>
      <c r="R204" s="105"/>
      <c r="S204" s="105"/>
      <c r="U204" s="114"/>
      <c r="V204" s="114"/>
      <c r="W204" s="114"/>
      <c r="Y204" s="114"/>
      <c r="Z204" s="218"/>
    </row>
    <row r="205" spans="1:93" ht="10.8" thickBot="1" x14ac:dyDescent="0.25">
      <c r="A205" s="108"/>
      <c r="B205" s="109"/>
      <c r="C205" s="109"/>
      <c r="D205" s="109"/>
      <c r="E205" s="110" t="s">
        <v>416</v>
      </c>
      <c r="F205" s="271" t="s">
        <v>416</v>
      </c>
      <c r="G205" s="109" t="s">
        <v>416</v>
      </c>
      <c r="H205" s="272" t="s">
        <v>416</v>
      </c>
      <c r="I205" s="109" t="s">
        <v>416</v>
      </c>
      <c r="J205" s="109"/>
      <c r="K205" s="109"/>
      <c r="L205" s="271" t="s">
        <v>416</v>
      </c>
      <c r="M205" s="111"/>
      <c r="N205" s="273"/>
      <c r="O205" s="109"/>
      <c r="P205" s="112"/>
      <c r="Q205" s="109"/>
      <c r="U205" s="114"/>
      <c r="V205" s="114"/>
      <c r="W205" s="114"/>
      <c r="Y205" s="114"/>
      <c r="Z205" s="218"/>
    </row>
    <row r="206" spans="1:93" x14ac:dyDescent="0.2">
      <c r="A206" s="113"/>
      <c r="F206" s="197"/>
      <c r="H206" s="203"/>
      <c r="L206" s="197"/>
      <c r="M206" s="105"/>
      <c r="N206" s="270"/>
      <c r="P206" s="114"/>
      <c r="U206" s="114"/>
      <c r="V206" s="114"/>
      <c r="W206" s="114"/>
      <c r="Y206" s="114"/>
      <c r="Z206" s="218"/>
    </row>
    <row r="207" spans="1:93" x14ac:dyDescent="0.2">
      <c r="A207" s="100" t="s">
        <v>3</v>
      </c>
      <c r="D207" s="106" t="s">
        <v>4</v>
      </c>
      <c r="E207" s="101" t="s">
        <v>508</v>
      </c>
      <c r="F207" s="197"/>
      <c r="H207" s="203"/>
      <c r="L207" s="197"/>
      <c r="N207" s="203"/>
      <c r="O207" s="100" t="s">
        <v>6</v>
      </c>
      <c r="U207" s="114"/>
      <c r="V207" s="114"/>
      <c r="W207" s="114"/>
      <c r="Y207" s="114"/>
      <c r="Z207" s="218"/>
    </row>
    <row r="208" spans="1:93" x14ac:dyDescent="0.2">
      <c r="E208" s="101" t="s">
        <v>509</v>
      </c>
      <c r="F208" s="197"/>
      <c r="H208" s="203"/>
      <c r="L208" s="197"/>
      <c r="N208" s="203"/>
      <c r="U208" s="114"/>
      <c r="V208" s="114"/>
      <c r="W208" s="114"/>
      <c r="Y208" s="114"/>
      <c r="Z208" s="218"/>
    </row>
    <row r="209" spans="1:93" x14ac:dyDescent="0.2">
      <c r="A209" s="100" t="s">
        <v>9</v>
      </c>
      <c r="E209" s="101" t="s">
        <v>510</v>
      </c>
      <c r="F209" s="197"/>
      <c r="H209" s="203"/>
      <c r="L209" s="197"/>
      <c r="N209" s="203"/>
      <c r="O209" s="101" t="str">
        <f>O155</f>
        <v>__X__  Projected Test Year Ended 12/31/26</v>
      </c>
      <c r="U209" s="114"/>
      <c r="V209" s="114"/>
      <c r="W209" s="114"/>
      <c r="Y209" s="114"/>
      <c r="Z209" s="218"/>
    </row>
    <row r="210" spans="1:93" x14ac:dyDescent="0.2">
      <c r="E210" s="101" t="s">
        <v>512</v>
      </c>
      <c r="F210" s="197"/>
      <c r="H210" s="203"/>
      <c r="L210" s="197"/>
      <c r="N210" s="203"/>
      <c r="U210" s="114"/>
      <c r="V210" s="114"/>
      <c r="W210" s="114"/>
      <c r="Y210" s="114"/>
      <c r="Z210" s="218"/>
    </row>
    <row r="211" spans="1:93" x14ac:dyDescent="0.2">
      <c r="A211" s="100" t="s">
        <v>491</v>
      </c>
      <c r="C211" s="119" t="str">
        <f>C157</f>
        <v>20240025-EI</v>
      </c>
      <c r="F211" s="197"/>
      <c r="H211" s="203"/>
      <c r="L211" s="197"/>
      <c r="N211" s="203"/>
      <c r="O211" s="100" t="s">
        <v>493</v>
      </c>
      <c r="U211" s="114"/>
      <c r="V211" s="114"/>
      <c r="W211" s="114"/>
      <c r="Y211" s="114"/>
      <c r="Z211" s="218"/>
    </row>
    <row r="212" spans="1:93" ht="10.8" thickBot="1" x14ac:dyDescent="0.25">
      <c r="A212" s="123"/>
      <c r="B212" s="109"/>
      <c r="C212" s="109"/>
      <c r="D212" s="109"/>
      <c r="E212" s="109"/>
      <c r="F212" s="274"/>
      <c r="G212" s="109"/>
      <c r="H212" s="272"/>
      <c r="I212" s="109"/>
      <c r="J212" s="109"/>
      <c r="K212" s="109"/>
      <c r="L212" s="274"/>
      <c r="M212" s="109"/>
      <c r="N212" s="275"/>
      <c r="O212" s="109"/>
      <c r="P212" s="109"/>
      <c r="Q212" s="109"/>
      <c r="U212" s="114"/>
      <c r="V212" s="114"/>
      <c r="W212" s="114"/>
      <c r="Y212" s="114"/>
      <c r="Z212" s="218"/>
    </row>
    <row r="213" spans="1:93" ht="15.6" x14ac:dyDescent="0.2">
      <c r="B213" s="1369"/>
      <c r="C213" s="125"/>
      <c r="D213" s="125"/>
      <c r="E213" s="125"/>
      <c r="F213" s="276"/>
      <c r="G213" s="125"/>
      <c r="H213" s="277"/>
      <c r="I213" s="126" t="s">
        <v>591</v>
      </c>
      <c r="J213" s="125"/>
      <c r="K213" s="125"/>
      <c r="L213" s="276"/>
      <c r="M213" s="125"/>
      <c r="N213" s="277"/>
      <c r="U213" s="127" t="s">
        <v>530</v>
      </c>
      <c r="V213" s="128"/>
      <c r="W213" s="129"/>
      <c r="Y213" s="130" t="s">
        <v>531</v>
      </c>
      <c r="Z213" s="131"/>
    </row>
    <row r="214" spans="1:93" x14ac:dyDescent="0.2">
      <c r="A214" s="101" t="s">
        <v>30</v>
      </c>
      <c r="B214" s="101" t="s">
        <v>532</v>
      </c>
      <c r="C214" s="132"/>
      <c r="D214" s="133" t="s">
        <v>533</v>
      </c>
      <c r="E214" s="134"/>
      <c r="F214" s="278"/>
      <c r="G214" s="133"/>
      <c r="H214" s="279"/>
      <c r="I214" s="135"/>
      <c r="J214" s="136" t="s">
        <v>534</v>
      </c>
      <c r="K214" s="133"/>
      <c r="L214" s="278"/>
      <c r="M214" s="134"/>
      <c r="N214" s="280"/>
      <c r="O214" s="1372"/>
      <c r="Q214" s="118" t="s">
        <v>332</v>
      </c>
      <c r="U214" s="138"/>
      <c r="V214" s="139"/>
      <c r="W214" s="140"/>
      <c r="Y214" s="138"/>
      <c r="Z214" s="141"/>
    </row>
    <row r="215" spans="1:93" x14ac:dyDescent="0.2">
      <c r="A215" s="101" t="s">
        <v>39</v>
      </c>
      <c r="B215" s="102" t="s">
        <v>535</v>
      </c>
      <c r="C215" s="104"/>
      <c r="D215" s="142" t="s">
        <v>536</v>
      </c>
      <c r="E215" s="143"/>
      <c r="F215" s="281" t="s">
        <v>537</v>
      </c>
      <c r="G215" s="142"/>
      <c r="H215" s="282" t="s">
        <v>538</v>
      </c>
      <c r="I215" s="144"/>
      <c r="J215" s="142" t="s">
        <v>536</v>
      </c>
      <c r="K215" s="143"/>
      <c r="L215" s="281" t="s">
        <v>537</v>
      </c>
      <c r="M215" s="142"/>
      <c r="N215" s="282" t="s">
        <v>538</v>
      </c>
      <c r="O215" s="132"/>
      <c r="Q215" s="145" t="s">
        <v>539</v>
      </c>
      <c r="R215" s="132"/>
      <c r="S215" s="132"/>
      <c r="U215" s="138" t="s">
        <v>128</v>
      </c>
      <c r="V215" s="146" t="s">
        <v>343</v>
      </c>
      <c r="W215" s="147" t="s">
        <v>344</v>
      </c>
      <c r="Y215" s="148" t="s">
        <v>128</v>
      </c>
      <c r="Z215" s="149"/>
    </row>
    <row r="216" spans="1:93" ht="10.8" thickBot="1" x14ac:dyDescent="0.25">
      <c r="A216" s="109"/>
      <c r="B216" s="1370" t="s">
        <v>272</v>
      </c>
      <c r="C216" s="150"/>
      <c r="D216" s="220" t="str">
        <f>+$D$13</f>
        <v>Jan '26-Dec '26</v>
      </c>
      <c r="E216" s="221"/>
      <c r="F216" s="152">
        <f>+$L$13</f>
        <v>46023</v>
      </c>
      <c r="G216" s="153"/>
      <c r="H216" s="153"/>
      <c r="I216" s="153"/>
      <c r="J216" s="153"/>
      <c r="K216" s="151"/>
      <c r="L216" s="152">
        <f>+$L$13</f>
        <v>46023</v>
      </c>
      <c r="M216" s="154"/>
      <c r="N216" s="283"/>
      <c r="O216" s="155"/>
      <c r="P216" s="109"/>
      <c r="Q216" s="156"/>
      <c r="R216" s="132"/>
      <c r="S216" s="132"/>
      <c r="U216" s="157" t="s">
        <v>144</v>
      </c>
      <c r="V216" s="158" t="s">
        <v>540</v>
      </c>
      <c r="W216" s="159" t="s">
        <v>540</v>
      </c>
      <c r="Y216" s="160" t="s">
        <v>144</v>
      </c>
      <c r="Z216" s="159" t="s">
        <v>541</v>
      </c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  <c r="BC216" s="116"/>
      <c r="BD216" s="116"/>
      <c r="BE216" s="116"/>
      <c r="BF216" s="116"/>
      <c r="BG216" s="116"/>
      <c r="BH216" s="116"/>
      <c r="BI216" s="116"/>
      <c r="BJ216" s="116"/>
      <c r="BK216" s="116"/>
      <c r="BL216" s="116"/>
      <c r="BM216" s="116"/>
      <c r="BN216" s="116"/>
      <c r="BO216" s="116"/>
      <c r="BP216" s="116"/>
      <c r="BQ216" s="116"/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</row>
    <row r="217" spans="1:93" x14ac:dyDescent="0.2">
      <c r="A217" s="118">
        <v>1</v>
      </c>
      <c r="B217" s="226"/>
      <c r="C217" s="223"/>
      <c r="D217" s="168"/>
      <c r="E217" s="225"/>
      <c r="F217" s="183"/>
      <c r="G217" s="233"/>
      <c r="H217" s="174"/>
      <c r="I217" s="229"/>
      <c r="J217" s="168"/>
      <c r="K217" s="225"/>
      <c r="L217" s="183"/>
      <c r="M217" s="233"/>
      <c r="N217" s="174"/>
      <c r="O217" s="227"/>
      <c r="P217" s="303"/>
      <c r="Q217" s="303"/>
      <c r="U217" s="184"/>
      <c r="V217" s="179"/>
      <c r="W217" s="180"/>
      <c r="Y217" s="184"/>
      <c r="Z217" s="181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  <c r="BC217" s="116"/>
      <c r="BD217" s="116"/>
      <c r="BE217" s="116"/>
      <c r="BF217" s="116"/>
      <c r="BG217" s="116"/>
      <c r="BH217" s="116"/>
      <c r="BI217" s="116"/>
      <c r="BJ217" s="116"/>
      <c r="BK217" s="116"/>
      <c r="BL217" s="116"/>
      <c r="BM217" s="116"/>
      <c r="BN217" s="116"/>
      <c r="BO217" s="116"/>
      <c r="BP217" s="116"/>
      <c r="BQ217" s="116"/>
      <c r="BR217" s="116"/>
      <c r="BS217" s="116"/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</row>
    <row r="218" spans="1:93" x14ac:dyDescent="0.2">
      <c r="A218" s="118">
        <f t="shared" ref="A218:A250" si="23">+A217+1</f>
        <v>2</v>
      </c>
      <c r="B218" s="239" t="s">
        <v>551</v>
      </c>
      <c r="C218" s="223"/>
      <c r="D218" s="168"/>
      <c r="E218" s="225"/>
      <c r="F218" s="183"/>
      <c r="G218" s="233"/>
      <c r="H218" s="174"/>
      <c r="I218" s="229"/>
      <c r="J218" s="168"/>
      <c r="K218" s="225"/>
      <c r="L218" s="183"/>
      <c r="M218" s="233"/>
      <c r="N218" s="174"/>
      <c r="O218" s="227"/>
      <c r="P218" s="227"/>
      <c r="Q218" s="227"/>
      <c r="U218" s="184"/>
      <c r="V218" s="179"/>
      <c r="W218" s="180"/>
      <c r="Y218" s="184"/>
      <c r="Z218" s="181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  <c r="BC218" s="116"/>
      <c r="BD218" s="116"/>
      <c r="BE218" s="116"/>
      <c r="BF218" s="116"/>
      <c r="BG218" s="116"/>
      <c r="BH218" s="116"/>
      <c r="BI218" s="116"/>
      <c r="BJ218" s="116"/>
      <c r="BK218" s="116"/>
      <c r="BL218" s="116"/>
      <c r="BM218" s="116"/>
      <c r="BN218" s="116"/>
      <c r="BO218" s="116"/>
      <c r="BP218" s="116"/>
      <c r="BQ218" s="116"/>
      <c r="BR218" s="116"/>
      <c r="BS218" s="116"/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</row>
    <row r="219" spans="1:93" x14ac:dyDescent="0.2">
      <c r="A219" s="118">
        <f t="shared" si="23"/>
        <v>3</v>
      </c>
      <c r="B219" s="228" t="s">
        <v>543</v>
      </c>
      <c r="C219" s="223"/>
      <c r="D219" s="168"/>
      <c r="E219" s="225"/>
      <c r="F219" s="183"/>
      <c r="G219" s="233"/>
      <c r="H219" s="174"/>
      <c r="I219" s="229"/>
      <c r="J219" s="175"/>
      <c r="K219" s="225"/>
      <c r="L219" s="310"/>
      <c r="M219" s="233"/>
      <c r="N219" s="174"/>
      <c r="O219" s="227"/>
      <c r="P219" s="227"/>
      <c r="Q219" s="227"/>
      <c r="U219" s="184"/>
      <c r="V219" s="179"/>
      <c r="W219" s="180"/>
      <c r="Y219" s="184"/>
      <c r="Z219" s="181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116"/>
      <c r="AZ219" s="116"/>
      <c r="BA219" s="116"/>
      <c r="BB219" s="116"/>
      <c r="BC219" s="116"/>
      <c r="BD219" s="116"/>
      <c r="BE219" s="116"/>
      <c r="BF219" s="116"/>
      <c r="BG219" s="116"/>
      <c r="BH219" s="116"/>
      <c r="BI219" s="116"/>
      <c r="BJ219" s="116"/>
      <c r="BK219" s="116"/>
      <c r="BL219" s="116"/>
      <c r="BM219" s="116"/>
      <c r="BN219" s="116"/>
      <c r="BO219" s="116"/>
      <c r="BP219" s="116"/>
      <c r="BQ219" s="116"/>
      <c r="BR219" s="116"/>
      <c r="BS219" s="116"/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</row>
    <row r="220" spans="1:93" x14ac:dyDescent="0.2">
      <c r="A220" s="118">
        <f t="shared" si="23"/>
        <v>4</v>
      </c>
      <c r="B220" s="234" t="s">
        <v>149</v>
      </c>
      <c r="C220" s="223"/>
      <c r="D220" s="172">
        <f>SUMIF($AH$6:$CP$6,1,$AH220:$CP220)</f>
        <v>3315163.126174266</v>
      </c>
      <c r="E220" s="225" t="s">
        <v>555</v>
      </c>
      <c r="F220" s="183">
        <v>39.74</v>
      </c>
      <c r="G220" s="233" t="s">
        <v>375</v>
      </c>
      <c r="H220" s="174">
        <f>ROUND(D220*F220,2)</f>
        <v>131744582.63</v>
      </c>
      <c r="I220" s="229"/>
      <c r="J220" s="172">
        <f>SUMIF($AH$6:$CP$6,1,$AH220:$CP220)</f>
        <v>3315163.126174266</v>
      </c>
      <c r="K220" s="225" t="s">
        <v>555</v>
      </c>
      <c r="L220" s="173">
        <f>'Exhibit MJC-3 - E-13c cal yr'!L238</f>
        <v>40.799999999999997</v>
      </c>
      <c r="M220" s="233" t="s">
        <v>375</v>
      </c>
      <c r="N220" s="174">
        <f>ROUND(J220*L220,2)</f>
        <v>135258655.55000001</v>
      </c>
      <c r="O220" s="227"/>
      <c r="P220" s="227"/>
      <c r="Q220" s="1022"/>
      <c r="U220" s="184" t="s">
        <v>122</v>
      </c>
      <c r="V220" s="179">
        <v>244</v>
      </c>
      <c r="W220" s="180">
        <v>218</v>
      </c>
      <c r="Y220" s="184"/>
      <c r="Z220" s="181"/>
      <c r="AB220" s="182">
        <f>SUM(AH220:AS220)</f>
        <v>3268116.7261994653</v>
      </c>
      <c r="AC220" s="182">
        <f>SUM(AT220:BE220)</f>
        <v>3285373.9369279779</v>
      </c>
      <c r="AD220" s="182">
        <f>SUM(BF220:BQ220)</f>
        <v>3299204.3318910887</v>
      </c>
      <c r="AE220" s="182">
        <f>SUM(BR220:CC220)</f>
        <v>3315163.126174266</v>
      </c>
      <c r="AF220" s="182">
        <f>SUM(CD220:CO220)</f>
        <v>3336359.7507218462</v>
      </c>
      <c r="AH220" s="168">
        <v>275026.22858244093</v>
      </c>
      <c r="AI220" s="168">
        <v>226737.57853076211</v>
      </c>
      <c r="AJ220" s="168">
        <v>207969.1849025994</v>
      </c>
      <c r="AK220" s="168">
        <v>241506.45837077755</v>
      </c>
      <c r="AL220" s="168">
        <v>281053.29514892079</v>
      </c>
      <c r="AM220" s="168">
        <v>309997.29434977635</v>
      </c>
      <c r="AN220" s="168">
        <v>298803.34721291967</v>
      </c>
      <c r="AO220" s="168">
        <v>329461.89019602851</v>
      </c>
      <c r="AP220" s="168">
        <v>315792.0420500334</v>
      </c>
      <c r="AQ220" s="168">
        <v>289294.34803335043</v>
      </c>
      <c r="AR220" s="168">
        <v>263560.8348582153</v>
      </c>
      <c r="AS220" s="168">
        <v>228914.22396364048</v>
      </c>
      <c r="AT220" s="168">
        <v>270740.81883481942</v>
      </c>
      <c r="AU220" s="168">
        <v>225000.51831662361</v>
      </c>
      <c r="AV220" s="168">
        <v>202969.36360422801</v>
      </c>
      <c r="AW220" s="168">
        <v>242421.72656160392</v>
      </c>
      <c r="AX220" s="168">
        <v>279155.62331912271</v>
      </c>
      <c r="AY220" s="168">
        <v>303228.83097355958</v>
      </c>
      <c r="AZ220" s="168">
        <v>309079.07503699505</v>
      </c>
      <c r="BA220" s="168">
        <v>333088.01194969885</v>
      </c>
      <c r="BB220" s="168">
        <v>321967.0843734665</v>
      </c>
      <c r="BC220" s="168">
        <v>297524.45295417513</v>
      </c>
      <c r="BD220" s="168">
        <v>270497.22538860521</v>
      </c>
      <c r="BE220" s="168">
        <v>229701.20561508014</v>
      </c>
      <c r="BF220" s="168">
        <v>266457.67334011104</v>
      </c>
      <c r="BG220" s="168">
        <v>227430.40452010892</v>
      </c>
      <c r="BH220" s="168">
        <v>205849.03227433629</v>
      </c>
      <c r="BI220" s="168">
        <v>240043.28058647929</v>
      </c>
      <c r="BJ220" s="168">
        <v>280524.54562528053</v>
      </c>
      <c r="BK220" s="168">
        <v>308999.66933809291</v>
      </c>
      <c r="BL220" s="168">
        <v>311544.3640465393</v>
      </c>
      <c r="BM220" s="168">
        <v>336679.32554554509</v>
      </c>
      <c r="BN220" s="168">
        <v>323198.58022193337</v>
      </c>
      <c r="BO220" s="168">
        <v>294406.73180639825</v>
      </c>
      <c r="BP220" s="168">
        <v>269427.32373316371</v>
      </c>
      <c r="BQ220" s="168">
        <v>234643.40085309971</v>
      </c>
      <c r="BR220" s="168">
        <v>265865.78597687755</v>
      </c>
      <c r="BS220" s="168">
        <v>224749.52532835081</v>
      </c>
      <c r="BT220" s="168">
        <v>208438.29437500384</v>
      </c>
      <c r="BU220" s="168">
        <v>244292.80667342118</v>
      </c>
      <c r="BV220" s="168">
        <v>274465.44022569107</v>
      </c>
      <c r="BW220" s="168">
        <v>314880.52925550978</v>
      </c>
      <c r="BX220" s="168">
        <v>317308.06279983016</v>
      </c>
      <c r="BY220" s="168">
        <v>339946.99197856849</v>
      </c>
      <c r="BZ220" s="168">
        <v>324757.64356233407</v>
      </c>
      <c r="CA220" s="168">
        <v>297794.07510721218</v>
      </c>
      <c r="CB220" s="168">
        <v>270901.42256472871</v>
      </c>
      <c r="CC220" s="168">
        <v>231762.54832673754</v>
      </c>
      <c r="CD220" s="168">
        <v>267679.43239634659</v>
      </c>
      <c r="CE220" s="168">
        <v>222576.88274872472</v>
      </c>
      <c r="CF220" s="168">
        <v>203835.65014889784</v>
      </c>
      <c r="CG220" s="168">
        <v>249368.13535919093</v>
      </c>
      <c r="CH220" s="168">
        <v>281903.18385356845</v>
      </c>
      <c r="CI220" s="168">
        <v>311379.04829919984</v>
      </c>
      <c r="CJ220" s="168">
        <v>317961.90112085117</v>
      </c>
      <c r="CK220" s="168">
        <v>341998.83835510584</v>
      </c>
      <c r="CL220" s="168">
        <v>333232.57560930704</v>
      </c>
      <c r="CM220" s="168">
        <v>299651.82862602972</v>
      </c>
      <c r="CN220" s="168">
        <v>274990.23250717035</v>
      </c>
      <c r="CO220" s="168">
        <v>231782.04169745374</v>
      </c>
    </row>
    <row r="221" spans="1:93" x14ac:dyDescent="0.2">
      <c r="A221" s="118">
        <f t="shared" si="23"/>
        <v>5</v>
      </c>
      <c r="B221" s="234" t="s">
        <v>148</v>
      </c>
      <c r="C221" s="223"/>
      <c r="D221" s="172">
        <f>SUMIF($AH$6:$CP$6,1,$AH221:$CP221)</f>
        <v>81271.097926922128</v>
      </c>
      <c r="E221" s="225" t="s">
        <v>555</v>
      </c>
      <c r="F221" s="183">
        <v>39.74</v>
      </c>
      <c r="G221" s="233" t="s">
        <v>375</v>
      </c>
      <c r="H221" s="174">
        <f>ROUND(D221*F221,2)</f>
        <v>3229713.43</v>
      </c>
      <c r="I221" s="229"/>
      <c r="J221" s="172">
        <f>SUMIF($AH$6:$CP$6,1,$AH221:$CP221)</f>
        <v>81271.097926922128</v>
      </c>
      <c r="K221" s="225" t="s">
        <v>555</v>
      </c>
      <c r="L221" s="310">
        <f>L220</f>
        <v>40.799999999999997</v>
      </c>
      <c r="M221" s="233" t="s">
        <v>375</v>
      </c>
      <c r="N221" s="174">
        <f>ROUND(J221*L221,2)</f>
        <v>3315860.8</v>
      </c>
      <c r="O221" s="227"/>
      <c r="P221" s="227"/>
      <c r="Q221" s="227"/>
      <c r="U221" s="184" t="s">
        <v>122</v>
      </c>
      <c r="V221" s="179">
        <v>244</v>
      </c>
      <c r="W221" s="180">
        <v>218</v>
      </c>
      <c r="Y221" s="184"/>
      <c r="Z221" s="181"/>
      <c r="AB221" s="182">
        <f>SUM(AH221:AS221)</f>
        <v>80179.589755324181</v>
      </c>
      <c r="AC221" s="182">
        <f>SUM(AT221:BE221)</f>
        <v>80576.999150569507</v>
      </c>
      <c r="AD221" s="182">
        <f>SUM(BF221:BQ221)</f>
        <v>80950.258670562398</v>
      </c>
      <c r="AE221" s="182">
        <f>SUM(BR221:CC221)</f>
        <v>81271.097926922128</v>
      </c>
      <c r="AF221" s="182">
        <f>SUM(CD221:CO221)</f>
        <v>81781.377009266769</v>
      </c>
      <c r="AH221" s="168">
        <v>4713.1636022757148</v>
      </c>
      <c r="AI221" s="168">
        <v>7156.5385074305195</v>
      </c>
      <c r="AJ221" s="168">
        <v>6269.8449684757798</v>
      </c>
      <c r="AK221" s="168">
        <v>5485.1746356589765</v>
      </c>
      <c r="AL221" s="168">
        <v>8691.6108599820254</v>
      </c>
      <c r="AM221" s="168">
        <v>6680.4423799355236</v>
      </c>
      <c r="AN221" s="168">
        <v>6346.905688373603</v>
      </c>
      <c r="AO221" s="168">
        <v>8002.5803538038945</v>
      </c>
      <c r="AP221" s="168">
        <v>7674.870575969092</v>
      </c>
      <c r="AQ221" s="168">
        <v>7832.3691709188497</v>
      </c>
      <c r="AR221" s="168">
        <v>6205.7252945710079</v>
      </c>
      <c r="AS221" s="168">
        <v>5120.36371792919</v>
      </c>
      <c r="AT221" s="168">
        <v>4639.7239258221925</v>
      </c>
      <c r="AU221" s="168">
        <v>7101.7115202466512</v>
      </c>
      <c r="AV221" s="168">
        <v>6119.1105968160873</v>
      </c>
      <c r="AW221" s="168">
        <v>5505.9625098177639</v>
      </c>
      <c r="AX221" s="168">
        <v>8632.9251040444724</v>
      </c>
      <c r="AY221" s="168">
        <v>6534.5819791847298</v>
      </c>
      <c r="AZ221" s="168">
        <v>6565.1732412210959</v>
      </c>
      <c r="BA221" s="168">
        <v>8090.6583123476175</v>
      </c>
      <c r="BB221" s="168">
        <v>7824.9460823872423</v>
      </c>
      <c r="BC221" s="168">
        <v>8055.1914296097248</v>
      </c>
      <c r="BD221" s="168">
        <v>6369.0474899594847</v>
      </c>
      <c r="BE221" s="168">
        <v>5137.9669591124366</v>
      </c>
      <c r="BF221" s="168">
        <v>4566.3230521929354</v>
      </c>
      <c r="BG221" s="168">
        <v>7178.4062362112472</v>
      </c>
      <c r="BH221" s="168">
        <v>6205.9267091675947</v>
      </c>
      <c r="BI221" s="168">
        <v>5451.9424574222739</v>
      </c>
      <c r="BJ221" s="168">
        <v>8675.2592100237962</v>
      </c>
      <c r="BK221" s="168">
        <v>6658.9435587238331</v>
      </c>
      <c r="BL221" s="168">
        <v>6617.5386413550204</v>
      </c>
      <c r="BM221" s="168">
        <v>8177.8907859103974</v>
      </c>
      <c r="BN221" s="168">
        <v>7854.8758145947713</v>
      </c>
      <c r="BO221" s="168">
        <v>7970.7820964603798</v>
      </c>
      <c r="BP221" s="168">
        <v>6343.8559027137962</v>
      </c>
      <c r="BQ221" s="168">
        <v>5248.5142057863586</v>
      </c>
      <c r="BR221" s="168">
        <v>4556.1797942519834</v>
      </c>
      <c r="BS221" s="168">
        <v>7093.7894060681874</v>
      </c>
      <c r="BT221" s="168">
        <v>6283.9876582526185</v>
      </c>
      <c r="BU221" s="168">
        <v>5548.4591007572471</v>
      </c>
      <c r="BV221" s="168">
        <v>8487.8805626219146</v>
      </c>
      <c r="BW221" s="168">
        <v>6785.6761029712943</v>
      </c>
      <c r="BX221" s="168">
        <v>6739.9658254697488</v>
      </c>
      <c r="BY221" s="168">
        <v>8257.2619179831781</v>
      </c>
      <c r="BZ221" s="168">
        <v>7892.7666027211471</v>
      </c>
      <c r="CA221" s="168">
        <v>8062.4911928218289</v>
      </c>
      <c r="CB221" s="168">
        <v>6378.5645968589715</v>
      </c>
      <c r="CC221" s="168">
        <v>5184.0751661440145</v>
      </c>
      <c r="CD221" s="168">
        <v>4587.2605109374344</v>
      </c>
      <c r="CE221" s="168">
        <v>7025.2140936531441</v>
      </c>
      <c r="CF221" s="168">
        <v>6145.2273618353856</v>
      </c>
      <c r="CG221" s="168">
        <v>5663.7316461070532</v>
      </c>
      <c r="CH221" s="168">
        <v>8717.8937821985292</v>
      </c>
      <c r="CI221" s="168">
        <v>6710.2191806064247</v>
      </c>
      <c r="CJ221" s="168">
        <v>6753.8540573040746</v>
      </c>
      <c r="CK221" s="168">
        <v>8307.1009615585426</v>
      </c>
      <c r="CL221" s="168">
        <v>8098.7376150949958</v>
      </c>
      <c r="CM221" s="168">
        <v>8112.7881014440291</v>
      </c>
      <c r="CN221" s="168">
        <v>6474.8385037850676</v>
      </c>
      <c r="CO221" s="168">
        <v>5184.5111947420928</v>
      </c>
    </row>
    <row r="222" spans="1:93" x14ac:dyDescent="0.2">
      <c r="A222" s="118">
        <f t="shared" si="23"/>
        <v>6</v>
      </c>
      <c r="B222" s="234" t="s">
        <v>216</v>
      </c>
      <c r="C222" s="223"/>
      <c r="D222" s="172">
        <f>SUMIF($AH$6:$CP$6,1,$AH222:$CP222)</f>
        <v>180.09584422264081</v>
      </c>
      <c r="E222" s="225" t="s">
        <v>555</v>
      </c>
      <c r="F222" s="183">
        <v>39.74</v>
      </c>
      <c r="G222" s="233" t="s">
        <v>375</v>
      </c>
      <c r="H222" s="174">
        <f>ROUND(D222*F222,2)</f>
        <v>7157.01</v>
      </c>
      <c r="I222" s="229"/>
      <c r="J222" s="172">
        <f>SUMIF($AH$6:$CP$6,1,$AH222:$CP222)</f>
        <v>180.09584422264081</v>
      </c>
      <c r="K222" s="225" t="s">
        <v>555</v>
      </c>
      <c r="L222" s="310">
        <f>L221</f>
        <v>40.799999999999997</v>
      </c>
      <c r="M222" s="233" t="s">
        <v>375</v>
      </c>
      <c r="N222" s="174">
        <f>ROUND(J222*L222,2)</f>
        <v>7347.91</v>
      </c>
      <c r="O222" s="227"/>
      <c r="P222" s="247"/>
      <c r="Q222" s="227"/>
      <c r="U222" s="184" t="s">
        <v>122</v>
      </c>
      <c r="V222" s="179">
        <v>244</v>
      </c>
      <c r="W222" s="180">
        <v>218</v>
      </c>
      <c r="Y222" s="184"/>
      <c r="Z222" s="181"/>
      <c r="AB222" s="182">
        <f>SUM(AH222:AS222)</f>
        <v>179.30533029371068</v>
      </c>
      <c r="AC222" s="182">
        <f>SUM(AT222:BE222)</f>
        <v>177.87020417499377</v>
      </c>
      <c r="AD222" s="182">
        <f>SUM(BF222:BQ222)</f>
        <v>179.54774319095776</v>
      </c>
      <c r="AE222" s="182">
        <f>SUM(BR222:CC222)</f>
        <v>180.09584422264081</v>
      </c>
      <c r="AF222" s="182">
        <f>SUM(CD222:CO222)</f>
        <v>180.885393077147</v>
      </c>
      <c r="AH222" s="168">
        <v>1.2174780503610769</v>
      </c>
      <c r="AI222" s="168">
        <v>0.84333422890501919</v>
      </c>
      <c r="AJ222" s="168">
        <v>0</v>
      </c>
      <c r="AK222" s="168">
        <v>0.11307239854016378</v>
      </c>
      <c r="AL222" s="168">
        <v>1.0614171922974205</v>
      </c>
      <c r="AM222" s="168">
        <v>80.229360686859351</v>
      </c>
      <c r="AN222" s="168">
        <v>-77.406341665174153</v>
      </c>
      <c r="AO222" s="168">
        <v>30.742818629694607</v>
      </c>
      <c r="AP222" s="168">
        <v>32.853651776076752</v>
      </c>
      <c r="AQ222" s="168">
        <v>34.421203152336616</v>
      </c>
      <c r="AR222" s="168">
        <v>34.618654657044516</v>
      </c>
      <c r="AS222" s="168">
        <v>40.610681186769312</v>
      </c>
      <c r="AT222" s="168">
        <v>1.1985075240537337</v>
      </c>
      <c r="AU222" s="168">
        <v>0.83687335750582437</v>
      </c>
      <c r="AV222" s="168">
        <v>0</v>
      </c>
      <c r="AW222" s="168">
        <v>0.11350092360049722</v>
      </c>
      <c r="AX222" s="168">
        <v>1.0542505034869627</v>
      </c>
      <c r="AY222" s="168">
        <v>78.477637367321009</v>
      </c>
      <c r="AZ222" s="168">
        <v>-80.068314853318995</v>
      </c>
      <c r="BA222" s="168">
        <v>31.081180081260214</v>
      </c>
      <c r="BB222" s="168">
        <v>33.496076736755363</v>
      </c>
      <c r="BC222" s="168">
        <v>35.400448392938742</v>
      </c>
      <c r="BD222" s="168">
        <v>35.529747947772414</v>
      </c>
      <c r="BE222" s="168">
        <v>40.750296193618034</v>
      </c>
      <c r="BF222" s="168">
        <v>1.1795470210748431</v>
      </c>
      <c r="BG222" s="168">
        <v>0.8459111456881887</v>
      </c>
      <c r="BH222" s="168">
        <v>0</v>
      </c>
      <c r="BI222" s="168">
        <v>0.11238734430733956</v>
      </c>
      <c r="BJ222" s="168">
        <v>1.0594203331803145</v>
      </c>
      <c r="BK222" s="168">
        <v>79.971168701472948</v>
      </c>
      <c r="BL222" s="168">
        <v>-80.706958982162007</v>
      </c>
      <c r="BM222" s="168">
        <v>31.416293506530025</v>
      </c>
      <c r="BN222" s="168">
        <v>33.624196291341235</v>
      </c>
      <c r="BO222" s="168">
        <v>35.029491567375075</v>
      </c>
      <c r="BP222" s="168">
        <v>35.389216612960638</v>
      </c>
      <c r="BQ222" s="168">
        <v>41.62706964918916</v>
      </c>
      <c r="BR222" s="168">
        <v>1.1769268714377084</v>
      </c>
      <c r="BS222" s="168">
        <v>0.83593980701279558</v>
      </c>
      <c r="BT222" s="168">
        <v>0</v>
      </c>
      <c r="BU222" s="168">
        <v>0.11437695614029442</v>
      </c>
      <c r="BV222" s="168">
        <v>1.0365377029031688</v>
      </c>
      <c r="BW222" s="168">
        <v>81.493174344951171</v>
      </c>
      <c r="BX222" s="168">
        <v>-82.200070887078056</v>
      </c>
      <c r="BY222" s="168">
        <v>31.721206698259142</v>
      </c>
      <c r="BZ222" s="168">
        <v>33.786394565084485</v>
      </c>
      <c r="CA222" s="168">
        <v>35.432528932939427</v>
      </c>
      <c r="CB222" s="168">
        <v>35.58283915330415</v>
      </c>
      <c r="CC222" s="168">
        <v>41.115990077686526</v>
      </c>
      <c r="CD222" s="168">
        <v>1.1849554682671832</v>
      </c>
      <c r="CE222" s="168">
        <v>0.8278588181160802</v>
      </c>
      <c r="CF222" s="168">
        <v>0</v>
      </c>
      <c r="CG222" s="168">
        <v>0.11675320558617308</v>
      </c>
      <c r="CH222" s="168">
        <v>1.0646268557250433</v>
      </c>
      <c r="CI222" s="168">
        <v>80.58696779508044</v>
      </c>
      <c r="CJ222" s="168">
        <v>-82.36945062442976</v>
      </c>
      <c r="CK222" s="168">
        <v>31.912669027854687</v>
      </c>
      <c r="CL222" s="168">
        <v>34.668090204055176</v>
      </c>
      <c r="CM222" s="168">
        <v>35.653570621838298</v>
      </c>
      <c r="CN222" s="168">
        <v>36.119903392882172</v>
      </c>
      <c r="CO222" s="168">
        <v>41.119448312171492</v>
      </c>
    </row>
    <row r="223" spans="1:93" x14ac:dyDescent="0.2">
      <c r="A223" s="118">
        <f t="shared" si="23"/>
        <v>7</v>
      </c>
      <c r="B223" s="226" t="s">
        <v>546</v>
      </c>
      <c r="C223" s="296"/>
      <c r="D223" s="168"/>
      <c r="E223" s="225"/>
      <c r="F223" s="183"/>
      <c r="G223" s="233"/>
      <c r="H223" s="174"/>
      <c r="I223" s="229"/>
      <c r="J223" s="168"/>
      <c r="K223" s="225"/>
      <c r="L223" s="183"/>
      <c r="M223" s="233"/>
      <c r="N223" s="174"/>
      <c r="O223" s="227"/>
      <c r="S223" s="227"/>
      <c r="T223" s="227"/>
      <c r="U223" s="184"/>
      <c r="V223" s="179"/>
      <c r="W223" s="180"/>
      <c r="Y223" s="184"/>
      <c r="Z223" s="181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  <c r="AU223" s="168"/>
      <c r="AV223" s="168"/>
      <c r="AW223" s="168"/>
      <c r="AX223" s="168"/>
      <c r="AY223" s="168"/>
      <c r="AZ223" s="168"/>
      <c r="BA223" s="168"/>
      <c r="BB223" s="168"/>
      <c r="BC223" s="168"/>
      <c r="BD223" s="168"/>
      <c r="BE223" s="168"/>
      <c r="BF223" s="168"/>
      <c r="BG223" s="168"/>
      <c r="BH223" s="168"/>
      <c r="BI223" s="168"/>
      <c r="BJ223" s="168"/>
      <c r="BK223" s="168"/>
      <c r="BL223" s="168"/>
      <c r="BM223" s="168"/>
      <c r="BN223" s="168"/>
      <c r="BO223" s="168"/>
      <c r="BP223" s="168"/>
      <c r="BQ223" s="168"/>
      <c r="BR223" s="168"/>
      <c r="BS223" s="168"/>
      <c r="BT223" s="168"/>
      <c r="BU223" s="168"/>
      <c r="BV223" s="168"/>
      <c r="BW223" s="168"/>
      <c r="BX223" s="168"/>
      <c r="BY223" s="168"/>
      <c r="BZ223" s="168"/>
      <c r="CA223" s="168"/>
      <c r="CB223" s="168"/>
      <c r="CC223" s="168"/>
      <c r="CD223" s="168"/>
      <c r="CE223" s="168"/>
      <c r="CF223" s="168"/>
      <c r="CG223" s="168"/>
      <c r="CH223" s="168"/>
      <c r="CI223" s="168"/>
      <c r="CJ223" s="168"/>
      <c r="CK223" s="168"/>
      <c r="CL223" s="168"/>
      <c r="CM223" s="168"/>
      <c r="CN223" s="168"/>
      <c r="CO223" s="168"/>
    </row>
    <row r="224" spans="1:93" x14ac:dyDescent="0.2">
      <c r="A224" s="118">
        <f t="shared" si="23"/>
        <v>8</v>
      </c>
      <c r="B224" s="234" t="s">
        <v>149</v>
      </c>
      <c r="C224" s="223"/>
      <c r="D224" s="168"/>
      <c r="E224" s="225"/>
      <c r="F224" s="183"/>
      <c r="G224" s="233"/>
      <c r="H224" s="174"/>
      <c r="I224" s="229"/>
      <c r="J224" s="168"/>
      <c r="K224" s="225"/>
      <c r="L224" s="310"/>
      <c r="M224" s="233"/>
      <c r="N224" s="174"/>
      <c r="O224" s="227"/>
      <c r="S224" s="227"/>
      <c r="T224" s="227"/>
      <c r="U224" s="184"/>
      <c r="V224" s="179"/>
      <c r="W224" s="180"/>
      <c r="Y224" s="184"/>
      <c r="Z224" s="181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  <c r="AT224" s="168"/>
      <c r="AU224" s="168"/>
      <c r="AV224" s="168"/>
      <c r="AW224" s="168"/>
      <c r="AX224" s="168"/>
      <c r="AY224" s="168"/>
      <c r="AZ224" s="168"/>
      <c r="BA224" s="168"/>
      <c r="BB224" s="168"/>
      <c r="BC224" s="168"/>
      <c r="BD224" s="168"/>
      <c r="BE224" s="168"/>
      <c r="BF224" s="168"/>
      <c r="BG224" s="168"/>
      <c r="BH224" s="168"/>
      <c r="BI224" s="168"/>
      <c r="BJ224" s="168"/>
      <c r="BK224" s="168"/>
      <c r="BL224" s="168"/>
      <c r="BM224" s="168"/>
      <c r="BN224" s="168"/>
      <c r="BO224" s="168"/>
      <c r="BP224" s="168"/>
      <c r="BQ224" s="168"/>
      <c r="BR224" s="168"/>
      <c r="BS224" s="168"/>
      <c r="BT224" s="168"/>
      <c r="BU224" s="168"/>
      <c r="BV224" s="168"/>
      <c r="BW224" s="168"/>
      <c r="BX224" s="168"/>
      <c r="BY224" s="168"/>
      <c r="BZ224" s="168"/>
      <c r="CA224" s="168"/>
      <c r="CB224" s="168"/>
      <c r="CC224" s="168"/>
      <c r="CD224" s="168"/>
      <c r="CE224" s="168"/>
      <c r="CF224" s="168"/>
      <c r="CG224" s="168"/>
      <c r="CH224" s="168"/>
      <c r="CI224" s="168"/>
      <c r="CJ224" s="168"/>
      <c r="CK224" s="168"/>
      <c r="CL224" s="168"/>
      <c r="CM224" s="168"/>
      <c r="CN224" s="168"/>
      <c r="CO224" s="168"/>
    </row>
    <row r="225" spans="1:93" x14ac:dyDescent="0.2">
      <c r="A225" s="118">
        <f t="shared" si="23"/>
        <v>9</v>
      </c>
      <c r="B225" s="243" t="s">
        <v>559</v>
      </c>
      <c r="C225" s="223"/>
      <c r="D225" s="172">
        <f>'E-13c - prior to updates'!D241</f>
        <v>968631.49881306151</v>
      </c>
      <c r="E225" s="225" t="s">
        <v>555</v>
      </c>
      <c r="F225" s="183">
        <v>47.24</v>
      </c>
      <c r="G225" s="233" t="s">
        <v>375</v>
      </c>
      <c r="H225" s="174">
        <f>ROUND(D225*F225,2)</f>
        <v>45758152</v>
      </c>
      <c r="I225" s="229"/>
      <c r="J225" s="172">
        <f t="shared" ref="J225:J227" si="24">D225</f>
        <v>968631.49881306151</v>
      </c>
      <c r="K225" s="225" t="s">
        <v>555</v>
      </c>
      <c r="L225" s="173">
        <f>'Exhibit MJC-3 - E-13c cal yr'!L243</f>
        <v>49.98</v>
      </c>
      <c r="M225" s="233" t="s">
        <v>375</v>
      </c>
      <c r="N225" s="174">
        <f>ROUND(J225*L225,2)</f>
        <v>48412202.310000002</v>
      </c>
      <c r="O225" s="227"/>
      <c r="Q225" s="1022"/>
      <c r="R225" s="288"/>
      <c r="S225" s="227"/>
      <c r="T225" s="927"/>
      <c r="U225" s="184" t="s">
        <v>592</v>
      </c>
      <c r="V225" s="179">
        <v>245</v>
      </c>
      <c r="W225" s="180">
        <v>219</v>
      </c>
      <c r="Y225" s="184"/>
      <c r="Z225" s="181"/>
      <c r="AB225" s="182">
        <f>SUM(AH225:AS225)</f>
        <v>961682.83832756313</v>
      </c>
      <c r="AC225" s="182">
        <f t="shared" ref="AC225:AC235" si="25">SUM(AT225:BE225)</f>
        <v>962359.21891285363</v>
      </c>
      <c r="AD225" s="182">
        <f t="shared" ref="AD225:AD235" si="26">SUM(BF225:BQ225)</f>
        <v>966382.81407191593</v>
      </c>
      <c r="AE225" s="182">
        <f t="shared" ref="AE225:AE235" si="27">SUM(BR225:CC225)</f>
        <v>968631.49881306151</v>
      </c>
      <c r="AF225" s="182">
        <f t="shared" ref="AF225:AF235" si="28">SUM(CD225:CO225)</f>
        <v>971851.09730989323</v>
      </c>
      <c r="AH225" s="168">
        <v>140078.99197888665</v>
      </c>
      <c r="AI225" s="168">
        <v>143592.50251557078</v>
      </c>
      <c r="AJ225" s="168">
        <v>91606.431111558239</v>
      </c>
      <c r="AK225" s="168">
        <v>58959.302901261057</v>
      </c>
      <c r="AL225" s="168">
        <v>60943.259650931024</v>
      </c>
      <c r="AM225" s="168">
        <v>64511.351062360482</v>
      </c>
      <c r="AN225" s="168">
        <v>62998.276005269108</v>
      </c>
      <c r="AO225" s="168">
        <v>67758.035121268811</v>
      </c>
      <c r="AP225" s="168">
        <v>63733.012981917345</v>
      </c>
      <c r="AQ225" s="168">
        <v>62508.59983147883</v>
      </c>
      <c r="AR225" s="168">
        <v>57814.020985096693</v>
      </c>
      <c r="AS225" s="168">
        <v>87179.054181964122</v>
      </c>
      <c r="AT225" s="168">
        <v>137896.30605559345</v>
      </c>
      <c r="AU225" s="168">
        <v>142492.42539211974</v>
      </c>
      <c r="AV225" s="168">
        <v>89404.105870182393</v>
      </c>
      <c r="AW225" s="168">
        <v>59182.748579951665</v>
      </c>
      <c r="AX225" s="168">
        <v>60531.77076589816</v>
      </c>
      <c r="AY225" s="168">
        <v>63102.813875183689</v>
      </c>
      <c r="AZ225" s="168">
        <v>65164.761567276022</v>
      </c>
      <c r="BA225" s="168">
        <v>68503.793257340309</v>
      </c>
      <c r="BB225" s="168">
        <v>64979.25734579812</v>
      </c>
      <c r="BC225" s="168">
        <v>64286.900508848477</v>
      </c>
      <c r="BD225" s="168">
        <v>59335.56961693542</v>
      </c>
      <c r="BE225" s="168">
        <v>87478.766077726294</v>
      </c>
      <c r="BF225" s="168">
        <v>135714.77338327304</v>
      </c>
      <c r="BG225" s="168">
        <v>144031.26797413654</v>
      </c>
      <c r="BH225" s="168">
        <v>90672.544604391645</v>
      </c>
      <c r="BI225" s="168">
        <v>58602.095302073802</v>
      </c>
      <c r="BJ225" s="168">
        <v>60828.606237981585</v>
      </c>
      <c r="BK225" s="168">
        <v>64303.742355670656</v>
      </c>
      <c r="BL225" s="168">
        <v>65684.531372081285</v>
      </c>
      <c r="BM225" s="168">
        <v>69242.392652293274</v>
      </c>
      <c r="BN225" s="168">
        <v>65227.797303892046</v>
      </c>
      <c r="BO225" s="168">
        <v>63613.246201609625</v>
      </c>
      <c r="BP225" s="168">
        <v>59100.87876541735</v>
      </c>
      <c r="BQ225" s="168">
        <v>89360.937919095071</v>
      </c>
      <c r="BR225" s="168">
        <v>135413.30764440828</v>
      </c>
      <c r="BS225" s="168">
        <v>142333.47198204327</v>
      </c>
      <c r="BT225" s="168">
        <v>91813.06482312335</v>
      </c>
      <c r="BU225" s="168">
        <v>59639.537933782485</v>
      </c>
      <c r="BV225" s="168">
        <v>59514.757085549907</v>
      </c>
      <c r="BW225" s="168">
        <v>65527.566645740058</v>
      </c>
      <c r="BX225" s="168">
        <v>66899.722193261419</v>
      </c>
      <c r="BY225" s="168">
        <v>69914.429884889905</v>
      </c>
      <c r="BZ225" s="168">
        <v>65542.446791156981</v>
      </c>
      <c r="CA225" s="168">
        <v>64345.158485143082</v>
      </c>
      <c r="CB225" s="168">
        <v>59424.233260891058</v>
      </c>
      <c r="CC225" s="168">
        <v>88263.802083071758</v>
      </c>
      <c r="CD225" s="168">
        <v>136337.05140352101</v>
      </c>
      <c r="CE225" s="168">
        <v>140957.54132642824</v>
      </c>
      <c r="CF225" s="168">
        <v>89785.688452786315</v>
      </c>
      <c r="CG225" s="168">
        <v>60878.584886507633</v>
      </c>
      <c r="CH225" s="168">
        <v>61127.548498974204</v>
      </c>
      <c r="CI225" s="168">
        <v>64798.898133698742</v>
      </c>
      <c r="CJ225" s="168">
        <v>67037.574353870426</v>
      </c>
      <c r="CK225" s="168">
        <v>70336.418233108692</v>
      </c>
      <c r="CL225" s="168">
        <v>67252.853901685172</v>
      </c>
      <c r="CM225" s="168">
        <v>64746.568232975078</v>
      </c>
      <c r="CN225" s="168">
        <v>60321.144002365858</v>
      </c>
      <c r="CO225" s="168">
        <v>88271.225883971652</v>
      </c>
    </row>
    <row r="226" spans="1:93" x14ac:dyDescent="0.2">
      <c r="A226" s="118">
        <f t="shared" si="23"/>
        <v>10</v>
      </c>
      <c r="B226" s="243" t="s">
        <v>560</v>
      </c>
      <c r="C226" s="223"/>
      <c r="D226" s="172">
        <f>'E-13c - prior to updates'!D242</f>
        <v>5309902.6463971417</v>
      </c>
      <c r="E226" s="225" t="s">
        <v>555</v>
      </c>
      <c r="F226" s="183">
        <v>34.99</v>
      </c>
      <c r="G226" s="233" t="s">
        <v>375</v>
      </c>
      <c r="H226" s="174">
        <f>ROUND(D226*F226,2)</f>
        <v>185793493.59999999</v>
      </c>
      <c r="I226" s="229"/>
      <c r="J226" s="172">
        <f t="shared" si="24"/>
        <v>5309902.6463971417</v>
      </c>
      <c r="K226" s="225" t="s">
        <v>555</v>
      </c>
      <c r="L226" s="173">
        <f>'Exhibit MJC-3 - E-13c cal yr'!L244</f>
        <v>35.700000000000003</v>
      </c>
      <c r="M226" s="233" t="s">
        <v>375</v>
      </c>
      <c r="N226" s="174">
        <f>ROUND(J226*L226,2)</f>
        <v>189563524.47999999</v>
      </c>
      <c r="O226" s="227"/>
      <c r="Q226" s="1022"/>
      <c r="R226" s="288"/>
      <c r="S226" s="227"/>
      <c r="T226" s="927"/>
      <c r="U226" s="184" t="s">
        <v>592</v>
      </c>
      <c r="V226" s="179">
        <v>245</v>
      </c>
      <c r="W226" s="180">
        <v>219</v>
      </c>
      <c r="Y226" s="184"/>
      <c r="Z226" s="181"/>
      <c r="AB226" s="182">
        <f>SUM(AH226:AS226)</f>
        <v>5412287.9990909193</v>
      </c>
      <c r="AC226" s="182">
        <f t="shared" si="25"/>
        <v>5438206.672975678</v>
      </c>
      <c r="AD226" s="182">
        <f t="shared" si="26"/>
        <v>5461111.3251428884</v>
      </c>
      <c r="AE226" s="182">
        <f t="shared" si="27"/>
        <v>5487781.8349836338</v>
      </c>
      <c r="AF226" s="182">
        <f t="shared" si="28"/>
        <v>5519465.5879296642</v>
      </c>
      <c r="AH226" s="168">
        <v>471354.02068064158</v>
      </c>
      <c r="AI226" s="168">
        <v>432885.76055620721</v>
      </c>
      <c r="AJ226" s="168">
        <v>390104.35625876556</v>
      </c>
      <c r="AK226" s="168">
        <v>440726.11199600081</v>
      </c>
      <c r="AL226" s="168">
        <v>397030.35537456605</v>
      </c>
      <c r="AM226" s="168">
        <v>492710.61193814571</v>
      </c>
      <c r="AN226" s="168">
        <v>477515.94696876931</v>
      </c>
      <c r="AO226" s="168">
        <v>505511.58909785026</v>
      </c>
      <c r="AP226" s="168">
        <v>494628.57191308064</v>
      </c>
      <c r="AQ226" s="168">
        <v>471864.85175609367</v>
      </c>
      <c r="AR226" s="168">
        <v>426757.34620875638</v>
      </c>
      <c r="AS226" s="168">
        <v>411198.47634204128</v>
      </c>
      <c r="AT226" s="168">
        <v>464009.46621681197</v>
      </c>
      <c r="AU226" s="168">
        <v>429569.37763987796</v>
      </c>
      <c r="AV226" s="168">
        <v>380725.79342060513</v>
      </c>
      <c r="AW226" s="168">
        <v>442396.38861674943</v>
      </c>
      <c r="AX226" s="168">
        <v>394349.60644198454</v>
      </c>
      <c r="AY226" s="168">
        <v>481952.79632891051</v>
      </c>
      <c r="AZ226" s="168">
        <v>493937.52975381853</v>
      </c>
      <c r="BA226" s="168">
        <v>511075.34813799144</v>
      </c>
      <c r="BB226" s="168">
        <v>504300.6090743547</v>
      </c>
      <c r="BC226" s="168">
        <v>485288.88601325237</v>
      </c>
      <c r="BD226" s="168">
        <v>437988.7403444185</v>
      </c>
      <c r="BE226" s="168">
        <v>412612.13098690304</v>
      </c>
      <c r="BF226" s="168">
        <v>456668.79234546219</v>
      </c>
      <c r="BG226" s="168">
        <v>434208.49897158111</v>
      </c>
      <c r="BH226" s="168">
        <v>386127.41719153657</v>
      </c>
      <c r="BI226" s="168">
        <v>438055.95294359693</v>
      </c>
      <c r="BJ226" s="168">
        <v>396283.41657363944</v>
      </c>
      <c r="BK226" s="168">
        <v>491124.98380864097</v>
      </c>
      <c r="BL226" s="168">
        <v>497877.29424081172</v>
      </c>
      <c r="BM226" s="168">
        <v>516585.69909756602</v>
      </c>
      <c r="BN226" s="168">
        <v>506229.51465693279</v>
      </c>
      <c r="BO226" s="168">
        <v>480203.60509707284</v>
      </c>
      <c r="BP226" s="168">
        <v>436256.35703554715</v>
      </c>
      <c r="BQ226" s="168">
        <v>421489.79318049981</v>
      </c>
      <c r="BR226" s="168">
        <v>455654.38550183811</v>
      </c>
      <c r="BS226" s="168">
        <v>429090.183624811</v>
      </c>
      <c r="BT226" s="168">
        <v>390984.30224130576</v>
      </c>
      <c r="BU226" s="168">
        <v>445810.93027529272</v>
      </c>
      <c r="BV226" s="168">
        <v>387724.01231980824</v>
      </c>
      <c r="BW226" s="168">
        <v>500472.03986830986</v>
      </c>
      <c r="BX226" s="168">
        <v>507088.22876979882</v>
      </c>
      <c r="BY226" s="168">
        <v>521599.46032565983</v>
      </c>
      <c r="BZ226" s="168">
        <v>508671.49282895483</v>
      </c>
      <c r="CA226" s="168">
        <v>485728.66376258561</v>
      </c>
      <c r="CB226" s="168">
        <v>438643.21586359164</v>
      </c>
      <c r="CC226" s="168">
        <v>416314.91960167664</v>
      </c>
      <c r="CD226" s="168">
        <v>458762.70552031772</v>
      </c>
      <c r="CE226" s="168">
        <v>424942.18997685611</v>
      </c>
      <c r="CF226" s="168">
        <v>382350.75605630671</v>
      </c>
      <c r="CG226" s="168">
        <v>455072.9181072989</v>
      </c>
      <c r="CH226" s="168">
        <v>398230.95191714104</v>
      </c>
      <c r="CI226" s="168">
        <v>494906.77573175676</v>
      </c>
      <c r="CJ226" s="168">
        <v>508133.1241096236</v>
      </c>
      <c r="CK226" s="168">
        <v>524747.7216367661</v>
      </c>
      <c r="CL226" s="168">
        <v>521945.87272859289</v>
      </c>
      <c r="CM226" s="168">
        <v>488758.82523900399</v>
      </c>
      <c r="CN226" s="168">
        <v>445263.81137478392</v>
      </c>
      <c r="CO226" s="168">
        <v>416349.93553121778</v>
      </c>
    </row>
    <row r="227" spans="1:93" x14ac:dyDescent="0.2">
      <c r="A227" s="118">
        <f t="shared" si="23"/>
        <v>11</v>
      </c>
      <c r="B227" s="243" t="s">
        <v>561</v>
      </c>
      <c r="C227" s="223"/>
      <c r="D227" s="172">
        <f>'E-13c - prior to updates'!D243</f>
        <v>1377472.6196674642</v>
      </c>
      <c r="E227" s="225" t="s">
        <v>555</v>
      </c>
      <c r="F227" s="183">
        <v>23.71</v>
      </c>
      <c r="G227" s="233" t="s">
        <v>375</v>
      </c>
      <c r="H227" s="174">
        <f>ROUND(D227*F227,2)</f>
        <v>32659875.809999999</v>
      </c>
      <c r="I227" s="229"/>
      <c r="J227" s="172">
        <f t="shared" si="24"/>
        <v>1377472.6196674642</v>
      </c>
      <c r="K227" s="225" t="s">
        <v>555</v>
      </c>
      <c r="L227" s="173">
        <f>'Exhibit MJC-3 - E-13c cal yr'!L245</f>
        <v>24.16</v>
      </c>
      <c r="M227" s="233" t="s">
        <v>375</v>
      </c>
      <c r="N227" s="174">
        <f>ROUND(J227*L227,2)</f>
        <v>33279738.489999998</v>
      </c>
      <c r="O227" s="227"/>
      <c r="Q227" s="1022"/>
      <c r="R227" s="293"/>
      <c r="S227" s="227"/>
      <c r="T227" s="927"/>
      <c r="U227" s="184" t="s">
        <v>592</v>
      </c>
      <c r="V227" s="179">
        <v>245</v>
      </c>
      <c r="W227" s="180">
        <v>219</v>
      </c>
      <c r="Y227" s="184"/>
      <c r="Z227" s="181"/>
      <c r="AB227" s="182">
        <f>SUM(AH227:AS227)</f>
        <v>1175056.9751415562</v>
      </c>
      <c r="AC227" s="182">
        <f t="shared" si="25"/>
        <v>1186687.2899356426</v>
      </c>
      <c r="AD227" s="182">
        <f t="shared" si="26"/>
        <v>1192558.7978362571</v>
      </c>
      <c r="AE227" s="182">
        <f t="shared" si="27"/>
        <v>1199593.4310809718</v>
      </c>
      <c r="AF227" s="182">
        <f t="shared" si="28"/>
        <v>1211230.2925500069</v>
      </c>
      <c r="AH227" s="168">
        <v>8.8848242787838469E-2</v>
      </c>
      <c r="AI227" s="168">
        <v>2.0212940281265532</v>
      </c>
      <c r="AJ227" s="168">
        <v>35091.5602869758</v>
      </c>
      <c r="AK227" s="168">
        <v>83147.24946622095</v>
      </c>
      <c r="AL227" s="168">
        <v>169479.66194628782</v>
      </c>
      <c r="AM227" s="168">
        <v>138875.36477186563</v>
      </c>
      <c r="AN227" s="168">
        <v>136377.53992411718</v>
      </c>
      <c r="AO227" s="168">
        <v>144584.16998472481</v>
      </c>
      <c r="AP227" s="168">
        <v>140832.9304652992</v>
      </c>
      <c r="AQ227" s="168">
        <v>135052.05230545369</v>
      </c>
      <c r="AR227" s="168">
        <v>122350.65214051661</v>
      </c>
      <c r="AS227" s="168">
        <v>69263.683707823831</v>
      </c>
      <c r="AT227" s="168">
        <v>8.746382528095363E-2</v>
      </c>
      <c r="AU227" s="168">
        <v>2.0058086839675218</v>
      </c>
      <c r="AV227" s="168">
        <v>34247.918328201595</v>
      </c>
      <c r="AW227" s="168">
        <v>83462.363327376137</v>
      </c>
      <c r="AX227" s="168">
        <v>168335.3352803124</v>
      </c>
      <c r="AY227" s="168">
        <v>135843.16791902302</v>
      </c>
      <c r="AZ227" s="168">
        <v>141067.50907823991</v>
      </c>
      <c r="BA227" s="168">
        <v>146175.49152939889</v>
      </c>
      <c r="BB227" s="168">
        <v>143586.79753715705</v>
      </c>
      <c r="BC227" s="168">
        <v>138894.13414287163</v>
      </c>
      <c r="BD227" s="168">
        <v>125570.67496883654</v>
      </c>
      <c r="BE227" s="168">
        <v>69501.804551716137</v>
      </c>
      <c r="BF227" s="168">
        <v>8.6080139249366958E-2</v>
      </c>
      <c r="BG227" s="168">
        <v>2.0274703533915233</v>
      </c>
      <c r="BH227" s="168">
        <v>34733.817557892493</v>
      </c>
      <c r="BI227" s="168">
        <v>82643.498100459517</v>
      </c>
      <c r="BJ227" s="168">
        <v>169160.81747064012</v>
      </c>
      <c r="BK227" s="168">
        <v>138428.43978275024</v>
      </c>
      <c r="BL227" s="168">
        <v>142192.69744530335</v>
      </c>
      <c r="BM227" s="168">
        <v>147751.53753308486</v>
      </c>
      <c r="BN227" s="168">
        <v>144136.00443948916</v>
      </c>
      <c r="BO227" s="168">
        <v>137438.68006163655</v>
      </c>
      <c r="BP227" s="168">
        <v>125074.00343059412</v>
      </c>
      <c r="BQ227" s="168">
        <v>70997.188463914063</v>
      </c>
      <c r="BR227" s="168">
        <v>8.5888927842285259E-2</v>
      </c>
      <c r="BS227" s="168">
        <v>2.0035711606086464</v>
      </c>
      <c r="BT227" s="168">
        <v>35170.715202834042</v>
      </c>
      <c r="BU227" s="168">
        <v>84106.549681141085</v>
      </c>
      <c r="BV227" s="168">
        <v>165507.07936280107</v>
      </c>
      <c r="BW227" s="168">
        <v>141063.00008727348</v>
      </c>
      <c r="BX227" s="168">
        <v>144823.32077723477</v>
      </c>
      <c r="BY227" s="168">
        <v>149185.55115670775</v>
      </c>
      <c r="BZ227" s="168">
        <v>144831.29573810546</v>
      </c>
      <c r="CA227" s="168">
        <v>139020.00257190311</v>
      </c>
      <c r="CB227" s="168">
        <v>125758.31205884149</v>
      </c>
      <c r="CC227" s="168">
        <v>70125.514984040972</v>
      </c>
      <c r="CD227" s="168">
        <v>8.6474833042086877E-2</v>
      </c>
      <c r="CE227" s="168">
        <v>1.9842027369891104</v>
      </c>
      <c r="CF227" s="168">
        <v>34394.090687930329</v>
      </c>
      <c r="CG227" s="168">
        <v>85853.913388122703</v>
      </c>
      <c r="CH227" s="168">
        <v>169992.15851843907</v>
      </c>
      <c r="CI227" s="168">
        <v>139494.37528340463</v>
      </c>
      <c r="CJ227" s="168">
        <v>145121.74066630457</v>
      </c>
      <c r="CK227" s="168">
        <v>150086.00281474713</v>
      </c>
      <c r="CL227" s="168">
        <v>148610.8384647723</v>
      </c>
      <c r="CM227" s="168">
        <v>139887.26260342321</v>
      </c>
      <c r="CN227" s="168">
        <v>127656.42625780996</v>
      </c>
      <c r="CO227" s="168">
        <v>70131.413187482889</v>
      </c>
    </row>
    <row r="228" spans="1:93" x14ac:dyDescent="0.2">
      <c r="A228" s="118">
        <f t="shared" si="23"/>
        <v>12</v>
      </c>
      <c r="B228" s="234" t="s">
        <v>148</v>
      </c>
      <c r="C228" s="223"/>
      <c r="D228" s="168"/>
      <c r="E228" s="225"/>
      <c r="F228" s="183"/>
      <c r="G228" s="233"/>
      <c r="H228" s="174"/>
      <c r="I228" s="229"/>
      <c r="J228" s="168"/>
      <c r="K228" s="225"/>
      <c r="L228" s="183"/>
      <c r="M228" s="233"/>
      <c r="N228" s="174"/>
      <c r="O228" s="227"/>
      <c r="S228" s="227"/>
      <c r="T228" s="227"/>
      <c r="U228" s="184"/>
      <c r="V228" s="179"/>
      <c r="W228" s="180"/>
      <c r="Y228" s="184"/>
      <c r="Z228" s="181"/>
      <c r="AB228" s="182"/>
      <c r="AC228" s="182">
        <f t="shared" si="25"/>
        <v>0</v>
      </c>
      <c r="AD228" s="182">
        <f t="shared" si="26"/>
        <v>0</v>
      </c>
      <c r="AE228" s="182">
        <f t="shared" si="27"/>
        <v>0</v>
      </c>
      <c r="AF228" s="182">
        <f t="shared" si="28"/>
        <v>0</v>
      </c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  <c r="AU228" s="168"/>
      <c r="AV228" s="168"/>
      <c r="AW228" s="168"/>
      <c r="AX228" s="168"/>
      <c r="AY228" s="168"/>
      <c r="AZ228" s="168"/>
      <c r="BA228" s="168"/>
      <c r="BB228" s="168"/>
      <c r="BC228" s="168"/>
      <c r="BD228" s="168"/>
      <c r="BE228" s="168"/>
      <c r="BF228" s="168"/>
      <c r="BG228" s="168"/>
      <c r="BH228" s="168"/>
      <c r="BI228" s="168"/>
      <c r="BJ228" s="168"/>
      <c r="BK228" s="168"/>
      <c r="BL228" s="168"/>
      <c r="BM228" s="168"/>
      <c r="BN228" s="168"/>
      <c r="BO228" s="168"/>
      <c r="BP228" s="168"/>
      <c r="BQ228" s="168"/>
      <c r="BR228" s="168"/>
      <c r="BS228" s="168"/>
      <c r="BT228" s="168"/>
      <c r="BU228" s="168"/>
      <c r="BV228" s="168"/>
      <c r="BW228" s="168"/>
      <c r="BX228" s="168"/>
      <c r="BY228" s="168"/>
      <c r="BZ228" s="168"/>
      <c r="CA228" s="168"/>
      <c r="CB228" s="168"/>
      <c r="CC228" s="168"/>
      <c r="CD228" s="168"/>
      <c r="CE228" s="168"/>
      <c r="CF228" s="168"/>
      <c r="CG228" s="168"/>
      <c r="CH228" s="168"/>
      <c r="CI228" s="168"/>
      <c r="CJ228" s="168"/>
      <c r="CK228" s="168"/>
      <c r="CL228" s="168"/>
      <c r="CM228" s="168"/>
      <c r="CN228" s="168"/>
      <c r="CO228" s="168"/>
    </row>
    <row r="229" spans="1:93" x14ac:dyDescent="0.2">
      <c r="A229" s="118">
        <f t="shared" si="23"/>
        <v>13</v>
      </c>
      <c r="B229" s="243" t="s">
        <v>559</v>
      </c>
      <c r="C229" s="223"/>
      <c r="D229" s="172">
        <f>'E-13c - prior to updates'!D245</f>
        <v>209484.34243318421</v>
      </c>
      <c r="E229" s="225" t="s">
        <v>555</v>
      </c>
      <c r="F229" s="183">
        <v>47.24</v>
      </c>
      <c r="G229" s="233" t="s">
        <v>375</v>
      </c>
      <c r="H229" s="174">
        <f>ROUND(D229*F229,2)</f>
        <v>9896040.3399999999</v>
      </c>
      <c r="I229" s="229"/>
      <c r="J229" s="172">
        <f t="shared" ref="J229:J231" si="29">D229</f>
        <v>209484.34243318421</v>
      </c>
      <c r="K229" s="225" t="s">
        <v>555</v>
      </c>
      <c r="L229" s="183">
        <f>L225</f>
        <v>49.98</v>
      </c>
      <c r="M229" s="233" t="s">
        <v>375</v>
      </c>
      <c r="N229" s="174">
        <f>ROUND(J229*L229,2)</f>
        <v>10470027.43</v>
      </c>
      <c r="O229" s="227"/>
      <c r="S229" s="227"/>
      <c r="T229" s="227"/>
      <c r="U229" s="184" t="s">
        <v>592</v>
      </c>
      <c r="V229" s="179">
        <v>245</v>
      </c>
      <c r="W229" s="180">
        <v>219</v>
      </c>
      <c r="Y229" s="184"/>
      <c r="Z229" s="181"/>
      <c r="AB229" s="182">
        <f>SUM(AH229:AS229)</f>
        <v>207289.39701007149</v>
      </c>
      <c r="AC229" s="182">
        <f t="shared" si="25"/>
        <v>207437.25831595281</v>
      </c>
      <c r="AD229" s="182">
        <f t="shared" si="26"/>
        <v>208570.77303261115</v>
      </c>
      <c r="AE229" s="182">
        <f t="shared" si="27"/>
        <v>209484.34243318421</v>
      </c>
      <c r="AF229" s="182">
        <f t="shared" si="28"/>
        <v>209823.4071783344</v>
      </c>
      <c r="AH229" s="168">
        <v>19367.159991962217</v>
      </c>
      <c r="AI229" s="168">
        <v>25606.830084347959</v>
      </c>
      <c r="AJ229" s="168">
        <v>35802.024868464483</v>
      </c>
      <c r="AK229" s="168">
        <v>14769.54198317378</v>
      </c>
      <c r="AL229" s="168">
        <v>11161.378123543114</v>
      </c>
      <c r="AM229" s="168">
        <v>12648.691752997085</v>
      </c>
      <c r="AN229" s="168">
        <v>17950.727815237457</v>
      </c>
      <c r="AO229" s="168">
        <v>12761.59162812425</v>
      </c>
      <c r="AP229" s="168">
        <v>14501.286973972123</v>
      </c>
      <c r="AQ229" s="168">
        <v>13235.018307148248</v>
      </c>
      <c r="AR229" s="168">
        <v>12363.182975708283</v>
      </c>
      <c r="AS229" s="168">
        <v>17121.962505392537</v>
      </c>
      <c r="AT229" s="168">
        <v>19065.384351722067</v>
      </c>
      <c r="AU229" s="168">
        <v>25410.653490957677</v>
      </c>
      <c r="AV229" s="168">
        <v>34941.302514111827</v>
      </c>
      <c r="AW229" s="168">
        <v>14825.516022383616</v>
      </c>
      <c r="AX229" s="168">
        <v>11086.016499209376</v>
      </c>
      <c r="AY229" s="168">
        <v>12372.520933291098</v>
      </c>
      <c r="AZ229" s="168">
        <v>18568.046178615765</v>
      </c>
      <c r="BA229" s="168">
        <v>12902.048191967386</v>
      </c>
      <c r="BB229" s="168">
        <v>14784.847193625603</v>
      </c>
      <c r="BC229" s="168">
        <v>13611.539971112141</v>
      </c>
      <c r="BD229" s="168">
        <v>12688.557060079787</v>
      </c>
      <c r="BE229" s="168">
        <v>17180.825908876464</v>
      </c>
      <c r="BF229" s="168">
        <v>18763.768158632309</v>
      </c>
      <c r="BG229" s="168">
        <v>25685.075064744167</v>
      </c>
      <c r="BH229" s="168">
        <v>35437.039271403235</v>
      </c>
      <c r="BI229" s="168">
        <v>14680.060046086768</v>
      </c>
      <c r="BJ229" s="168">
        <v>11140.38006563789</v>
      </c>
      <c r="BK229" s="168">
        <v>12607.986071083533</v>
      </c>
      <c r="BL229" s="168">
        <v>18716.149378961411</v>
      </c>
      <c r="BM229" s="168">
        <v>13041.156473934238</v>
      </c>
      <c r="BN229" s="168">
        <v>14841.397936924714</v>
      </c>
      <c r="BO229" s="168">
        <v>13468.906363688007</v>
      </c>
      <c r="BP229" s="168">
        <v>12638.36982365161</v>
      </c>
      <c r="BQ229" s="168">
        <v>17550.48437786326</v>
      </c>
      <c r="BR229" s="168">
        <v>18722.087853011832</v>
      </c>
      <c r="BS229" s="168">
        <v>25382.307352462642</v>
      </c>
      <c r="BT229" s="168">
        <v>35882.782356670832</v>
      </c>
      <c r="BU229" s="168">
        <v>14939.943588635027</v>
      </c>
      <c r="BV229" s="168">
        <v>10899.756783070125</v>
      </c>
      <c r="BW229" s="168">
        <v>12847.940372923449</v>
      </c>
      <c r="BX229" s="168">
        <v>19062.405833229383</v>
      </c>
      <c r="BY229" s="168">
        <v>13167.728395713601</v>
      </c>
      <c r="BZ229" s="168">
        <v>14912.990700196964</v>
      </c>
      <c r="CA229" s="168">
        <v>13623.874999970174</v>
      </c>
      <c r="CB229" s="168">
        <v>12707.517250615561</v>
      </c>
      <c r="CC229" s="168">
        <v>17335.006946684614</v>
      </c>
      <c r="CD229" s="168">
        <v>18849.80360054526</v>
      </c>
      <c r="CE229" s="168">
        <v>25136.937838811609</v>
      </c>
      <c r="CF229" s="168">
        <v>35090.434282984272</v>
      </c>
      <c r="CG229" s="168">
        <v>15250.329822645372</v>
      </c>
      <c r="CH229" s="168">
        <v>11195.12947732274</v>
      </c>
      <c r="CI229" s="168">
        <v>12705.070889535691</v>
      </c>
      <c r="CJ229" s="168">
        <v>19101.685425795178</v>
      </c>
      <c r="CK229" s="168">
        <v>13247.205950842772</v>
      </c>
      <c r="CL229" s="168">
        <v>15302.16270370995</v>
      </c>
      <c r="CM229" s="168">
        <v>13708.865951224034</v>
      </c>
      <c r="CN229" s="168">
        <v>12899.316254054353</v>
      </c>
      <c r="CO229" s="168">
        <v>17336.464980863209</v>
      </c>
    </row>
    <row r="230" spans="1:93" x14ac:dyDescent="0.2">
      <c r="A230" s="118">
        <f t="shared" si="23"/>
        <v>14</v>
      </c>
      <c r="B230" s="243" t="s">
        <v>560</v>
      </c>
      <c r="C230" s="223"/>
      <c r="D230" s="172">
        <f>'E-13c - prior to updates'!D246</f>
        <v>1139084.8818034285</v>
      </c>
      <c r="E230" s="225" t="s">
        <v>555</v>
      </c>
      <c r="F230" s="183">
        <v>34.99</v>
      </c>
      <c r="G230" s="233" t="s">
        <v>375</v>
      </c>
      <c r="H230" s="174">
        <f>ROUND(D230*F230,2)</f>
        <v>39856580.009999998</v>
      </c>
      <c r="I230" s="229"/>
      <c r="J230" s="172">
        <f t="shared" si="29"/>
        <v>1139084.8818034285</v>
      </c>
      <c r="K230" s="225" t="s">
        <v>555</v>
      </c>
      <c r="L230" s="183">
        <f>L226</f>
        <v>35.700000000000003</v>
      </c>
      <c r="M230" s="233" t="s">
        <v>375</v>
      </c>
      <c r="N230" s="174">
        <f>ROUND(J230*L230,2)</f>
        <v>40665330.280000001</v>
      </c>
      <c r="O230" s="227"/>
      <c r="S230" s="263"/>
      <c r="T230" s="247"/>
      <c r="U230" s="184" t="s">
        <v>592</v>
      </c>
      <c r="V230" s="179">
        <v>245</v>
      </c>
      <c r="W230" s="180">
        <v>219</v>
      </c>
      <c r="Y230" s="184"/>
      <c r="Z230" s="181"/>
      <c r="AB230" s="182">
        <f>SUM(AH230:AS230)</f>
        <v>1159329.5279140726</v>
      </c>
      <c r="AC230" s="182">
        <f t="shared" si="25"/>
        <v>1165288.2600201133</v>
      </c>
      <c r="AD230" s="182">
        <f t="shared" si="26"/>
        <v>1171216.8534050847</v>
      </c>
      <c r="AE230" s="182">
        <f t="shared" si="27"/>
        <v>1178182.9628710411</v>
      </c>
      <c r="AF230" s="182">
        <f t="shared" si="28"/>
        <v>1183657.5115180467</v>
      </c>
      <c r="AH230" s="168">
        <v>62891.141199747981</v>
      </c>
      <c r="AI230" s="168">
        <v>83699.014781979044</v>
      </c>
      <c r="AJ230" s="168">
        <v>134791.57326740847</v>
      </c>
      <c r="AK230" s="168">
        <v>96843.13572684463</v>
      </c>
      <c r="AL230" s="168">
        <v>76431.721518596445</v>
      </c>
      <c r="AM230" s="168">
        <v>96017.836497530603</v>
      </c>
      <c r="AN230" s="168">
        <v>126574.07886619237</v>
      </c>
      <c r="AO230" s="168">
        <v>96700.608303883535</v>
      </c>
      <c r="AP230" s="168">
        <v>109937.70602899311</v>
      </c>
      <c r="AQ230" s="168">
        <v>99823.968931401076</v>
      </c>
      <c r="AR230" s="168">
        <v>89835.508552176398</v>
      </c>
      <c r="AS230" s="168">
        <v>85783.234239318786</v>
      </c>
      <c r="AT230" s="168">
        <v>61911.182630248666</v>
      </c>
      <c r="AU230" s="168">
        <v>83057.787908681363</v>
      </c>
      <c r="AV230" s="168">
        <v>131551.02693753273</v>
      </c>
      <c r="AW230" s="168">
        <v>97210.154655566526</v>
      </c>
      <c r="AX230" s="168">
        <v>75915.654540082818</v>
      </c>
      <c r="AY230" s="168">
        <v>93921.38849091086</v>
      </c>
      <c r="AZ230" s="168">
        <v>130926.9109082152</v>
      </c>
      <c r="BA230" s="168">
        <v>97764.914039382187</v>
      </c>
      <c r="BB230" s="168">
        <v>112087.4435057932</v>
      </c>
      <c r="BC230" s="168">
        <v>102663.85067642524</v>
      </c>
      <c r="BD230" s="168">
        <v>92199.798265969803</v>
      </c>
      <c r="BE230" s="168">
        <v>86078.147461304572</v>
      </c>
      <c r="BF230" s="168">
        <v>60931.741834819135</v>
      </c>
      <c r="BG230" s="168">
        <v>83954.767944288702</v>
      </c>
      <c r="BH230" s="168">
        <v>133417.43359154995</v>
      </c>
      <c r="BI230" s="168">
        <v>96256.407215676794</v>
      </c>
      <c r="BJ230" s="168">
        <v>76287.929444134046</v>
      </c>
      <c r="BK230" s="168">
        <v>95708.834461049657</v>
      </c>
      <c r="BL230" s="168">
        <v>131971.21542632906</v>
      </c>
      <c r="BM230" s="168">
        <v>98819.003206179928</v>
      </c>
      <c r="BN230" s="168">
        <v>112516.16814269593</v>
      </c>
      <c r="BO230" s="168">
        <v>101588.04915763244</v>
      </c>
      <c r="BP230" s="168">
        <v>91835.119047340413</v>
      </c>
      <c r="BQ230" s="168">
        <v>87930.183933388616</v>
      </c>
      <c r="BR230" s="168">
        <v>60796.393028534992</v>
      </c>
      <c r="BS230" s="168">
        <v>82965.135133734468</v>
      </c>
      <c r="BT230" s="168">
        <v>135095.61832990008</v>
      </c>
      <c r="BU230" s="168">
        <v>97960.450388636847</v>
      </c>
      <c r="BV230" s="168">
        <v>74640.171298093221</v>
      </c>
      <c r="BW230" s="168">
        <v>97530.358249506637</v>
      </c>
      <c r="BX230" s="168">
        <v>134412.73714074332</v>
      </c>
      <c r="BY230" s="168">
        <v>99778.098449698184</v>
      </c>
      <c r="BZ230" s="168">
        <v>113058.92991112071</v>
      </c>
      <c r="CA230" s="168">
        <v>102756.88655358963</v>
      </c>
      <c r="CB230" s="168">
        <v>92337.570097250966</v>
      </c>
      <c r="CC230" s="168">
        <v>86850.614290232203</v>
      </c>
      <c r="CD230" s="168">
        <v>61211.125447479724</v>
      </c>
      <c r="CE230" s="168">
        <v>82163.115263157917</v>
      </c>
      <c r="CF230" s="168">
        <v>132112.49534118644</v>
      </c>
      <c r="CG230" s="168">
        <v>99995.637141364365</v>
      </c>
      <c r="CH230" s="168">
        <v>76662.846568245892</v>
      </c>
      <c r="CI230" s="168">
        <v>96445.817732250231</v>
      </c>
      <c r="CJ230" s="168">
        <v>134689.70520011277</v>
      </c>
      <c r="CK230" s="168">
        <v>100380.33742987046</v>
      </c>
      <c r="CL230" s="168">
        <v>116009.33544365843</v>
      </c>
      <c r="CM230" s="168">
        <v>103397.92337579282</v>
      </c>
      <c r="CN230" s="168">
        <v>93731.253345940218</v>
      </c>
      <c r="CO230" s="168">
        <v>86857.919228987448</v>
      </c>
    </row>
    <row r="231" spans="1:93" x14ac:dyDescent="0.2">
      <c r="A231" s="118">
        <f t="shared" si="23"/>
        <v>15</v>
      </c>
      <c r="B231" s="243" t="s">
        <v>561</v>
      </c>
      <c r="C231" s="223"/>
      <c r="D231" s="172">
        <f>'E-13c - prior to updates'!D247</f>
        <v>334231.19511558855</v>
      </c>
      <c r="E231" s="225" t="s">
        <v>555</v>
      </c>
      <c r="F231" s="183">
        <v>23.71</v>
      </c>
      <c r="G231" s="233" t="s">
        <v>375</v>
      </c>
      <c r="H231" s="174">
        <f>ROUND(D231*F231,2)</f>
        <v>7924621.6399999997</v>
      </c>
      <c r="I231" s="229"/>
      <c r="J231" s="172">
        <f t="shared" si="29"/>
        <v>334231.19511558855</v>
      </c>
      <c r="K231" s="225" t="s">
        <v>555</v>
      </c>
      <c r="L231" s="183">
        <f>L227</f>
        <v>24.16</v>
      </c>
      <c r="M231" s="233" t="s">
        <v>375</v>
      </c>
      <c r="N231" s="174">
        <f>ROUND(J231*L231,2)</f>
        <v>8075025.6699999999</v>
      </c>
      <c r="O231" s="227"/>
      <c r="R231" s="292"/>
      <c r="S231" s="263"/>
      <c r="T231" s="1293"/>
      <c r="U231" s="184" t="s">
        <v>592</v>
      </c>
      <c r="V231" s="179">
        <v>245</v>
      </c>
      <c r="W231" s="180">
        <v>219</v>
      </c>
      <c r="Y231" s="184"/>
      <c r="Z231" s="181"/>
      <c r="AB231" s="182">
        <f>SUM(AH231:AS231)</f>
        <v>288684.25802575867</v>
      </c>
      <c r="AC231" s="182">
        <f t="shared" si="25"/>
        <v>291896.17196716357</v>
      </c>
      <c r="AD231" s="182">
        <f t="shared" si="26"/>
        <v>293336.13190090487</v>
      </c>
      <c r="AE231" s="182">
        <f t="shared" si="27"/>
        <v>295133.1140479758</v>
      </c>
      <c r="AF231" s="182">
        <f t="shared" si="28"/>
        <v>298018.06579560868</v>
      </c>
      <c r="AH231" s="168">
        <v>-2.7250766490196157E-3</v>
      </c>
      <c r="AI231" s="168">
        <v>0</v>
      </c>
      <c r="AJ231" s="168">
        <v>6328.6152555054023</v>
      </c>
      <c r="AK231" s="168">
        <v>18703.517231088848</v>
      </c>
      <c r="AL231" s="168">
        <v>39336.557279614906</v>
      </c>
      <c r="AM231" s="168">
        <v>32715.512637157342</v>
      </c>
      <c r="AN231" s="168">
        <v>40104.541684463227</v>
      </c>
      <c r="AO231" s="168">
        <v>32793.797424094118</v>
      </c>
      <c r="AP231" s="168">
        <v>36700.726258819996</v>
      </c>
      <c r="AQ231" s="168">
        <v>33948.534698971918</v>
      </c>
      <c r="AR231" s="168">
        <v>29909.158445507433</v>
      </c>
      <c r="AS231" s="168">
        <v>18143.299835612124</v>
      </c>
      <c r="AT231" s="168">
        <v>-2.6826149896538296E-3</v>
      </c>
      <c r="AU231" s="168">
        <v>0</v>
      </c>
      <c r="AV231" s="168">
        <v>6176.467977732048</v>
      </c>
      <c r="AW231" s="168">
        <v>18774.400363961038</v>
      </c>
      <c r="AX231" s="168">
        <v>39070.956847528854</v>
      </c>
      <c r="AY231" s="168">
        <v>32001.203986227934</v>
      </c>
      <c r="AZ231" s="168">
        <v>41483.720862684349</v>
      </c>
      <c r="BA231" s="168">
        <v>33154.73234787002</v>
      </c>
      <c r="BB231" s="168">
        <v>37418.377458887422</v>
      </c>
      <c r="BC231" s="168">
        <v>34914.333043738028</v>
      </c>
      <c r="BD231" s="168">
        <v>30696.307277863183</v>
      </c>
      <c r="BE231" s="168">
        <v>18205.674483285664</v>
      </c>
      <c r="BF231" s="168">
        <v>-2.6401757654673091E-3</v>
      </c>
      <c r="BG231" s="168">
        <v>0</v>
      </c>
      <c r="BH231" s="168">
        <v>6264.0978594618018</v>
      </c>
      <c r="BI231" s="168">
        <v>18590.201127306835</v>
      </c>
      <c r="BJ231" s="168">
        <v>39262.55286023167</v>
      </c>
      <c r="BK231" s="168">
        <v>32610.228448321664</v>
      </c>
      <c r="BL231" s="168">
        <v>41814.604993567453</v>
      </c>
      <c r="BM231" s="168">
        <v>33512.20255627107</v>
      </c>
      <c r="BN231" s="168">
        <v>37561.499469594368</v>
      </c>
      <c r="BO231" s="168">
        <v>34548.470159493838</v>
      </c>
      <c r="BP231" s="168">
        <v>30574.893722048164</v>
      </c>
      <c r="BQ231" s="168">
        <v>18597.38334478379</v>
      </c>
      <c r="BR231" s="168">
        <v>-2.634311094156828E-3</v>
      </c>
      <c r="BS231" s="168">
        <v>0</v>
      </c>
      <c r="BT231" s="168">
        <v>6342.8905115485095</v>
      </c>
      <c r="BU231" s="168">
        <v>18919.306547208504</v>
      </c>
      <c r="BV231" s="168">
        <v>38414.513179757952</v>
      </c>
      <c r="BW231" s="168">
        <v>33230.864016606727</v>
      </c>
      <c r="BX231" s="168">
        <v>42588.192368220698</v>
      </c>
      <c r="BY231" s="168">
        <v>33837.45775040087</v>
      </c>
      <c r="BZ231" s="168">
        <v>37742.69072604517</v>
      </c>
      <c r="CA231" s="168">
        <v>34945.973057033174</v>
      </c>
      <c r="CB231" s="168">
        <v>30742.175995005502</v>
      </c>
      <c r="CC231" s="168">
        <v>18369.052530459769</v>
      </c>
      <c r="CD231" s="168">
        <v>-2.6522814729557785E-3</v>
      </c>
      <c r="CE231" s="168">
        <v>0</v>
      </c>
      <c r="CF231" s="168">
        <v>6202.8295478117889</v>
      </c>
      <c r="CG231" s="168">
        <v>19312.36641884968</v>
      </c>
      <c r="CH231" s="168">
        <v>39455.508725083484</v>
      </c>
      <c r="CI231" s="168">
        <v>32861.335809222845</v>
      </c>
      <c r="CJ231" s="168">
        <v>42675.948701758687</v>
      </c>
      <c r="CK231" s="168">
        <v>34041.693312752228</v>
      </c>
      <c r="CL231" s="168">
        <v>38727.630558913967</v>
      </c>
      <c r="CM231" s="168">
        <v>35163.979423989382</v>
      </c>
      <c r="CN231" s="168">
        <v>31206.17841208633</v>
      </c>
      <c r="CO231" s="168">
        <v>18370.597537421712</v>
      </c>
    </row>
    <row r="232" spans="1:93" x14ac:dyDescent="0.2">
      <c r="A232" s="118">
        <f t="shared" si="23"/>
        <v>16</v>
      </c>
      <c r="B232" s="234" t="s">
        <v>216</v>
      </c>
      <c r="C232" s="223"/>
      <c r="D232" s="168"/>
      <c r="E232" s="225"/>
      <c r="F232" s="183"/>
      <c r="G232" s="233"/>
      <c r="H232" s="174"/>
      <c r="I232" s="229"/>
      <c r="J232" s="168"/>
      <c r="K232" s="225"/>
      <c r="L232" s="183"/>
      <c r="M232" s="233"/>
      <c r="N232" s="174"/>
      <c r="O232" s="227"/>
      <c r="R232" s="292"/>
      <c r="S232" s="263"/>
      <c r="T232" s="1293"/>
      <c r="U232" s="184"/>
      <c r="V232" s="179"/>
      <c r="W232" s="180"/>
      <c r="Y232" s="184"/>
      <c r="Z232" s="181"/>
      <c r="AB232" s="182"/>
      <c r="AC232" s="182">
        <f t="shared" si="25"/>
        <v>0</v>
      </c>
      <c r="AD232" s="182">
        <f t="shared" si="26"/>
        <v>0</v>
      </c>
      <c r="AE232" s="182">
        <f t="shared" si="27"/>
        <v>0</v>
      </c>
      <c r="AF232" s="182">
        <f t="shared" si="28"/>
        <v>0</v>
      </c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  <c r="AT232" s="168"/>
      <c r="AU232" s="168"/>
      <c r="AV232" s="168"/>
      <c r="AW232" s="168"/>
      <c r="AX232" s="168"/>
      <c r="AY232" s="168"/>
      <c r="AZ232" s="168"/>
      <c r="BA232" s="168"/>
      <c r="BB232" s="168"/>
      <c r="BC232" s="168"/>
      <c r="BD232" s="168"/>
      <c r="BE232" s="168"/>
      <c r="BF232" s="168"/>
      <c r="BG232" s="168"/>
      <c r="BH232" s="168"/>
      <c r="BI232" s="168"/>
      <c r="BJ232" s="168"/>
      <c r="BK232" s="168"/>
      <c r="BL232" s="168"/>
      <c r="BM232" s="168"/>
      <c r="BN232" s="168"/>
      <c r="BO232" s="168"/>
      <c r="BP232" s="168"/>
      <c r="BQ232" s="168"/>
      <c r="BR232" s="168"/>
      <c r="BS232" s="168"/>
      <c r="BT232" s="168"/>
      <c r="BU232" s="168"/>
      <c r="BV232" s="168"/>
      <c r="BW232" s="168"/>
      <c r="BX232" s="168"/>
      <c r="BY232" s="168"/>
      <c r="BZ232" s="168"/>
      <c r="CA232" s="168"/>
      <c r="CB232" s="168"/>
      <c r="CC232" s="168"/>
      <c r="CD232" s="168"/>
      <c r="CE232" s="168"/>
      <c r="CF232" s="168"/>
      <c r="CG232" s="168"/>
      <c r="CH232" s="168"/>
      <c r="CI232" s="168"/>
      <c r="CJ232" s="168"/>
      <c r="CK232" s="168"/>
      <c r="CL232" s="168"/>
      <c r="CM232" s="168"/>
      <c r="CN232" s="168"/>
      <c r="CO232" s="168"/>
    </row>
    <row r="233" spans="1:93" x14ac:dyDescent="0.2">
      <c r="A233" s="118">
        <f t="shared" si="23"/>
        <v>17</v>
      </c>
      <c r="B233" s="243" t="s">
        <v>559</v>
      </c>
      <c r="C233" s="223"/>
      <c r="D233" s="172">
        <f>'E-13c - prior to updates'!D249</f>
        <v>55195.566266313937</v>
      </c>
      <c r="E233" s="225" t="s">
        <v>555</v>
      </c>
      <c r="F233" s="183">
        <v>47.24</v>
      </c>
      <c r="G233" s="233" t="s">
        <v>375</v>
      </c>
      <c r="H233" s="174">
        <f>ROUND(D233*F233,2)</f>
        <v>2607438.5499999998</v>
      </c>
      <c r="I233" s="229"/>
      <c r="J233" s="172">
        <f t="shared" ref="J233:J235" si="30">D233</f>
        <v>55195.566266313937</v>
      </c>
      <c r="K233" s="225" t="s">
        <v>555</v>
      </c>
      <c r="L233" s="183">
        <f>L225</f>
        <v>49.98</v>
      </c>
      <c r="M233" s="233" t="s">
        <v>375</v>
      </c>
      <c r="N233" s="174">
        <f>ROUND(J233*L233,2)</f>
        <v>2758674.4</v>
      </c>
      <c r="O233" s="227"/>
      <c r="S233" s="263"/>
      <c r="T233" s="927"/>
      <c r="U233" s="184" t="s">
        <v>592</v>
      </c>
      <c r="V233" s="179">
        <v>245</v>
      </c>
      <c r="W233" s="180">
        <v>219</v>
      </c>
      <c r="Y233" s="184"/>
      <c r="Z233" s="181"/>
      <c r="AB233" s="182">
        <f>SUM(AH233:AS233)</f>
        <v>54299.468659302205</v>
      </c>
      <c r="AC233" s="182">
        <f t="shared" si="25"/>
        <v>54343.855362911927</v>
      </c>
      <c r="AD233" s="182">
        <f t="shared" si="26"/>
        <v>54741.82418155537</v>
      </c>
      <c r="AE233" s="182">
        <f t="shared" si="27"/>
        <v>55195.566266313937</v>
      </c>
      <c r="AF233" s="182">
        <f t="shared" si="28"/>
        <v>55222.784194779044</v>
      </c>
      <c r="AH233" s="168">
        <v>0</v>
      </c>
      <c r="AI233" s="168">
        <v>0</v>
      </c>
      <c r="AJ233" s="168">
        <v>16490.300877556881</v>
      </c>
      <c r="AK233" s="168">
        <v>4275.3190912032487</v>
      </c>
      <c r="AL233" s="168">
        <v>3606.8894872414294</v>
      </c>
      <c r="AM233" s="168">
        <v>4142.581601243287</v>
      </c>
      <c r="AN233" s="168">
        <v>4324.3260010070599</v>
      </c>
      <c r="AO233" s="168">
        <v>3994.6290309038682</v>
      </c>
      <c r="AP233" s="168">
        <v>4534.4793449155568</v>
      </c>
      <c r="AQ233" s="168">
        <v>4513.9835840413753</v>
      </c>
      <c r="AR233" s="168">
        <v>4402.6398236985669</v>
      </c>
      <c r="AS233" s="168">
        <v>4014.3198174909353</v>
      </c>
      <c r="AT233" s="168">
        <v>0</v>
      </c>
      <c r="AU233" s="168">
        <v>0</v>
      </c>
      <c r="AV233" s="168">
        <v>16093.854848387826</v>
      </c>
      <c r="AW233" s="168">
        <v>4291.5218196777132</v>
      </c>
      <c r="AX233" s="168">
        <v>3582.5357696680203</v>
      </c>
      <c r="AY233" s="168">
        <v>4052.1327090688669</v>
      </c>
      <c r="AZ233" s="168">
        <v>4473.0378458488021</v>
      </c>
      <c r="BA233" s="168">
        <v>4038.5946963050619</v>
      </c>
      <c r="BB233" s="168">
        <v>4623.1471963528984</v>
      </c>
      <c r="BC233" s="168">
        <v>4642.4014351335036</v>
      </c>
      <c r="BD233" s="168">
        <v>4518.5084397554592</v>
      </c>
      <c r="BE233" s="168">
        <v>4028.1206027137778</v>
      </c>
      <c r="BF233" s="168">
        <v>0</v>
      </c>
      <c r="BG233" s="168">
        <v>0</v>
      </c>
      <c r="BH233" s="168">
        <v>16322.189651065439</v>
      </c>
      <c r="BI233" s="168">
        <v>4249.416877418842</v>
      </c>
      <c r="BJ233" s="168">
        <v>3600.1037952352526</v>
      </c>
      <c r="BK233" s="168">
        <v>4129.2500557954199</v>
      </c>
      <c r="BL233" s="168">
        <v>4508.7158710898393</v>
      </c>
      <c r="BM233" s="168">
        <v>4082.1383229761518</v>
      </c>
      <c r="BN233" s="168">
        <v>4640.8303287458839</v>
      </c>
      <c r="BO233" s="168">
        <v>4593.7542971014091</v>
      </c>
      <c r="BP233" s="168">
        <v>4500.6363168422731</v>
      </c>
      <c r="BQ233" s="168">
        <v>4114.7886652848592</v>
      </c>
      <c r="BR233" s="168">
        <v>0</v>
      </c>
      <c r="BS233" s="168">
        <v>0</v>
      </c>
      <c r="BT233" s="168">
        <v>16527.497524493225</v>
      </c>
      <c r="BU233" s="168">
        <v>4324.6450105736767</v>
      </c>
      <c r="BV233" s="168">
        <v>3522.3444380418518</v>
      </c>
      <c r="BW233" s="168">
        <v>4207.8376516790559</v>
      </c>
      <c r="BX233" s="168">
        <v>4592.128967406552</v>
      </c>
      <c r="BY233" s="168">
        <v>4121.7578224845738</v>
      </c>
      <c r="BZ233" s="168">
        <v>4663.2170249671335</v>
      </c>
      <c r="CA233" s="168">
        <v>4646.608465035667</v>
      </c>
      <c r="CB233" s="168">
        <v>4525.2603328627374</v>
      </c>
      <c r="CC233" s="168">
        <v>4064.2690287694741</v>
      </c>
      <c r="CD233" s="168">
        <v>0</v>
      </c>
      <c r="CE233" s="168">
        <v>0</v>
      </c>
      <c r="CF233" s="168">
        <v>16162.544475528863</v>
      </c>
      <c r="CG233" s="168">
        <v>4414.4920886633618</v>
      </c>
      <c r="CH233" s="168">
        <v>3617.7965098134109</v>
      </c>
      <c r="CI233" s="168">
        <v>4161.0463704288795</v>
      </c>
      <c r="CJ233" s="168">
        <v>4601.5914117814864</v>
      </c>
      <c r="CK233" s="168">
        <v>4146.6358595097181</v>
      </c>
      <c r="CL233" s="168">
        <v>4784.9091488949207</v>
      </c>
      <c r="CM233" s="168">
        <v>4675.5957886531014</v>
      </c>
      <c r="CN233" s="168">
        <v>4593.561670175669</v>
      </c>
      <c r="CO233" s="168">
        <v>4064.6108713296289</v>
      </c>
    </row>
    <row r="234" spans="1:93" x14ac:dyDescent="0.2">
      <c r="A234" s="118">
        <f t="shared" si="23"/>
        <v>18</v>
      </c>
      <c r="B234" s="243" t="s">
        <v>560</v>
      </c>
      <c r="C234" s="223"/>
      <c r="D234" s="172">
        <f>'E-13c - prior to updates'!D250</f>
        <v>329932.9873849827</v>
      </c>
      <c r="E234" s="225" t="s">
        <v>555</v>
      </c>
      <c r="F234" s="183">
        <v>34.99</v>
      </c>
      <c r="G234" s="233" t="s">
        <v>375</v>
      </c>
      <c r="H234" s="174">
        <f>ROUND(D234*F234,2)</f>
        <v>11544355.23</v>
      </c>
      <c r="I234" s="229"/>
      <c r="J234" s="172">
        <f t="shared" si="30"/>
        <v>329932.9873849827</v>
      </c>
      <c r="K234" s="225" t="s">
        <v>555</v>
      </c>
      <c r="L234" s="183">
        <f>L226</f>
        <v>35.700000000000003</v>
      </c>
      <c r="M234" s="233" t="s">
        <v>375</v>
      </c>
      <c r="N234" s="174">
        <f>ROUND(J234*L234,2)</f>
        <v>11778607.65</v>
      </c>
      <c r="O234" s="227"/>
      <c r="S234" s="227"/>
      <c r="T234" s="227"/>
      <c r="U234" s="184" t="s">
        <v>592</v>
      </c>
      <c r="V234" s="179">
        <v>245</v>
      </c>
      <c r="W234" s="180">
        <v>219</v>
      </c>
      <c r="Y234" s="184"/>
      <c r="Z234" s="181"/>
      <c r="AB234" s="182">
        <f>SUM(AH234:AS234)</f>
        <v>334658.5972449134</v>
      </c>
      <c r="AC234" s="182">
        <f t="shared" si="25"/>
        <v>336659.24135069764</v>
      </c>
      <c r="AD234" s="182">
        <f t="shared" si="26"/>
        <v>338607.83822187834</v>
      </c>
      <c r="AE234" s="182">
        <f t="shared" si="27"/>
        <v>341251.19631391857</v>
      </c>
      <c r="AF234" s="182">
        <f t="shared" si="28"/>
        <v>342885.00655063661</v>
      </c>
      <c r="AH234" s="168">
        <v>0</v>
      </c>
      <c r="AI234" s="168">
        <v>0</v>
      </c>
      <c r="AJ234" s="168">
        <v>55829.443020369166</v>
      </c>
      <c r="AK234" s="168">
        <v>29889.036392984592</v>
      </c>
      <c r="AL234" s="168">
        <v>26175.275314910348</v>
      </c>
      <c r="AM234" s="168">
        <v>31105.662179805811</v>
      </c>
      <c r="AN234" s="168">
        <v>32014.7318842565</v>
      </c>
      <c r="AO234" s="168">
        <v>32522.307926356036</v>
      </c>
      <c r="AP234" s="168">
        <v>32971.184329150841</v>
      </c>
      <c r="AQ234" s="168">
        <v>36440.248310626463</v>
      </c>
      <c r="AR234" s="168">
        <v>32636.990385209156</v>
      </c>
      <c r="AS234" s="168">
        <v>25073.71750124446</v>
      </c>
      <c r="AT234" s="168">
        <v>0</v>
      </c>
      <c r="AU234" s="168">
        <v>0</v>
      </c>
      <c r="AV234" s="168">
        <v>54487.238220075393</v>
      </c>
      <c r="AW234" s="168">
        <v>30002.310731275582</v>
      </c>
      <c r="AX234" s="168">
        <v>25998.53985775802</v>
      </c>
      <c r="AY234" s="168">
        <v>30426.502912630294</v>
      </c>
      <c r="AZ234" s="168">
        <v>33115.705733016475</v>
      </c>
      <c r="BA234" s="168">
        <v>32880.254783824603</v>
      </c>
      <c r="BB234" s="168">
        <v>33615.907538021209</v>
      </c>
      <c r="BC234" s="168">
        <v>37476.933157655651</v>
      </c>
      <c r="BD234" s="168">
        <v>33495.930262107693</v>
      </c>
      <c r="BE234" s="168">
        <v>25159.918154332736</v>
      </c>
      <c r="BF234" s="168">
        <v>0</v>
      </c>
      <c r="BG234" s="168">
        <v>0</v>
      </c>
      <c r="BH234" s="168">
        <v>55260.286871540964</v>
      </c>
      <c r="BI234" s="168">
        <v>29707.952316230188</v>
      </c>
      <c r="BJ234" s="168">
        <v>26126.031400703338</v>
      </c>
      <c r="BK234" s="168">
        <v>31005.558768707855</v>
      </c>
      <c r="BL234" s="168">
        <v>33379.84456343433</v>
      </c>
      <c r="BM234" s="168">
        <v>33234.765609203307</v>
      </c>
      <c r="BN234" s="168">
        <v>33744.485434908012</v>
      </c>
      <c r="BO234" s="168">
        <v>37084.217110623918</v>
      </c>
      <c r="BP234" s="168">
        <v>33363.443316311859</v>
      </c>
      <c r="BQ234" s="168">
        <v>25701.252830214569</v>
      </c>
      <c r="BR234" s="168">
        <v>0</v>
      </c>
      <c r="BS234" s="168">
        <v>0</v>
      </c>
      <c r="BT234" s="168">
        <v>55955.375718389711</v>
      </c>
      <c r="BU234" s="168">
        <v>30233.877132992409</v>
      </c>
      <c r="BV234" s="168">
        <v>25561.73005738595</v>
      </c>
      <c r="BW234" s="168">
        <v>31595.654376805425</v>
      </c>
      <c r="BX234" s="168">
        <v>33997.385404155713</v>
      </c>
      <c r="BY234" s="168">
        <v>33557.328118245467</v>
      </c>
      <c r="BZ234" s="168">
        <v>33907.263966132152</v>
      </c>
      <c r="CA234" s="168">
        <v>37510.895446492286</v>
      </c>
      <c r="CB234" s="168">
        <v>33545.982385208488</v>
      </c>
      <c r="CC234" s="168">
        <v>25385.703708110977</v>
      </c>
      <c r="CD234" s="168">
        <v>0</v>
      </c>
      <c r="CE234" s="168">
        <v>0</v>
      </c>
      <c r="CF234" s="168">
        <v>54719.79332340767</v>
      </c>
      <c r="CG234" s="168">
        <v>30862.003953362713</v>
      </c>
      <c r="CH234" s="168">
        <v>26254.427814507973</v>
      </c>
      <c r="CI234" s="168">
        <v>31244.309749800032</v>
      </c>
      <c r="CJ234" s="168">
        <v>34067.439701533534</v>
      </c>
      <c r="CK234" s="168">
        <v>33759.87287884167</v>
      </c>
      <c r="CL234" s="168">
        <v>34792.113834050921</v>
      </c>
      <c r="CM234" s="168">
        <v>37744.902781878765</v>
      </c>
      <c r="CN234" s="168">
        <v>34052.303633015297</v>
      </c>
      <c r="CO234" s="168">
        <v>25387.838880237992</v>
      </c>
    </row>
    <row r="235" spans="1:93" x14ac:dyDescent="0.2">
      <c r="A235" s="118">
        <f t="shared" si="23"/>
        <v>19</v>
      </c>
      <c r="B235" s="243" t="s">
        <v>561</v>
      </c>
      <c r="C235" s="223"/>
      <c r="D235" s="172">
        <f>'E-13c - prior to updates'!D251</f>
        <v>102012.66177030263</v>
      </c>
      <c r="E235" s="225" t="s">
        <v>555</v>
      </c>
      <c r="F235" s="183">
        <v>23.71</v>
      </c>
      <c r="G235" s="233" t="s">
        <v>375</v>
      </c>
      <c r="H235" s="174">
        <f>ROUND(D235*F235,2)</f>
        <v>2418720.21</v>
      </c>
      <c r="I235" s="229"/>
      <c r="J235" s="172">
        <f t="shared" si="30"/>
        <v>102012.66177030263</v>
      </c>
      <c r="K235" s="225" t="s">
        <v>555</v>
      </c>
      <c r="L235" s="183">
        <f>L227</f>
        <v>24.16</v>
      </c>
      <c r="M235" s="233" t="s">
        <v>375</v>
      </c>
      <c r="N235" s="174">
        <f>ROUND(J235*L235,2)</f>
        <v>2464625.91</v>
      </c>
      <c r="O235" s="227"/>
      <c r="P235" s="182"/>
      <c r="S235" s="263"/>
      <c r="T235" s="247"/>
      <c r="U235" s="184" t="s">
        <v>592</v>
      </c>
      <c r="V235" s="179">
        <v>245</v>
      </c>
      <c r="W235" s="180">
        <v>219</v>
      </c>
      <c r="Y235" s="184"/>
      <c r="Z235" s="181"/>
      <c r="AB235" s="182">
        <f>SUM(AH235:AS235)</f>
        <v>88709.439760522364</v>
      </c>
      <c r="AC235" s="182">
        <f t="shared" si="25"/>
        <v>89754.266585272213</v>
      </c>
      <c r="AD235" s="182">
        <f t="shared" si="26"/>
        <v>90168.177700249915</v>
      </c>
      <c r="AE235" s="182">
        <f t="shared" si="27"/>
        <v>90694.452841366772</v>
      </c>
      <c r="AF235" s="182">
        <f t="shared" si="28"/>
        <v>91615.833091779059</v>
      </c>
      <c r="AH235" s="168">
        <v>0</v>
      </c>
      <c r="AI235" s="168">
        <v>0</v>
      </c>
      <c r="AJ235" s="168">
        <v>171.45137619786962</v>
      </c>
      <c r="AK235" s="168">
        <v>6059.3206623408778</v>
      </c>
      <c r="AL235" s="168">
        <v>11222.817586080659</v>
      </c>
      <c r="AM235" s="168">
        <v>10106.349901664371</v>
      </c>
      <c r="AN235" s="168">
        <v>10536.46842672646</v>
      </c>
      <c r="AO235" s="168">
        <v>10592.658356899252</v>
      </c>
      <c r="AP235" s="168">
        <v>10694.622297198426</v>
      </c>
      <c r="AQ235" s="168">
        <v>11713.310981471352</v>
      </c>
      <c r="AR235" s="168">
        <v>10515.187393216207</v>
      </c>
      <c r="AS235" s="168">
        <v>7097.2527787268873</v>
      </c>
      <c r="AT235" s="168">
        <v>0</v>
      </c>
      <c r="AU235" s="168">
        <v>0</v>
      </c>
      <c r="AV235" s="168">
        <v>167.32948553050628</v>
      </c>
      <c r="AW235" s="168">
        <v>6082.2844517884578</v>
      </c>
      <c r="AX235" s="168">
        <v>11147.041122500032</v>
      </c>
      <c r="AY235" s="168">
        <v>9885.6884300211204</v>
      </c>
      <c r="AZ235" s="168">
        <v>10898.813369612442</v>
      </c>
      <c r="BA235" s="168">
        <v>10709.243218578689</v>
      </c>
      <c r="BB235" s="168">
        <v>10903.746456533223</v>
      </c>
      <c r="BC235" s="168">
        <v>12046.541751457376</v>
      </c>
      <c r="BD235" s="168">
        <v>10791.925954538559</v>
      </c>
      <c r="BE235" s="168">
        <v>7121.6523447118052</v>
      </c>
      <c r="BF235" s="168">
        <v>0</v>
      </c>
      <c r="BG235" s="168">
        <v>0</v>
      </c>
      <c r="BH235" s="168">
        <v>169.70350626206402</v>
      </c>
      <c r="BI235" s="168">
        <v>6022.609994473497</v>
      </c>
      <c r="BJ235" s="168">
        <v>11201.703941249001</v>
      </c>
      <c r="BK235" s="168">
        <v>10073.825916382908</v>
      </c>
      <c r="BL235" s="168">
        <v>10985.744925279749</v>
      </c>
      <c r="BM235" s="168">
        <v>10824.708949533648</v>
      </c>
      <c r="BN235" s="168">
        <v>10945.452330039161</v>
      </c>
      <c r="BO235" s="168">
        <v>11920.307562626247</v>
      </c>
      <c r="BP235" s="168">
        <v>10749.24049102752</v>
      </c>
      <c r="BQ235" s="168">
        <v>7274.8800833761206</v>
      </c>
      <c r="BR235" s="168">
        <v>0</v>
      </c>
      <c r="BS235" s="168">
        <v>0</v>
      </c>
      <c r="BT235" s="168">
        <v>171.83811361124589</v>
      </c>
      <c r="BU235" s="168">
        <v>6129.2292600511964</v>
      </c>
      <c r="BV235" s="168">
        <v>10959.75611210721</v>
      </c>
      <c r="BW235" s="168">
        <v>10265.550260857441</v>
      </c>
      <c r="BX235" s="168">
        <v>11188.985720611063</v>
      </c>
      <c r="BY235" s="168">
        <v>10929.768973710434</v>
      </c>
      <c r="BZ235" s="168">
        <v>10998.251613563705</v>
      </c>
      <c r="CA235" s="168">
        <v>12057.458550031164</v>
      </c>
      <c r="CB235" s="168">
        <v>10808.052057087272</v>
      </c>
      <c r="CC235" s="168">
        <v>7185.5621797360482</v>
      </c>
      <c r="CD235" s="168">
        <v>0</v>
      </c>
      <c r="CE235" s="168">
        <v>0</v>
      </c>
      <c r="CF235" s="168">
        <v>168.04365874003679</v>
      </c>
      <c r="CG235" s="168">
        <v>6256.567651667383</v>
      </c>
      <c r="CH235" s="168">
        <v>11256.754729196797</v>
      </c>
      <c r="CI235" s="168">
        <v>10151.397033189087</v>
      </c>
      <c r="CJ235" s="168">
        <v>11212.041509275683</v>
      </c>
      <c r="CK235" s="168">
        <v>10995.738690737704</v>
      </c>
      <c r="CL235" s="168">
        <v>11285.26390383047</v>
      </c>
      <c r="CM235" s="168">
        <v>12132.67759541094</v>
      </c>
      <c r="CN235" s="168">
        <v>10971.181767854614</v>
      </c>
      <c r="CO235" s="168">
        <v>7186.1665518763502</v>
      </c>
    </row>
    <row r="236" spans="1:93" x14ac:dyDescent="0.2">
      <c r="A236" s="118">
        <f t="shared" si="23"/>
        <v>20</v>
      </c>
      <c r="B236" s="243"/>
      <c r="C236" s="223" t="s">
        <v>374</v>
      </c>
      <c r="D236" s="204">
        <f>SUM(D220:D235)</f>
        <v>13222562.71959688</v>
      </c>
      <c r="E236" s="233" t="s">
        <v>606</v>
      </c>
      <c r="F236" s="183"/>
      <c r="G236" s="223"/>
      <c r="H236" s="206">
        <f>SUM(H220:H235)</f>
        <v>473440730.45999992</v>
      </c>
      <c r="I236" s="229"/>
      <c r="J236" s="204">
        <f>SUM(J220:J235)</f>
        <v>13222562.71959688</v>
      </c>
      <c r="K236" s="233" t="s">
        <v>606</v>
      </c>
      <c r="L236" s="183"/>
      <c r="M236" s="223"/>
      <c r="N236" s="206">
        <f>SUM(N220:N235)</f>
        <v>486049620.88</v>
      </c>
      <c r="O236" s="227"/>
      <c r="Q236" s="1022"/>
      <c r="S236" s="263"/>
      <c r="T236" s="1293"/>
      <c r="U236" s="184"/>
      <c r="V236" s="179"/>
      <c r="W236" s="180"/>
      <c r="Y236" s="184" t="s">
        <v>122</v>
      </c>
      <c r="Z236" s="181" t="s">
        <v>141</v>
      </c>
      <c r="AB236" s="204">
        <f>SUM(AB220:AB235)</f>
        <v>13030474.122459764</v>
      </c>
      <c r="AC236" s="204">
        <f>SUM(AC220:AC235)</f>
        <v>13098761.041709008</v>
      </c>
      <c r="AD236" s="204">
        <f>SUM(AD220:AD235)</f>
        <v>13157028.673798187</v>
      </c>
      <c r="AE236" s="204">
        <f>SUM(AE220:AE235)</f>
        <v>13222562.719596881</v>
      </c>
      <c r="AF236" s="204">
        <f>SUM(AF220:AF235)</f>
        <v>13302091.599242937</v>
      </c>
      <c r="AH236" s="204">
        <f t="shared" ref="AH236:CO236" si="31">SUM(AH220:AH235)</f>
        <v>973432.00963717175</v>
      </c>
      <c r="AI236" s="204">
        <f t="shared" si="31"/>
        <v>919681.0896045547</v>
      </c>
      <c r="AJ236" s="204">
        <f t="shared" si="31"/>
        <v>980454.78619387711</v>
      </c>
      <c r="AK236" s="204">
        <f t="shared" si="31"/>
        <v>1000364.2815299539</v>
      </c>
      <c r="AL236" s="204">
        <f t="shared" si="31"/>
        <v>1085133.8837078668</v>
      </c>
      <c r="AM236" s="204">
        <f t="shared" si="31"/>
        <v>1199591.9284331691</v>
      </c>
      <c r="AN236" s="204">
        <f t="shared" si="31"/>
        <v>1213469.4841356666</v>
      </c>
      <c r="AO236" s="204">
        <f t="shared" si="31"/>
        <v>1244714.600242567</v>
      </c>
      <c r="AP236" s="204">
        <f t="shared" si="31"/>
        <v>1232034.2868711259</v>
      </c>
      <c r="AQ236" s="204">
        <f t="shared" si="31"/>
        <v>1166261.7071141084</v>
      </c>
      <c r="AR236" s="204">
        <f t="shared" si="31"/>
        <v>1056385.8657173291</v>
      </c>
      <c r="AS236" s="204">
        <f t="shared" si="31"/>
        <v>958950.19927237148</v>
      </c>
      <c r="AT236" s="204">
        <f t="shared" si="31"/>
        <v>958264.16530375218</v>
      </c>
      <c r="AU236" s="204">
        <f t="shared" si="31"/>
        <v>912635.31695054832</v>
      </c>
      <c r="AV236" s="204">
        <f t="shared" si="31"/>
        <v>956883.5118034035</v>
      </c>
      <c r="AW236" s="204">
        <f t="shared" si="31"/>
        <v>1004155.4911410753</v>
      </c>
      <c r="AX236" s="204">
        <f t="shared" si="31"/>
        <v>1077807.059798613</v>
      </c>
      <c r="AY236" s="204">
        <f t="shared" si="31"/>
        <v>1173400.1061753789</v>
      </c>
      <c r="AZ236" s="204">
        <f t="shared" si="31"/>
        <v>1255200.2152606903</v>
      </c>
      <c r="BA236" s="204">
        <f t="shared" si="31"/>
        <v>1258414.1716447861</v>
      </c>
      <c r="BB236" s="204">
        <f t="shared" si="31"/>
        <v>1256125.6598391139</v>
      </c>
      <c r="BC236" s="204">
        <f t="shared" si="31"/>
        <v>1199440.5655326722</v>
      </c>
      <c r="BD236" s="204">
        <f t="shared" si="31"/>
        <v>1084187.8148170174</v>
      </c>
      <c r="BE236" s="204">
        <f t="shared" si="31"/>
        <v>962246.96344195667</v>
      </c>
      <c r="BF236" s="204">
        <f t="shared" si="31"/>
        <v>943104.33510147512</v>
      </c>
      <c r="BG236" s="204">
        <f t="shared" si="31"/>
        <v>922491.29409256973</v>
      </c>
      <c r="BH236" s="204">
        <f t="shared" si="31"/>
        <v>970459.48908860807</v>
      </c>
      <c r="BI236" s="204">
        <f t="shared" si="31"/>
        <v>994303.52935456904</v>
      </c>
      <c r="BJ236" s="204">
        <f t="shared" si="31"/>
        <v>1083092.4060450899</v>
      </c>
      <c r="BK236" s="204">
        <f t="shared" si="31"/>
        <v>1195731.4337339213</v>
      </c>
      <c r="BL236" s="204">
        <f t="shared" si="31"/>
        <v>1265211.9939457702</v>
      </c>
      <c r="BM236" s="204">
        <f t="shared" si="31"/>
        <v>1271982.2370260048</v>
      </c>
      <c r="BN236" s="204">
        <f t="shared" si="31"/>
        <v>1260930.2302760414</v>
      </c>
      <c r="BO236" s="204">
        <f t="shared" si="31"/>
        <v>1186871.7794059108</v>
      </c>
      <c r="BP236" s="204">
        <f t="shared" si="31"/>
        <v>1079899.5108012708</v>
      </c>
      <c r="BQ236" s="204">
        <f t="shared" si="31"/>
        <v>982950.43492695538</v>
      </c>
      <c r="BR236" s="204">
        <f t="shared" si="31"/>
        <v>941009.39998041082</v>
      </c>
      <c r="BS236" s="204">
        <f t="shared" si="31"/>
        <v>911617.25233843795</v>
      </c>
      <c r="BT236" s="204">
        <f t="shared" si="31"/>
        <v>982666.36685513321</v>
      </c>
      <c r="BU236" s="204">
        <f t="shared" si="31"/>
        <v>1011905.8499694483</v>
      </c>
      <c r="BV236" s="204">
        <f t="shared" si="31"/>
        <v>1059698.4779626317</v>
      </c>
      <c r="BW236" s="204">
        <f t="shared" si="31"/>
        <v>1218488.5100625283</v>
      </c>
      <c r="BX236" s="204">
        <f t="shared" si="31"/>
        <v>1288618.9357290748</v>
      </c>
      <c r="BY236" s="204">
        <f t="shared" si="31"/>
        <v>1284327.5559807601</v>
      </c>
      <c r="BZ236" s="204">
        <f t="shared" si="31"/>
        <v>1267012.7758598635</v>
      </c>
      <c r="CA236" s="204">
        <f t="shared" si="31"/>
        <v>1200527.520720751</v>
      </c>
      <c r="CB236" s="204">
        <f t="shared" si="31"/>
        <v>1085807.8893020956</v>
      </c>
      <c r="CC236" s="204">
        <f t="shared" si="31"/>
        <v>970882.18483574153</v>
      </c>
      <c r="CD236" s="204">
        <f t="shared" si="31"/>
        <v>947428.64765716763</v>
      </c>
      <c r="CE236" s="204">
        <f t="shared" si="31"/>
        <v>902804.69330918684</v>
      </c>
      <c r="CF236" s="204">
        <f t="shared" si="31"/>
        <v>960967.55333741556</v>
      </c>
      <c r="CG236" s="204">
        <f t="shared" si="31"/>
        <v>1032928.7972169857</v>
      </c>
      <c r="CH236" s="204">
        <f t="shared" si="31"/>
        <v>1088415.2650213474</v>
      </c>
      <c r="CI236" s="204">
        <f t="shared" si="31"/>
        <v>1204938.8811808885</v>
      </c>
      <c r="CJ236" s="204">
        <f t="shared" si="31"/>
        <v>1291274.2368075871</v>
      </c>
      <c r="CK236" s="204">
        <f t="shared" si="31"/>
        <v>1292079.4787928686</v>
      </c>
      <c r="CL236" s="204">
        <f t="shared" si="31"/>
        <v>1300076.9620027153</v>
      </c>
      <c r="CM236" s="204">
        <f t="shared" si="31"/>
        <v>1208016.871290447</v>
      </c>
      <c r="CN236" s="204">
        <f t="shared" si="31"/>
        <v>1102196.3676324347</v>
      </c>
      <c r="CO236" s="204">
        <f t="shared" si="31"/>
        <v>970963.84499389667</v>
      </c>
    </row>
    <row r="237" spans="1:93" x14ac:dyDescent="0.2">
      <c r="A237" s="118">
        <f t="shared" si="23"/>
        <v>21</v>
      </c>
      <c r="B237" s="223"/>
      <c r="C237" s="223"/>
      <c r="D237" s="173"/>
      <c r="E237" s="225"/>
      <c r="F237" s="183"/>
      <c r="G237" s="223"/>
      <c r="H237" s="174"/>
      <c r="I237" s="229"/>
      <c r="J237" s="296"/>
      <c r="K237" s="225"/>
      <c r="L237" s="183"/>
      <c r="M237" s="223"/>
      <c r="N237" s="174"/>
      <c r="O237" s="227"/>
      <c r="S237" s="263"/>
      <c r="T237" s="1293"/>
      <c r="U237" s="184"/>
      <c r="V237" s="179"/>
      <c r="W237" s="180"/>
      <c r="Y237" s="184"/>
      <c r="Z237" s="181"/>
      <c r="AB237" s="193">
        <f>SUM(AH237:AS237)</f>
        <v>0</v>
      </c>
      <c r="AC237" s="193">
        <f>SUM(AT237:BE237)</f>
        <v>0</v>
      </c>
      <c r="AD237" s="193">
        <f>SUM(BF237:BQ237)</f>
        <v>0</v>
      </c>
      <c r="AE237" s="193">
        <f>SUM(BR237:CC237)</f>
        <v>0</v>
      </c>
      <c r="AF237" s="193">
        <f>SUM(CD237:CO237)</f>
        <v>0</v>
      </c>
      <c r="AH237" s="193">
        <v>0</v>
      </c>
      <c r="AI237" s="193">
        <v>0</v>
      </c>
      <c r="AJ237" s="193">
        <v>0</v>
      </c>
      <c r="AK237" s="193">
        <v>0</v>
      </c>
      <c r="AL237" s="193">
        <v>0</v>
      </c>
      <c r="AM237" s="193">
        <v>0</v>
      </c>
      <c r="AN237" s="193">
        <v>0</v>
      </c>
      <c r="AO237" s="193">
        <v>0</v>
      </c>
      <c r="AP237" s="193">
        <v>0</v>
      </c>
      <c r="AQ237" s="193">
        <v>0</v>
      </c>
      <c r="AR237" s="193">
        <v>0</v>
      </c>
      <c r="AS237" s="193">
        <v>0</v>
      </c>
      <c r="AT237" s="193">
        <v>0</v>
      </c>
      <c r="AU237" s="193">
        <v>0</v>
      </c>
      <c r="AV237" s="193">
        <v>0</v>
      </c>
      <c r="AW237" s="193">
        <v>0</v>
      </c>
      <c r="AX237" s="193">
        <v>0</v>
      </c>
      <c r="AY237" s="193">
        <v>0</v>
      </c>
      <c r="AZ237" s="193">
        <v>0</v>
      </c>
      <c r="BA237" s="193">
        <v>0</v>
      </c>
      <c r="BB237" s="193">
        <v>0</v>
      </c>
      <c r="BC237" s="193">
        <v>0</v>
      </c>
      <c r="BD237" s="193">
        <v>0</v>
      </c>
      <c r="BE237" s="193">
        <v>0</v>
      </c>
      <c r="BF237" s="193">
        <v>0</v>
      </c>
      <c r="BG237" s="193">
        <v>0</v>
      </c>
      <c r="BH237" s="193">
        <v>0</v>
      </c>
      <c r="BI237" s="193">
        <v>0</v>
      </c>
      <c r="BJ237" s="193">
        <v>0</v>
      </c>
      <c r="BK237" s="193">
        <v>0</v>
      </c>
      <c r="BL237" s="193">
        <v>0</v>
      </c>
      <c r="BM237" s="193">
        <v>0</v>
      </c>
      <c r="BN237" s="193">
        <v>0</v>
      </c>
      <c r="BO237" s="193">
        <v>0</v>
      </c>
      <c r="BP237" s="193">
        <v>0</v>
      </c>
      <c r="BQ237" s="193">
        <v>0</v>
      </c>
      <c r="BR237" s="193">
        <v>0</v>
      </c>
      <c r="BS237" s="193">
        <v>0</v>
      </c>
      <c r="BT237" s="193">
        <v>0</v>
      </c>
      <c r="BU237" s="193">
        <v>0</v>
      </c>
      <c r="BV237" s="193">
        <v>0</v>
      </c>
      <c r="BW237" s="193">
        <v>0</v>
      </c>
      <c r="BX237" s="193">
        <v>0</v>
      </c>
      <c r="BY237" s="193">
        <v>0</v>
      </c>
      <c r="BZ237" s="193">
        <v>0</v>
      </c>
      <c r="CA237" s="193">
        <v>0</v>
      </c>
      <c r="CB237" s="193">
        <v>0</v>
      </c>
      <c r="CC237" s="193">
        <v>0</v>
      </c>
      <c r="CD237" s="193">
        <v>0</v>
      </c>
      <c r="CE237" s="193">
        <v>0</v>
      </c>
      <c r="CF237" s="193">
        <v>0</v>
      </c>
      <c r="CG237" s="193">
        <v>0</v>
      </c>
      <c r="CH237" s="193">
        <v>0</v>
      </c>
      <c r="CI237" s="193">
        <v>0</v>
      </c>
      <c r="CJ237" s="193">
        <v>0</v>
      </c>
      <c r="CK237" s="193">
        <v>0</v>
      </c>
      <c r="CL237" s="193">
        <v>0</v>
      </c>
      <c r="CM237" s="193">
        <v>0</v>
      </c>
      <c r="CN237" s="193">
        <v>0</v>
      </c>
      <c r="CO237" s="193">
        <v>0</v>
      </c>
    </row>
    <row r="238" spans="1:93" x14ac:dyDescent="0.2">
      <c r="A238" s="118">
        <f t="shared" si="23"/>
        <v>22</v>
      </c>
      <c r="B238" s="246" t="s">
        <v>563</v>
      </c>
      <c r="C238" s="223"/>
      <c r="D238" s="177"/>
      <c r="E238" s="225"/>
      <c r="F238" s="183"/>
      <c r="G238" s="223"/>
      <c r="H238" s="174"/>
      <c r="I238" s="229"/>
      <c r="J238" s="223"/>
      <c r="K238" s="225"/>
      <c r="L238" s="183"/>
      <c r="M238" s="223"/>
      <c r="N238" s="174"/>
      <c r="O238" s="227"/>
      <c r="S238" s="263"/>
      <c r="T238" s="927"/>
      <c r="U238" s="184"/>
      <c r="V238" s="179"/>
      <c r="W238" s="180"/>
      <c r="Y238" s="184"/>
      <c r="Z238" s="181"/>
    </row>
    <row r="239" spans="1:93" x14ac:dyDescent="0.2">
      <c r="A239" s="118">
        <f t="shared" si="23"/>
        <v>23</v>
      </c>
      <c r="B239" s="234" t="s">
        <v>582</v>
      </c>
      <c r="C239" s="223"/>
      <c r="D239" s="172">
        <f>SUM(H177,H187:H190,H221,H229:H231)</f>
        <v>96196811.950000003</v>
      </c>
      <c r="E239" s="233" t="s">
        <v>10</v>
      </c>
      <c r="F239" s="248">
        <v>0.01</v>
      </c>
      <c r="G239" s="223" t="s">
        <v>375</v>
      </c>
      <c r="H239" s="174">
        <f>ROUND(D239*-F239,2)</f>
        <v>-961968.12</v>
      </c>
      <c r="I239" s="229"/>
      <c r="J239" s="172">
        <f>SUM(N177,N187:N190,N221,N229:N231)</f>
        <v>98972685.480000004</v>
      </c>
      <c r="K239" s="233" t="s">
        <v>10</v>
      </c>
      <c r="L239" s="248">
        <v>0.01</v>
      </c>
      <c r="M239" s="223"/>
      <c r="N239" s="174">
        <f>ROUND(J239*-L239,2)</f>
        <v>-989726.85</v>
      </c>
      <c r="O239" s="227"/>
      <c r="S239" s="227"/>
      <c r="T239" s="227"/>
      <c r="U239" s="184" t="s">
        <v>122</v>
      </c>
      <c r="V239" s="179">
        <v>244</v>
      </c>
      <c r="W239" s="180">
        <v>218</v>
      </c>
      <c r="Y239" s="184" t="s">
        <v>122</v>
      </c>
      <c r="Z239" s="181" t="s">
        <v>417</v>
      </c>
      <c r="AB239" s="182">
        <f>SUM(AH239:AS239)</f>
        <v>-691938.26121619553</v>
      </c>
      <c r="AC239" s="182">
        <f>SUM(AT239:BE239)</f>
        <v>-716258.4406363304</v>
      </c>
      <c r="AD239" s="182">
        <f>SUM(BF239:BQ239)</f>
        <v>-719750.75032218324</v>
      </c>
      <c r="AE239" s="182">
        <f>SUM(BR239:CC239)</f>
        <v>-723638.8088601362</v>
      </c>
      <c r="AF239" s="182">
        <f>SUM(CD239:CO239)</f>
        <v>-727424.7223109022</v>
      </c>
      <c r="AH239" s="174">
        <v>-34734.346407952049</v>
      </c>
      <c r="AI239" s="174">
        <v>-52315.075976318476</v>
      </c>
      <c r="AJ239" s="174">
        <v>-81369.580718468176</v>
      </c>
      <c r="AK239" s="174">
        <v>-55256.712094957613</v>
      </c>
      <c r="AL239" s="174">
        <v>-49645.500740558724</v>
      </c>
      <c r="AM239" s="174">
        <v>-56937.368297359149</v>
      </c>
      <c r="AN239" s="174">
        <v>-74020.729843400652</v>
      </c>
      <c r="AO239" s="174">
        <v>-57922.012874305161</v>
      </c>
      <c r="AP239" s="174">
        <v>-65061.489165917381</v>
      </c>
      <c r="AQ239" s="174">
        <v>-59629.684011311809</v>
      </c>
      <c r="AR239" s="174">
        <v>-53385.449024684698</v>
      </c>
      <c r="AS239" s="174">
        <v>-51660.312060961558</v>
      </c>
      <c r="AT239" s="174">
        <v>-35262.436691924398</v>
      </c>
      <c r="AU239" s="174">
        <v>-53487.054764129811</v>
      </c>
      <c r="AV239" s="174">
        <v>-81802.036990696259</v>
      </c>
      <c r="AW239" s="174">
        <v>-57125.104329039721</v>
      </c>
      <c r="AX239" s="174">
        <v>-50783.628952515872</v>
      </c>
      <c r="AY239" s="174">
        <v>-57354.751937055895</v>
      </c>
      <c r="AZ239" s="174">
        <v>-78852.122941639114</v>
      </c>
      <c r="BA239" s="174">
        <v>-60306.321517144854</v>
      </c>
      <c r="BB239" s="174">
        <v>-68312.594110693462</v>
      </c>
      <c r="BC239" s="174">
        <v>-63155.604924151972</v>
      </c>
      <c r="BD239" s="174">
        <v>-56425.675198855788</v>
      </c>
      <c r="BE239" s="174">
        <v>-53391.10827848316</v>
      </c>
      <c r="BF239" s="174">
        <v>-34731.906808137333</v>
      </c>
      <c r="BG239" s="174">
        <v>-54047.51824322161</v>
      </c>
      <c r="BH239" s="174">
        <v>-82919.494494129816</v>
      </c>
      <c r="BI239" s="174">
        <v>-56542.132686041645</v>
      </c>
      <c r="BJ239" s="174">
        <v>-51012.42949833117</v>
      </c>
      <c r="BK239" s="174">
        <v>-58418.901026084241</v>
      </c>
      <c r="BL239" s="174">
        <v>-79445.631602674257</v>
      </c>
      <c r="BM239" s="174">
        <v>-60930.005478882602</v>
      </c>
      <c r="BN239" s="174">
        <v>-68543.95889969889</v>
      </c>
      <c r="BO239" s="174">
        <v>-62466.664418277469</v>
      </c>
      <c r="BP239" s="174">
        <v>-56177.941256764272</v>
      </c>
      <c r="BQ239" s="174">
        <v>-54514.165909939984</v>
      </c>
      <c r="BR239" s="174">
        <v>-34669.006079794788</v>
      </c>
      <c r="BS239" s="174">
        <v>-53402.737335158185</v>
      </c>
      <c r="BT239" s="174">
        <v>-83934.903543507025</v>
      </c>
      <c r="BU239" s="174">
        <v>-57526.399691995153</v>
      </c>
      <c r="BV239" s="174">
        <v>-49897.055461811207</v>
      </c>
      <c r="BW239" s="174">
        <v>-59508.461068589291</v>
      </c>
      <c r="BX239" s="174">
        <v>-80888.088234755181</v>
      </c>
      <c r="BY239" s="174">
        <v>-61501.262530818371</v>
      </c>
      <c r="BZ239" s="174">
        <v>-68851.805004811395</v>
      </c>
      <c r="CA239" s="174">
        <v>-63164.7573065791</v>
      </c>
      <c r="CB239" s="174">
        <v>-56466.800604254182</v>
      </c>
      <c r="CC239" s="174">
        <v>-53827.531998062281</v>
      </c>
      <c r="CD239" s="174">
        <v>-34921.743960635969</v>
      </c>
      <c r="CE239" s="174">
        <v>-52924.802688721909</v>
      </c>
      <c r="CF239" s="174">
        <v>-82144.664020639815</v>
      </c>
      <c r="CG239" s="174">
        <v>-58757.426501132046</v>
      </c>
      <c r="CH239" s="174">
        <v>-51276.868431206043</v>
      </c>
      <c r="CI239" s="174">
        <v>-58881.664163812791</v>
      </c>
      <c r="CJ239" s="174">
        <v>-81103.695744579934</v>
      </c>
      <c r="CK239" s="174">
        <v>-61908.001431229786</v>
      </c>
      <c r="CL239" s="174">
        <v>-70689.605423181041</v>
      </c>
      <c r="CM239" s="174">
        <v>-63595.418925480495</v>
      </c>
      <c r="CN239" s="174">
        <v>-57352.681397861408</v>
      </c>
      <c r="CO239" s="174">
        <v>-53868.149622420948</v>
      </c>
    </row>
    <row r="240" spans="1:93" x14ac:dyDescent="0.2">
      <c r="A240" s="118">
        <f t="shared" si="23"/>
        <v>24</v>
      </c>
      <c r="B240" s="234" t="s">
        <v>583</v>
      </c>
      <c r="C240" s="223"/>
      <c r="D240" s="172">
        <f>SUM(H178:H179,H192:H195,H222,H233:H235)</f>
        <v>20611445.23</v>
      </c>
      <c r="E240" s="233" t="s">
        <v>10</v>
      </c>
      <c r="F240" s="248">
        <v>0.02</v>
      </c>
      <c r="G240" s="223" t="s">
        <v>375</v>
      </c>
      <c r="H240" s="174">
        <f>ROUND(D240*-F240,2)</f>
        <v>-412228.9</v>
      </c>
      <c r="I240" s="229"/>
      <c r="J240" s="172">
        <f>SUM(N178:N179,N192:N195,N222,N233:N235)</f>
        <v>21093214.640000001</v>
      </c>
      <c r="K240" s="233" t="s">
        <v>10</v>
      </c>
      <c r="L240" s="248">
        <v>0.02</v>
      </c>
      <c r="M240" s="223"/>
      <c r="N240" s="174">
        <f>ROUND(J240*-L240,2)</f>
        <v>-421864.29</v>
      </c>
      <c r="O240" s="227"/>
      <c r="S240" s="227"/>
      <c r="T240" s="227"/>
      <c r="U240" s="184" t="s">
        <v>122</v>
      </c>
      <c r="V240" s="179">
        <v>244</v>
      </c>
      <c r="W240" s="180">
        <v>218</v>
      </c>
      <c r="Y240" s="184" t="s">
        <v>122</v>
      </c>
      <c r="Z240" s="181" t="s">
        <v>417</v>
      </c>
      <c r="AB240" s="182">
        <f>SUM(AH240:AS240)</f>
        <v>0</v>
      </c>
      <c r="AC240" s="182">
        <f>SUM(AT240:BE240)</f>
        <v>0</v>
      </c>
      <c r="AD240" s="182">
        <f>SUM(BF240:BQ240)</f>
        <v>0</v>
      </c>
      <c r="AE240" s="182">
        <f>SUM(BR240:CC240)</f>
        <v>0</v>
      </c>
      <c r="AF240" s="182">
        <f>SUM(CD240:CO240)</f>
        <v>0</v>
      </c>
      <c r="AH240" s="174">
        <v>0</v>
      </c>
      <c r="AI240" s="174">
        <v>0</v>
      </c>
      <c r="AJ240" s="174">
        <v>0</v>
      </c>
      <c r="AK240" s="174">
        <v>0</v>
      </c>
      <c r="AL240" s="174">
        <v>0</v>
      </c>
      <c r="AM240" s="174">
        <v>0</v>
      </c>
      <c r="AN240" s="174">
        <v>0</v>
      </c>
      <c r="AO240" s="174">
        <v>0</v>
      </c>
      <c r="AP240" s="174">
        <v>0</v>
      </c>
      <c r="AQ240" s="174">
        <v>0</v>
      </c>
      <c r="AR240" s="174">
        <v>0</v>
      </c>
      <c r="AS240" s="174">
        <v>0</v>
      </c>
      <c r="AT240" s="174">
        <v>0</v>
      </c>
      <c r="AU240" s="174">
        <v>0</v>
      </c>
      <c r="AV240" s="174">
        <v>0</v>
      </c>
      <c r="AW240" s="174">
        <v>0</v>
      </c>
      <c r="AX240" s="174">
        <v>0</v>
      </c>
      <c r="AY240" s="174">
        <v>0</v>
      </c>
      <c r="AZ240" s="174">
        <v>0</v>
      </c>
      <c r="BA240" s="174">
        <v>0</v>
      </c>
      <c r="BB240" s="174">
        <v>0</v>
      </c>
      <c r="BC240" s="174">
        <v>0</v>
      </c>
      <c r="BD240" s="174">
        <v>0</v>
      </c>
      <c r="BE240" s="174">
        <v>0</v>
      </c>
      <c r="BF240" s="174">
        <v>0</v>
      </c>
      <c r="BG240" s="174">
        <v>0</v>
      </c>
      <c r="BH240" s="174">
        <v>0</v>
      </c>
      <c r="BI240" s="174">
        <v>0</v>
      </c>
      <c r="BJ240" s="174">
        <v>0</v>
      </c>
      <c r="BK240" s="174">
        <v>0</v>
      </c>
      <c r="BL240" s="174">
        <v>0</v>
      </c>
      <c r="BM240" s="174">
        <v>0</v>
      </c>
      <c r="BN240" s="174">
        <v>0</v>
      </c>
      <c r="BO240" s="174">
        <v>0</v>
      </c>
      <c r="BP240" s="174">
        <v>0</v>
      </c>
      <c r="BQ240" s="174">
        <v>0</v>
      </c>
      <c r="BR240" s="174">
        <v>0</v>
      </c>
      <c r="BS240" s="174">
        <v>0</v>
      </c>
      <c r="BT240" s="174">
        <v>0</v>
      </c>
      <c r="BU240" s="174">
        <v>0</v>
      </c>
      <c r="BV240" s="174">
        <v>0</v>
      </c>
      <c r="BW240" s="174">
        <v>0</v>
      </c>
      <c r="BX240" s="174">
        <v>0</v>
      </c>
      <c r="BY240" s="174">
        <v>0</v>
      </c>
      <c r="BZ240" s="174">
        <v>0</v>
      </c>
      <c r="CA240" s="174">
        <v>0</v>
      </c>
      <c r="CB240" s="174">
        <v>0</v>
      </c>
      <c r="CC240" s="174">
        <v>0</v>
      </c>
      <c r="CD240" s="174">
        <v>0</v>
      </c>
      <c r="CE240" s="174">
        <v>0</v>
      </c>
      <c r="CF240" s="174">
        <v>0</v>
      </c>
      <c r="CG240" s="174">
        <v>0</v>
      </c>
      <c r="CH240" s="174">
        <v>0</v>
      </c>
      <c r="CI240" s="174">
        <v>0</v>
      </c>
      <c r="CJ240" s="174">
        <v>0</v>
      </c>
      <c r="CK240" s="174">
        <v>0</v>
      </c>
      <c r="CL240" s="174">
        <v>0</v>
      </c>
      <c r="CM240" s="174">
        <v>0</v>
      </c>
      <c r="CN240" s="174">
        <v>0</v>
      </c>
      <c r="CO240" s="174">
        <v>0</v>
      </c>
    </row>
    <row r="241" spans="1:93" x14ac:dyDescent="0.2">
      <c r="A241" s="118">
        <f t="shared" si="23"/>
        <v>25</v>
      </c>
      <c r="B241" s="234" t="s">
        <v>607</v>
      </c>
      <c r="C241" s="223"/>
      <c r="D241" s="168"/>
      <c r="E241" s="233" t="s">
        <v>618</v>
      </c>
      <c r="F241" s="183">
        <v>0</v>
      </c>
      <c r="G241" s="223"/>
      <c r="H241" s="172">
        <f>SUMIF($AH$8:$CP$8,1,$AH241:$CP241)</f>
        <v>0</v>
      </c>
      <c r="I241" s="229"/>
      <c r="J241" s="174"/>
      <c r="K241" s="233" t="s">
        <v>618</v>
      </c>
      <c r="L241" s="183">
        <v>0</v>
      </c>
      <c r="M241" s="223"/>
      <c r="N241" s="174">
        <f>+J241*L241</f>
        <v>0</v>
      </c>
      <c r="O241" s="227"/>
      <c r="S241" s="227"/>
      <c r="T241" s="227"/>
      <c r="U241" s="184" t="s">
        <v>122</v>
      </c>
      <c r="V241" s="179">
        <v>244</v>
      </c>
      <c r="W241" s="180">
        <v>218</v>
      </c>
      <c r="Y241" s="184" t="s">
        <v>122</v>
      </c>
      <c r="Z241" s="181" t="s">
        <v>608</v>
      </c>
    </row>
    <row r="242" spans="1:93" x14ac:dyDescent="0.2">
      <c r="A242" s="118">
        <f t="shared" si="23"/>
        <v>26</v>
      </c>
      <c r="B242" s="171" t="s">
        <v>564</v>
      </c>
      <c r="C242" s="223"/>
      <c r="D242" s="168"/>
      <c r="E242" s="223"/>
      <c r="F242" s="166"/>
      <c r="G242" s="223"/>
      <c r="H242" s="1225">
        <f>'MFR E-5 Yr4'!M22*1000</f>
        <v>21639859.331999999</v>
      </c>
      <c r="I242" s="162"/>
      <c r="J242" s="1276"/>
      <c r="K242" s="166"/>
      <c r="L242" s="166"/>
      <c r="M242" s="143"/>
      <c r="N242" s="1225">
        <f>H242</f>
        <v>21639859.331999999</v>
      </c>
      <c r="O242" s="227"/>
      <c r="S242" s="227"/>
      <c r="T242" s="227"/>
      <c r="U242" s="184"/>
      <c r="V242" s="179"/>
      <c r="W242" s="180"/>
      <c r="Y242" s="184" t="s">
        <v>122</v>
      </c>
      <c r="Z242" s="181" t="s">
        <v>565</v>
      </c>
    </row>
    <row r="243" spans="1:93" x14ac:dyDescent="0.2">
      <c r="A243" s="118">
        <f t="shared" si="23"/>
        <v>27</v>
      </c>
      <c r="B243" s="171" t="s">
        <v>566</v>
      </c>
      <c r="C243" s="223"/>
      <c r="D243" s="168"/>
      <c r="E243" s="223"/>
      <c r="F243" s="166"/>
      <c r="G243" s="223"/>
      <c r="H243" s="1225">
        <f>'MFR E-5 Yr4'!M23*1000</f>
        <v>9196940.21609997</v>
      </c>
      <c r="I243" s="162"/>
      <c r="J243" s="1276"/>
      <c r="K243" s="166"/>
      <c r="L243" s="166"/>
      <c r="M243" s="143"/>
      <c r="N243" s="1225">
        <f t="shared" ref="N243:N244" si="32">H243</f>
        <v>9196940.21609997</v>
      </c>
      <c r="O243" s="227"/>
      <c r="S243" s="227"/>
      <c r="T243" s="227"/>
      <c r="U243" s="184"/>
      <c r="V243" s="179"/>
      <c r="W243" s="180"/>
      <c r="Y243" s="184" t="s">
        <v>122</v>
      </c>
      <c r="Z243" s="181" t="s">
        <v>565</v>
      </c>
    </row>
    <row r="244" spans="1:93" x14ac:dyDescent="0.2">
      <c r="A244" s="118">
        <f t="shared" si="23"/>
        <v>28</v>
      </c>
      <c r="B244" s="171" t="s">
        <v>567</v>
      </c>
      <c r="C244" s="223"/>
      <c r="D244" s="168"/>
      <c r="E244" s="223"/>
      <c r="F244" s="166"/>
      <c r="G244" s="223"/>
      <c r="H244" s="187">
        <f>'MFR E-5 Yr4'!M21*1000</f>
        <v>1422754.5748056539</v>
      </c>
      <c r="I244" s="162"/>
      <c r="J244" s="1276"/>
      <c r="K244" s="166"/>
      <c r="L244" s="166"/>
      <c r="M244" s="143"/>
      <c r="N244" s="187">
        <f t="shared" si="32"/>
        <v>1422754.5748056539</v>
      </c>
      <c r="O244" s="227"/>
      <c r="S244" s="227"/>
      <c r="T244" s="227"/>
      <c r="U244" s="184"/>
      <c r="V244" s="179"/>
      <c r="W244" s="180"/>
      <c r="Y244" s="184" t="s">
        <v>122</v>
      </c>
      <c r="Z244" s="181" t="s">
        <v>565</v>
      </c>
    </row>
    <row r="245" spans="1:93" x14ac:dyDescent="0.2">
      <c r="A245" s="118">
        <f t="shared" si="23"/>
        <v>29</v>
      </c>
      <c r="B245" s="234"/>
      <c r="C245" s="223" t="s">
        <v>374</v>
      </c>
      <c r="D245" s="249"/>
      <c r="E245" s="223"/>
      <c r="F245" s="183"/>
      <c r="G245" s="223"/>
      <c r="H245" s="174">
        <f>SUM(H239:H244)</f>
        <v>30885357.102905624</v>
      </c>
      <c r="I245" s="229"/>
      <c r="J245" s="1276"/>
      <c r="K245" s="223"/>
      <c r="L245" s="183"/>
      <c r="M245" s="223"/>
      <c r="N245" s="174">
        <f>SUM(N239:N244)</f>
        <v>30847962.982905623</v>
      </c>
      <c r="O245" s="227"/>
      <c r="S245" s="227"/>
      <c r="T245" s="176"/>
      <c r="U245" s="184"/>
      <c r="V245" s="179"/>
      <c r="W245" s="180"/>
      <c r="Y245" s="184"/>
      <c r="Z245" s="181"/>
    </row>
    <row r="246" spans="1:93" x14ac:dyDescent="0.2">
      <c r="A246" s="118">
        <f t="shared" si="23"/>
        <v>30</v>
      </c>
      <c r="B246" s="234"/>
      <c r="C246" s="223"/>
      <c r="E246" s="223"/>
      <c r="F246" s="183"/>
      <c r="G246" s="223"/>
      <c r="H246" s="174"/>
      <c r="I246" s="229"/>
      <c r="J246" s="1276"/>
      <c r="K246" s="223"/>
      <c r="L246" s="183"/>
      <c r="M246" s="223"/>
      <c r="N246" s="174"/>
      <c r="O246" s="227"/>
      <c r="S246" s="227"/>
      <c r="T246" s="227"/>
      <c r="U246" s="184"/>
      <c r="V246" s="179"/>
      <c r="W246" s="180"/>
      <c r="Y246" s="184"/>
      <c r="Z246" s="181"/>
    </row>
    <row r="247" spans="1:93" ht="10.8" thickBot="1" x14ac:dyDescent="0.25">
      <c r="A247" s="118">
        <f t="shared" si="23"/>
        <v>31</v>
      </c>
      <c r="B247" s="246" t="s">
        <v>609</v>
      </c>
      <c r="C247" s="223"/>
      <c r="D247" s="168"/>
      <c r="E247" s="225"/>
      <c r="F247" s="183"/>
      <c r="G247" s="223"/>
      <c r="H247" s="210">
        <f>H172+H198+H236+H245</f>
        <v>848686345.7429055</v>
      </c>
      <c r="I247" s="229"/>
      <c r="J247" s="168"/>
      <c r="K247" s="225"/>
      <c r="L247" s="183"/>
      <c r="M247" s="223"/>
      <c r="N247" s="210">
        <f>N172+N198+N236+N245</f>
        <v>872213156.81290555</v>
      </c>
      <c r="O247" s="227"/>
      <c r="Q247" s="939">
        <f>(N247-H247)/H247</f>
        <v>2.7721444074142183E-2</v>
      </c>
      <c r="S247" s="227"/>
      <c r="T247" s="176"/>
      <c r="U247" s="184"/>
      <c r="V247" s="179"/>
      <c r="W247" s="180"/>
      <c r="Y247" s="184" t="s">
        <v>122</v>
      </c>
      <c r="Z247" s="181" t="s">
        <v>121</v>
      </c>
    </row>
    <row r="248" spans="1:93" ht="10.8" thickTop="1" x14ac:dyDescent="0.2">
      <c r="A248" s="118">
        <f t="shared" si="23"/>
        <v>32</v>
      </c>
      <c r="B248" s="226"/>
      <c r="C248" s="223"/>
      <c r="D248" s="168"/>
      <c r="E248" s="225"/>
      <c r="F248" s="183"/>
      <c r="G248" s="223"/>
      <c r="H248" s="174"/>
      <c r="I248" s="229"/>
      <c r="J248" s="223"/>
      <c r="K248" s="225"/>
      <c r="L248" s="223"/>
      <c r="M248" s="223"/>
      <c r="N248" s="174"/>
      <c r="O248" s="227"/>
      <c r="P248" s="262"/>
      <c r="Q248" s="227"/>
      <c r="U248" s="184"/>
      <c r="V248" s="179"/>
      <c r="W248" s="180"/>
      <c r="Y248" s="184"/>
      <c r="Z248" s="181"/>
    </row>
    <row r="249" spans="1:93" x14ac:dyDescent="0.2">
      <c r="A249" s="118">
        <f t="shared" si="23"/>
        <v>33</v>
      </c>
      <c r="B249" s="223"/>
      <c r="C249" s="223"/>
      <c r="D249" s="168"/>
      <c r="E249" s="225"/>
      <c r="F249" s="183"/>
      <c r="G249" s="223"/>
      <c r="H249" s="174"/>
      <c r="I249" s="229"/>
      <c r="J249" s="171" t="s">
        <v>573</v>
      </c>
      <c r="K249" s="166"/>
      <c r="L249" s="166"/>
      <c r="M249" s="143"/>
      <c r="N249" s="174">
        <f>N247-H247</f>
        <v>23526811.070000052</v>
      </c>
      <c r="Q249" s="227"/>
      <c r="U249" s="184"/>
      <c r="V249" s="179"/>
      <c r="W249" s="180"/>
      <c r="Y249" s="184"/>
      <c r="Z249" s="181"/>
    </row>
    <row r="250" spans="1:93" x14ac:dyDescent="0.2">
      <c r="A250" s="118">
        <f t="shared" si="23"/>
        <v>34</v>
      </c>
      <c r="F250" s="197"/>
      <c r="H250" s="203"/>
      <c r="I250" s="229"/>
      <c r="L250" s="197"/>
      <c r="N250" s="203"/>
      <c r="U250" s="298"/>
      <c r="V250" s="253"/>
      <c r="W250" s="254"/>
      <c r="Y250" s="298"/>
      <c r="Z250" s="255"/>
    </row>
    <row r="251" spans="1:93" x14ac:dyDescent="0.2">
      <c r="A251" s="215"/>
      <c r="B251" s="215" t="s">
        <v>674</v>
      </c>
      <c r="C251" s="215"/>
      <c r="D251" s="215"/>
      <c r="E251" s="215"/>
      <c r="F251" s="215"/>
      <c r="G251" s="215"/>
      <c r="H251" s="215"/>
      <c r="I251" s="215"/>
      <c r="J251" s="215"/>
      <c r="K251" s="215"/>
      <c r="L251" s="215"/>
      <c r="M251" s="215"/>
      <c r="N251" s="215" t="s">
        <v>675</v>
      </c>
      <c r="O251" s="215"/>
      <c r="P251" s="215"/>
      <c r="Q251" s="215"/>
      <c r="Y251" s="101"/>
    </row>
    <row r="252" spans="1:93" x14ac:dyDescent="0.2">
      <c r="A252" s="216"/>
      <c r="B252" s="216"/>
      <c r="C252" s="216"/>
      <c r="D252" s="216"/>
      <c r="E252" s="216"/>
      <c r="F252" s="216"/>
      <c r="G252" s="216"/>
      <c r="H252" s="216"/>
      <c r="I252" s="216"/>
      <c r="J252" s="216"/>
      <c r="K252" s="216"/>
      <c r="L252" s="216"/>
      <c r="M252" s="216"/>
      <c r="N252" s="216"/>
      <c r="O252" s="216"/>
      <c r="P252" s="216"/>
      <c r="Q252" s="216"/>
      <c r="R252" s="216"/>
      <c r="S252" s="216"/>
      <c r="T252" s="216"/>
      <c r="U252" s="216"/>
      <c r="V252" s="216"/>
      <c r="W252" s="216"/>
      <c r="X252" s="216"/>
      <c r="Y252" s="216"/>
      <c r="Z252" s="217"/>
      <c r="AA252" s="216"/>
      <c r="AB252" s="216"/>
      <c r="AC252" s="216"/>
      <c r="AD252" s="216"/>
      <c r="AE252" s="216"/>
      <c r="AF252" s="216"/>
      <c r="AG252" s="216"/>
      <c r="AH252" s="216"/>
      <c r="AI252" s="216"/>
      <c r="AJ252" s="216"/>
      <c r="AK252" s="216"/>
      <c r="AL252" s="216"/>
      <c r="AM252" s="216"/>
      <c r="AN252" s="216"/>
      <c r="AO252" s="216"/>
      <c r="AP252" s="216"/>
      <c r="AQ252" s="216"/>
      <c r="AR252" s="216"/>
      <c r="AS252" s="216"/>
      <c r="AT252" s="216"/>
      <c r="AU252" s="216"/>
      <c r="AV252" s="216"/>
      <c r="AW252" s="216"/>
      <c r="AX252" s="216"/>
      <c r="AY252" s="216"/>
      <c r="AZ252" s="216"/>
      <c r="BA252" s="216"/>
      <c r="BB252" s="216"/>
      <c r="BC252" s="216"/>
      <c r="BD252" s="216"/>
      <c r="BE252" s="216"/>
      <c r="BF252" s="216"/>
      <c r="BG252" s="216"/>
      <c r="BH252" s="216"/>
      <c r="BI252" s="216"/>
      <c r="BJ252" s="216"/>
      <c r="BK252" s="216"/>
      <c r="BL252" s="216"/>
      <c r="BM252" s="216"/>
      <c r="BN252" s="216"/>
      <c r="BO252" s="216"/>
      <c r="BP252" s="216"/>
      <c r="BQ252" s="216"/>
      <c r="BR252" s="216"/>
      <c r="BS252" s="216"/>
      <c r="BT252" s="216"/>
      <c r="BU252" s="216"/>
      <c r="BV252" s="216"/>
      <c r="BW252" s="216"/>
      <c r="BX252" s="216"/>
      <c r="BY252" s="216"/>
      <c r="BZ252" s="216"/>
      <c r="CA252" s="216"/>
      <c r="CB252" s="216"/>
      <c r="CC252" s="216"/>
      <c r="CD252" s="216"/>
      <c r="CE252" s="216"/>
      <c r="CF252" s="216"/>
      <c r="CG252" s="216"/>
      <c r="CH252" s="216"/>
      <c r="CI252" s="216"/>
      <c r="CJ252" s="216"/>
      <c r="CK252" s="216"/>
      <c r="CL252" s="216"/>
      <c r="CM252" s="216"/>
      <c r="CN252" s="216"/>
      <c r="CO252" s="216"/>
    </row>
    <row r="253" spans="1:93" x14ac:dyDescent="0.2">
      <c r="A253" s="100" t="s">
        <v>505</v>
      </c>
      <c r="C253" s="102"/>
      <c r="D253" s="103"/>
      <c r="F253" s="268"/>
      <c r="G253" s="104"/>
      <c r="H253" s="269" t="s">
        <v>506</v>
      </c>
      <c r="I253" s="104"/>
      <c r="J253" s="104"/>
      <c r="K253" s="104"/>
      <c r="L253" s="268"/>
      <c r="N253" s="270"/>
      <c r="Q253" s="106" t="s">
        <v>611</v>
      </c>
      <c r="R253" s="105"/>
      <c r="S253" s="105"/>
      <c r="U253" s="114"/>
      <c r="V253" s="114"/>
      <c r="W253" s="114"/>
      <c r="Y253" s="114"/>
      <c r="Z253" s="218"/>
      <c r="AD253" s="114"/>
    </row>
    <row r="254" spans="1:93" ht="10.8" thickBot="1" x14ac:dyDescent="0.25">
      <c r="A254" s="108"/>
      <c r="B254" s="109"/>
      <c r="C254" s="109"/>
      <c r="D254" s="109"/>
      <c r="E254" s="110" t="s">
        <v>416</v>
      </c>
      <c r="F254" s="271" t="s">
        <v>416</v>
      </c>
      <c r="G254" s="109" t="s">
        <v>416</v>
      </c>
      <c r="H254" s="272" t="s">
        <v>416</v>
      </c>
      <c r="I254" s="109" t="s">
        <v>416</v>
      </c>
      <c r="J254" s="109"/>
      <c r="K254" s="109"/>
      <c r="L254" s="271" t="s">
        <v>416</v>
      </c>
      <c r="M254" s="111"/>
      <c r="N254" s="273"/>
      <c r="O254" s="109"/>
      <c r="P254" s="112"/>
      <c r="Q254" s="109"/>
      <c r="U254" s="114"/>
      <c r="V254" s="114"/>
      <c r="W254" s="114"/>
      <c r="Y254" s="114"/>
      <c r="Z254" s="218"/>
      <c r="AD254" s="114"/>
    </row>
    <row r="255" spans="1:93" x14ac:dyDescent="0.2">
      <c r="A255" s="113"/>
      <c r="F255" s="197"/>
      <c r="H255" s="203"/>
      <c r="L255" s="197"/>
      <c r="M255" s="105"/>
      <c r="N255" s="270"/>
      <c r="P255" s="114"/>
      <c r="U255" s="114"/>
      <c r="V255" s="114"/>
      <c r="W255" s="114"/>
      <c r="Y255" s="114"/>
      <c r="Z255" s="218"/>
      <c r="AD255" s="114"/>
    </row>
    <row r="256" spans="1:93" x14ac:dyDescent="0.2">
      <c r="A256" s="100" t="s">
        <v>3</v>
      </c>
      <c r="D256" s="106" t="s">
        <v>4</v>
      </c>
      <c r="E256" s="101" t="s">
        <v>508</v>
      </c>
      <c r="F256" s="197"/>
      <c r="H256" s="203"/>
      <c r="L256" s="197"/>
      <c r="N256" s="203"/>
      <c r="O256" s="100" t="s">
        <v>6</v>
      </c>
      <c r="U256" s="114"/>
      <c r="V256" s="114"/>
      <c r="W256" s="114"/>
      <c r="Y256" s="114"/>
      <c r="Z256" s="218"/>
      <c r="AD256" s="114"/>
    </row>
    <row r="257" spans="1:93" x14ac:dyDescent="0.2">
      <c r="E257" s="101" t="s">
        <v>509</v>
      </c>
      <c r="F257" s="197"/>
      <c r="H257" s="203"/>
      <c r="L257" s="197"/>
      <c r="N257" s="203"/>
      <c r="U257" s="114"/>
      <c r="V257" s="114"/>
      <c r="W257" s="114"/>
      <c r="Y257" s="114"/>
      <c r="Z257" s="218"/>
      <c r="AD257" s="114"/>
    </row>
    <row r="258" spans="1:93" x14ac:dyDescent="0.2">
      <c r="A258" s="100" t="s">
        <v>9</v>
      </c>
      <c r="E258" s="101" t="s">
        <v>510</v>
      </c>
      <c r="F258" s="197"/>
      <c r="H258" s="203"/>
      <c r="L258" s="197"/>
      <c r="N258" s="203"/>
      <c r="O258" s="101" t="str">
        <f>O209</f>
        <v>__X__  Projected Test Year Ended 12/31/26</v>
      </c>
      <c r="U258" s="114"/>
      <c r="V258" s="114"/>
      <c r="W258" s="114"/>
      <c r="Y258" s="114"/>
      <c r="Z258" s="218"/>
      <c r="AD258" s="114"/>
    </row>
    <row r="259" spans="1:93" x14ac:dyDescent="0.2">
      <c r="E259" s="101" t="s">
        <v>512</v>
      </c>
      <c r="F259" s="197"/>
      <c r="H259" s="203"/>
      <c r="L259" s="197"/>
      <c r="N259" s="203"/>
      <c r="U259" s="114"/>
      <c r="V259" s="114"/>
      <c r="W259" s="114"/>
      <c r="Y259" s="114"/>
      <c r="Z259" s="218"/>
      <c r="AD259" s="114"/>
    </row>
    <row r="260" spans="1:93" x14ac:dyDescent="0.2">
      <c r="A260" s="100" t="s">
        <v>491</v>
      </c>
      <c r="C260" s="119" t="str">
        <f>C211</f>
        <v>20240025-EI</v>
      </c>
      <c r="F260" s="197"/>
      <c r="H260" s="203"/>
      <c r="L260" s="197"/>
      <c r="N260" s="203"/>
      <c r="O260" s="100" t="s">
        <v>493</v>
      </c>
      <c r="U260" s="114"/>
      <c r="V260" s="114"/>
      <c r="W260" s="114"/>
      <c r="Y260" s="114"/>
      <c r="Z260" s="218"/>
      <c r="AD260" s="114"/>
    </row>
    <row r="261" spans="1:93" ht="10.8" thickBot="1" x14ac:dyDescent="0.25">
      <c r="A261" s="123"/>
      <c r="B261" s="109"/>
      <c r="C261" s="109"/>
      <c r="D261" s="109"/>
      <c r="E261" s="109"/>
      <c r="F261" s="274"/>
      <c r="G261" s="109"/>
      <c r="H261" s="272"/>
      <c r="I261" s="109"/>
      <c r="J261" s="109"/>
      <c r="K261" s="109"/>
      <c r="L261" s="274"/>
      <c r="M261" s="109"/>
      <c r="N261" s="275"/>
      <c r="O261" s="109"/>
      <c r="P261" s="109"/>
      <c r="Q261" s="109"/>
      <c r="U261" s="114"/>
      <c r="V261" s="114"/>
      <c r="W261" s="114"/>
      <c r="Y261" s="114"/>
      <c r="Z261" s="218"/>
      <c r="AD261" s="114"/>
    </row>
    <row r="262" spans="1:93" ht="15.6" x14ac:dyDescent="0.2">
      <c r="B262" s="1369"/>
      <c r="C262" s="125"/>
      <c r="D262" s="125"/>
      <c r="E262" s="125"/>
      <c r="F262" s="276"/>
      <c r="G262" s="125"/>
      <c r="H262" s="277"/>
      <c r="I262" s="126" t="s">
        <v>612</v>
      </c>
      <c r="J262" s="125"/>
      <c r="K262" s="125"/>
      <c r="L262" s="276"/>
      <c r="M262" s="125"/>
      <c r="N262" s="277"/>
      <c r="U262" s="127" t="s">
        <v>530</v>
      </c>
      <c r="V262" s="128"/>
      <c r="W262" s="129"/>
      <c r="Y262" s="130" t="s">
        <v>531</v>
      </c>
      <c r="Z262" s="131"/>
    </row>
    <row r="263" spans="1:93" x14ac:dyDescent="0.2">
      <c r="A263" s="101" t="s">
        <v>30</v>
      </c>
      <c r="B263" s="101" t="s">
        <v>532</v>
      </c>
      <c r="C263" s="132"/>
      <c r="D263" s="133" t="s">
        <v>533</v>
      </c>
      <c r="E263" s="134"/>
      <c r="F263" s="278"/>
      <c r="G263" s="133"/>
      <c r="H263" s="279"/>
      <c r="I263" s="135"/>
      <c r="J263" s="136" t="s">
        <v>534</v>
      </c>
      <c r="K263" s="133"/>
      <c r="L263" s="278"/>
      <c r="M263" s="134"/>
      <c r="N263" s="280"/>
      <c r="O263" s="1372"/>
      <c r="Q263" s="118" t="s">
        <v>332</v>
      </c>
      <c r="U263" s="138"/>
      <c r="V263" s="139"/>
      <c r="W263" s="140"/>
      <c r="Y263" s="138"/>
      <c r="Z263" s="141"/>
    </row>
    <row r="264" spans="1:93" x14ac:dyDescent="0.2">
      <c r="A264" s="101" t="s">
        <v>39</v>
      </c>
      <c r="B264" s="102" t="s">
        <v>535</v>
      </c>
      <c r="C264" s="104"/>
      <c r="D264" s="142" t="s">
        <v>536</v>
      </c>
      <c r="E264" s="143"/>
      <c r="F264" s="281" t="s">
        <v>537</v>
      </c>
      <c r="G264" s="142"/>
      <c r="H264" s="282" t="s">
        <v>538</v>
      </c>
      <c r="I264" s="144"/>
      <c r="J264" s="142" t="s">
        <v>536</v>
      </c>
      <c r="K264" s="143"/>
      <c r="L264" s="281" t="s">
        <v>537</v>
      </c>
      <c r="M264" s="142"/>
      <c r="N264" s="282" t="s">
        <v>538</v>
      </c>
      <c r="O264" s="132"/>
      <c r="Q264" s="145" t="s">
        <v>539</v>
      </c>
      <c r="R264" s="132"/>
      <c r="S264" s="132"/>
      <c r="U264" s="138" t="s">
        <v>128</v>
      </c>
      <c r="V264" s="146" t="s">
        <v>343</v>
      </c>
      <c r="W264" s="147" t="s">
        <v>344</v>
      </c>
      <c r="X264" s="118"/>
      <c r="Y264" s="148" t="s">
        <v>128</v>
      </c>
      <c r="Z264" s="149"/>
      <c r="AA264" s="118"/>
      <c r="AB264" s="118"/>
      <c r="AH264" s="116"/>
      <c r="AI264" s="116"/>
      <c r="AJ264" s="116"/>
      <c r="AK264" s="116"/>
      <c r="AL264" s="116"/>
      <c r="AM264" s="116"/>
      <c r="AN264" s="116"/>
      <c r="AO264" s="116"/>
      <c r="AP264" s="116"/>
      <c r="AQ264" s="116"/>
      <c r="AR264" s="116"/>
      <c r="AS264" s="116"/>
      <c r="AT264" s="116"/>
      <c r="AU264" s="116"/>
      <c r="AV264" s="116"/>
      <c r="AW264" s="116"/>
      <c r="AX264" s="116"/>
      <c r="AY264" s="116"/>
      <c r="AZ264" s="116"/>
      <c r="BA264" s="116"/>
      <c r="BB264" s="116"/>
      <c r="BC264" s="116"/>
      <c r="BD264" s="116"/>
      <c r="BE264" s="116"/>
      <c r="BF264" s="116"/>
      <c r="BG264" s="116"/>
      <c r="BH264" s="116"/>
      <c r="BI264" s="116"/>
      <c r="BJ264" s="116"/>
      <c r="BK264" s="116"/>
      <c r="BL264" s="116"/>
      <c r="BM264" s="116"/>
      <c r="BN264" s="116"/>
      <c r="BO264" s="116"/>
      <c r="BP264" s="116"/>
      <c r="BQ264" s="116"/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</row>
    <row r="265" spans="1:93" ht="10.8" thickBot="1" x14ac:dyDescent="0.25">
      <c r="A265" s="109"/>
      <c r="B265" s="1370" t="s">
        <v>275</v>
      </c>
      <c r="C265" s="150"/>
      <c r="D265" s="220" t="str">
        <f>+$D$13</f>
        <v>Jan '26-Dec '26</v>
      </c>
      <c r="E265" s="221"/>
      <c r="F265" s="152">
        <f>+$L$13</f>
        <v>46023</v>
      </c>
      <c r="G265" s="153"/>
      <c r="H265" s="153"/>
      <c r="I265" s="153"/>
      <c r="J265" s="153"/>
      <c r="K265" s="151"/>
      <c r="L265" s="152">
        <f>+$L$13</f>
        <v>46023</v>
      </c>
      <c r="M265" s="154"/>
      <c r="N265" s="283"/>
      <c r="O265" s="155"/>
      <c r="P265" s="109"/>
      <c r="Q265" s="156"/>
      <c r="R265" s="132"/>
      <c r="S265" s="132"/>
      <c r="U265" s="157" t="s">
        <v>144</v>
      </c>
      <c r="V265" s="158" t="s">
        <v>540</v>
      </c>
      <c r="W265" s="159" t="s">
        <v>540</v>
      </c>
      <c r="X265" s="118"/>
      <c r="Y265" s="160" t="s">
        <v>144</v>
      </c>
      <c r="Z265" s="159" t="s">
        <v>541</v>
      </c>
      <c r="AA265" s="118"/>
      <c r="AH265" s="116"/>
      <c r="AI265" s="116"/>
      <c r="AJ265" s="116"/>
      <c r="AK265" s="116"/>
      <c r="AL265" s="116"/>
      <c r="AM265" s="116"/>
      <c r="AN265" s="116"/>
      <c r="AO265" s="116"/>
      <c r="AP265" s="116"/>
      <c r="AQ265" s="116"/>
      <c r="AR265" s="116"/>
      <c r="AS265" s="116"/>
      <c r="AT265" s="116"/>
      <c r="AU265" s="116"/>
      <c r="AV265" s="116"/>
      <c r="AW265" s="116"/>
      <c r="AX265" s="116"/>
      <c r="AY265" s="116"/>
      <c r="AZ265" s="116"/>
      <c r="BA265" s="116"/>
      <c r="BB265" s="116"/>
      <c r="BC265" s="116"/>
      <c r="BD265" s="116"/>
      <c r="BE265" s="116"/>
      <c r="BF265" s="116"/>
      <c r="BG265" s="116"/>
      <c r="BH265" s="116"/>
      <c r="BI265" s="116"/>
      <c r="BJ265" s="116"/>
      <c r="BK265" s="116"/>
      <c r="BL265" s="116"/>
      <c r="BM265" s="116"/>
      <c r="BN265" s="116"/>
      <c r="BO265" s="116"/>
      <c r="BP265" s="116"/>
      <c r="BQ265" s="116"/>
      <c r="BR265" s="116"/>
      <c r="BS265" s="116"/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</row>
    <row r="266" spans="1:93" x14ac:dyDescent="0.2">
      <c r="A266" s="118">
        <v>1</v>
      </c>
      <c r="B266" s="102"/>
      <c r="C266" s="104"/>
      <c r="E266" s="143"/>
      <c r="F266" s="281"/>
      <c r="G266" s="142"/>
      <c r="H266" s="282"/>
      <c r="I266" s="162"/>
      <c r="J266" s="142"/>
      <c r="K266" s="143"/>
      <c r="L266" s="281"/>
      <c r="M266" s="142"/>
      <c r="N266" s="282"/>
      <c r="O266" s="132"/>
      <c r="Q266" s="145"/>
      <c r="R266" s="132"/>
      <c r="S266" s="132"/>
      <c r="T266" s="118"/>
      <c r="U266" s="163"/>
      <c r="V266" s="139"/>
      <c r="W266" s="140"/>
      <c r="X266" s="118"/>
      <c r="Y266" s="163"/>
      <c r="Z266" s="141"/>
      <c r="AA266" s="118"/>
      <c r="AH266" s="116"/>
      <c r="AI266" s="116"/>
      <c r="AJ266" s="116"/>
      <c r="AK266" s="116"/>
      <c r="AL266" s="116"/>
      <c r="AM266" s="116"/>
      <c r="AN266" s="116"/>
      <c r="AO266" s="116"/>
      <c r="AP266" s="116"/>
      <c r="AQ266" s="116"/>
      <c r="AR266" s="116"/>
      <c r="AS266" s="116"/>
      <c r="AT266" s="116"/>
      <c r="AU266" s="116"/>
      <c r="AV266" s="116"/>
      <c r="AW266" s="116"/>
      <c r="AX266" s="116"/>
      <c r="AY266" s="116"/>
      <c r="AZ266" s="116"/>
      <c r="BA266" s="116"/>
      <c r="BB266" s="116"/>
      <c r="BC266" s="116"/>
      <c r="BD266" s="116"/>
      <c r="BE266" s="116"/>
      <c r="BF266" s="116"/>
      <c r="BG266" s="116"/>
      <c r="BH266" s="116"/>
      <c r="BI266" s="116"/>
      <c r="BJ266" s="116"/>
      <c r="BK266" s="116"/>
      <c r="BL266" s="116"/>
      <c r="BM266" s="116"/>
      <c r="BN266" s="116"/>
      <c r="BO266" s="116"/>
      <c r="BP266" s="116"/>
      <c r="BQ266" s="116"/>
      <c r="BR266" s="116"/>
      <c r="BS266" s="116"/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</row>
    <row r="267" spans="1:93" x14ac:dyDescent="0.2">
      <c r="A267" s="118">
        <f t="shared" ref="A267:A301" si="33">+A266+1</f>
        <v>2</v>
      </c>
      <c r="B267" s="222" t="s">
        <v>542</v>
      </c>
      <c r="C267" s="223"/>
      <c r="D267" s="226"/>
      <c r="E267" s="225"/>
      <c r="F267" s="284"/>
      <c r="G267" s="227"/>
      <c r="H267" s="285"/>
      <c r="I267" s="229"/>
      <c r="J267" s="226"/>
      <c r="K267" s="225"/>
      <c r="L267" s="284"/>
      <c r="M267" s="227"/>
      <c r="N267" s="285"/>
      <c r="O267" s="228"/>
      <c r="P267" s="230"/>
      <c r="Q267" s="227"/>
      <c r="R267" s="227"/>
      <c r="S267" s="227"/>
      <c r="T267" s="227"/>
      <c r="U267" s="163"/>
      <c r="V267" s="139"/>
      <c r="W267" s="140"/>
      <c r="X267" s="227"/>
      <c r="Y267" s="163"/>
      <c r="Z267" s="141"/>
      <c r="AA267" s="227"/>
      <c r="AH267" s="116"/>
      <c r="AI267" s="116"/>
      <c r="AJ267" s="116"/>
      <c r="AK267" s="116"/>
      <c r="AL267" s="116"/>
      <c r="AM267" s="116"/>
      <c r="AN267" s="116"/>
      <c r="AO267" s="116"/>
      <c r="AP267" s="116"/>
      <c r="AQ267" s="116"/>
      <c r="AR267" s="116"/>
      <c r="AS267" s="116"/>
      <c r="AT267" s="116"/>
      <c r="AU267" s="116"/>
      <c r="AV267" s="116"/>
      <c r="AW267" s="116"/>
      <c r="AX267" s="116"/>
      <c r="AY267" s="116"/>
      <c r="AZ267" s="116"/>
      <c r="BA267" s="116"/>
      <c r="BB267" s="116"/>
      <c r="BC267" s="116"/>
      <c r="BD267" s="116"/>
      <c r="BE267" s="116"/>
      <c r="BF267" s="116"/>
      <c r="BG267" s="116"/>
      <c r="BH267" s="116"/>
      <c r="BI267" s="116"/>
      <c r="BJ267" s="116"/>
      <c r="BK267" s="116"/>
      <c r="BL267" s="116"/>
      <c r="BM267" s="116"/>
      <c r="BN267" s="116"/>
      <c r="BO267" s="116"/>
      <c r="BP267" s="116"/>
      <c r="BQ267" s="116"/>
      <c r="BR267" s="116"/>
      <c r="BS267" s="116"/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</row>
    <row r="268" spans="1:93" x14ac:dyDescent="0.2">
      <c r="A268" s="118">
        <f t="shared" si="33"/>
        <v>3</v>
      </c>
      <c r="B268" s="228" t="s">
        <v>543</v>
      </c>
      <c r="C268" s="223"/>
      <c r="D268" s="168"/>
      <c r="E268" s="225"/>
      <c r="F268" s="183"/>
      <c r="G268" s="223"/>
      <c r="H268" s="174"/>
      <c r="I268" s="229"/>
      <c r="J268" s="168"/>
      <c r="K268" s="225"/>
      <c r="L268" s="310"/>
      <c r="M268" s="223"/>
      <c r="N268" s="174"/>
      <c r="O268" s="227"/>
      <c r="P268" s="227"/>
      <c r="Q268" s="227"/>
      <c r="R268" s="227"/>
      <c r="S268" s="227"/>
      <c r="T268" s="227"/>
      <c r="U268" s="184"/>
      <c r="V268" s="179"/>
      <c r="W268" s="180"/>
      <c r="X268" s="227"/>
      <c r="Y268" s="184"/>
      <c r="Z268" s="181"/>
      <c r="AA268" s="227"/>
      <c r="AB268" s="227"/>
    </row>
    <row r="269" spans="1:93" x14ac:dyDescent="0.2">
      <c r="A269" s="118">
        <f t="shared" si="33"/>
        <v>4</v>
      </c>
      <c r="B269" s="234" t="s">
        <v>149</v>
      </c>
      <c r="C269" s="223"/>
      <c r="D269" s="172">
        <f>SUMIF($AH$6:$CP$6,1,$AH269:$CP269)</f>
        <v>6.7393666844344846</v>
      </c>
      <c r="E269" s="225" t="s">
        <v>545</v>
      </c>
      <c r="F269" s="183">
        <v>117.17</v>
      </c>
      <c r="G269" s="233" t="s">
        <v>375</v>
      </c>
      <c r="H269" s="174">
        <f>ROUND(D269*F269,2)</f>
        <v>789.65</v>
      </c>
      <c r="I269" s="229"/>
      <c r="J269" s="172">
        <f>SUMIF($AH$6:$CP$6,1,$AH269:$CP269)</f>
        <v>6.7393666844344846</v>
      </c>
      <c r="K269" s="225" t="s">
        <v>545</v>
      </c>
      <c r="L269" s="173">
        <f>'Exhibit MJC-3 - E-13c cal yr'!L295</f>
        <v>119.69</v>
      </c>
      <c r="M269" s="233" t="s">
        <v>375</v>
      </c>
      <c r="N269" s="174">
        <f>ROUND(J269*L269,2)</f>
        <v>806.63</v>
      </c>
      <c r="O269" s="227"/>
      <c r="P269" s="176"/>
      <c r="Q269" s="1022"/>
      <c r="R269" s="186"/>
      <c r="S269" s="227"/>
      <c r="T269" s="227"/>
      <c r="U269" s="184" t="s">
        <v>613</v>
      </c>
      <c r="V269" s="179">
        <v>246</v>
      </c>
      <c r="W269" s="180">
        <v>220</v>
      </c>
      <c r="X269" s="227"/>
      <c r="Y269" s="184"/>
      <c r="Z269" s="181"/>
      <c r="AA269" s="227"/>
      <c r="AB269" s="182">
        <f>SUM(AH269:AS269)</f>
        <v>6.6253355117171964</v>
      </c>
      <c r="AC269" s="182">
        <f>SUM(AT269:BE269)</f>
        <v>6.6672327777265918</v>
      </c>
      <c r="AD269" s="182">
        <f>SUM(BF269:BQ269)</f>
        <v>6.6997861905054945</v>
      </c>
      <c r="AE269" s="182">
        <f>SUM(BR269:CC269)</f>
        <v>6.7393666844344846</v>
      </c>
      <c r="AF269" s="182">
        <f>SUM(CD269:CO269)</f>
        <v>6.7868672747482002</v>
      </c>
      <c r="AH269" s="168">
        <v>0.54887926319307923</v>
      </c>
      <c r="AI269" s="168">
        <v>1.4910773156547863</v>
      </c>
      <c r="AJ269" s="168">
        <v>1.1447690782329609</v>
      </c>
      <c r="AK269" s="168">
        <v>0.98080386829491661</v>
      </c>
      <c r="AL269" s="168">
        <v>0.43251498515272352</v>
      </c>
      <c r="AM269" s="168">
        <v>0.26039679859991516</v>
      </c>
      <c r="AN269" s="168">
        <v>0.2691407757710742</v>
      </c>
      <c r="AO269" s="168">
        <v>0.43682925080407592</v>
      </c>
      <c r="AP269" s="168">
        <v>0.35359369623871534</v>
      </c>
      <c r="AQ269" s="168">
        <v>0.26213628542660139</v>
      </c>
      <c r="AR269" s="168">
        <v>0.18285293399908539</v>
      </c>
      <c r="AS269" s="168">
        <v>0.26234126034926197</v>
      </c>
      <c r="AT269" s="168">
        <v>0.5505128887872035</v>
      </c>
      <c r="AU269" s="168">
        <v>1.5082424396006915</v>
      </c>
      <c r="AV269" s="168">
        <v>1.1570489879425228</v>
      </c>
      <c r="AW269" s="168">
        <v>0.98981501142623696</v>
      </c>
      <c r="AX269" s="168">
        <v>0.4350134816248743</v>
      </c>
      <c r="AY269" s="168">
        <v>0.26032031476191675</v>
      </c>
      <c r="AZ269" s="168">
        <v>0.26884776276515227</v>
      </c>
      <c r="BA269" s="168">
        <v>0.43879020505170496</v>
      </c>
      <c r="BB269" s="168">
        <v>0.35419038406769571</v>
      </c>
      <c r="BC269" s="168">
        <v>0.26139050891162197</v>
      </c>
      <c r="BD269" s="168">
        <v>0.18165680332092565</v>
      </c>
      <c r="BE269" s="168">
        <v>0.26140398946604559</v>
      </c>
      <c r="BF269" s="168">
        <v>0.5514936029445604</v>
      </c>
      <c r="BG269" s="168">
        <v>1.5239636063662687</v>
      </c>
      <c r="BH269" s="168">
        <v>1.1695032201385904</v>
      </c>
      <c r="BI269" s="168">
        <v>0.99736619727652742</v>
      </c>
      <c r="BJ269" s="168">
        <v>0.43629160878468537</v>
      </c>
      <c r="BK269" s="168">
        <v>0.25917346081790937</v>
      </c>
      <c r="BL269" s="168">
        <v>0.26759366863159156</v>
      </c>
      <c r="BM269" s="168">
        <v>0.4399745369569571</v>
      </c>
      <c r="BN269" s="168">
        <v>0.35412027610850227</v>
      </c>
      <c r="BO269" s="168">
        <v>0.26010649588571794</v>
      </c>
      <c r="BP269" s="168">
        <v>0.18003613703275032</v>
      </c>
      <c r="BQ269" s="168">
        <v>0.26016337956143309</v>
      </c>
      <c r="BR269" s="168">
        <v>0.55222953146953857</v>
      </c>
      <c r="BS269" s="168">
        <v>1.5397495981884826</v>
      </c>
      <c r="BT269" s="168">
        <v>1.1819531597403099</v>
      </c>
      <c r="BU269" s="168">
        <v>1.0052378280834589</v>
      </c>
      <c r="BV269" s="168">
        <v>0.43798168988949621</v>
      </c>
      <c r="BW269" s="168">
        <v>0.25852989567354023</v>
      </c>
      <c r="BX269" s="168">
        <v>0.26698412423068629</v>
      </c>
      <c r="BY269" s="168">
        <v>0.44192399383924114</v>
      </c>
      <c r="BZ269" s="168">
        <v>0.35499252936509668</v>
      </c>
      <c r="CA269" s="168">
        <v>0.25990456206134122</v>
      </c>
      <c r="CB269" s="168">
        <v>0.17975380948286257</v>
      </c>
      <c r="CC269" s="168">
        <v>0.2601259624104304</v>
      </c>
      <c r="CD269" s="168">
        <v>0.55549075039277362</v>
      </c>
      <c r="CE269" s="168">
        <v>1.5565322627461995</v>
      </c>
      <c r="CF269" s="168">
        <v>1.194299251713</v>
      </c>
      <c r="CG269" s="168">
        <v>1.013883822419595</v>
      </c>
      <c r="CH269" s="168">
        <v>0.44038238244063072</v>
      </c>
      <c r="CI269" s="168">
        <v>0.25859212080034572</v>
      </c>
      <c r="CJ269" s="168">
        <v>0.2670814014103684</v>
      </c>
      <c r="CK269" s="168">
        <v>0.44442358272687532</v>
      </c>
      <c r="CL269" s="168">
        <v>0.35630027503280909</v>
      </c>
      <c r="CM269" s="168">
        <v>0.25997770376149171</v>
      </c>
      <c r="CN269" s="168">
        <v>0.17967574851956528</v>
      </c>
      <c r="CO269" s="168">
        <v>0.26022797278454551</v>
      </c>
    </row>
    <row r="270" spans="1:93" x14ac:dyDescent="0.2">
      <c r="A270" s="118">
        <f t="shared" si="33"/>
        <v>5</v>
      </c>
      <c r="B270" s="234" t="s">
        <v>148</v>
      </c>
      <c r="C270" s="223"/>
      <c r="D270" s="172">
        <f>SUMIF($AH$6:$CP$6,1,$AH270:$CP270)</f>
        <v>32.734066752967493</v>
      </c>
      <c r="E270" s="225" t="s">
        <v>545</v>
      </c>
      <c r="F270" s="183">
        <v>325.3</v>
      </c>
      <c r="G270" s="233" t="s">
        <v>375</v>
      </c>
      <c r="H270" s="174">
        <f>ROUND(D270*F270,2)</f>
        <v>10648.39</v>
      </c>
      <c r="I270" s="229"/>
      <c r="J270" s="172">
        <f>SUMIF($AH$6:$CP$6,1,$AH270:$CP270)</f>
        <v>32.734066752967493</v>
      </c>
      <c r="K270" s="225" t="s">
        <v>545</v>
      </c>
      <c r="L270" s="173">
        <f>'Exhibit MJC-3 - E-13c cal yr'!L296</f>
        <v>332.29</v>
      </c>
      <c r="M270" s="233" t="s">
        <v>375</v>
      </c>
      <c r="N270" s="174">
        <f>ROUND(J270*L270,2)</f>
        <v>10877.2</v>
      </c>
      <c r="O270" s="227"/>
      <c r="P270" s="176"/>
      <c r="Q270" s="1022"/>
      <c r="R270" s="186"/>
      <c r="S270" s="227"/>
      <c r="T270" s="227"/>
      <c r="U270" s="184" t="s">
        <v>613</v>
      </c>
      <c r="V270" s="179">
        <v>246</v>
      </c>
      <c r="W270" s="180">
        <v>220</v>
      </c>
      <c r="X270" s="227"/>
      <c r="Y270" s="184"/>
      <c r="Z270" s="181"/>
      <c r="AA270" s="227"/>
      <c r="AB270" s="182">
        <f>SUM(AH270:AS270)</f>
        <v>32.18020105691209</v>
      </c>
      <c r="AC270" s="182">
        <f>SUM(AT270:BE270)</f>
        <v>32.383702063243447</v>
      </c>
      <c r="AD270" s="182">
        <f>SUM(BF270:BQ270)</f>
        <v>32.541818639598112</v>
      </c>
      <c r="AE270" s="182">
        <f>SUM(BR270:CC270)</f>
        <v>32.734066752967493</v>
      </c>
      <c r="AF270" s="182">
        <f>SUM(CD270:CO270)</f>
        <v>32.964783905919823</v>
      </c>
      <c r="AH270" s="168">
        <v>2.6659849926520991</v>
      </c>
      <c r="AI270" s="168">
        <v>7.2423755331803896</v>
      </c>
      <c r="AJ270" s="168">
        <v>5.5603069514172381</v>
      </c>
      <c r="AK270" s="168">
        <v>4.7639045031467377</v>
      </c>
      <c r="AL270" s="168">
        <v>2.1007870707417999</v>
      </c>
      <c r="AM270" s="168">
        <v>1.2647844503424448</v>
      </c>
      <c r="AN270" s="168">
        <v>1.3072551966023602</v>
      </c>
      <c r="AO270" s="168">
        <v>2.1217420753340832</v>
      </c>
      <c r="AP270" s="168">
        <v>1.7174550960166171</v>
      </c>
      <c r="AQ270" s="168">
        <v>1.2732333863577781</v>
      </c>
      <c r="AR270" s="168">
        <v>0.88814282228127184</v>
      </c>
      <c r="AS270" s="168">
        <v>1.2742289788392722</v>
      </c>
      <c r="AT270" s="168">
        <v>2.6739197455378458</v>
      </c>
      <c r="AU270" s="168">
        <v>7.3257489923462149</v>
      </c>
      <c r="AV270" s="168">
        <v>5.6199522271493958</v>
      </c>
      <c r="AW270" s="168">
        <v>4.8076729126417215</v>
      </c>
      <c r="AX270" s="168">
        <v>2.1129226250351039</v>
      </c>
      <c r="AY270" s="168">
        <v>1.2644129574150242</v>
      </c>
      <c r="AZ270" s="168">
        <v>1.3058319905735964</v>
      </c>
      <c r="BA270" s="168">
        <v>2.131266710251138</v>
      </c>
      <c r="BB270" s="168">
        <v>1.7203532940430932</v>
      </c>
      <c r="BC270" s="168">
        <v>1.2696110432850207</v>
      </c>
      <c r="BD270" s="168">
        <v>0.88233304470163876</v>
      </c>
      <c r="BE270" s="168">
        <v>1.26967652026365</v>
      </c>
      <c r="BF270" s="168">
        <v>2.6786832143021502</v>
      </c>
      <c r="BG270" s="168">
        <v>7.4021089452075906</v>
      </c>
      <c r="BH270" s="168">
        <v>5.6804442121017242</v>
      </c>
      <c r="BI270" s="168">
        <v>4.8443501010574188</v>
      </c>
      <c r="BJ270" s="168">
        <v>2.1191306712399003</v>
      </c>
      <c r="BK270" s="168">
        <v>1.2588425239727026</v>
      </c>
      <c r="BL270" s="168">
        <v>1.2997406762105876</v>
      </c>
      <c r="BM270" s="168">
        <v>2.13701917950522</v>
      </c>
      <c r="BN270" s="168">
        <v>1.7200127696698679</v>
      </c>
      <c r="BO270" s="168">
        <v>1.2633744085877727</v>
      </c>
      <c r="BP270" s="168">
        <v>0.8744612370162157</v>
      </c>
      <c r="BQ270" s="168">
        <v>1.2636507007269606</v>
      </c>
      <c r="BR270" s="168">
        <v>2.6822577242806158</v>
      </c>
      <c r="BS270" s="168">
        <v>7.4787837626297717</v>
      </c>
      <c r="BT270" s="168">
        <v>5.7409153473100751</v>
      </c>
      <c r="BU270" s="168">
        <v>4.8825837364053717</v>
      </c>
      <c r="BV270" s="168">
        <v>2.1273396366061244</v>
      </c>
      <c r="BW270" s="168">
        <v>1.2557166361286241</v>
      </c>
      <c r="BX270" s="168">
        <v>1.2967800319776188</v>
      </c>
      <c r="BY270" s="168">
        <v>2.146487970076314</v>
      </c>
      <c r="BZ270" s="168">
        <v>1.7242494283447551</v>
      </c>
      <c r="CA270" s="168">
        <v>1.2623935871550858</v>
      </c>
      <c r="CB270" s="168">
        <v>0.87308993177390382</v>
      </c>
      <c r="CC270" s="168">
        <v>1.2634689602792333</v>
      </c>
      <c r="CD270" s="168">
        <v>2.6980979304791859</v>
      </c>
      <c r="CE270" s="168">
        <v>7.560299561910111</v>
      </c>
      <c r="CF270" s="168">
        <v>5.8008820797488561</v>
      </c>
      <c r="CG270" s="168">
        <v>4.9245785660380319</v>
      </c>
      <c r="CH270" s="168">
        <v>2.1390001432830634</v>
      </c>
      <c r="CI270" s="168">
        <v>1.2560188724588219</v>
      </c>
      <c r="CJ270" s="168">
        <v>1.297252521136075</v>
      </c>
      <c r="CK270" s="168">
        <v>2.1586288303876802</v>
      </c>
      <c r="CL270" s="168">
        <v>1.7306013358736441</v>
      </c>
      <c r="CM270" s="168">
        <v>1.2627488468415309</v>
      </c>
      <c r="CN270" s="168">
        <v>0.87271077852360268</v>
      </c>
      <c r="CO270" s="168">
        <v>1.2639644392392209</v>
      </c>
    </row>
    <row r="271" spans="1:93" x14ac:dyDescent="0.2">
      <c r="A271" s="118">
        <f t="shared" si="33"/>
        <v>6</v>
      </c>
      <c r="B271" s="234" t="s">
        <v>216</v>
      </c>
      <c r="C271" s="223"/>
      <c r="D271" s="172">
        <f>SUMIF($AH$6:$CP$6,1,$AH271:$CP271)</f>
        <v>0</v>
      </c>
      <c r="E271" s="225" t="s">
        <v>545</v>
      </c>
      <c r="F271" s="183">
        <v>1214.08</v>
      </c>
      <c r="G271" s="233" t="s">
        <v>375</v>
      </c>
      <c r="H271" s="174">
        <f>ROUND(D271*F271,2)</f>
        <v>0</v>
      </c>
      <c r="I271" s="229"/>
      <c r="J271" s="172">
        <f>SUMIF($AH$6:$CP$6,1,$AH271:$CP271)</f>
        <v>0</v>
      </c>
      <c r="K271" s="225" t="s">
        <v>545</v>
      </c>
      <c r="L271" s="173">
        <f>'Exhibit MJC-3 - E-13c cal yr'!L297</f>
        <v>1240.17</v>
      </c>
      <c r="M271" s="233" t="s">
        <v>375</v>
      </c>
      <c r="N271" s="174">
        <f>ROUND(J271*L271,2)</f>
        <v>0</v>
      </c>
      <c r="O271" s="227"/>
      <c r="P271" s="227"/>
      <c r="Q271" s="1022"/>
      <c r="R271" s="227"/>
      <c r="S271" s="227"/>
      <c r="T271" s="227"/>
      <c r="U271" s="184" t="s">
        <v>613</v>
      </c>
      <c r="V271" s="179">
        <v>246</v>
      </c>
      <c r="W271" s="180">
        <v>220</v>
      </c>
      <c r="X271" s="227"/>
      <c r="Y271" s="184"/>
      <c r="Z271" s="181"/>
      <c r="AA271" s="227"/>
      <c r="AB271" s="182">
        <f>SUM(AH271:AS271)</f>
        <v>0</v>
      </c>
      <c r="AC271" s="182">
        <f>SUM(AT271:BE271)</f>
        <v>0</v>
      </c>
      <c r="AD271" s="182">
        <f>SUM(BF271:BQ271)</f>
        <v>0</v>
      </c>
      <c r="AE271" s="182">
        <f>SUM(BR271:CC271)</f>
        <v>0</v>
      </c>
      <c r="AF271" s="182">
        <f>SUM(CD271:CO271)</f>
        <v>0</v>
      </c>
      <c r="AH271" s="168">
        <v>0</v>
      </c>
      <c r="AI271" s="168">
        <v>0</v>
      </c>
      <c r="AJ271" s="168">
        <v>0</v>
      </c>
      <c r="AK271" s="168">
        <v>0</v>
      </c>
      <c r="AL271" s="168">
        <v>0</v>
      </c>
      <c r="AM271" s="168">
        <v>0</v>
      </c>
      <c r="AN271" s="168">
        <v>0</v>
      </c>
      <c r="AO271" s="168">
        <v>0</v>
      </c>
      <c r="AP271" s="168">
        <v>0</v>
      </c>
      <c r="AQ271" s="168">
        <v>0</v>
      </c>
      <c r="AR271" s="168">
        <v>0</v>
      </c>
      <c r="AS271" s="168">
        <v>0</v>
      </c>
      <c r="AT271" s="168">
        <v>0</v>
      </c>
      <c r="AU271" s="168">
        <v>0</v>
      </c>
      <c r="AV271" s="168">
        <v>0</v>
      </c>
      <c r="AW271" s="168">
        <v>0</v>
      </c>
      <c r="AX271" s="168">
        <v>0</v>
      </c>
      <c r="AY271" s="168">
        <v>0</v>
      </c>
      <c r="AZ271" s="168">
        <v>0</v>
      </c>
      <c r="BA271" s="168">
        <v>0</v>
      </c>
      <c r="BB271" s="168">
        <v>0</v>
      </c>
      <c r="BC271" s="168">
        <v>0</v>
      </c>
      <c r="BD271" s="168">
        <v>0</v>
      </c>
      <c r="BE271" s="168">
        <v>0</v>
      </c>
      <c r="BF271" s="168">
        <v>0</v>
      </c>
      <c r="BG271" s="168">
        <v>0</v>
      </c>
      <c r="BH271" s="168">
        <v>0</v>
      </c>
      <c r="BI271" s="168">
        <v>0</v>
      </c>
      <c r="BJ271" s="168">
        <v>0</v>
      </c>
      <c r="BK271" s="168">
        <v>0</v>
      </c>
      <c r="BL271" s="168">
        <v>0</v>
      </c>
      <c r="BM271" s="168">
        <v>0</v>
      </c>
      <c r="BN271" s="168">
        <v>0</v>
      </c>
      <c r="BO271" s="168">
        <v>0</v>
      </c>
      <c r="BP271" s="168">
        <v>0</v>
      </c>
      <c r="BQ271" s="168">
        <v>0</v>
      </c>
      <c r="BR271" s="168">
        <v>0</v>
      </c>
      <c r="BS271" s="168">
        <v>0</v>
      </c>
      <c r="BT271" s="168">
        <v>0</v>
      </c>
      <c r="BU271" s="168">
        <v>0</v>
      </c>
      <c r="BV271" s="168">
        <v>0</v>
      </c>
      <c r="BW271" s="168">
        <v>0</v>
      </c>
      <c r="BX271" s="168">
        <v>0</v>
      </c>
      <c r="BY271" s="168">
        <v>0</v>
      </c>
      <c r="BZ271" s="168">
        <v>0</v>
      </c>
      <c r="CA271" s="168">
        <v>0</v>
      </c>
      <c r="CB271" s="168">
        <v>0</v>
      </c>
      <c r="CC271" s="168">
        <v>0</v>
      </c>
      <c r="CD271" s="168">
        <v>0</v>
      </c>
      <c r="CE271" s="168">
        <v>0</v>
      </c>
      <c r="CF271" s="168">
        <v>0</v>
      </c>
      <c r="CG271" s="168">
        <v>0</v>
      </c>
      <c r="CH271" s="168">
        <v>0</v>
      </c>
      <c r="CI271" s="168">
        <v>0</v>
      </c>
      <c r="CJ271" s="168">
        <v>0</v>
      </c>
      <c r="CK271" s="168">
        <v>0</v>
      </c>
      <c r="CL271" s="168">
        <v>0</v>
      </c>
      <c r="CM271" s="168">
        <v>0</v>
      </c>
      <c r="CN271" s="168">
        <v>0</v>
      </c>
      <c r="CO271" s="168">
        <v>0</v>
      </c>
    </row>
    <row r="272" spans="1:93" x14ac:dyDescent="0.2">
      <c r="A272" s="118">
        <f t="shared" si="33"/>
        <v>7</v>
      </c>
      <c r="B272" s="226" t="s">
        <v>546</v>
      </c>
      <c r="C272" s="223"/>
      <c r="D272" s="168"/>
      <c r="E272" s="225"/>
      <c r="F272" s="183"/>
      <c r="G272" s="233"/>
      <c r="H272" s="174"/>
      <c r="I272" s="229"/>
      <c r="J272" s="168"/>
      <c r="K272" s="225"/>
      <c r="L272" s="183"/>
      <c r="M272" s="233"/>
      <c r="N272" s="174"/>
      <c r="O272" s="227"/>
      <c r="P272" s="227"/>
      <c r="Q272" s="1022"/>
      <c r="R272" s="227"/>
      <c r="S272" s="227"/>
      <c r="T272" s="227"/>
      <c r="U272" s="178"/>
      <c r="V272" s="179"/>
      <c r="W272" s="180"/>
      <c r="X272" s="227"/>
      <c r="Y272" s="178"/>
      <c r="Z272" s="181"/>
      <c r="AA272" s="227"/>
      <c r="AB272" s="227"/>
    </row>
    <row r="273" spans="1:93" x14ac:dyDescent="0.2">
      <c r="A273" s="118">
        <f t="shared" si="33"/>
        <v>8</v>
      </c>
      <c r="B273" s="234" t="s">
        <v>149</v>
      </c>
      <c r="C273" s="223"/>
      <c r="D273" s="172">
        <f>SUMIF($AH$6:$CP$6,1,$AH273:$CP273)</f>
        <v>0</v>
      </c>
      <c r="E273" s="225" t="s">
        <v>545</v>
      </c>
      <c r="F273" s="183">
        <v>117.17</v>
      </c>
      <c r="G273" s="233" t="s">
        <v>375</v>
      </c>
      <c r="H273" s="174">
        <f>ROUND(D273*F273,2)</f>
        <v>0</v>
      </c>
      <c r="I273" s="229"/>
      <c r="J273" s="172">
        <f>SUMIF($AH$6:$CP$6,1,$AH273:$CP273)</f>
        <v>0</v>
      </c>
      <c r="K273" s="225" t="s">
        <v>545</v>
      </c>
      <c r="L273" s="183">
        <f>L269</f>
        <v>119.69</v>
      </c>
      <c r="M273" s="233" t="s">
        <v>375</v>
      </c>
      <c r="N273" s="174">
        <f>ROUND(J273*L273,2)</f>
        <v>0</v>
      </c>
      <c r="O273" s="227"/>
      <c r="P273" s="227"/>
      <c r="Q273" s="1022"/>
      <c r="R273" s="289"/>
      <c r="S273" s="230"/>
      <c r="T273" s="227"/>
      <c r="U273" s="178" t="s">
        <v>614</v>
      </c>
      <c r="V273" s="179">
        <v>249</v>
      </c>
      <c r="W273" s="180">
        <v>223</v>
      </c>
      <c r="X273" s="227"/>
      <c r="Y273" s="178"/>
      <c r="Z273" s="181"/>
      <c r="AA273" s="227"/>
      <c r="AB273" s="182">
        <f>SUM(AH273:AS273)</f>
        <v>0</v>
      </c>
      <c r="AC273" s="182">
        <f>SUM(AT273:BE273)</f>
        <v>0</v>
      </c>
      <c r="AD273" s="182">
        <f>SUM(BF273:BQ273)</f>
        <v>0</v>
      </c>
      <c r="AE273" s="182">
        <f>SUM(BR273:CC273)</f>
        <v>0</v>
      </c>
      <c r="AF273" s="182">
        <f>SUM(CD273:CO273)</f>
        <v>0</v>
      </c>
      <c r="AH273" s="168">
        <v>0</v>
      </c>
      <c r="AI273" s="168">
        <v>0</v>
      </c>
      <c r="AJ273" s="168">
        <v>0</v>
      </c>
      <c r="AK273" s="168">
        <v>0</v>
      </c>
      <c r="AL273" s="168">
        <v>0</v>
      </c>
      <c r="AM273" s="168">
        <v>0</v>
      </c>
      <c r="AN273" s="168">
        <v>0</v>
      </c>
      <c r="AO273" s="168">
        <v>0</v>
      </c>
      <c r="AP273" s="168">
        <v>0</v>
      </c>
      <c r="AQ273" s="168">
        <v>0</v>
      </c>
      <c r="AR273" s="168">
        <v>0</v>
      </c>
      <c r="AS273" s="168">
        <v>0</v>
      </c>
      <c r="AT273" s="168">
        <v>0</v>
      </c>
      <c r="AU273" s="168">
        <v>0</v>
      </c>
      <c r="AV273" s="168">
        <v>0</v>
      </c>
      <c r="AW273" s="168">
        <v>0</v>
      </c>
      <c r="AX273" s="168">
        <v>0</v>
      </c>
      <c r="AY273" s="168">
        <v>0</v>
      </c>
      <c r="AZ273" s="168">
        <v>0</v>
      </c>
      <c r="BA273" s="168">
        <v>0</v>
      </c>
      <c r="BB273" s="168">
        <v>0</v>
      </c>
      <c r="BC273" s="168">
        <v>0</v>
      </c>
      <c r="BD273" s="168">
        <v>0</v>
      </c>
      <c r="BE273" s="168">
        <v>0</v>
      </c>
      <c r="BF273" s="168">
        <v>0</v>
      </c>
      <c r="BG273" s="168">
        <v>0</v>
      </c>
      <c r="BH273" s="168">
        <v>0</v>
      </c>
      <c r="BI273" s="168">
        <v>0</v>
      </c>
      <c r="BJ273" s="168">
        <v>0</v>
      </c>
      <c r="BK273" s="168">
        <v>0</v>
      </c>
      <c r="BL273" s="168">
        <v>0</v>
      </c>
      <c r="BM273" s="168">
        <v>0</v>
      </c>
      <c r="BN273" s="168">
        <v>0</v>
      </c>
      <c r="BO273" s="168">
        <v>0</v>
      </c>
      <c r="BP273" s="168">
        <v>0</v>
      </c>
      <c r="BQ273" s="168">
        <v>0</v>
      </c>
      <c r="BR273" s="168">
        <v>0</v>
      </c>
      <c r="BS273" s="168">
        <v>0</v>
      </c>
      <c r="BT273" s="168">
        <v>0</v>
      </c>
      <c r="BU273" s="168">
        <v>0</v>
      </c>
      <c r="BV273" s="168">
        <v>0</v>
      </c>
      <c r="BW273" s="168">
        <v>0</v>
      </c>
      <c r="BX273" s="168">
        <v>0</v>
      </c>
      <c r="BY273" s="168">
        <v>0</v>
      </c>
      <c r="BZ273" s="168">
        <v>0</v>
      </c>
      <c r="CA273" s="168">
        <v>0</v>
      </c>
      <c r="CB273" s="168">
        <v>0</v>
      </c>
      <c r="CC273" s="168">
        <v>0</v>
      </c>
      <c r="CD273" s="168">
        <v>0</v>
      </c>
      <c r="CE273" s="168">
        <v>0</v>
      </c>
      <c r="CF273" s="168">
        <v>0</v>
      </c>
      <c r="CG273" s="168">
        <v>0</v>
      </c>
      <c r="CH273" s="168">
        <v>0</v>
      </c>
      <c r="CI273" s="168">
        <v>0</v>
      </c>
      <c r="CJ273" s="168">
        <v>0</v>
      </c>
      <c r="CK273" s="168">
        <v>0</v>
      </c>
      <c r="CL273" s="168">
        <v>0</v>
      </c>
      <c r="CM273" s="168">
        <v>0</v>
      </c>
      <c r="CN273" s="168">
        <v>0</v>
      </c>
      <c r="CO273" s="168">
        <v>0</v>
      </c>
    </row>
    <row r="274" spans="1:93" x14ac:dyDescent="0.2">
      <c r="A274" s="118">
        <f t="shared" si="33"/>
        <v>9</v>
      </c>
      <c r="B274" s="234" t="s">
        <v>148</v>
      </c>
      <c r="C274" s="223"/>
      <c r="D274" s="172">
        <f>SUMIF($AH$6:$CP$6,1,$AH274:$CP274)</f>
        <v>32.734066752967493</v>
      </c>
      <c r="E274" s="225" t="s">
        <v>545</v>
      </c>
      <c r="F274" s="183">
        <v>325.3</v>
      </c>
      <c r="G274" s="233" t="s">
        <v>375</v>
      </c>
      <c r="H274" s="174">
        <f>ROUND(D274*F274,2)</f>
        <v>10648.39</v>
      </c>
      <c r="I274" s="229"/>
      <c r="J274" s="172">
        <f>SUMIF($AH$6:$CP$6,1,$AH274:$CP274)</f>
        <v>32.734066752967493</v>
      </c>
      <c r="K274" s="225" t="s">
        <v>545</v>
      </c>
      <c r="L274" s="183">
        <f t="shared" ref="L274:L275" si="34">L270</f>
        <v>332.29</v>
      </c>
      <c r="M274" s="233" t="s">
        <v>375</v>
      </c>
      <c r="N274" s="174">
        <f>ROUND(J274*L274,2)</f>
        <v>10877.2</v>
      </c>
      <c r="O274" s="227"/>
      <c r="P274" s="176"/>
      <c r="Q274" s="1022"/>
      <c r="R274" s="259"/>
      <c r="S274" s="259"/>
      <c r="T274" s="227"/>
      <c r="U274" s="178" t="s">
        <v>614</v>
      </c>
      <c r="V274" s="179">
        <v>249</v>
      </c>
      <c r="W274" s="180">
        <v>223</v>
      </c>
      <c r="X274" s="227"/>
      <c r="Y274" s="178"/>
      <c r="Z274" s="181"/>
      <c r="AA274" s="227"/>
      <c r="AB274" s="182">
        <f>SUM(AH274:AS274)</f>
        <v>32.18020105691209</v>
      </c>
      <c r="AC274" s="182">
        <f>SUM(AT274:BE274)</f>
        <v>32.383702063243454</v>
      </c>
      <c r="AD274" s="182">
        <f>SUM(BF274:BQ274)</f>
        <v>32.541818639598112</v>
      </c>
      <c r="AE274" s="182">
        <f>SUM(BR274:CC274)</f>
        <v>32.734066752967493</v>
      </c>
      <c r="AF274" s="182">
        <f>SUM(CD274:CO274)</f>
        <v>32.96478390591983</v>
      </c>
      <c r="AH274" s="168">
        <v>2.6659849926520991</v>
      </c>
      <c r="AI274" s="168">
        <v>7.2423755331803905</v>
      </c>
      <c r="AJ274" s="168">
        <v>5.560306951417239</v>
      </c>
      <c r="AK274" s="168">
        <v>4.7639045031467377</v>
      </c>
      <c r="AL274" s="168">
        <v>2.1007870707417999</v>
      </c>
      <c r="AM274" s="168">
        <v>1.2647844503424452</v>
      </c>
      <c r="AN274" s="168">
        <v>1.3072551966023602</v>
      </c>
      <c r="AO274" s="168">
        <v>2.1217420753340832</v>
      </c>
      <c r="AP274" s="168">
        <v>1.7174550960166175</v>
      </c>
      <c r="AQ274" s="168">
        <v>1.2732333863577783</v>
      </c>
      <c r="AR274" s="168">
        <v>0.88814282228127184</v>
      </c>
      <c r="AS274" s="168">
        <v>1.2742289788392724</v>
      </c>
      <c r="AT274" s="168">
        <v>2.6739197455378458</v>
      </c>
      <c r="AU274" s="168">
        <v>7.3257489923462158</v>
      </c>
      <c r="AV274" s="168">
        <v>5.6199522271493967</v>
      </c>
      <c r="AW274" s="168">
        <v>4.8076729126417224</v>
      </c>
      <c r="AX274" s="168">
        <v>2.1129226250351039</v>
      </c>
      <c r="AY274" s="168">
        <v>1.2644129574150242</v>
      </c>
      <c r="AZ274" s="168">
        <v>1.3058319905735967</v>
      </c>
      <c r="BA274" s="168">
        <v>2.1312667102511385</v>
      </c>
      <c r="BB274" s="168">
        <v>1.7203532940430935</v>
      </c>
      <c r="BC274" s="168">
        <v>1.2696110432850207</v>
      </c>
      <c r="BD274" s="168">
        <v>0.88233304470163887</v>
      </c>
      <c r="BE274" s="168">
        <v>1.26967652026365</v>
      </c>
      <c r="BF274" s="168">
        <v>2.6786832143021506</v>
      </c>
      <c r="BG274" s="168">
        <v>7.4021089452075914</v>
      </c>
      <c r="BH274" s="168">
        <v>5.6804442121017251</v>
      </c>
      <c r="BI274" s="168">
        <v>4.8443501010574188</v>
      </c>
      <c r="BJ274" s="168">
        <v>2.1191306712399003</v>
      </c>
      <c r="BK274" s="168">
        <v>1.2588425239727026</v>
      </c>
      <c r="BL274" s="168">
        <v>1.2997406762105876</v>
      </c>
      <c r="BM274" s="168">
        <v>2.1370191795052205</v>
      </c>
      <c r="BN274" s="168">
        <v>1.7200127696698684</v>
      </c>
      <c r="BO274" s="168">
        <v>1.2633744085877729</v>
      </c>
      <c r="BP274" s="168">
        <v>0.87446123701621581</v>
      </c>
      <c r="BQ274" s="168">
        <v>1.2636507007269608</v>
      </c>
      <c r="BR274" s="168">
        <v>2.6822577242806158</v>
      </c>
      <c r="BS274" s="168">
        <v>7.4787837626297726</v>
      </c>
      <c r="BT274" s="168">
        <v>5.740915347310076</v>
      </c>
      <c r="BU274" s="168">
        <v>4.8825837364053726</v>
      </c>
      <c r="BV274" s="168">
        <v>2.1273396366061244</v>
      </c>
      <c r="BW274" s="168">
        <v>1.2557166361286241</v>
      </c>
      <c r="BX274" s="168">
        <v>1.296780031977619</v>
      </c>
      <c r="BY274" s="168">
        <v>2.146487970076314</v>
      </c>
      <c r="BZ274" s="168">
        <v>1.7242494283447551</v>
      </c>
      <c r="CA274" s="168">
        <v>1.2623935871550862</v>
      </c>
      <c r="CB274" s="168">
        <v>0.87308993177390404</v>
      </c>
      <c r="CC274" s="168">
        <v>1.2634689602792333</v>
      </c>
      <c r="CD274" s="168">
        <v>2.6980979304791868</v>
      </c>
      <c r="CE274" s="168">
        <v>7.5602995619101119</v>
      </c>
      <c r="CF274" s="168">
        <v>5.8008820797488569</v>
      </c>
      <c r="CG274" s="168">
        <v>4.9245785660380328</v>
      </c>
      <c r="CH274" s="168">
        <v>2.1390001432830634</v>
      </c>
      <c r="CI274" s="168">
        <v>1.2560188724588222</v>
      </c>
      <c r="CJ274" s="168">
        <v>1.2972525211360753</v>
      </c>
      <c r="CK274" s="168">
        <v>2.1586288303876802</v>
      </c>
      <c r="CL274" s="168">
        <v>1.7306013358736443</v>
      </c>
      <c r="CM274" s="168">
        <v>1.2627488468415311</v>
      </c>
      <c r="CN274" s="168">
        <v>0.87271077852360279</v>
      </c>
      <c r="CO274" s="168">
        <v>1.2639644392392211</v>
      </c>
    </row>
    <row r="275" spans="1:93" x14ac:dyDescent="0.2">
      <c r="A275" s="118">
        <f t="shared" si="33"/>
        <v>10</v>
      </c>
      <c r="B275" s="234" t="s">
        <v>216</v>
      </c>
      <c r="C275" s="223"/>
      <c r="D275" s="172">
        <f>SUMIF($AH$6:$CP$6,1,$AH275:$CP275)</f>
        <v>0</v>
      </c>
      <c r="E275" s="225" t="s">
        <v>545</v>
      </c>
      <c r="F275" s="183">
        <v>1214.08</v>
      </c>
      <c r="G275" s="233" t="s">
        <v>375</v>
      </c>
      <c r="H275" s="187">
        <f>ROUND(D275*F275,2)</f>
        <v>0</v>
      </c>
      <c r="I275" s="229"/>
      <c r="J275" s="172">
        <f>SUMIF($AH$6:$CP$6,1,$AH275:$CP275)</f>
        <v>0</v>
      </c>
      <c r="K275" s="225" t="s">
        <v>545</v>
      </c>
      <c r="L275" s="183">
        <f t="shared" si="34"/>
        <v>1240.17</v>
      </c>
      <c r="M275" s="233" t="s">
        <v>375</v>
      </c>
      <c r="N275" s="187">
        <f>ROUND(J275*L275,2)</f>
        <v>0</v>
      </c>
      <c r="O275" s="227"/>
      <c r="P275" s="227"/>
      <c r="Q275" s="227"/>
      <c r="R275" s="288"/>
      <c r="S275" s="227"/>
      <c r="T275" s="227"/>
      <c r="U275" s="178" t="s">
        <v>614</v>
      </c>
      <c r="V275" s="179">
        <v>249</v>
      </c>
      <c r="W275" s="180">
        <v>223</v>
      </c>
      <c r="X275" s="227"/>
      <c r="Y275" s="178"/>
      <c r="Z275" s="181"/>
      <c r="AA275" s="227"/>
      <c r="AB275" s="182">
        <f>SUM(AH275:AS275)</f>
        <v>0</v>
      </c>
      <c r="AC275" s="182">
        <f>SUM(AT275:BE275)</f>
        <v>0</v>
      </c>
      <c r="AD275" s="182">
        <f>SUM(BF275:BQ275)</f>
        <v>0</v>
      </c>
      <c r="AE275" s="182">
        <f>SUM(BR275:CC275)</f>
        <v>0</v>
      </c>
      <c r="AF275" s="182">
        <f>SUM(CD275:CO275)</f>
        <v>0</v>
      </c>
      <c r="AH275" s="168">
        <v>0</v>
      </c>
      <c r="AI275" s="168">
        <v>0</v>
      </c>
      <c r="AJ275" s="168">
        <v>0</v>
      </c>
      <c r="AK275" s="168">
        <v>0</v>
      </c>
      <c r="AL275" s="168">
        <v>0</v>
      </c>
      <c r="AM275" s="168">
        <v>0</v>
      </c>
      <c r="AN275" s="168">
        <v>0</v>
      </c>
      <c r="AO275" s="168">
        <v>0</v>
      </c>
      <c r="AP275" s="168">
        <v>0</v>
      </c>
      <c r="AQ275" s="168">
        <v>0</v>
      </c>
      <c r="AR275" s="168">
        <v>0</v>
      </c>
      <c r="AS275" s="168">
        <v>0</v>
      </c>
      <c r="AT275" s="168">
        <v>0</v>
      </c>
      <c r="AU275" s="168">
        <v>0</v>
      </c>
      <c r="AV275" s="168">
        <v>0</v>
      </c>
      <c r="AW275" s="168">
        <v>0</v>
      </c>
      <c r="AX275" s="168">
        <v>0</v>
      </c>
      <c r="AY275" s="168">
        <v>0</v>
      </c>
      <c r="AZ275" s="168">
        <v>0</v>
      </c>
      <c r="BA275" s="168">
        <v>0</v>
      </c>
      <c r="BB275" s="168">
        <v>0</v>
      </c>
      <c r="BC275" s="168">
        <v>0</v>
      </c>
      <c r="BD275" s="168">
        <v>0</v>
      </c>
      <c r="BE275" s="168">
        <v>0</v>
      </c>
      <c r="BF275" s="168">
        <v>0</v>
      </c>
      <c r="BG275" s="168">
        <v>0</v>
      </c>
      <c r="BH275" s="168">
        <v>0</v>
      </c>
      <c r="BI275" s="168">
        <v>0</v>
      </c>
      <c r="BJ275" s="168">
        <v>0</v>
      </c>
      <c r="BK275" s="168">
        <v>0</v>
      </c>
      <c r="BL275" s="168">
        <v>0</v>
      </c>
      <c r="BM275" s="168">
        <v>0</v>
      </c>
      <c r="BN275" s="168">
        <v>0</v>
      </c>
      <c r="BO275" s="168">
        <v>0</v>
      </c>
      <c r="BP275" s="168">
        <v>0</v>
      </c>
      <c r="BQ275" s="168">
        <v>0</v>
      </c>
      <c r="BR275" s="168">
        <v>0</v>
      </c>
      <c r="BS275" s="168">
        <v>0</v>
      </c>
      <c r="BT275" s="168">
        <v>0</v>
      </c>
      <c r="BU275" s="168">
        <v>0</v>
      </c>
      <c r="BV275" s="168">
        <v>0</v>
      </c>
      <c r="BW275" s="168">
        <v>0</v>
      </c>
      <c r="BX275" s="168">
        <v>0</v>
      </c>
      <c r="BY275" s="168">
        <v>0</v>
      </c>
      <c r="BZ275" s="168">
        <v>0</v>
      </c>
      <c r="CA275" s="168">
        <v>0</v>
      </c>
      <c r="CB275" s="168">
        <v>0</v>
      </c>
      <c r="CC275" s="168">
        <v>0</v>
      </c>
      <c r="CD275" s="168">
        <v>0</v>
      </c>
      <c r="CE275" s="168">
        <v>0</v>
      </c>
      <c r="CF275" s="168">
        <v>0</v>
      </c>
      <c r="CG275" s="168">
        <v>0</v>
      </c>
      <c r="CH275" s="168">
        <v>0</v>
      </c>
      <c r="CI275" s="168">
        <v>0</v>
      </c>
      <c r="CJ275" s="168">
        <v>0</v>
      </c>
      <c r="CK275" s="168">
        <v>0</v>
      </c>
      <c r="CL275" s="168">
        <v>0</v>
      </c>
      <c r="CM275" s="168">
        <v>0</v>
      </c>
      <c r="CN275" s="168">
        <v>0</v>
      </c>
      <c r="CO275" s="168">
        <v>0</v>
      </c>
    </row>
    <row r="276" spans="1:93" x14ac:dyDescent="0.2">
      <c r="A276" s="118">
        <f t="shared" si="33"/>
        <v>11</v>
      </c>
      <c r="B276" s="226"/>
      <c r="C276" s="223" t="s">
        <v>374</v>
      </c>
      <c r="D276" s="204">
        <f>SUM(D269:D275)</f>
        <v>72.207500190369473</v>
      </c>
      <c r="E276" s="237" t="s">
        <v>550</v>
      </c>
      <c r="F276" s="183"/>
      <c r="G276" s="233"/>
      <c r="H276" s="206">
        <f>SUM(H269:H271)+SUM(H273:H275)</f>
        <v>22086.43</v>
      </c>
      <c r="I276" s="229"/>
      <c r="J276" s="204">
        <f>SUM(J269:J275)</f>
        <v>72.207500190369473</v>
      </c>
      <c r="K276" s="237" t="s">
        <v>550</v>
      </c>
      <c r="L276" s="183"/>
      <c r="M276" s="233"/>
      <c r="N276" s="206">
        <f>SUM(N269:N271)+SUM(N273:N275)</f>
        <v>22561.03</v>
      </c>
      <c r="O276" s="227"/>
      <c r="Q276" s="1022"/>
      <c r="R276" s="227"/>
      <c r="S276" s="227"/>
      <c r="T276" s="227"/>
      <c r="U276" s="178"/>
      <c r="V276" s="179"/>
      <c r="W276" s="180"/>
      <c r="X276" s="227"/>
      <c r="Y276" s="178" t="s">
        <v>613</v>
      </c>
      <c r="Z276" s="181" t="s">
        <v>451</v>
      </c>
      <c r="AA276" s="227"/>
      <c r="AB276" s="204">
        <f>SUM(AB269:AB275)</f>
        <v>70.985737625541375</v>
      </c>
      <c r="AC276" s="204">
        <f>SUM(AC269:AC275)</f>
        <v>71.434636904213491</v>
      </c>
      <c r="AD276" s="204">
        <f>SUM(AD269:AD275)</f>
        <v>71.783423469701717</v>
      </c>
      <c r="AE276" s="204">
        <f>SUM(AE269:AE275)</f>
        <v>72.207500190369473</v>
      </c>
      <c r="AF276" s="204">
        <f>SUM(AF269:AF275)</f>
        <v>72.71643508658785</v>
      </c>
      <c r="AH276" s="204">
        <f t="shared" ref="AH276:CO276" si="35">SUM(AH269:AH275)</f>
        <v>5.8808492484972774</v>
      </c>
      <c r="AI276" s="204">
        <f t="shared" si="35"/>
        <v>15.975828382015568</v>
      </c>
      <c r="AJ276" s="204">
        <f t="shared" si="35"/>
        <v>12.265382981067438</v>
      </c>
      <c r="AK276" s="204">
        <f t="shared" si="35"/>
        <v>10.508612874588392</v>
      </c>
      <c r="AL276" s="204">
        <f t="shared" si="35"/>
        <v>4.634089126636324</v>
      </c>
      <c r="AM276" s="204">
        <f t="shared" si="35"/>
        <v>2.7899656992848052</v>
      </c>
      <c r="AN276" s="204">
        <f t="shared" si="35"/>
        <v>2.8836511689757947</v>
      </c>
      <c r="AO276" s="204">
        <f t="shared" si="35"/>
        <v>4.6803134014722421</v>
      </c>
      <c r="AP276" s="204">
        <f t="shared" si="35"/>
        <v>3.7885038882719497</v>
      </c>
      <c r="AQ276" s="204">
        <f t="shared" si="35"/>
        <v>2.8086030581421575</v>
      </c>
      <c r="AR276" s="204">
        <f t="shared" si="35"/>
        <v>1.9591385785616291</v>
      </c>
      <c r="AS276" s="204">
        <f t="shared" si="35"/>
        <v>2.8107992180278067</v>
      </c>
      <c r="AT276" s="204">
        <f t="shared" si="35"/>
        <v>5.8983523798628958</v>
      </c>
      <c r="AU276" s="204">
        <f t="shared" si="35"/>
        <v>16.159740424293123</v>
      </c>
      <c r="AV276" s="204">
        <f t="shared" si="35"/>
        <v>12.396953442241315</v>
      </c>
      <c r="AW276" s="204">
        <f t="shared" si="35"/>
        <v>10.605160836709681</v>
      </c>
      <c r="AX276" s="204">
        <f t="shared" si="35"/>
        <v>4.6608587316950825</v>
      </c>
      <c r="AY276" s="204">
        <f t="shared" si="35"/>
        <v>2.7891462295919651</v>
      </c>
      <c r="AZ276" s="204">
        <f t="shared" si="35"/>
        <v>2.8805117439123453</v>
      </c>
      <c r="BA276" s="204">
        <f t="shared" si="35"/>
        <v>4.7013236255539814</v>
      </c>
      <c r="BB276" s="204">
        <f t="shared" si="35"/>
        <v>3.7948969721538823</v>
      </c>
      <c r="BC276" s="204">
        <f t="shared" si="35"/>
        <v>2.8006125954816632</v>
      </c>
      <c r="BD276" s="204">
        <f t="shared" si="35"/>
        <v>1.9463228927242033</v>
      </c>
      <c r="BE276" s="204">
        <f t="shared" si="35"/>
        <v>2.8007570299933455</v>
      </c>
      <c r="BF276" s="204">
        <f t="shared" si="35"/>
        <v>5.9088600315488611</v>
      </c>
      <c r="BG276" s="204">
        <f t="shared" si="35"/>
        <v>16.32818149678145</v>
      </c>
      <c r="BH276" s="204">
        <f t="shared" si="35"/>
        <v>12.530391644342039</v>
      </c>
      <c r="BI276" s="204">
        <f t="shared" si="35"/>
        <v>10.686066399391365</v>
      </c>
      <c r="BJ276" s="204">
        <f t="shared" si="35"/>
        <v>4.6745529512644861</v>
      </c>
      <c r="BK276" s="204">
        <f t="shared" si="35"/>
        <v>2.7768585087633144</v>
      </c>
      <c r="BL276" s="204">
        <f t="shared" si="35"/>
        <v>2.8670750210527669</v>
      </c>
      <c r="BM276" s="204">
        <f t="shared" si="35"/>
        <v>4.7140128959673975</v>
      </c>
      <c r="BN276" s="204">
        <f t="shared" si="35"/>
        <v>3.7941458154482386</v>
      </c>
      <c r="BO276" s="204">
        <f t="shared" si="35"/>
        <v>2.7868553130612637</v>
      </c>
      <c r="BP276" s="204">
        <f t="shared" si="35"/>
        <v>1.9289586110651817</v>
      </c>
      <c r="BQ276" s="204">
        <f t="shared" si="35"/>
        <v>2.7874647810153546</v>
      </c>
      <c r="BR276" s="204">
        <f t="shared" si="35"/>
        <v>5.9167449800307708</v>
      </c>
      <c r="BS276" s="204">
        <f t="shared" si="35"/>
        <v>16.497317123448028</v>
      </c>
      <c r="BT276" s="204">
        <f t="shared" si="35"/>
        <v>12.66378385436046</v>
      </c>
      <c r="BU276" s="204">
        <f t="shared" si="35"/>
        <v>10.770405300894204</v>
      </c>
      <c r="BV276" s="204">
        <f t="shared" si="35"/>
        <v>4.6926609631017451</v>
      </c>
      <c r="BW276" s="204">
        <f t="shared" si="35"/>
        <v>2.7699631679307881</v>
      </c>
      <c r="BX276" s="204">
        <f t="shared" si="35"/>
        <v>2.8605441881859242</v>
      </c>
      <c r="BY276" s="204">
        <f t="shared" si="35"/>
        <v>4.7348999339918691</v>
      </c>
      <c r="BZ276" s="204">
        <f t="shared" si="35"/>
        <v>3.8034913860546071</v>
      </c>
      <c r="CA276" s="204">
        <f t="shared" si="35"/>
        <v>2.7846917363715131</v>
      </c>
      <c r="CB276" s="204">
        <f t="shared" si="35"/>
        <v>1.9259336730306704</v>
      </c>
      <c r="CC276" s="204">
        <f t="shared" si="35"/>
        <v>2.787063882968897</v>
      </c>
      <c r="CD276" s="204">
        <f t="shared" si="35"/>
        <v>5.9516866113511462</v>
      </c>
      <c r="CE276" s="204">
        <f t="shared" si="35"/>
        <v>16.677131386566423</v>
      </c>
      <c r="CF276" s="204">
        <f t="shared" si="35"/>
        <v>12.796063411210714</v>
      </c>
      <c r="CG276" s="204">
        <f t="shared" si="35"/>
        <v>10.863040954495659</v>
      </c>
      <c r="CH276" s="204">
        <f t="shared" si="35"/>
        <v>4.7183826690067576</v>
      </c>
      <c r="CI276" s="204">
        <f t="shared" si="35"/>
        <v>2.7706298657179897</v>
      </c>
      <c r="CJ276" s="204">
        <f t="shared" si="35"/>
        <v>2.8615864436825187</v>
      </c>
      <c r="CK276" s="204">
        <f t="shared" si="35"/>
        <v>4.7616812435022355</v>
      </c>
      <c r="CL276" s="204">
        <f t="shared" si="35"/>
        <v>3.8175029467800972</v>
      </c>
      <c r="CM276" s="204">
        <f t="shared" si="35"/>
        <v>2.7854753974445536</v>
      </c>
      <c r="CN276" s="204">
        <f t="shared" si="35"/>
        <v>1.9250973055667708</v>
      </c>
      <c r="CO276" s="204">
        <f t="shared" si="35"/>
        <v>2.7881568512629875</v>
      </c>
    </row>
    <row r="277" spans="1:93" x14ac:dyDescent="0.2">
      <c r="A277" s="118">
        <f t="shared" si="33"/>
        <v>12</v>
      </c>
      <c r="B277" s="226"/>
      <c r="C277" s="223"/>
      <c r="D277" s="168"/>
      <c r="E277" s="237"/>
      <c r="F277" s="183"/>
      <c r="G277" s="233"/>
      <c r="H277" s="203"/>
      <c r="I277" s="229"/>
      <c r="J277" s="168"/>
      <c r="K277" s="237"/>
      <c r="L277" s="183"/>
      <c r="M277" s="233"/>
      <c r="N277" s="203"/>
      <c r="O277" s="227"/>
      <c r="R277" s="227"/>
      <c r="S277" s="106"/>
      <c r="T277" s="227"/>
      <c r="U277" s="178"/>
      <c r="V277" s="179"/>
      <c r="W277" s="180"/>
      <c r="X277" s="227"/>
      <c r="Y277" s="178"/>
      <c r="Z277" s="181"/>
      <c r="AA277" s="227"/>
      <c r="AB277" s="193">
        <f>SUM(AH277:AS277)</f>
        <v>0</v>
      </c>
      <c r="AC277" s="193">
        <f>SUM(AT277:BE277)</f>
        <v>0</v>
      </c>
      <c r="AD277" s="193">
        <f>SUM(BF277:BQ277)</f>
        <v>0</v>
      </c>
      <c r="AE277" s="193">
        <f>SUM(BR277:CC277)</f>
        <v>0</v>
      </c>
      <c r="AF277" s="193">
        <f>SUM(CD277:CO277)</f>
        <v>0</v>
      </c>
      <c r="AG277" s="114"/>
      <c r="AH277" s="193">
        <v>0</v>
      </c>
      <c r="AI277" s="193">
        <v>0</v>
      </c>
      <c r="AJ277" s="193">
        <v>0</v>
      </c>
      <c r="AK277" s="193">
        <v>0</v>
      </c>
      <c r="AL277" s="193">
        <v>0</v>
      </c>
      <c r="AM277" s="193">
        <v>0</v>
      </c>
      <c r="AN277" s="193">
        <v>0</v>
      </c>
      <c r="AO277" s="193">
        <v>0</v>
      </c>
      <c r="AP277" s="193">
        <v>0</v>
      </c>
      <c r="AQ277" s="193">
        <v>0</v>
      </c>
      <c r="AR277" s="193">
        <v>0</v>
      </c>
      <c r="AS277" s="193">
        <v>0</v>
      </c>
      <c r="AT277" s="193">
        <v>0</v>
      </c>
      <c r="AU277" s="193">
        <v>0</v>
      </c>
      <c r="AV277" s="193">
        <v>0</v>
      </c>
      <c r="AW277" s="193">
        <v>0</v>
      </c>
      <c r="AX277" s="193">
        <v>0</v>
      </c>
      <c r="AY277" s="193">
        <v>0</v>
      </c>
      <c r="AZ277" s="193">
        <v>0</v>
      </c>
      <c r="BA277" s="193">
        <v>0</v>
      </c>
      <c r="BB277" s="193">
        <v>0</v>
      </c>
      <c r="BC277" s="193">
        <v>0</v>
      </c>
      <c r="BD277" s="193">
        <v>0</v>
      </c>
      <c r="BE277" s="193">
        <v>0</v>
      </c>
      <c r="BF277" s="193">
        <v>0</v>
      </c>
      <c r="BG277" s="193">
        <v>0</v>
      </c>
      <c r="BH277" s="193">
        <v>0</v>
      </c>
      <c r="BI277" s="193">
        <v>0</v>
      </c>
      <c r="BJ277" s="193">
        <v>0</v>
      </c>
      <c r="BK277" s="193">
        <v>0</v>
      </c>
      <c r="BL277" s="193">
        <v>0</v>
      </c>
      <c r="BM277" s="193">
        <v>0</v>
      </c>
      <c r="BN277" s="193">
        <v>0</v>
      </c>
      <c r="BO277" s="193">
        <v>0</v>
      </c>
      <c r="BP277" s="193">
        <v>0</v>
      </c>
      <c r="BQ277" s="193">
        <v>0</v>
      </c>
      <c r="BR277" s="193">
        <v>0</v>
      </c>
      <c r="BS277" s="193">
        <v>0</v>
      </c>
      <c r="BT277" s="193">
        <v>0</v>
      </c>
      <c r="BU277" s="193">
        <v>0</v>
      </c>
      <c r="BV277" s="193">
        <v>0</v>
      </c>
      <c r="BW277" s="193">
        <v>0</v>
      </c>
      <c r="BX277" s="193">
        <v>0</v>
      </c>
      <c r="BY277" s="193">
        <v>0</v>
      </c>
      <c r="BZ277" s="193">
        <v>0</v>
      </c>
      <c r="CA277" s="193">
        <v>0</v>
      </c>
      <c r="CB277" s="193">
        <v>0</v>
      </c>
      <c r="CC277" s="193">
        <v>0</v>
      </c>
      <c r="CD277" s="193">
        <v>0</v>
      </c>
      <c r="CE277" s="193">
        <v>0</v>
      </c>
      <c r="CF277" s="193">
        <v>0</v>
      </c>
      <c r="CG277" s="193">
        <v>0</v>
      </c>
      <c r="CH277" s="193">
        <v>0</v>
      </c>
      <c r="CI277" s="193">
        <v>0</v>
      </c>
      <c r="CJ277" s="193">
        <v>0</v>
      </c>
      <c r="CK277" s="193">
        <v>0</v>
      </c>
      <c r="CL277" s="193">
        <v>0</v>
      </c>
      <c r="CM277" s="193">
        <v>0</v>
      </c>
      <c r="CN277" s="193">
        <v>0</v>
      </c>
      <c r="CO277" s="193">
        <v>0</v>
      </c>
    </row>
    <row r="278" spans="1:93" x14ac:dyDescent="0.2">
      <c r="A278" s="118">
        <f t="shared" si="33"/>
        <v>13</v>
      </c>
      <c r="B278" s="239" t="s">
        <v>594</v>
      </c>
      <c r="C278" s="223"/>
      <c r="D278" s="168"/>
      <c r="E278" s="225"/>
      <c r="F278" s="183"/>
      <c r="G278" s="233"/>
      <c r="H278" s="174"/>
      <c r="I278" s="229"/>
      <c r="J278" s="168"/>
      <c r="K278" s="225"/>
      <c r="L278" s="183"/>
      <c r="M278" s="233"/>
      <c r="N278" s="174"/>
      <c r="O278" s="227"/>
      <c r="R278" s="227"/>
      <c r="S278" s="263"/>
      <c r="T278" s="1293"/>
      <c r="U278" s="178"/>
      <c r="V278" s="179"/>
      <c r="W278" s="180"/>
      <c r="X278" s="227"/>
      <c r="Y278" s="178"/>
      <c r="Z278" s="181"/>
      <c r="AA278" s="227"/>
      <c r="AB278" s="227"/>
      <c r="AD278" s="260"/>
      <c r="AE278" s="260"/>
      <c r="AF278" s="260"/>
      <c r="AG278" s="114"/>
    </row>
    <row r="279" spans="1:93" x14ac:dyDescent="0.2">
      <c r="A279" s="118">
        <f t="shared" si="33"/>
        <v>14</v>
      </c>
      <c r="B279" s="228" t="s">
        <v>543</v>
      </c>
      <c r="C279" s="223"/>
      <c r="D279" s="168"/>
      <c r="E279" s="225"/>
      <c r="F279" s="183"/>
      <c r="G279" s="233"/>
      <c r="H279" s="174"/>
      <c r="I279" s="229"/>
      <c r="J279" s="168"/>
      <c r="K279" s="225"/>
      <c r="L279" s="310"/>
      <c r="M279" s="233"/>
      <c r="N279" s="174"/>
      <c r="O279" s="227"/>
      <c r="R279" s="227"/>
      <c r="S279" s="263"/>
      <c r="T279" s="1293"/>
      <c r="U279" s="184"/>
      <c r="V279" s="179"/>
      <c r="W279" s="180"/>
      <c r="X279" s="227"/>
      <c r="Y279" s="184"/>
      <c r="Z279" s="181"/>
      <c r="AA279" s="227"/>
      <c r="AB279" s="227"/>
      <c r="AD279" s="260"/>
      <c r="AE279" s="260"/>
      <c r="AF279" s="260"/>
      <c r="AG279" s="114"/>
    </row>
    <row r="280" spans="1:93" x14ac:dyDescent="0.2">
      <c r="A280" s="118">
        <f t="shared" si="33"/>
        <v>15</v>
      </c>
      <c r="B280" s="234" t="s">
        <v>149</v>
      </c>
      <c r="C280" s="223"/>
      <c r="D280" s="172">
        <f>SUMIF($AH$6:$CP$6,1,$AH280:$CP280)</f>
        <v>0</v>
      </c>
      <c r="E280" s="225" t="s">
        <v>596</v>
      </c>
      <c r="F280" s="183">
        <v>13.88</v>
      </c>
      <c r="G280" s="233" t="s">
        <v>375</v>
      </c>
      <c r="H280" s="174">
        <f>ROUND(D280*F280,2)</f>
        <v>0</v>
      </c>
      <c r="I280" s="229"/>
      <c r="J280" s="172">
        <f>SUMIF($AH$6:$CP$6,1,$AH280:$CP280)</f>
        <v>0</v>
      </c>
      <c r="K280" s="225" t="s">
        <v>596</v>
      </c>
      <c r="L280" s="173">
        <f>'Exhibit MJC-3 - E-13c cal yr'!L306</f>
        <v>14.53</v>
      </c>
      <c r="M280" s="233" t="s">
        <v>375</v>
      </c>
      <c r="N280" s="174">
        <f>ROUND(J280*L280,2)</f>
        <v>0</v>
      </c>
      <c r="O280" s="227"/>
      <c r="R280" s="227"/>
      <c r="S280" s="263"/>
      <c r="T280" s="927"/>
      <c r="U280" s="184" t="s">
        <v>613</v>
      </c>
      <c r="V280" s="179">
        <v>246</v>
      </c>
      <c r="W280" s="180">
        <v>220</v>
      </c>
      <c r="X280" s="227"/>
      <c r="Y280" s="184"/>
      <c r="Z280" s="181"/>
      <c r="AA280" s="227"/>
      <c r="AB280" s="182">
        <f>SUM(AH280:AS280)</f>
        <v>0</v>
      </c>
      <c r="AC280" s="182">
        <f>SUM(AT280:BE280)</f>
        <v>0</v>
      </c>
      <c r="AD280" s="182">
        <f>SUM(BF280:BQ280)</f>
        <v>0</v>
      </c>
      <c r="AE280" s="182">
        <f>SUM(BR280:CC280)</f>
        <v>0</v>
      </c>
      <c r="AF280" s="182">
        <f>SUM(CD280:CO280)</f>
        <v>0</v>
      </c>
      <c r="AH280" s="168">
        <v>0</v>
      </c>
      <c r="AI280" s="168">
        <v>0</v>
      </c>
      <c r="AJ280" s="168">
        <v>0</v>
      </c>
      <c r="AK280" s="168">
        <v>0</v>
      </c>
      <c r="AL280" s="168">
        <v>0</v>
      </c>
      <c r="AM280" s="168">
        <v>0</v>
      </c>
      <c r="AN280" s="168">
        <v>0</v>
      </c>
      <c r="AO280" s="168">
        <v>0</v>
      </c>
      <c r="AP280" s="168">
        <v>0</v>
      </c>
      <c r="AQ280" s="168">
        <v>0</v>
      </c>
      <c r="AR280" s="168">
        <v>0</v>
      </c>
      <c r="AS280" s="168">
        <v>0</v>
      </c>
      <c r="AT280" s="168">
        <v>0</v>
      </c>
      <c r="AU280" s="168">
        <v>0</v>
      </c>
      <c r="AV280" s="168">
        <v>0</v>
      </c>
      <c r="AW280" s="168">
        <v>0</v>
      </c>
      <c r="AX280" s="168">
        <v>0</v>
      </c>
      <c r="AY280" s="168">
        <v>0</v>
      </c>
      <c r="AZ280" s="168">
        <v>0</v>
      </c>
      <c r="BA280" s="168">
        <v>0</v>
      </c>
      <c r="BB280" s="168">
        <v>0</v>
      </c>
      <c r="BC280" s="168">
        <v>0</v>
      </c>
      <c r="BD280" s="168">
        <v>0</v>
      </c>
      <c r="BE280" s="168">
        <v>0</v>
      </c>
      <c r="BF280" s="168">
        <v>0</v>
      </c>
      <c r="BG280" s="168">
        <v>0</v>
      </c>
      <c r="BH280" s="168">
        <v>0</v>
      </c>
      <c r="BI280" s="168">
        <v>0</v>
      </c>
      <c r="BJ280" s="168">
        <v>0</v>
      </c>
      <c r="BK280" s="168">
        <v>0</v>
      </c>
      <c r="BL280" s="168">
        <v>0</v>
      </c>
      <c r="BM280" s="168">
        <v>0</v>
      </c>
      <c r="BN280" s="168">
        <v>0</v>
      </c>
      <c r="BO280" s="168">
        <v>0</v>
      </c>
      <c r="BP280" s="168">
        <v>0</v>
      </c>
      <c r="BQ280" s="168">
        <v>0</v>
      </c>
      <c r="BR280" s="168">
        <v>0</v>
      </c>
      <c r="BS280" s="168">
        <v>0</v>
      </c>
      <c r="BT280" s="168">
        <v>0</v>
      </c>
      <c r="BU280" s="168">
        <v>0</v>
      </c>
      <c r="BV280" s="168">
        <v>0</v>
      </c>
      <c r="BW280" s="168">
        <v>0</v>
      </c>
      <c r="BX280" s="168">
        <v>0</v>
      </c>
      <c r="BY280" s="168">
        <v>0</v>
      </c>
      <c r="BZ280" s="168">
        <v>0</v>
      </c>
      <c r="CA280" s="168">
        <v>0</v>
      </c>
      <c r="CB280" s="168">
        <v>0</v>
      </c>
      <c r="CC280" s="168">
        <v>0</v>
      </c>
      <c r="CD280" s="168">
        <v>0</v>
      </c>
      <c r="CE280" s="168">
        <v>0</v>
      </c>
      <c r="CF280" s="168">
        <v>0</v>
      </c>
      <c r="CG280" s="168">
        <v>0</v>
      </c>
      <c r="CH280" s="168">
        <v>0</v>
      </c>
      <c r="CI280" s="168">
        <v>0</v>
      </c>
      <c r="CJ280" s="168">
        <v>0</v>
      </c>
      <c r="CK280" s="168">
        <v>0</v>
      </c>
      <c r="CL280" s="168">
        <v>0</v>
      </c>
      <c r="CM280" s="168">
        <v>0</v>
      </c>
      <c r="CN280" s="168">
        <v>0</v>
      </c>
      <c r="CO280" s="168">
        <v>0</v>
      </c>
    </row>
    <row r="281" spans="1:93" x14ac:dyDescent="0.2">
      <c r="A281" s="118">
        <f t="shared" si="33"/>
        <v>16</v>
      </c>
      <c r="B281" s="234" t="s">
        <v>148</v>
      </c>
      <c r="C281" s="223"/>
      <c r="D281" s="172">
        <f>SUMIF($AH$6:$CP$6,1,$AH281:$CP281)</f>
        <v>1026.8160018500821</v>
      </c>
      <c r="E281" s="225" t="s">
        <v>596</v>
      </c>
      <c r="F281" s="183">
        <v>12.58</v>
      </c>
      <c r="G281" s="233" t="s">
        <v>375</v>
      </c>
      <c r="H281" s="174">
        <f>ROUND(D281*F281,2)</f>
        <v>12917.35</v>
      </c>
      <c r="I281" s="229"/>
      <c r="J281" s="172">
        <f>SUMIF($AH$6:$CP$6,1,$AH281:$CP281)</f>
        <v>1026.8160018500821</v>
      </c>
      <c r="K281" s="225" t="s">
        <v>596</v>
      </c>
      <c r="L281" s="173">
        <f>'Exhibit MJC-3 - E-13c cal yr'!L307</f>
        <v>13.19</v>
      </c>
      <c r="M281" s="233" t="s">
        <v>375</v>
      </c>
      <c r="N281" s="174">
        <f>ROUND(J281*L281,2)</f>
        <v>13543.7</v>
      </c>
      <c r="O281" s="227"/>
      <c r="Q281" s="1022"/>
      <c r="R281" s="227"/>
      <c r="T281" s="327"/>
      <c r="U281" s="184" t="s">
        <v>613</v>
      </c>
      <c r="V281" s="179">
        <v>246</v>
      </c>
      <c r="W281" s="180">
        <v>220</v>
      </c>
      <c r="X281" s="227"/>
      <c r="Y281" s="184"/>
      <c r="Z281" s="181"/>
      <c r="AA281" s="227"/>
      <c r="AB281" s="182">
        <f>SUM(AH281:AS281)</f>
        <v>1010.0202379317366</v>
      </c>
      <c r="AC281" s="182">
        <f>SUM(AT281:BE281)</f>
        <v>1009.8694257570944</v>
      </c>
      <c r="AD281" s="182">
        <f>SUM(BF281:BQ281)</f>
        <v>1016.5342097808782</v>
      </c>
      <c r="AE281" s="182">
        <f>SUM(BR281:CC281)</f>
        <v>1026.8160018500821</v>
      </c>
      <c r="AF281" s="182">
        <f>SUM(CD281:CO281)</f>
        <v>1032.3913774279865</v>
      </c>
      <c r="AH281" s="168">
        <v>-2.4795460071609829</v>
      </c>
      <c r="AI281" s="168">
        <v>-5423.1620050934725</v>
      </c>
      <c r="AJ281" s="168">
        <v>-5949.7173601847335</v>
      </c>
      <c r="AK281" s="168">
        <v>12384.732945137435</v>
      </c>
      <c r="AL281" s="168">
        <v>0</v>
      </c>
      <c r="AM281" s="168">
        <v>0</v>
      </c>
      <c r="AN281" s="168">
        <v>0</v>
      </c>
      <c r="AO281" s="168">
        <v>-16.424118202121626</v>
      </c>
      <c r="AP281" s="168">
        <v>17.070322281788837</v>
      </c>
      <c r="AQ281" s="168">
        <v>0</v>
      </c>
      <c r="AR281" s="168">
        <v>0</v>
      </c>
      <c r="AS281" s="168">
        <v>0</v>
      </c>
      <c r="AT281" s="168">
        <v>-3.2575949648988702</v>
      </c>
      <c r="AU281" s="168">
        <v>-6988.6654448241889</v>
      </c>
      <c r="AV281" s="168">
        <v>-7429.6719808035832</v>
      </c>
      <c r="AW281" s="168">
        <v>15430.468178176654</v>
      </c>
      <c r="AX281" s="168">
        <v>0</v>
      </c>
      <c r="AY281" s="168">
        <v>0</v>
      </c>
      <c r="AZ281" s="168">
        <v>0</v>
      </c>
      <c r="BA281" s="168">
        <v>-20.62847733946505</v>
      </c>
      <c r="BB281" s="168">
        <v>21.624745512576514</v>
      </c>
      <c r="BC281" s="168">
        <v>0</v>
      </c>
      <c r="BD281" s="168">
        <v>0</v>
      </c>
      <c r="BE281" s="168">
        <v>0</v>
      </c>
      <c r="BF281" s="168">
        <v>-3.3691242734913387</v>
      </c>
      <c r="BG281" s="168">
        <v>-7321.5166631462198</v>
      </c>
      <c r="BH281" s="168">
        <v>-7807.3794774658454</v>
      </c>
      <c r="BI281" s="168">
        <v>16147.851992507336</v>
      </c>
      <c r="BJ281" s="168">
        <v>0</v>
      </c>
      <c r="BK281" s="168">
        <v>0</v>
      </c>
      <c r="BL281" s="168">
        <v>0</v>
      </c>
      <c r="BM281" s="168">
        <v>-21.519762089219867</v>
      </c>
      <c r="BN281" s="168">
        <v>22.467244248318483</v>
      </c>
      <c r="BO281" s="168">
        <v>0</v>
      </c>
      <c r="BP281" s="168">
        <v>0</v>
      </c>
      <c r="BQ281" s="168">
        <v>0</v>
      </c>
      <c r="BR281" s="168">
        <v>-3.5033043028003363</v>
      </c>
      <c r="BS281" s="168">
        <v>-7592.7618005256636</v>
      </c>
      <c r="BT281" s="168">
        <v>-8037.4617000938833</v>
      </c>
      <c r="BU281" s="168">
        <v>16659.675860670184</v>
      </c>
      <c r="BV281" s="168">
        <v>0</v>
      </c>
      <c r="BW281" s="168">
        <v>0</v>
      </c>
      <c r="BX281" s="168">
        <v>0</v>
      </c>
      <c r="BY281" s="168">
        <v>-22.376663291181405</v>
      </c>
      <c r="BZ281" s="168">
        <v>23.243609393426876</v>
      </c>
      <c r="CA281" s="168">
        <v>0</v>
      </c>
      <c r="CB281" s="168">
        <v>0</v>
      </c>
      <c r="CC281" s="168">
        <v>0</v>
      </c>
      <c r="CD281" s="168">
        <v>-2.7255263917902899</v>
      </c>
      <c r="CE281" s="168">
        <v>-5834.7601080542463</v>
      </c>
      <c r="CF281" s="168">
        <v>-6271.169191080885</v>
      </c>
      <c r="CG281" s="168">
        <v>13140.123915068303</v>
      </c>
      <c r="CH281" s="168">
        <v>0</v>
      </c>
      <c r="CI281" s="168">
        <v>0</v>
      </c>
      <c r="CJ281" s="168">
        <v>0</v>
      </c>
      <c r="CK281" s="168">
        <v>-17.339725846506326</v>
      </c>
      <c r="CL281" s="168">
        <v>18.262013733112404</v>
      </c>
      <c r="CM281" s="168">
        <v>0</v>
      </c>
      <c r="CN281" s="168">
        <v>0</v>
      </c>
      <c r="CO281" s="168">
        <v>0</v>
      </c>
    </row>
    <row r="282" spans="1:93" x14ac:dyDescent="0.2">
      <c r="A282" s="118">
        <f t="shared" si="33"/>
        <v>17</v>
      </c>
      <c r="B282" s="234" t="s">
        <v>597</v>
      </c>
      <c r="C282" s="223"/>
      <c r="D282" s="172">
        <f>SUMIF($AH$6:$CP$6,1,$AH282:$CP282)</f>
        <v>0</v>
      </c>
      <c r="E282" s="225" t="s">
        <v>596</v>
      </c>
      <c r="F282" s="183">
        <v>7.7</v>
      </c>
      <c r="G282" s="233" t="s">
        <v>375</v>
      </c>
      <c r="H282" s="174">
        <f>ROUND(D282*F282,2)</f>
        <v>0</v>
      </c>
      <c r="I282" s="229"/>
      <c r="J282" s="172">
        <f>SUMIF($AH$6:$CP$6,1,$AH282:$CP282)</f>
        <v>0</v>
      </c>
      <c r="K282" s="225" t="s">
        <v>596</v>
      </c>
      <c r="L282" s="173">
        <f>'Exhibit MJC-3 - E-13c cal yr'!L308</f>
        <v>8.06</v>
      </c>
      <c r="M282" s="233" t="s">
        <v>375</v>
      </c>
      <c r="N282" s="174">
        <f>ROUND(J282*L282,2)</f>
        <v>0</v>
      </c>
      <c r="O282" s="227"/>
      <c r="Q282" s="1022"/>
      <c r="R282" s="227"/>
      <c r="T282" s="227"/>
      <c r="U282" s="184" t="s">
        <v>613</v>
      </c>
      <c r="V282" s="179">
        <v>246</v>
      </c>
      <c r="W282" s="180">
        <v>220</v>
      </c>
      <c r="X282" s="227"/>
      <c r="Y282" s="184"/>
      <c r="Z282" s="181"/>
      <c r="AA282" s="227"/>
      <c r="AB282" s="182">
        <f>SUM(AH282:AS282)</f>
        <v>0</v>
      </c>
      <c r="AC282" s="182">
        <f>SUM(AT282:BE282)</f>
        <v>0</v>
      </c>
      <c r="AD282" s="182">
        <f>SUM(BF282:BQ282)</f>
        <v>0</v>
      </c>
      <c r="AE282" s="182">
        <f>SUM(BR282:CC282)</f>
        <v>0</v>
      </c>
      <c r="AF282" s="182">
        <f>SUM(CD282:CO282)</f>
        <v>0</v>
      </c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  <c r="AT282" s="168"/>
      <c r="AU282" s="168"/>
      <c r="AV282" s="168"/>
      <c r="AW282" s="168"/>
      <c r="AX282" s="168"/>
      <c r="AY282" s="168"/>
      <c r="AZ282" s="168"/>
      <c r="BA282" s="168"/>
      <c r="BB282" s="168"/>
      <c r="BC282" s="168"/>
      <c r="BD282" s="168"/>
      <c r="BE282" s="168"/>
      <c r="BF282" s="168"/>
      <c r="BG282" s="168"/>
      <c r="BH282" s="168"/>
      <c r="BI282" s="168"/>
      <c r="BJ282" s="168"/>
      <c r="BK282" s="168"/>
      <c r="BL282" s="168"/>
      <c r="BM282" s="168"/>
      <c r="BN282" s="168"/>
      <c r="BO282" s="168"/>
      <c r="BP282" s="168"/>
      <c r="BQ282" s="168"/>
      <c r="BR282" s="168"/>
      <c r="BS282" s="168"/>
      <c r="BT282" s="168"/>
      <c r="BU282" s="168"/>
      <c r="BV282" s="168"/>
      <c r="BW282" s="168"/>
      <c r="BX282" s="168"/>
      <c r="BY282" s="168"/>
      <c r="BZ282" s="168"/>
      <c r="CA282" s="168"/>
      <c r="CB282" s="168"/>
      <c r="CC282" s="168"/>
      <c r="CD282" s="168"/>
      <c r="CE282" s="168"/>
      <c r="CF282" s="168"/>
      <c r="CG282" s="168"/>
      <c r="CH282" s="168"/>
      <c r="CI282" s="168"/>
      <c r="CJ282" s="168"/>
      <c r="CK282" s="168"/>
      <c r="CL282" s="168"/>
      <c r="CM282" s="168"/>
      <c r="CN282" s="168"/>
      <c r="CO282" s="168"/>
    </row>
    <row r="283" spans="1:93" x14ac:dyDescent="0.2">
      <c r="A283" s="118">
        <f t="shared" si="33"/>
        <v>18</v>
      </c>
      <c r="B283" s="234" t="s">
        <v>598</v>
      </c>
      <c r="C283" s="223"/>
      <c r="D283" s="172">
        <f>SUMIF($AH$6:$CP$6,1,$AH283:$CP283)</f>
        <v>0</v>
      </c>
      <c r="E283" s="225" t="s">
        <v>596</v>
      </c>
      <c r="F283" s="183">
        <v>5.27</v>
      </c>
      <c r="G283" s="233" t="s">
        <v>375</v>
      </c>
      <c r="H283" s="174">
        <f>ROUND(D283*F283,2)</f>
        <v>0</v>
      </c>
      <c r="I283" s="229"/>
      <c r="J283" s="172">
        <f>SUMIF($AH$6:$CP$6,1,$AH283:$CP283)</f>
        <v>0</v>
      </c>
      <c r="K283" s="225" t="s">
        <v>596</v>
      </c>
      <c r="L283" s="173">
        <f>'Exhibit MJC-3 - E-13c cal yr'!L309</f>
        <v>5.49</v>
      </c>
      <c r="M283" s="233" t="s">
        <v>375</v>
      </c>
      <c r="N283" s="174">
        <f>ROUND(J283*L283,2)</f>
        <v>0</v>
      </c>
      <c r="O283" s="227"/>
      <c r="Q283" s="1022"/>
      <c r="R283" s="227"/>
      <c r="T283" s="227"/>
      <c r="U283" s="184" t="s">
        <v>613</v>
      </c>
      <c r="V283" s="179">
        <v>246</v>
      </c>
      <c r="W283" s="180">
        <v>220</v>
      </c>
      <c r="X283" s="227"/>
      <c r="Y283" s="184"/>
      <c r="Z283" s="181"/>
      <c r="AA283" s="227"/>
      <c r="AB283" s="182"/>
      <c r="AC283" s="182"/>
      <c r="AD283" s="182"/>
      <c r="AE283" s="182"/>
      <c r="AF283" s="182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  <c r="AT283" s="168"/>
      <c r="AU283" s="168"/>
      <c r="AV283" s="168"/>
      <c r="AW283" s="168"/>
      <c r="AX283" s="168"/>
      <c r="AY283" s="168"/>
      <c r="AZ283" s="168"/>
      <c r="BA283" s="168"/>
      <c r="BB283" s="168"/>
      <c r="BC283" s="168"/>
      <c r="BD283" s="168"/>
      <c r="BE283" s="168"/>
      <c r="BF283" s="168"/>
      <c r="BG283" s="168"/>
      <c r="BH283" s="168"/>
      <c r="BI283" s="168"/>
      <c r="BJ283" s="168"/>
      <c r="BK283" s="168"/>
      <c r="BL283" s="168"/>
      <c r="BM283" s="168"/>
      <c r="BN283" s="168"/>
      <c r="BO283" s="168"/>
      <c r="BP283" s="168"/>
      <c r="BQ283" s="168"/>
      <c r="BR283" s="168"/>
      <c r="BS283" s="168"/>
      <c r="BT283" s="168"/>
      <c r="BU283" s="168"/>
      <c r="BV283" s="168"/>
      <c r="BW283" s="168"/>
      <c r="BX283" s="168"/>
      <c r="BY283" s="168"/>
      <c r="BZ283" s="168"/>
      <c r="CA283" s="168"/>
      <c r="CB283" s="168"/>
      <c r="CC283" s="168"/>
      <c r="CD283" s="168"/>
      <c r="CE283" s="168"/>
      <c r="CF283" s="168"/>
      <c r="CG283" s="168"/>
      <c r="CH283" s="168"/>
      <c r="CI283" s="168"/>
      <c r="CJ283" s="168"/>
      <c r="CK283" s="168"/>
      <c r="CL283" s="168"/>
      <c r="CM283" s="168"/>
      <c r="CN283" s="168"/>
      <c r="CO283" s="168"/>
    </row>
    <row r="284" spans="1:93" x14ac:dyDescent="0.2">
      <c r="A284" s="118">
        <f t="shared" si="33"/>
        <v>19</v>
      </c>
      <c r="B284" s="226" t="s">
        <v>546</v>
      </c>
      <c r="C284" s="223"/>
      <c r="D284" s="168"/>
      <c r="E284" s="225"/>
      <c r="F284" s="183"/>
      <c r="G284" s="233"/>
      <c r="H284" s="174"/>
      <c r="I284" s="229"/>
      <c r="J284" s="168"/>
      <c r="K284" s="225"/>
      <c r="L284" s="183"/>
      <c r="M284" s="233"/>
      <c r="N284" s="174"/>
      <c r="O284" s="227"/>
      <c r="Q284" s="1022"/>
      <c r="R284" s="227"/>
      <c r="T284" s="227"/>
      <c r="U284" s="184"/>
      <c r="V284" s="179"/>
      <c r="W284" s="180"/>
      <c r="X284" s="227"/>
      <c r="Y284" s="184"/>
      <c r="Z284" s="181"/>
      <c r="AA284" s="227"/>
      <c r="AB284" s="264"/>
      <c r="AD284" s="260"/>
      <c r="AE284" s="260"/>
      <c r="AF284" s="260"/>
      <c r="AG284" s="114"/>
    </row>
    <row r="285" spans="1:93" x14ac:dyDescent="0.2">
      <c r="A285" s="118">
        <f t="shared" si="33"/>
        <v>20</v>
      </c>
      <c r="B285" s="234" t="s">
        <v>149</v>
      </c>
      <c r="C285" s="223"/>
      <c r="D285" s="168"/>
      <c r="E285" s="225"/>
      <c r="F285" s="183"/>
      <c r="G285" s="233"/>
      <c r="H285" s="174"/>
      <c r="I285" s="229"/>
      <c r="J285" s="168"/>
      <c r="K285" s="225"/>
      <c r="L285" s="310"/>
      <c r="M285" s="233"/>
      <c r="N285" s="174"/>
      <c r="O285" s="227"/>
      <c r="Q285" s="1022"/>
      <c r="R285" s="227"/>
      <c r="T285" s="227"/>
      <c r="U285" s="178"/>
      <c r="V285" s="179"/>
      <c r="W285" s="180"/>
      <c r="X285" s="227"/>
      <c r="Y285" s="178"/>
      <c r="Z285" s="181"/>
      <c r="AA285" s="227"/>
      <c r="AB285" s="264"/>
      <c r="AC285" s="264"/>
      <c r="AF285" s="114"/>
      <c r="AG285" s="114"/>
    </row>
    <row r="286" spans="1:93" x14ac:dyDescent="0.2">
      <c r="A286" s="118">
        <f t="shared" si="33"/>
        <v>21</v>
      </c>
      <c r="B286" s="243" t="s">
        <v>559</v>
      </c>
      <c r="C286" s="223"/>
      <c r="D286" s="172">
        <f>SUMIF($AH$6:$CP$6,1,$AH286:$CP286)</f>
        <v>0</v>
      </c>
      <c r="E286" s="225" t="s">
        <v>596</v>
      </c>
      <c r="F286" s="183">
        <v>2.5</v>
      </c>
      <c r="G286" s="233" t="s">
        <v>375</v>
      </c>
      <c r="H286" s="174">
        <f>ROUND(D286*F286,2)</f>
        <v>0</v>
      </c>
      <c r="I286" s="229"/>
      <c r="J286" s="172">
        <f>SUMIF($AH$6:$CP$6,1,$AH286:$CP286)</f>
        <v>0</v>
      </c>
      <c r="K286" s="225" t="s">
        <v>596</v>
      </c>
      <c r="L286" s="173">
        <f>'Exhibit MJC-3 - E-13c cal yr'!L312</f>
        <v>2.59</v>
      </c>
      <c r="M286" s="233" t="s">
        <v>375</v>
      </c>
      <c r="N286" s="174">
        <f>ROUND(J286*L286,2)</f>
        <v>0</v>
      </c>
      <c r="O286" s="227"/>
      <c r="Q286" s="1022"/>
      <c r="T286" s="927"/>
      <c r="U286" s="178" t="s">
        <v>614</v>
      </c>
      <c r="V286" s="179">
        <v>249</v>
      </c>
      <c r="W286" s="180">
        <v>223</v>
      </c>
      <c r="X286" s="264"/>
      <c r="Y286" s="178"/>
      <c r="Z286" s="181"/>
      <c r="AA286" s="264"/>
      <c r="AB286" s="182">
        <f>SUM(AH286:AS286)</f>
        <v>0</v>
      </c>
      <c r="AC286" s="182">
        <f>SUM(AT286:BE286)</f>
        <v>0</v>
      </c>
      <c r="AD286" s="182">
        <f>SUM(BF286:BQ286)</f>
        <v>0</v>
      </c>
      <c r="AE286" s="182">
        <f>SUM(BR286:CC286)</f>
        <v>0</v>
      </c>
      <c r="AF286" s="182">
        <f>SUM(CD286:CO286)</f>
        <v>0</v>
      </c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  <c r="BY286" s="168"/>
      <c r="BZ286" s="168"/>
      <c r="CA286" s="168"/>
      <c r="CB286" s="168"/>
      <c r="CC286" s="168"/>
      <c r="CD286" s="168"/>
      <c r="CE286" s="168"/>
      <c r="CF286" s="168"/>
      <c r="CG286" s="168"/>
      <c r="CH286" s="168"/>
      <c r="CI286" s="168"/>
      <c r="CJ286" s="168"/>
      <c r="CK286" s="168"/>
      <c r="CL286" s="168"/>
      <c r="CM286" s="168"/>
      <c r="CN286" s="168"/>
      <c r="CO286" s="168"/>
    </row>
    <row r="287" spans="1:93" x14ac:dyDescent="0.2">
      <c r="A287" s="118">
        <f t="shared" si="33"/>
        <v>22</v>
      </c>
      <c r="B287" s="243" t="s">
        <v>599</v>
      </c>
      <c r="C287" s="223"/>
      <c r="D287" s="172">
        <f>SUMIF($AH$6:$CP$6,1,$AH287:$CP287)</f>
        <v>0</v>
      </c>
      <c r="E287" s="225" t="s">
        <v>596</v>
      </c>
      <c r="F287" s="183">
        <v>4.97</v>
      </c>
      <c r="G287" s="233" t="s">
        <v>375</v>
      </c>
      <c r="H287" s="174">
        <f>ROUND(D287*F287,2)</f>
        <v>0</v>
      </c>
      <c r="I287" s="229"/>
      <c r="J287" s="172">
        <f>SUMIF($AH$6:$CP$6,1,$AH287:$CP287)</f>
        <v>0</v>
      </c>
      <c r="K287" s="225" t="s">
        <v>596</v>
      </c>
      <c r="L287" s="173">
        <f>'Exhibit MJC-3 - E-13c cal yr'!L313</f>
        <v>5.14</v>
      </c>
      <c r="M287" s="233" t="s">
        <v>375</v>
      </c>
      <c r="N287" s="174">
        <f>ROUND(J287*L287,2)</f>
        <v>0</v>
      </c>
      <c r="O287" s="227"/>
      <c r="Q287" s="1022"/>
      <c r="T287" s="927"/>
      <c r="U287" s="178" t="s">
        <v>614</v>
      </c>
      <c r="V287" s="179">
        <v>249</v>
      </c>
      <c r="W287" s="180">
        <v>223</v>
      </c>
      <c r="X287" s="264"/>
      <c r="Y287" s="178"/>
      <c r="Z287" s="181"/>
      <c r="AA287" s="264"/>
      <c r="AB287" s="182"/>
      <c r="AC287" s="182"/>
      <c r="AD287" s="182"/>
      <c r="AE287" s="182"/>
      <c r="AF287" s="182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  <c r="AT287" s="168"/>
      <c r="AU287" s="168"/>
      <c r="AV287" s="168"/>
      <c r="AW287" s="168"/>
      <c r="AX287" s="168"/>
      <c r="AY287" s="168"/>
      <c r="AZ287" s="168"/>
      <c r="BA287" s="168"/>
      <c r="BB287" s="168"/>
      <c r="BC287" s="168"/>
      <c r="BD287" s="168"/>
      <c r="BE287" s="168"/>
      <c r="BF287" s="168"/>
      <c r="BG287" s="168"/>
      <c r="BH287" s="168"/>
      <c r="BI287" s="168"/>
      <c r="BJ287" s="168"/>
      <c r="BK287" s="168"/>
      <c r="BL287" s="168"/>
      <c r="BM287" s="168"/>
      <c r="BN287" s="168"/>
      <c r="BO287" s="168"/>
      <c r="BP287" s="168"/>
      <c r="BQ287" s="168"/>
      <c r="BR287" s="168"/>
      <c r="BS287" s="168"/>
      <c r="BT287" s="168"/>
      <c r="BU287" s="168"/>
      <c r="BV287" s="168"/>
      <c r="BW287" s="168"/>
      <c r="BX287" s="168"/>
      <c r="BY287" s="168"/>
      <c r="BZ287" s="168"/>
      <c r="CA287" s="168"/>
      <c r="CB287" s="168"/>
      <c r="CC287" s="168"/>
      <c r="CD287" s="168"/>
      <c r="CE287" s="168"/>
      <c r="CF287" s="168"/>
      <c r="CG287" s="168"/>
      <c r="CH287" s="168"/>
      <c r="CI287" s="168"/>
      <c r="CJ287" s="168"/>
      <c r="CK287" s="168"/>
      <c r="CL287" s="168"/>
      <c r="CM287" s="168"/>
      <c r="CN287" s="168"/>
      <c r="CO287" s="168"/>
    </row>
    <row r="288" spans="1:93" x14ac:dyDescent="0.2">
      <c r="A288" s="118">
        <f t="shared" si="33"/>
        <v>23</v>
      </c>
      <c r="B288" s="243" t="s">
        <v>145</v>
      </c>
      <c r="C288" s="223"/>
      <c r="D288" s="172">
        <f>SUMIF($AH$6:$CP$6,1,$AH288:$CP288)</f>
        <v>0</v>
      </c>
      <c r="E288" s="225" t="s">
        <v>596</v>
      </c>
      <c r="F288" s="183">
        <v>2.21</v>
      </c>
      <c r="G288" s="233" t="s">
        <v>375</v>
      </c>
      <c r="H288" s="174">
        <f>ROUND(D288*F288,2)</f>
        <v>0</v>
      </c>
      <c r="I288" s="229"/>
      <c r="J288" s="172">
        <f>SUMIF($AH$6:$CP$6,1,$AH288:$CP288)</f>
        <v>0</v>
      </c>
      <c r="K288" s="225" t="s">
        <v>596</v>
      </c>
      <c r="L288" s="173">
        <f>'Exhibit MJC-3 - E-13c cal yr'!L314</f>
        <v>2.3199999999999998</v>
      </c>
      <c r="M288" s="233" t="s">
        <v>375</v>
      </c>
      <c r="N288" s="174">
        <f>ROUND(J288*L288,2)</f>
        <v>0</v>
      </c>
      <c r="O288" s="227"/>
      <c r="Q288" s="1022"/>
      <c r="T288" s="927"/>
      <c r="U288" s="178" t="s">
        <v>614</v>
      </c>
      <c r="V288" s="179">
        <v>249</v>
      </c>
      <c r="W288" s="180">
        <v>223</v>
      </c>
      <c r="X288" s="264"/>
      <c r="Y288" s="178"/>
      <c r="Z288" s="181"/>
      <c r="AA288" s="264"/>
      <c r="AB288" s="182">
        <f>SUM(AH288:AS288)</f>
        <v>0</v>
      </c>
      <c r="AC288" s="182">
        <f>SUM(AT288:BE288)</f>
        <v>0</v>
      </c>
      <c r="AD288" s="182">
        <f>SUM(BF288:BQ288)</f>
        <v>0</v>
      </c>
      <c r="AE288" s="182">
        <f>SUM(BR288:CC288)</f>
        <v>0</v>
      </c>
      <c r="AF288" s="182">
        <f>SUM(CD288:CO288)</f>
        <v>0</v>
      </c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  <c r="AT288" s="168"/>
      <c r="AU288" s="168"/>
      <c r="AV288" s="168"/>
      <c r="AW288" s="168"/>
      <c r="AX288" s="168"/>
      <c r="AY288" s="168"/>
      <c r="AZ288" s="168"/>
      <c r="BA288" s="168"/>
      <c r="BB288" s="168"/>
      <c r="BC288" s="168"/>
      <c r="BD288" s="168"/>
      <c r="BE288" s="168"/>
      <c r="BF288" s="168"/>
      <c r="BG288" s="168"/>
      <c r="BH288" s="168"/>
      <c r="BI288" s="168"/>
      <c r="BJ288" s="168"/>
      <c r="BK288" s="168"/>
      <c r="BL288" s="168"/>
      <c r="BM288" s="168"/>
      <c r="BN288" s="168"/>
      <c r="BO288" s="168"/>
      <c r="BP288" s="168"/>
      <c r="BQ288" s="168"/>
      <c r="BR288" s="168"/>
      <c r="BS288" s="168"/>
      <c r="BT288" s="168"/>
      <c r="BU288" s="168"/>
      <c r="BV288" s="168"/>
      <c r="BW288" s="168"/>
      <c r="BX288" s="168"/>
      <c r="BY288" s="168"/>
      <c r="BZ288" s="168"/>
      <c r="CA288" s="168"/>
      <c r="CB288" s="168"/>
      <c r="CC288" s="168"/>
      <c r="CD288" s="168"/>
      <c r="CE288" s="168"/>
      <c r="CF288" s="168"/>
      <c r="CG288" s="168"/>
      <c r="CH288" s="168"/>
      <c r="CI288" s="168"/>
      <c r="CJ288" s="168"/>
      <c r="CK288" s="168"/>
      <c r="CL288" s="168"/>
      <c r="CM288" s="168"/>
      <c r="CN288" s="168"/>
      <c r="CO288" s="168"/>
    </row>
    <row r="289" spans="1:93" x14ac:dyDescent="0.2">
      <c r="A289" s="118">
        <f t="shared" si="33"/>
        <v>24</v>
      </c>
      <c r="B289" s="234" t="s">
        <v>148</v>
      </c>
      <c r="C289" s="223"/>
      <c r="D289" s="168"/>
      <c r="E289" s="225"/>
      <c r="F289" s="183"/>
      <c r="G289" s="233"/>
      <c r="H289" s="174"/>
      <c r="I289" s="229"/>
      <c r="J289" s="168"/>
      <c r="K289" s="225"/>
      <c r="L289" s="183"/>
      <c r="M289" s="233"/>
      <c r="N289" s="174"/>
      <c r="O289" s="227"/>
      <c r="Q289" s="1022"/>
      <c r="T289" s="227"/>
      <c r="U289" s="178"/>
      <c r="V289" s="179"/>
      <c r="W289" s="180"/>
      <c r="X289" s="227"/>
      <c r="Y289" s="178"/>
      <c r="Z289" s="181"/>
      <c r="AA289" s="227"/>
      <c r="AB289" s="264"/>
      <c r="AC289" s="264"/>
      <c r="AD289" s="242"/>
    </row>
    <row r="290" spans="1:93" x14ac:dyDescent="0.2">
      <c r="A290" s="118">
        <f t="shared" si="33"/>
        <v>25</v>
      </c>
      <c r="B290" s="243" t="s">
        <v>559</v>
      </c>
      <c r="C290" s="223"/>
      <c r="D290" s="172">
        <f>SUMIF($AH$6:$CP$6,1,$AH290:$CP290)</f>
        <v>108534.72452861042</v>
      </c>
      <c r="E290" s="225" t="s">
        <v>596</v>
      </c>
      <c r="F290" s="183">
        <v>2.5</v>
      </c>
      <c r="G290" s="233" t="s">
        <v>375</v>
      </c>
      <c r="H290" s="174">
        <f>ROUND(D290*F290,2)</f>
        <v>271336.81</v>
      </c>
      <c r="I290" s="229"/>
      <c r="J290" s="172">
        <f>SUMIF($AH$6:$CP$6,1,$AH290:$CP290)</f>
        <v>108534.72452861042</v>
      </c>
      <c r="K290" s="225" t="s">
        <v>596</v>
      </c>
      <c r="L290" s="183">
        <f>L286</f>
        <v>2.59</v>
      </c>
      <c r="M290" s="233" t="s">
        <v>375</v>
      </c>
      <c r="N290" s="174">
        <f>ROUND(J290*L290,2)</f>
        <v>281104.94</v>
      </c>
      <c r="O290" s="227"/>
      <c r="Q290" s="1022"/>
      <c r="T290" s="264"/>
      <c r="U290" s="178" t="s">
        <v>614</v>
      </c>
      <c r="V290" s="179">
        <v>249</v>
      </c>
      <c r="W290" s="180">
        <v>223</v>
      </c>
      <c r="X290" s="264"/>
      <c r="Y290" s="178"/>
      <c r="Z290" s="181"/>
      <c r="AA290" s="264"/>
      <c r="AB290" s="182">
        <f>SUM(AH290:AS290)</f>
        <v>106759.40781476791</v>
      </c>
      <c r="AC290" s="182">
        <f>SUM(AT290:BE290)</f>
        <v>106743.46692779238</v>
      </c>
      <c r="AD290" s="182">
        <f>SUM(BF290:BQ290)</f>
        <v>107447.93637193846</v>
      </c>
      <c r="AE290" s="182">
        <f>SUM(BR290:CC290)</f>
        <v>108534.72452861042</v>
      </c>
      <c r="AF290" s="182">
        <f>SUM(CD290:CO290)</f>
        <v>109124.04321024504</v>
      </c>
      <c r="AH290" s="168">
        <v>6254.6569913788308</v>
      </c>
      <c r="AI290" s="168">
        <v>26406.641689714481</v>
      </c>
      <c r="AJ290" s="168">
        <v>1477.2052894933711</v>
      </c>
      <c r="AK290" s="168">
        <v>8503.9008670353796</v>
      </c>
      <c r="AL290" s="168">
        <v>19122.627262678248</v>
      </c>
      <c r="AM290" s="168">
        <v>6132.0116458045468</v>
      </c>
      <c r="AN290" s="168">
        <v>6453.2662508590738</v>
      </c>
      <c r="AO290" s="168">
        <v>4525.7825683278797</v>
      </c>
      <c r="AP290" s="168">
        <v>7639.0379646710653</v>
      </c>
      <c r="AQ290" s="168">
        <v>6102.1291012941883</v>
      </c>
      <c r="AR290" s="168">
        <v>6823.7302423465371</v>
      </c>
      <c r="AS290" s="168">
        <v>7318.417941164319</v>
      </c>
      <c r="AT290" s="168">
        <v>6252.3894965239124</v>
      </c>
      <c r="AU290" s="168">
        <v>26887.210058669869</v>
      </c>
      <c r="AV290" s="168">
        <v>1457.3476622360231</v>
      </c>
      <c r="AW290" s="168">
        <v>8370.6591010973589</v>
      </c>
      <c r="AX290" s="168">
        <v>18911.719067332113</v>
      </c>
      <c r="AY290" s="168">
        <v>5968.9411055666205</v>
      </c>
      <c r="AZ290" s="168">
        <v>6485.6622649672699</v>
      </c>
      <c r="BA290" s="168">
        <v>4490.8423071567267</v>
      </c>
      <c r="BB290" s="168">
        <v>7645.3427954989402</v>
      </c>
      <c r="BC290" s="168">
        <v>6109.0887082681911</v>
      </c>
      <c r="BD290" s="168">
        <v>6846.1717603758043</v>
      </c>
      <c r="BE290" s="168">
        <v>7318.0926000995632</v>
      </c>
      <c r="BF290" s="168">
        <v>6294.5447291098517</v>
      </c>
      <c r="BG290" s="168">
        <v>27156.187069374228</v>
      </c>
      <c r="BH290" s="168">
        <v>1476.4733540961249</v>
      </c>
      <c r="BI290" s="168">
        <v>8445.4366523241952</v>
      </c>
      <c r="BJ290" s="168">
        <v>19013.70205632666</v>
      </c>
      <c r="BK290" s="168">
        <v>6037.9616653287394</v>
      </c>
      <c r="BL290" s="168">
        <v>6515.1492940537673</v>
      </c>
      <c r="BM290" s="168">
        <v>4516.7379555175594</v>
      </c>
      <c r="BN290" s="168">
        <v>7658.1269345128248</v>
      </c>
      <c r="BO290" s="168">
        <v>6081.417617565603</v>
      </c>
      <c r="BP290" s="168">
        <v>6845.7792818865482</v>
      </c>
      <c r="BQ290" s="168">
        <v>7406.4197618423668</v>
      </c>
      <c r="BR290" s="168">
        <v>6358.0229295197478</v>
      </c>
      <c r="BS290" s="168">
        <v>27481.271234363619</v>
      </c>
      <c r="BT290" s="168">
        <v>1483.2131254349054</v>
      </c>
      <c r="BU290" s="168">
        <v>8502.3350387065329</v>
      </c>
      <c r="BV290" s="168">
        <v>19032.184211174848</v>
      </c>
      <c r="BW290" s="168">
        <v>6161.2889056928434</v>
      </c>
      <c r="BX290" s="168">
        <v>6640.715615051261</v>
      </c>
      <c r="BY290" s="168">
        <v>4582.9706403127147</v>
      </c>
      <c r="BZ290" s="168">
        <v>7731.0884342993204</v>
      </c>
      <c r="CA290" s="168">
        <v>6177.3306706954127</v>
      </c>
      <c r="CB290" s="168">
        <v>6941.8318867308553</v>
      </c>
      <c r="CC290" s="168">
        <v>7442.4718366283341</v>
      </c>
      <c r="CD290" s="168">
        <v>6391.6806053109867</v>
      </c>
      <c r="CE290" s="168">
        <v>27328.75480100526</v>
      </c>
      <c r="CF290" s="168">
        <v>1497.5845307760144</v>
      </c>
      <c r="CG290" s="168">
        <v>8678.193150480527</v>
      </c>
      <c r="CH290" s="168">
        <v>19296.863919107251</v>
      </c>
      <c r="CI290" s="168">
        <v>6132.9414157871151</v>
      </c>
      <c r="CJ290" s="168">
        <v>6653.2538746409409</v>
      </c>
      <c r="CK290" s="168">
        <v>4595.7051625701351</v>
      </c>
      <c r="CL290" s="168">
        <v>7860.3868703430444</v>
      </c>
      <c r="CM290" s="168">
        <v>6203.8613489659883</v>
      </c>
      <c r="CN290" s="168">
        <v>7018.8931123399343</v>
      </c>
      <c r="CO290" s="168">
        <v>7465.9244189178435</v>
      </c>
    </row>
    <row r="291" spans="1:93" x14ac:dyDescent="0.2">
      <c r="A291" s="118">
        <f t="shared" si="33"/>
        <v>26</v>
      </c>
      <c r="B291" s="243" t="s">
        <v>599</v>
      </c>
      <c r="C291" s="223"/>
      <c r="D291" s="172">
        <f>SUMIF($AH$6:$CP$6,1,$AH291:$CP291)</f>
        <v>108765.62464294641</v>
      </c>
      <c r="E291" s="225" t="s">
        <v>596</v>
      </c>
      <c r="F291" s="183">
        <v>4.97</v>
      </c>
      <c r="G291" s="233" t="s">
        <v>375</v>
      </c>
      <c r="H291" s="174">
        <f>ROUND(D291*F291,2)</f>
        <v>540565.15</v>
      </c>
      <c r="I291" s="229"/>
      <c r="J291" s="172">
        <f>SUMIF($AH$6:$CP$6,1,$AH291:$CP291)</f>
        <v>108765.62464294641</v>
      </c>
      <c r="K291" s="225" t="s">
        <v>596</v>
      </c>
      <c r="L291" s="183">
        <f>L287</f>
        <v>5.14</v>
      </c>
      <c r="M291" s="233" t="s">
        <v>375</v>
      </c>
      <c r="N291" s="174">
        <f>ROUND(J291*L291,2)</f>
        <v>559055.31000000006</v>
      </c>
      <c r="O291" s="227"/>
      <c r="Q291" s="1022"/>
      <c r="S291" s="106"/>
      <c r="T291" s="227"/>
      <c r="U291" s="178" t="s">
        <v>614</v>
      </c>
      <c r="V291" s="179">
        <v>249</v>
      </c>
      <c r="W291" s="180">
        <v>223</v>
      </c>
      <c r="X291" s="264"/>
      <c r="Y291" s="178"/>
      <c r="Z291" s="181"/>
      <c r="AA291" s="264"/>
      <c r="AB291" s="182"/>
      <c r="AC291" s="182"/>
      <c r="AD291" s="182"/>
      <c r="AE291" s="182"/>
      <c r="AF291" s="182"/>
      <c r="AH291" s="168">
        <v>0</v>
      </c>
      <c r="AI291" s="168">
        <v>17216.024450015258</v>
      </c>
      <c r="AJ291" s="168">
        <v>999.55326766015401</v>
      </c>
      <c r="AK291" s="168">
        <v>6337.2176354027506</v>
      </c>
      <c r="AL291" s="168">
        <v>19777.325447554536</v>
      </c>
      <c r="AM291" s="168">
        <v>8714.2803721103992</v>
      </c>
      <c r="AN291" s="168">
        <v>8883.1083749754052</v>
      </c>
      <c r="AO291" s="168">
        <v>7143.5401906645575</v>
      </c>
      <c r="AP291" s="168">
        <v>10759.923256882395</v>
      </c>
      <c r="AQ291" s="168">
        <v>9066.3777593753402</v>
      </c>
      <c r="AR291" s="168">
        <v>9597.9045006437991</v>
      </c>
      <c r="AS291" s="168">
        <v>8491.2758103870037</v>
      </c>
      <c r="AT291" s="168">
        <v>0</v>
      </c>
      <c r="AU291" s="168">
        <v>17559.679663472307</v>
      </c>
      <c r="AV291" s="168">
        <v>987.9188994095133</v>
      </c>
      <c r="AW291" s="168">
        <v>6249.3251971010513</v>
      </c>
      <c r="AX291" s="168">
        <v>19594.944786909415</v>
      </c>
      <c r="AY291" s="168">
        <v>8498.0422812462457</v>
      </c>
      <c r="AZ291" s="168">
        <v>8944.0195998934832</v>
      </c>
      <c r="BA291" s="168">
        <v>7101.3455930120217</v>
      </c>
      <c r="BB291" s="168">
        <v>10788.486044150217</v>
      </c>
      <c r="BC291" s="168">
        <v>9093.3076815018467</v>
      </c>
      <c r="BD291" s="168">
        <v>9647.0693655361938</v>
      </c>
      <c r="BE291" s="168">
        <v>8506.4171533300523</v>
      </c>
      <c r="BF291" s="168">
        <v>0</v>
      </c>
      <c r="BG291" s="168">
        <v>17751.695782815899</v>
      </c>
      <c r="BH291" s="168">
        <v>1001.7823962155445</v>
      </c>
      <c r="BI291" s="168">
        <v>6310.8118877076149</v>
      </c>
      <c r="BJ291" s="168">
        <v>19718.295809056381</v>
      </c>
      <c r="BK291" s="168">
        <v>8604.0237815423607</v>
      </c>
      <c r="BL291" s="168">
        <v>8992.7483779684899</v>
      </c>
      <c r="BM291" s="168">
        <v>7148.7053202690158</v>
      </c>
      <c r="BN291" s="168">
        <v>10816.226145935148</v>
      </c>
      <c r="BO291" s="168">
        <v>9060.2449563691589</v>
      </c>
      <c r="BP291" s="168">
        <v>9655.1752321066178</v>
      </c>
      <c r="BQ291" s="168">
        <v>8616.8147297056476</v>
      </c>
      <c r="BR291" s="168">
        <v>0</v>
      </c>
      <c r="BS291" s="168">
        <v>17952.984274065391</v>
      </c>
      <c r="BT291" s="168">
        <v>1005.7385732714876</v>
      </c>
      <c r="BU291" s="168">
        <v>6349.4353512868911</v>
      </c>
      <c r="BV291" s="168">
        <v>19725.366929460335</v>
      </c>
      <c r="BW291" s="168">
        <v>8774.3830358345258</v>
      </c>
      <c r="BX291" s="168">
        <v>9160.4480659644505</v>
      </c>
      <c r="BY291" s="168">
        <v>7249.0874675411696</v>
      </c>
      <c r="BZ291" s="168">
        <v>10912.584115743724</v>
      </c>
      <c r="CA291" s="168">
        <v>9197.4985101587899</v>
      </c>
      <c r="CB291" s="168">
        <v>9784.6461449087055</v>
      </c>
      <c r="CC291" s="168">
        <v>8653.452174710932</v>
      </c>
      <c r="CD291" s="168">
        <v>0</v>
      </c>
      <c r="CE291" s="168">
        <v>17840.217165370163</v>
      </c>
      <c r="CF291" s="168">
        <v>1014.7404319179387</v>
      </c>
      <c r="CG291" s="168">
        <v>6476.0214073760098</v>
      </c>
      <c r="CH291" s="168">
        <v>19985.051187569006</v>
      </c>
      <c r="CI291" s="168">
        <v>8727.6215176718197</v>
      </c>
      <c r="CJ291" s="168">
        <v>9171.0276504931189</v>
      </c>
      <c r="CK291" s="168">
        <v>7263.9106970424091</v>
      </c>
      <c r="CL291" s="168">
        <v>11086.972170357765</v>
      </c>
      <c r="CM291" s="168">
        <v>9230.2408250394128</v>
      </c>
      <c r="CN291" s="168">
        <v>9886.0256684280321</v>
      </c>
      <c r="CO291" s="168">
        <v>8674.3683380215771</v>
      </c>
    </row>
    <row r="292" spans="1:93" x14ac:dyDescent="0.2">
      <c r="A292" s="118">
        <f t="shared" si="33"/>
        <v>27</v>
      </c>
      <c r="B292" s="243" t="s">
        <v>145</v>
      </c>
      <c r="C292" s="223"/>
      <c r="D292" s="172">
        <f>SUMIF($AH$6:$CP$6,1,$AH292:$CP292)</f>
        <v>245588.00463218853</v>
      </c>
      <c r="E292" s="225" t="s">
        <v>596</v>
      </c>
      <c r="F292" s="183">
        <v>2.21</v>
      </c>
      <c r="G292" s="233" t="s">
        <v>375</v>
      </c>
      <c r="H292" s="174">
        <f>ROUND(D292*F292,2)</f>
        <v>542749.49</v>
      </c>
      <c r="I292" s="229"/>
      <c r="J292" s="172">
        <f>SUMIF($AH$6:$CP$6,1,$AH292:$CP292)</f>
        <v>245588.00463218853</v>
      </c>
      <c r="K292" s="225" t="s">
        <v>596</v>
      </c>
      <c r="L292" s="183">
        <f>L288</f>
        <v>2.3199999999999998</v>
      </c>
      <c r="M292" s="233" t="s">
        <v>375</v>
      </c>
      <c r="N292" s="174">
        <f>ROUND(J292*L292,2)</f>
        <v>569764.17000000004</v>
      </c>
      <c r="O292" s="227"/>
      <c r="Q292" s="1022"/>
      <c r="S292" s="263"/>
      <c r="T292" s="1293"/>
      <c r="U292" s="178" t="s">
        <v>614</v>
      </c>
      <c r="V292" s="179">
        <v>249</v>
      </c>
      <c r="W292" s="180">
        <v>223</v>
      </c>
      <c r="X292" s="264"/>
      <c r="Y292" s="178"/>
      <c r="Z292" s="181"/>
      <c r="AA292" s="264"/>
      <c r="AB292" s="182">
        <f>SUM(AH292:AS292)</f>
        <v>241570.8894532781</v>
      </c>
      <c r="AC292" s="182">
        <f>SUM(AT292:BE292)</f>
        <v>241534.8190560721</v>
      </c>
      <c r="AD292" s="182">
        <f>SUM(BF292:BQ292)</f>
        <v>243128.86414959954</v>
      </c>
      <c r="AE292" s="182">
        <f>SUM(BR292:CC292)</f>
        <v>245588.00463218853</v>
      </c>
      <c r="AF292" s="182">
        <f>SUM(CD292:CO292)</f>
        <v>246921.49121672375</v>
      </c>
      <c r="AH292" s="168">
        <v>6720.4486136367041</v>
      </c>
      <c r="AI292" s="168">
        <v>37758.38513013436</v>
      </c>
      <c r="AJ292" s="168">
        <v>2194.5293141515654</v>
      </c>
      <c r="AK292" s="168">
        <v>13913.425448155331</v>
      </c>
      <c r="AL292" s="168">
        <v>43421.318157233734</v>
      </c>
      <c r="AM292" s="168">
        <v>19132.290741341374</v>
      </c>
      <c r="AN292" s="168">
        <v>19502.95433009059</v>
      </c>
      <c r="AO292" s="168">
        <v>15683.714777833411</v>
      </c>
      <c r="AP292" s="168">
        <v>23623.520395791409</v>
      </c>
      <c r="AQ292" s="168">
        <v>19905.324118139659</v>
      </c>
      <c r="AR292" s="168">
        <v>21072.296457392396</v>
      </c>
      <c r="AS292" s="168">
        <v>18642.681969377554</v>
      </c>
      <c r="AT292" s="168">
        <v>6718.6843476078429</v>
      </c>
      <c r="AU292" s="168">
        <v>38513.650333026737</v>
      </c>
      <c r="AV292" s="168">
        <v>2168.9859409230098</v>
      </c>
      <c r="AW292" s="168">
        <v>13720.456710434275</v>
      </c>
      <c r="AX292" s="168">
        <v>43020.899571181813</v>
      </c>
      <c r="AY292" s="168">
        <v>18657.537824622486</v>
      </c>
      <c r="AZ292" s="168">
        <v>19636.685540790862</v>
      </c>
      <c r="BA292" s="168">
        <v>15591.076111698008</v>
      </c>
      <c r="BB292" s="168">
        <v>23686.230284279736</v>
      </c>
      <c r="BC292" s="168">
        <v>19964.449034686408</v>
      </c>
      <c r="BD292" s="168">
        <v>21180.238415788703</v>
      </c>
      <c r="BE292" s="168">
        <v>18675.924941032208</v>
      </c>
      <c r="BF292" s="168">
        <v>6763.5340082113053</v>
      </c>
      <c r="BG292" s="168">
        <v>38934.458872628056</v>
      </c>
      <c r="BH292" s="168">
        <v>2199.4233884526452</v>
      </c>
      <c r="BI292" s="168">
        <v>13855.451361877049</v>
      </c>
      <c r="BJ292" s="168">
        <v>43291.717988559161</v>
      </c>
      <c r="BK292" s="168">
        <v>18890.221281004982</v>
      </c>
      <c r="BL292" s="168">
        <v>19743.670066166596</v>
      </c>
      <c r="BM292" s="168">
        <v>15695.05487214865</v>
      </c>
      <c r="BN292" s="168">
        <v>23747.133958465187</v>
      </c>
      <c r="BO292" s="168">
        <v>19891.859487078531</v>
      </c>
      <c r="BP292" s="168">
        <v>21198.034927871573</v>
      </c>
      <c r="BQ292" s="168">
        <v>18918.303937135792</v>
      </c>
      <c r="BR292" s="168">
        <v>6831.8367153143436</v>
      </c>
      <c r="BS292" s="168">
        <v>39376.097006264485</v>
      </c>
      <c r="BT292" s="168">
        <v>2208.1092152135989</v>
      </c>
      <c r="BU292" s="168">
        <v>13940.249567016435</v>
      </c>
      <c r="BV292" s="168">
        <v>43307.242704962417</v>
      </c>
      <c r="BW292" s="168">
        <v>19264.246747758069</v>
      </c>
      <c r="BX292" s="168">
        <v>20111.856428202816</v>
      </c>
      <c r="BY292" s="168">
        <v>15915.444892304256</v>
      </c>
      <c r="BZ292" s="168">
        <v>23958.688856276749</v>
      </c>
      <c r="CA292" s="168">
        <v>20193.201053364362</v>
      </c>
      <c r="CB292" s="168">
        <v>21482.289627112626</v>
      </c>
      <c r="CC292" s="168">
        <v>18998.741818398419</v>
      </c>
      <c r="CD292" s="168">
        <v>6868.438556359928</v>
      </c>
      <c r="CE292" s="168">
        <v>39128.792705075881</v>
      </c>
      <c r="CF292" s="168">
        <v>2227.8728869664105</v>
      </c>
      <c r="CG292" s="168">
        <v>14218.170534150777</v>
      </c>
      <c r="CH292" s="168">
        <v>43877.382121521201</v>
      </c>
      <c r="CI292" s="168">
        <v>19161.581361427521</v>
      </c>
      <c r="CJ292" s="168">
        <v>20135.084013095868</v>
      </c>
      <c r="CK292" s="168">
        <v>15947.989442678261</v>
      </c>
      <c r="CL292" s="168">
        <v>24341.559594906052</v>
      </c>
      <c r="CM292" s="168">
        <v>20265.087137021423</v>
      </c>
      <c r="CN292" s="168">
        <v>21704.869396911869</v>
      </c>
      <c r="CO292" s="168">
        <v>19044.663466608563</v>
      </c>
    </row>
    <row r="293" spans="1:93" x14ac:dyDescent="0.2">
      <c r="A293" s="118">
        <f t="shared" si="33"/>
        <v>28</v>
      </c>
      <c r="B293" s="243" t="s">
        <v>601</v>
      </c>
      <c r="C293" s="223"/>
      <c r="D293" s="172">
        <f>D291</f>
        <v>108765.62464294641</v>
      </c>
      <c r="E293" s="225" t="s">
        <v>596</v>
      </c>
      <c r="F293" s="183">
        <v>-1.3</v>
      </c>
      <c r="G293" s="233" t="s">
        <v>375</v>
      </c>
      <c r="H293" s="174">
        <f>ROUND(D293*F293,2)</f>
        <v>-141395.31</v>
      </c>
      <c r="I293" s="229"/>
      <c r="J293" s="172">
        <f>J291</f>
        <v>108765.62464294641</v>
      </c>
      <c r="K293" s="225" t="s">
        <v>596</v>
      </c>
      <c r="L293" s="173">
        <f>'Exhibit MJC-3 - E-13c cal yr'!L319</f>
        <v>-1.34</v>
      </c>
      <c r="M293" s="233" t="s">
        <v>375</v>
      </c>
      <c r="N293" s="174">
        <f>ROUND(J293*L293,2)</f>
        <v>-145745.94</v>
      </c>
      <c r="O293" s="227"/>
      <c r="Q293" s="939"/>
      <c r="S293" s="263"/>
      <c r="T293" s="1293"/>
      <c r="U293" s="178"/>
      <c r="V293" s="179"/>
      <c r="W293" s="180"/>
      <c r="X293" s="264"/>
      <c r="Y293" s="178"/>
      <c r="Z293" s="181"/>
      <c r="AA293" s="264"/>
      <c r="AB293" s="182"/>
      <c r="AC293" s="182"/>
      <c r="AD293" s="182"/>
      <c r="AE293" s="182"/>
      <c r="AF293" s="182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  <c r="AT293" s="168"/>
      <c r="AU293" s="168"/>
      <c r="AV293" s="168"/>
      <c r="AW293" s="168"/>
      <c r="AX293" s="168"/>
      <c r="AY293" s="168"/>
      <c r="AZ293" s="168"/>
      <c r="BA293" s="168"/>
      <c r="BB293" s="168"/>
      <c r="BC293" s="168"/>
      <c r="BD293" s="168"/>
      <c r="BE293" s="168"/>
      <c r="BF293" s="168"/>
      <c r="BG293" s="168"/>
      <c r="BH293" s="168"/>
      <c r="BI293" s="168"/>
      <c r="BJ293" s="168"/>
      <c r="BK293" s="168"/>
      <c r="BL293" s="168"/>
      <c r="BM293" s="168"/>
      <c r="BN293" s="168"/>
      <c r="BO293" s="168"/>
      <c r="BP293" s="168"/>
      <c r="BQ293" s="168"/>
      <c r="BR293" s="168"/>
      <c r="BS293" s="168"/>
      <c r="BT293" s="168"/>
      <c r="BU293" s="168"/>
      <c r="BV293" s="168"/>
      <c r="BW293" s="168"/>
      <c r="BX293" s="168"/>
      <c r="BY293" s="168"/>
      <c r="BZ293" s="168"/>
      <c r="CA293" s="168"/>
      <c r="CB293" s="168"/>
      <c r="CC293" s="168"/>
      <c r="CD293" s="168"/>
      <c r="CE293" s="168"/>
      <c r="CF293" s="168"/>
      <c r="CG293" s="168"/>
      <c r="CH293" s="168"/>
      <c r="CI293" s="168"/>
      <c r="CJ293" s="168"/>
      <c r="CK293" s="168"/>
      <c r="CL293" s="168"/>
      <c r="CM293" s="168"/>
      <c r="CN293" s="168"/>
      <c r="CO293" s="168"/>
    </row>
    <row r="294" spans="1:93" x14ac:dyDescent="0.2">
      <c r="A294" s="118">
        <f t="shared" si="33"/>
        <v>29</v>
      </c>
      <c r="B294" s="234" t="s">
        <v>216</v>
      </c>
      <c r="C294" s="223"/>
      <c r="D294" s="168"/>
      <c r="E294" s="225"/>
      <c r="F294" s="183"/>
      <c r="G294" s="233"/>
      <c r="H294" s="174"/>
      <c r="I294" s="229"/>
      <c r="J294" s="168"/>
      <c r="K294" s="225"/>
      <c r="L294" s="183"/>
      <c r="M294" s="233"/>
      <c r="N294" s="174"/>
      <c r="O294" s="227"/>
      <c r="Q294" s="227"/>
      <c r="S294" s="263"/>
      <c r="T294" s="927"/>
      <c r="U294" s="178"/>
      <c r="V294" s="179"/>
      <c r="W294" s="180"/>
      <c r="X294" s="227"/>
      <c r="Y294" s="178"/>
      <c r="Z294" s="181"/>
      <c r="AA294" s="227"/>
      <c r="AB294" s="264"/>
      <c r="AC294" s="264"/>
      <c r="AE294" s="245"/>
    </row>
    <row r="295" spans="1:93" x14ac:dyDescent="0.2">
      <c r="A295" s="118">
        <f t="shared" si="33"/>
        <v>30</v>
      </c>
      <c r="B295" s="243" t="s">
        <v>559</v>
      </c>
      <c r="C295" s="223"/>
      <c r="D295" s="172">
        <f>SUMIF($AH$6:$CP$6,1,$AH295:$CP295)</f>
        <v>0</v>
      </c>
      <c r="E295" s="225" t="s">
        <v>596</v>
      </c>
      <c r="F295" s="183">
        <v>2.5</v>
      </c>
      <c r="G295" s="233" t="s">
        <v>375</v>
      </c>
      <c r="H295" s="174">
        <f>ROUND(D295*F295,2)</f>
        <v>0</v>
      </c>
      <c r="I295" s="229"/>
      <c r="J295" s="172">
        <f>SUMIF($AH$6:$CP$6,1,$AH295:$CP295)</f>
        <v>0</v>
      </c>
      <c r="K295" s="225" t="s">
        <v>596</v>
      </c>
      <c r="L295" s="183">
        <f>L290</f>
        <v>2.59</v>
      </c>
      <c r="M295" s="233" t="s">
        <v>375</v>
      </c>
      <c r="N295" s="174">
        <f>ROUND(J295*L295,2)</f>
        <v>0</v>
      </c>
      <c r="O295" s="227"/>
      <c r="Q295" s="227"/>
      <c r="T295" s="264"/>
      <c r="U295" s="178" t="s">
        <v>614</v>
      </c>
      <c r="V295" s="179">
        <v>249</v>
      </c>
      <c r="W295" s="180">
        <v>223</v>
      </c>
      <c r="X295" s="264"/>
      <c r="Y295" s="178"/>
      <c r="Z295" s="181"/>
      <c r="AA295" s="264"/>
      <c r="AB295" s="182">
        <f>SUM(AH295:AS295)</f>
        <v>0</v>
      </c>
      <c r="AC295" s="182">
        <f>SUM(AT295:BE295)</f>
        <v>0</v>
      </c>
      <c r="AD295" s="182">
        <f>SUM(BF295:BQ295)</f>
        <v>0</v>
      </c>
      <c r="AE295" s="182">
        <f>SUM(BR295:CC295)</f>
        <v>0</v>
      </c>
      <c r="AF295" s="182">
        <f>SUM(CD295:CO295)</f>
        <v>0</v>
      </c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8"/>
      <c r="BN295" s="168"/>
      <c r="BO295" s="168"/>
      <c r="BP295" s="168"/>
      <c r="BQ295" s="168"/>
      <c r="BR295" s="168"/>
      <c r="BS295" s="168"/>
      <c r="BT295" s="168"/>
      <c r="BU295" s="168"/>
      <c r="BV295" s="168"/>
      <c r="BW295" s="168"/>
      <c r="BX295" s="168"/>
      <c r="BY295" s="168"/>
      <c r="BZ295" s="168"/>
      <c r="CA295" s="168"/>
      <c r="CB295" s="168"/>
      <c r="CC295" s="168"/>
      <c r="CD295" s="168"/>
      <c r="CE295" s="168"/>
      <c r="CF295" s="168"/>
      <c r="CG295" s="168"/>
      <c r="CH295" s="168"/>
      <c r="CI295" s="168"/>
      <c r="CJ295" s="168"/>
      <c r="CK295" s="168"/>
      <c r="CL295" s="168"/>
      <c r="CM295" s="168"/>
      <c r="CN295" s="168"/>
      <c r="CO295" s="168"/>
    </row>
    <row r="296" spans="1:93" x14ac:dyDescent="0.2">
      <c r="A296" s="118">
        <f t="shared" si="33"/>
        <v>31</v>
      </c>
      <c r="B296" s="243" t="s">
        <v>599</v>
      </c>
      <c r="C296" s="223"/>
      <c r="D296" s="172">
        <f>SUMIF($AH$6:$CP$6,1,$AH296:$CP296)</f>
        <v>0</v>
      </c>
      <c r="E296" s="225" t="s">
        <v>596</v>
      </c>
      <c r="F296" s="183">
        <v>4.97</v>
      </c>
      <c r="G296" s="233" t="s">
        <v>375</v>
      </c>
      <c r="H296" s="174">
        <f>ROUND(D296*F296,2)</f>
        <v>0</v>
      </c>
      <c r="I296" s="229"/>
      <c r="J296" s="172">
        <f>SUMIF($AH$6:$CP$6,1,$AH296:$CP296)</f>
        <v>0</v>
      </c>
      <c r="K296" s="225" t="s">
        <v>596</v>
      </c>
      <c r="L296" s="183">
        <f>L291</f>
        <v>5.14</v>
      </c>
      <c r="M296" s="233" t="s">
        <v>375</v>
      </c>
      <c r="N296" s="174">
        <f>ROUND(J296*L296,2)</f>
        <v>0</v>
      </c>
      <c r="O296" s="227"/>
      <c r="Q296" s="227"/>
      <c r="T296" s="264"/>
      <c r="U296" s="178" t="s">
        <v>614</v>
      </c>
      <c r="V296" s="179">
        <v>249</v>
      </c>
      <c r="W296" s="180">
        <v>223</v>
      </c>
      <c r="X296" s="264"/>
      <c r="Y296" s="178"/>
      <c r="Z296" s="181"/>
      <c r="AA296" s="264"/>
      <c r="AB296" s="182"/>
      <c r="AC296" s="182"/>
      <c r="AD296" s="182"/>
      <c r="AE296" s="182"/>
      <c r="AF296" s="182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  <c r="AT296" s="168"/>
      <c r="AU296" s="168"/>
      <c r="AV296" s="168"/>
      <c r="AW296" s="168"/>
      <c r="AX296" s="168"/>
      <c r="AY296" s="168"/>
      <c r="AZ296" s="168"/>
      <c r="BA296" s="168"/>
      <c r="BB296" s="168"/>
      <c r="BC296" s="168"/>
      <c r="BD296" s="168"/>
      <c r="BE296" s="168"/>
      <c r="BF296" s="168"/>
      <c r="BG296" s="168"/>
      <c r="BH296" s="168"/>
      <c r="BI296" s="168"/>
      <c r="BJ296" s="168"/>
      <c r="BK296" s="168"/>
      <c r="BL296" s="168"/>
      <c r="BM296" s="168"/>
      <c r="BN296" s="168"/>
      <c r="BO296" s="168"/>
      <c r="BP296" s="168"/>
      <c r="BQ296" s="168"/>
      <c r="BR296" s="168"/>
      <c r="BS296" s="168"/>
      <c r="BT296" s="168"/>
      <c r="BU296" s="168"/>
      <c r="BV296" s="168"/>
      <c r="BW296" s="168"/>
      <c r="BX296" s="168"/>
      <c r="BY296" s="168"/>
      <c r="BZ296" s="168"/>
      <c r="CA296" s="168"/>
      <c r="CB296" s="168"/>
      <c r="CC296" s="168"/>
      <c r="CD296" s="168"/>
      <c r="CE296" s="168"/>
      <c r="CF296" s="168"/>
      <c r="CG296" s="168"/>
      <c r="CH296" s="168"/>
      <c r="CI296" s="168"/>
      <c r="CJ296" s="168"/>
      <c r="CK296" s="168"/>
      <c r="CL296" s="168"/>
      <c r="CM296" s="168"/>
      <c r="CN296" s="168"/>
      <c r="CO296" s="168"/>
    </row>
    <row r="297" spans="1:93" x14ac:dyDescent="0.2">
      <c r="A297" s="118">
        <f t="shared" si="33"/>
        <v>32</v>
      </c>
      <c r="B297" s="243" t="s">
        <v>145</v>
      </c>
      <c r="C297" s="223"/>
      <c r="D297" s="172">
        <f>SUMIF($AH$6:$CP$6,1,$AH297:$CP297)</f>
        <v>0</v>
      </c>
      <c r="E297" s="225" t="s">
        <v>596</v>
      </c>
      <c r="F297" s="183">
        <v>2.21</v>
      </c>
      <c r="G297" s="233" t="s">
        <v>375</v>
      </c>
      <c r="H297" s="174">
        <f>ROUND(D297*F297,2)</f>
        <v>0</v>
      </c>
      <c r="I297" s="229"/>
      <c r="J297" s="172">
        <f>SUMIF($AH$6:$CP$6,1,$AH297:$CP297)</f>
        <v>0</v>
      </c>
      <c r="K297" s="225" t="s">
        <v>596</v>
      </c>
      <c r="L297" s="183">
        <f>L292</f>
        <v>2.3199999999999998</v>
      </c>
      <c r="M297" s="233" t="s">
        <v>375</v>
      </c>
      <c r="N297" s="174">
        <f>ROUND(J297*L297,2)</f>
        <v>0</v>
      </c>
      <c r="O297" s="227"/>
      <c r="Q297" s="227"/>
      <c r="T297" s="264"/>
      <c r="U297" s="178" t="s">
        <v>614</v>
      </c>
      <c r="V297" s="179">
        <v>249</v>
      </c>
      <c r="W297" s="180">
        <v>223</v>
      </c>
      <c r="X297" s="264"/>
      <c r="Y297" s="178"/>
      <c r="Z297" s="181"/>
      <c r="AA297" s="264"/>
      <c r="AB297" s="182">
        <f>SUM(AH297:AS297)</f>
        <v>0</v>
      </c>
      <c r="AC297" s="182">
        <f>SUM(AT297:BE297)</f>
        <v>0</v>
      </c>
      <c r="AD297" s="182">
        <f>SUM(BF297:BQ297)</f>
        <v>0</v>
      </c>
      <c r="AE297" s="182">
        <f>SUM(BR297:CC297)</f>
        <v>0</v>
      </c>
      <c r="AF297" s="182">
        <f>SUM(CD297:CO297)</f>
        <v>0</v>
      </c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8"/>
      <c r="BW297" s="168"/>
      <c r="BX297" s="168"/>
      <c r="BY297" s="168"/>
      <c r="BZ297" s="168"/>
      <c r="CA297" s="168"/>
      <c r="CB297" s="168"/>
      <c r="CC297" s="168"/>
      <c r="CD297" s="168"/>
      <c r="CE297" s="168"/>
      <c r="CF297" s="168"/>
      <c r="CG297" s="168"/>
      <c r="CH297" s="168"/>
      <c r="CI297" s="168"/>
      <c r="CJ297" s="168"/>
      <c r="CK297" s="168"/>
      <c r="CL297" s="168"/>
      <c r="CM297" s="168"/>
      <c r="CN297" s="168"/>
      <c r="CO297" s="168"/>
    </row>
    <row r="298" spans="1:93" x14ac:dyDescent="0.2">
      <c r="A298" s="118">
        <f t="shared" si="33"/>
        <v>33</v>
      </c>
      <c r="B298" s="243" t="s">
        <v>601</v>
      </c>
      <c r="C298" s="223"/>
      <c r="D298" s="172">
        <f>D297</f>
        <v>0</v>
      </c>
      <c r="E298" s="225" t="s">
        <v>596</v>
      </c>
      <c r="F298" s="183">
        <v>-6.18</v>
      </c>
      <c r="G298" s="233" t="s">
        <v>375</v>
      </c>
      <c r="H298" s="174">
        <f>ROUND(D298*F298,2)</f>
        <v>0</v>
      </c>
      <c r="I298" s="229"/>
      <c r="J298" s="172">
        <f>J296</f>
        <v>0</v>
      </c>
      <c r="K298" s="225" t="s">
        <v>596</v>
      </c>
      <c r="L298" s="173">
        <f>'Exhibit MJC-3 - E-13c cal yr'!L324</f>
        <v>-6.47</v>
      </c>
      <c r="M298" s="233" t="s">
        <v>375</v>
      </c>
      <c r="N298" s="174">
        <f>ROUND(J298*L298,2)</f>
        <v>0</v>
      </c>
      <c r="O298" s="227"/>
      <c r="P298" s="227"/>
      <c r="Q298" s="227"/>
      <c r="T298" s="264"/>
      <c r="U298" s="178"/>
      <c r="V298" s="179"/>
      <c r="W298" s="180"/>
      <c r="X298" s="264"/>
      <c r="Y298" s="178"/>
      <c r="Z298" s="181"/>
      <c r="AA298" s="264"/>
      <c r="AB298" s="182"/>
      <c r="AC298" s="182"/>
      <c r="AD298" s="182"/>
      <c r="AE298" s="182"/>
      <c r="AF298" s="182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  <c r="AT298" s="168"/>
      <c r="AU298" s="168"/>
      <c r="AV298" s="168"/>
      <c r="AW298" s="168"/>
      <c r="AX298" s="168"/>
      <c r="AY298" s="168"/>
      <c r="AZ298" s="168"/>
      <c r="BA298" s="168"/>
      <c r="BB298" s="168"/>
      <c r="BC298" s="168"/>
      <c r="BD298" s="168"/>
      <c r="BE298" s="168"/>
      <c r="BF298" s="168"/>
      <c r="BG298" s="168"/>
      <c r="BH298" s="168"/>
      <c r="BI298" s="168"/>
      <c r="BJ298" s="168"/>
      <c r="BK298" s="168"/>
      <c r="BL298" s="168"/>
      <c r="BM298" s="168"/>
      <c r="BN298" s="168"/>
      <c r="BO298" s="168"/>
      <c r="BP298" s="168"/>
      <c r="BQ298" s="168"/>
      <c r="BR298" s="168"/>
      <c r="BS298" s="168"/>
      <c r="BT298" s="168"/>
      <c r="BU298" s="168"/>
      <c r="BV298" s="168"/>
      <c r="BW298" s="168"/>
      <c r="BX298" s="168"/>
      <c r="BY298" s="168"/>
      <c r="BZ298" s="168"/>
      <c r="CA298" s="168"/>
      <c r="CB298" s="168"/>
      <c r="CC298" s="168"/>
      <c r="CD298" s="168"/>
      <c r="CE298" s="168"/>
      <c r="CF298" s="168"/>
      <c r="CG298" s="168"/>
      <c r="CH298" s="168"/>
      <c r="CI298" s="168"/>
      <c r="CJ298" s="168"/>
      <c r="CK298" s="168"/>
      <c r="CL298" s="168"/>
      <c r="CM298" s="168"/>
      <c r="CN298" s="168"/>
      <c r="CO298" s="168"/>
    </row>
    <row r="299" spans="1:93" x14ac:dyDescent="0.2">
      <c r="A299" s="118">
        <f t="shared" si="33"/>
        <v>34</v>
      </c>
      <c r="B299" s="243"/>
      <c r="C299" s="223" t="s">
        <v>603</v>
      </c>
      <c r="D299" s="204">
        <f>D280+D281+D282+D288+D292+D297</f>
        <v>246614.82063403862</v>
      </c>
      <c r="E299" s="233" t="s">
        <v>615</v>
      </c>
      <c r="F299" s="205" t="s">
        <v>374</v>
      </c>
      <c r="G299" s="233"/>
      <c r="H299" s="206">
        <f>SUM(H280:H298)</f>
        <v>1226173.49</v>
      </c>
      <c r="I299" s="229"/>
      <c r="J299" s="204">
        <f>J280+J281+J282+J288+J292+J297</f>
        <v>246614.82063403862</v>
      </c>
      <c r="K299" s="233" t="s">
        <v>615</v>
      </c>
      <c r="L299" s="205" t="s">
        <v>374</v>
      </c>
      <c r="M299" s="233"/>
      <c r="N299" s="206">
        <f>SUM(N280:N298)</f>
        <v>1277722.1800000002</v>
      </c>
      <c r="O299" s="227"/>
      <c r="Q299" s="1022"/>
      <c r="T299" s="264"/>
      <c r="U299" s="178"/>
      <c r="V299" s="179"/>
      <c r="W299" s="180"/>
      <c r="X299" s="264"/>
      <c r="Y299" s="178" t="s">
        <v>613</v>
      </c>
      <c r="Z299" s="181" t="s">
        <v>146</v>
      </c>
      <c r="AA299" s="264"/>
      <c r="AB299" s="204">
        <f>AB280+AB281+AB282+AB288+AB292+AB297</f>
        <v>242580.90969120985</v>
      </c>
      <c r="AC299" s="204">
        <f>AC280+AC281+AC282+AC288+AC292+AC297</f>
        <v>242544.68848182919</v>
      </c>
      <c r="AD299" s="204">
        <f>AD280+AD281+AD282+AD288+AD292+AD297</f>
        <v>244145.39835938043</v>
      </c>
      <c r="AE299" s="204">
        <f>AE280+AE281+AE282+AE288+AE292+AE297</f>
        <v>246614.82063403862</v>
      </c>
      <c r="AF299" s="204">
        <f>AF280+AF281+AF282+AF288+AF292+AF297</f>
        <v>247953.88259415174</v>
      </c>
      <c r="AH299" s="204">
        <f t="shared" ref="AH299:CO299" si="36">AH280+AH281+AH282+AH288+AH292+AH297</f>
        <v>6717.9690676295431</v>
      </c>
      <c r="AI299" s="204">
        <f t="shared" si="36"/>
        <v>32335.223125040888</v>
      </c>
      <c r="AJ299" s="204">
        <f t="shared" si="36"/>
        <v>-3755.1880460331681</v>
      </c>
      <c r="AK299" s="204">
        <f t="shared" si="36"/>
        <v>26298.158393292768</v>
      </c>
      <c r="AL299" s="204">
        <f t="shared" si="36"/>
        <v>43421.318157233734</v>
      </c>
      <c r="AM299" s="204">
        <f t="shared" si="36"/>
        <v>19132.290741341374</v>
      </c>
      <c r="AN299" s="204">
        <f t="shared" si="36"/>
        <v>19502.95433009059</v>
      </c>
      <c r="AO299" s="204">
        <f t="shared" si="36"/>
        <v>15667.29065963129</v>
      </c>
      <c r="AP299" s="204">
        <f t="shared" si="36"/>
        <v>23640.590718073199</v>
      </c>
      <c r="AQ299" s="204">
        <f t="shared" si="36"/>
        <v>19905.324118139659</v>
      </c>
      <c r="AR299" s="204">
        <f t="shared" si="36"/>
        <v>21072.296457392396</v>
      </c>
      <c r="AS299" s="204">
        <f t="shared" si="36"/>
        <v>18642.681969377554</v>
      </c>
      <c r="AT299" s="204">
        <f t="shared" si="36"/>
        <v>6715.4267526429439</v>
      </c>
      <c r="AU299" s="204">
        <f t="shared" si="36"/>
        <v>31524.984888202547</v>
      </c>
      <c r="AV299" s="204">
        <f t="shared" si="36"/>
        <v>-5260.6860398805729</v>
      </c>
      <c r="AW299" s="204">
        <f t="shared" si="36"/>
        <v>29150.924888610927</v>
      </c>
      <c r="AX299" s="204">
        <f t="shared" si="36"/>
        <v>43020.899571181813</v>
      </c>
      <c r="AY299" s="204">
        <f t="shared" si="36"/>
        <v>18657.537824622486</v>
      </c>
      <c r="AZ299" s="204">
        <f t="shared" si="36"/>
        <v>19636.685540790862</v>
      </c>
      <c r="BA299" s="204">
        <f t="shared" si="36"/>
        <v>15570.447634358543</v>
      </c>
      <c r="BB299" s="204">
        <f t="shared" si="36"/>
        <v>23707.855029792314</v>
      </c>
      <c r="BC299" s="204">
        <f t="shared" si="36"/>
        <v>19964.449034686408</v>
      </c>
      <c r="BD299" s="204">
        <f t="shared" si="36"/>
        <v>21180.238415788703</v>
      </c>
      <c r="BE299" s="204">
        <f t="shared" si="36"/>
        <v>18675.924941032208</v>
      </c>
      <c r="BF299" s="204">
        <f t="shared" si="36"/>
        <v>6760.164883937814</v>
      </c>
      <c r="BG299" s="204">
        <f t="shared" si="36"/>
        <v>31612.942209481836</v>
      </c>
      <c r="BH299" s="204">
        <f t="shared" si="36"/>
        <v>-5607.9560890131997</v>
      </c>
      <c r="BI299" s="204">
        <f t="shared" si="36"/>
        <v>30003.303354384385</v>
      </c>
      <c r="BJ299" s="204">
        <f t="shared" si="36"/>
        <v>43291.717988559161</v>
      </c>
      <c r="BK299" s="204">
        <f t="shared" si="36"/>
        <v>18890.221281004982</v>
      </c>
      <c r="BL299" s="204">
        <f t="shared" si="36"/>
        <v>19743.670066166596</v>
      </c>
      <c r="BM299" s="204">
        <f t="shared" si="36"/>
        <v>15673.535110059431</v>
      </c>
      <c r="BN299" s="204">
        <f t="shared" si="36"/>
        <v>23769.601202713504</v>
      </c>
      <c r="BO299" s="204">
        <f t="shared" si="36"/>
        <v>19891.859487078531</v>
      </c>
      <c r="BP299" s="204">
        <f t="shared" si="36"/>
        <v>21198.034927871573</v>
      </c>
      <c r="BQ299" s="204">
        <f t="shared" si="36"/>
        <v>18918.303937135792</v>
      </c>
      <c r="BR299" s="204">
        <f t="shared" si="36"/>
        <v>6828.3334110115429</v>
      </c>
      <c r="BS299" s="204">
        <f t="shared" si="36"/>
        <v>31783.335205738822</v>
      </c>
      <c r="BT299" s="204">
        <f t="shared" si="36"/>
        <v>-5829.3524848802845</v>
      </c>
      <c r="BU299" s="204">
        <f t="shared" si="36"/>
        <v>30599.92542768662</v>
      </c>
      <c r="BV299" s="204">
        <f t="shared" si="36"/>
        <v>43307.242704962417</v>
      </c>
      <c r="BW299" s="204">
        <f t="shared" si="36"/>
        <v>19264.246747758069</v>
      </c>
      <c r="BX299" s="204">
        <f t="shared" si="36"/>
        <v>20111.856428202816</v>
      </c>
      <c r="BY299" s="204">
        <f t="shared" si="36"/>
        <v>15893.068229013075</v>
      </c>
      <c r="BZ299" s="204">
        <f t="shared" si="36"/>
        <v>23981.932465670176</v>
      </c>
      <c r="CA299" s="204">
        <f t="shared" si="36"/>
        <v>20193.201053364362</v>
      </c>
      <c r="CB299" s="204">
        <f t="shared" si="36"/>
        <v>21482.289627112626</v>
      </c>
      <c r="CC299" s="204">
        <f t="shared" si="36"/>
        <v>18998.741818398419</v>
      </c>
      <c r="CD299" s="204">
        <f t="shared" si="36"/>
        <v>6865.7130299681376</v>
      </c>
      <c r="CE299" s="204">
        <f t="shared" si="36"/>
        <v>33294.032597021636</v>
      </c>
      <c r="CF299" s="204">
        <f t="shared" si="36"/>
        <v>-4043.2963041144744</v>
      </c>
      <c r="CG299" s="204">
        <f t="shared" si="36"/>
        <v>27358.29444921908</v>
      </c>
      <c r="CH299" s="204">
        <f t="shared" si="36"/>
        <v>43877.382121521201</v>
      </c>
      <c r="CI299" s="204">
        <f t="shared" si="36"/>
        <v>19161.581361427521</v>
      </c>
      <c r="CJ299" s="204">
        <f t="shared" si="36"/>
        <v>20135.084013095868</v>
      </c>
      <c r="CK299" s="204">
        <f t="shared" si="36"/>
        <v>15930.649716831755</v>
      </c>
      <c r="CL299" s="204">
        <f t="shared" si="36"/>
        <v>24359.821608639166</v>
      </c>
      <c r="CM299" s="204">
        <f t="shared" si="36"/>
        <v>20265.087137021423</v>
      </c>
      <c r="CN299" s="204">
        <f t="shared" si="36"/>
        <v>21704.869396911869</v>
      </c>
      <c r="CO299" s="204">
        <f t="shared" si="36"/>
        <v>19044.663466608563</v>
      </c>
    </row>
    <row r="300" spans="1:93" x14ac:dyDescent="0.2">
      <c r="A300" s="118">
        <f t="shared" si="33"/>
        <v>35</v>
      </c>
      <c r="F300" s="197"/>
      <c r="H300" s="203"/>
      <c r="I300" s="229"/>
      <c r="L300" s="197"/>
      <c r="U300" s="184"/>
      <c r="V300" s="179"/>
      <c r="W300" s="180"/>
      <c r="Y300" s="184"/>
      <c r="Z300" s="181"/>
      <c r="AB300" s="193">
        <f>SUM(AH300:AS300)</f>
        <v>0</v>
      </c>
      <c r="AC300" s="193">
        <f>SUM(AT300:BE300)</f>
        <v>0</v>
      </c>
      <c r="AD300" s="193">
        <f>SUM(BF300:BQ300)</f>
        <v>0</v>
      </c>
      <c r="AE300" s="193">
        <f>SUM(BR300:CC300)</f>
        <v>0</v>
      </c>
      <c r="AF300" s="193">
        <f>SUM(CD300:CO300)</f>
        <v>0</v>
      </c>
      <c r="AH300" s="294">
        <v>0</v>
      </c>
      <c r="AI300" s="294">
        <v>0</v>
      </c>
      <c r="AJ300" s="294">
        <v>0</v>
      </c>
      <c r="AK300" s="294">
        <v>0</v>
      </c>
      <c r="AL300" s="294">
        <v>0</v>
      </c>
      <c r="AM300" s="294">
        <v>0</v>
      </c>
      <c r="AN300" s="294">
        <v>0</v>
      </c>
      <c r="AO300" s="294">
        <v>0</v>
      </c>
      <c r="AP300" s="294">
        <v>0</v>
      </c>
      <c r="AQ300" s="294">
        <v>0</v>
      </c>
      <c r="AR300" s="294">
        <v>0</v>
      </c>
      <c r="AS300" s="294">
        <v>0</v>
      </c>
      <c r="AT300" s="294">
        <v>0</v>
      </c>
      <c r="AU300" s="294">
        <v>0</v>
      </c>
      <c r="AV300" s="294">
        <v>0</v>
      </c>
      <c r="AW300" s="294">
        <v>0</v>
      </c>
      <c r="AX300" s="294">
        <v>0</v>
      </c>
      <c r="AY300" s="294">
        <v>0</v>
      </c>
      <c r="AZ300" s="294">
        <v>0</v>
      </c>
      <c r="BA300" s="294">
        <v>0</v>
      </c>
      <c r="BB300" s="294">
        <v>0</v>
      </c>
      <c r="BC300" s="294">
        <v>0</v>
      </c>
      <c r="BD300" s="294">
        <v>0</v>
      </c>
      <c r="BE300" s="294">
        <v>0</v>
      </c>
      <c r="BF300" s="294">
        <v>0</v>
      </c>
      <c r="BG300" s="294">
        <v>0</v>
      </c>
      <c r="BH300" s="294">
        <v>0</v>
      </c>
      <c r="BI300" s="294">
        <v>0</v>
      </c>
      <c r="BJ300" s="294">
        <v>0</v>
      </c>
      <c r="BK300" s="294">
        <v>0</v>
      </c>
      <c r="BL300" s="294">
        <v>0</v>
      </c>
      <c r="BM300" s="294">
        <v>0</v>
      </c>
      <c r="BN300" s="294">
        <v>0</v>
      </c>
      <c r="BO300" s="294">
        <v>0</v>
      </c>
      <c r="BP300" s="294">
        <v>0</v>
      </c>
      <c r="BQ300" s="294">
        <v>0</v>
      </c>
      <c r="BR300" s="294">
        <v>0</v>
      </c>
      <c r="BS300" s="294">
        <v>0</v>
      </c>
      <c r="BT300" s="294">
        <v>0</v>
      </c>
      <c r="BU300" s="294">
        <v>0</v>
      </c>
      <c r="BV300" s="294">
        <v>0</v>
      </c>
      <c r="BW300" s="294">
        <v>0</v>
      </c>
      <c r="BX300" s="294">
        <v>0</v>
      </c>
      <c r="BY300" s="294">
        <v>0</v>
      </c>
      <c r="BZ300" s="294">
        <v>0</v>
      </c>
      <c r="CA300" s="294">
        <v>0</v>
      </c>
      <c r="CB300" s="294">
        <v>0</v>
      </c>
      <c r="CC300" s="294">
        <v>0</v>
      </c>
      <c r="CD300" s="294">
        <v>0</v>
      </c>
      <c r="CE300" s="294">
        <v>0</v>
      </c>
      <c r="CF300" s="294">
        <v>0</v>
      </c>
      <c r="CG300" s="294">
        <v>0</v>
      </c>
      <c r="CH300" s="294">
        <v>0</v>
      </c>
      <c r="CI300" s="294">
        <v>0</v>
      </c>
      <c r="CJ300" s="294">
        <v>0</v>
      </c>
      <c r="CK300" s="294">
        <v>0</v>
      </c>
      <c r="CL300" s="294">
        <v>0</v>
      </c>
      <c r="CM300" s="294">
        <v>0</v>
      </c>
      <c r="CN300" s="294">
        <v>0</v>
      </c>
      <c r="CO300" s="294">
        <v>0</v>
      </c>
    </row>
    <row r="301" spans="1:93" x14ac:dyDescent="0.2">
      <c r="A301" s="118">
        <f t="shared" si="33"/>
        <v>36</v>
      </c>
      <c r="B301" s="243"/>
      <c r="C301" s="223"/>
      <c r="D301" s="168"/>
      <c r="E301" s="225"/>
      <c r="F301" s="183"/>
      <c r="G301" s="233"/>
      <c r="H301" s="940"/>
      <c r="I301" s="297"/>
      <c r="J301" s="168"/>
      <c r="K301" s="233"/>
      <c r="L301" s="205"/>
      <c r="M301" s="233"/>
      <c r="N301" s="940"/>
      <c r="O301" s="227"/>
      <c r="P301" s="227"/>
      <c r="Q301" s="227"/>
      <c r="T301" s="213"/>
      <c r="U301" s="298"/>
      <c r="V301" s="253"/>
      <c r="W301" s="254"/>
      <c r="Y301" s="298"/>
      <c r="Z301" s="255"/>
      <c r="AA301" s="213"/>
      <c r="AB301" s="193">
        <f>SUM(AH301:AS301)</f>
        <v>0</v>
      </c>
      <c r="AC301" s="193">
        <f>SUM(AT301:BE301)</f>
        <v>0</v>
      </c>
      <c r="AD301" s="193">
        <f>SUM(BF301:BQ301)</f>
        <v>0</v>
      </c>
      <c r="AE301" s="193">
        <f>SUM(BR301:CC301)</f>
        <v>0</v>
      </c>
      <c r="AF301" s="193">
        <f>SUM(CD301:CO301)</f>
        <v>0</v>
      </c>
      <c r="AH301" s="193">
        <v>0</v>
      </c>
      <c r="AI301" s="193">
        <v>0</v>
      </c>
      <c r="AJ301" s="193">
        <v>0</v>
      </c>
      <c r="AK301" s="193">
        <v>0</v>
      </c>
      <c r="AL301" s="193">
        <v>0</v>
      </c>
      <c r="AM301" s="193">
        <v>0</v>
      </c>
      <c r="AN301" s="193">
        <v>0</v>
      </c>
      <c r="AO301" s="193">
        <v>0</v>
      </c>
      <c r="AP301" s="193">
        <v>0</v>
      </c>
      <c r="AQ301" s="193">
        <v>0</v>
      </c>
      <c r="AR301" s="193">
        <v>0</v>
      </c>
      <c r="AS301" s="193">
        <v>0</v>
      </c>
      <c r="AT301" s="193">
        <v>0</v>
      </c>
      <c r="AU301" s="193">
        <v>0</v>
      </c>
      <c r="AV301" s="193">
        <v>0</v>
      </c>
      <c r="AW301" s="193">
        <v>0</v>
      </c>
      <c r="AX301" s="193">
        <v>0</v>
      </c>
      <c r="AY301" s="193">
        <v>0</v>
      </c>
      <c r="AZ301" s="193">
        <v>0</v>
      </c>
      <c r="BA301" s="193">
        <v>0</v>
      </c>
      <c r="BB301" s="193">
        <v>0</v>
      </c>
      <c r="BC301" s="193">
        <v>0</v>
      </c>
      <c r="BD301" s="193">
        <v>0</v>
      </c>
      <c r="BE301" s="193">
        <v>0</v>
      </c>
      <c r="BF301" s="193">
        <v>0</v>
      </c>
      <c r="BG301" s="193">
        <v>0</v>
      </c>
      <c r="BH301" s="193">
        <v>0</v>
      </c>
      <c r="BI301" s="193">
        <v>0</v>
      </c>
      <c r="BJ301" s="193">
        <v>0</v>
      </c>
      <c r="BK301" s="193">
        <v>0</v>
      </c>
      <c r="BL301" s="193">
        <v>0</v>
      </c>
      <c r="BM301" s="193">
        <v>0</v>
      </c>
      <c r="BN301" s="193">
        <v>0</v>
      </c>
      <c r="BO301" s="193">
        <v>0</v>
      </c>
      <c r="BP301" s="193">
        <v>0</v>
      </c>
      <c r="BQ301" s="193">
        <v>0</v>
      </c>
      <c r="BR301" s="193">
        <v>0</v>
      </c>
      <c r="BS301" s="193">
        <v>0</v>
      </c>
      <c r="BT301" s="193">
        <v>0</v>
      </c>
      <c r="BU301" s="193">
        <v>0</v>
      </c>
      <c r="BV301" s="193">
        <v>0</v>
      </c>
      <c r="BW301" s="193">
        <v>0</v>
      </c>
      <c r="BX301" s="193">
        <v>0</v>
      </c>
      <c r="BY301" s="193">
        <v>0</v>
      </c>
      <c r="BZ301" s="193">
        <v>0</v>
      </c>
      <c r="CA301" s="193">
        <v>0</v>
      </c>
      <c r="CB301" s="193">
        <v>0</v>
      </c>
      <c r="CC301" s="193">
        <v>0</v>
      </c>
      <c r="CD301" s="193">
        <v>0</v>
      </c>
      <c r="CE301" s="193">
        <v>0</v>
      </c>
      <c r="CF301" s="193">
        <v>0</v>
      </c>
      <c r="CG301" s="193">
        <v>0</v>
      </c>
      <c r="CH301" s="193">
        <v>0</v>
      </c>
      <c r="CI301" s="193">
        <v>0</v>
      </c>
      <c r="CJ301" s="193">
        <v>0</v>
      </c>
      <c r="CK301" s="193">
        <v>0</v>
      </c>
      <c r="CL301" s="193">
        <v>0</v>
      </c>
      <c r="CM301" s="193">
        <v>0</v>
      </c>
      <c r="CN301" s="193">
        <v>0</v>
      </c>
      <c r="CO301" s="193">
        <v>0</v>
      </c>
    </row>
    <row r="302" spans="1:93" x14ac:dyDescent="0.2">
      <c r="A302" s="215"/>
      <c r="B302" s="215" t="s">
        <v>674</v>
      </c>
      <c r="C302" s="215"/>
      <c r="D302" s="215"/>
      <c r="E302" s="215"/>
      <c r="F302" s="215"/>
      <c r="G302" s="215"/>
      <c r="H302" s="215"/>
      <c r="I302" s="215"/>
      <c r="J302" s="215"/>
      <c r="K302" s="215"/>
      <c r="L302" s="215"/>
      <c r="M302" s="215"/>
      <c r="N302" s="215" t="s">
        <v>675</v>
      </c>
      <c r="O302" s="215"/>
      <c r="P302" s="215"/>
      <c r="Q302" s="215"/>
      <c r="Y302" s="101"/>
    </row>
    <row r="303" spans="1:93" x14ac:dyDescent="0.2">
      <c r="A303" s="216"/>
      <c r="B303" s="216"/>
      <c r="C303" s="216"/>
      <c r="D303" s="216"/>
      <c r="E303" s="216"/>
      <c r="F303" s="216"/>
      <c r="G303" s="216"/>
      <c r="H303" s="216"/>
      <c r="I303" s="216"/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7"/>
      <c r="AA303" s="216"/>
      <c r="AB303" s="216"/>
      <c r="AC303" s="216"/>
      <c r="AD303" s="216"/>
      <c r="AE303" s="216"/>
      <c r="AF303" s="216"/>
      <c r="AG303" s="216"/>
      <c r="AH303" s="216"/>
      <c r="AI303" s="216"/>
      <c r="AJ303" s="216"/>
      <c r="AK303" s="216"/>
      <c r="AL303" s="216"/>
      <c r="AM303" s="216"/>
      <c r="AN303" s="216"/>
      <c r="AO303" s="216"/>
      <c r="AP303" s="216"/>
      <c r="AQ303" s="216"/>
      <c r="AR303" s="216"/>
      <c r="AS303" s="216"/>
      <c r="AT303" s="216"/>
      <c r="AU303" s="216"/>
      <c r="AV303" s="216"/>
      <c r="AW303" s="216"/>
      <c r="AX303" s="216"/>
      <c r="AY303" s="216"/>
      <c r="AZ303" s="216"/>
      <c r="BA303" s="216"/>
      <c r="BB303" s="216"/>
      <c r="BC303" s="216"/>
      <c r="BD303" s="216"/>
      <c r="BE303" s="216"/>
      <c r="BF303" s="216"/>
      <c r="BG303" s="216"/>
      <c r="BH303" s="216"/>
      <c r="BI303" s="216"/>
      <c r="BJ303" s="216"/>
      <c r="BK303" s="216"/>
      <c r="BL303" s="216"/>
      <c r="BM303" s="216"/>
      <c r="BN303" s="216"/>
      <c r="BO303" s="216"/>
      <c r="BP303" s="216"/>
      <c r="BQ303" s="216"/>
      <c r="BR303" s="216"/>
      <c r="BS303" s="216"/>
      <c r="BT303" s="216"/>
      <c r="BU303" s="216"/>
      <c r="BV303" s="216"/>
      <c r="BW303" s="216"/>
      <c r="BX303" s="216"/>
      <c r="BY303" s="216"/>
      <c r="BZ303" s="216"/>
      <c r="CA303" s="216"/>
      <c r="CB303" s="216"/>
      <c r="CC303" s="216"/>
      <c r="CD303" s="216"/>
      <c r="CE303" s="216"/>
      <c r="CF303" s="216"/>
      <c r="CG303" s="216"/>
      <c r="CH303" s="216"/>
      <c r="CI303" s="216"/>
      <c r="CJ303" s="216"/>
      <c r="CK303" s="216"/>
      <c r="CL303" s="216"/>
      <c r="CM303" s="216"/>
      <c r="CN303" s="216"/>
      <c r="CO303" s="216"/>
    </row>
    <row r="304" spans="1:93" x14ac:dyDescent="0.2">
      <c r="A304" s="100" t="s">
        <v>505</v>
      </c>
      <c r="C304" s="102"/>
      <c r="D304" s="103"/>
      <c r="F304" s="268"/>
      <c r="G304" s="104"/>
      <c r="H304" s="269" t="s">
        <v>506</v>
      </c>
      <c r="I304" s="104"/>
      <c r="J304" s="104"/>
      <c r="K304" s="104"/>
      <c r="L304" s="268"/>
      <c r="N304" s="270"/>
      <c r="Q304" s="106" t="s">
        <v>616</v>
      </c>
      <c r="R304" s="105"/>
      <c r="S304" s="105"/>
      <c r="U304" s="114"/>
      <c r="V304" s="114"/>
      <c r="W304" s="114"/>
      <c r="Y304" s="114"/>
      <c r="Z304" s="218"/>
      <c r="AD304" s="114"/>
    </row>
    <row r="305" spans="1:93" ht="10.8" thickBot="1" x14ac:dyDescent="0.25">
      <c r="A305" s="108"/>
      <c r="B305" s="109"/>
      <c r="C305" s="109"/>
      <c r="D305" s="109"/>
      <c r="E305" s="110" t="s">
        <v>416</v>
      </c>
      <c r="F305" s="271" t="s">
        <v>416</v>
      </c>
      <c r="G305" s="109" t="s">
        <v>416</v>
      </c>
      <c r="H305" s="272" t="s">
        <v>416</v>
      </c>
      <c r="I305" s="109" t="s">
        <v>416</v>
      </c>
      <c r="J305" s="109"/>
      <c r="K305" s="109"/>
      <c r="L305" s="271" t="s">
        <v>416</v>
      </c>
      <c r="M305" s="111"/>
      <c r="N305" s="273"/>
      <c r="O305" s="109"/>
      <c r="P305" s="112"/>
      <c r="Q305" s="109"/>
      <c r="U305" s="114"/>
      <c r="V305" s="114"/>
      <c r="W305" s="114"/>
      <c r="Y305" s="114"/>
      <c r="Z305" s="218"/>
      <c r="AD305" s="114"/>
    </row>
    <row r="306" spans="1:93" x14ac:dyDescent="0.2">
      <c r="A306" s="113"/>
      <c r="F306" s="197"/>
      <c r="H306" s="203"/>
      <c r="L306" s="197"/>
      <c r="M306" s="105"/>
      <c r="N306" s="270"/>
      <c r="P306" s="114"/>
      <c r="U306" s="114"/>
      <c r="V306" s="114"/>
      <c r="W306" s="114"/>
      <c r="Y306" s="114"/>
      <c r="Z306" s="218"/>
      <c r="AD306" s="114"/>
    </row>
    <row r="307" spans="1:93" x14ac:dyDescent="0.2">
      <c r="A307" s="100" t="s">
        <v>3</v>
      </c>
      <c r="D307" s="106" t="s">
        <v>4</v>
      </c>
      <c r="E307" s="101" t="s">
        <v>508</v>
      </c>
      <c r="F307" s="197"/>
      <c r="H307" s="203"/>
      <c r="L307" s="197"/>
      <c r="N307" s="203"/>
      <c r="O307" s="100" t="s">
        <v>6</v>
      </c>
      <c r="U307" s="114"/>
      <c r="V307" s="114"/>
      <c r="W307" s="114"/>
      <c r="Y307" s="114"/>
      <c r="Z307" s="218"/>
      <c r="AD307" s="114"/>
    </row>
    <row r="308" spans="1:93" x14ac:dyDescent="0.2">
      <c r="E308" s="101" t="s">
        <v>509</v>
      </c>
      <c r="F308" s="197"/>
      <c r="H308" s="203"/>
      <c r="L308" s="197"/>
      <c r="N308" s="203"/>
      <c r="U308" s="114"/>
      <c r="V308" s="114"/>
      <c r="W308" s="114"/>
      <c r="Y308" s="114"/>
      <c r="Z308" s="218"/>
      <c r="AD308" s="114"/>
    </row>
    <row r="309" spans="1:93" x14ac:dyDescent="0.2">
      <c r="A309" s="100" t="s">
        <v>9</v>
      </c>
      <c r="E309" s="101" t="s">
        <v>510</v>
      </c>
      <c r="F309" s="197"/>
      <c r="H309" s="203"/>
      <c r="L309" s="197"/>
      <c r="N309" s="203"/>
      <c r="O309" s="101" t="str">
        <f>O258</f>
        <v>__X__  Projected Test Year Ended 12/31/26</v>
      </c>
      <c r="U309" s="114"/>
      <c r="V309" s="114"/>
      <c r="W309" s="114"/>
      <c r="Y309" s="114"/>
      <c r="Z309" s="218"/>
      <c r="AD309" s="114"/>
    </row>
    <row r="310" spans="1:93" x14ac:dyDescent="0.2">
      <c r="E310" s="101" t="s">
        <v>512</v>
      </c>
      <c r="F310" s="197"/>
      <c r="H310" s="203"/>
      <c r="L310" s="197"/>
      <c r="N310" s="203"/>
      <c r="U310" s="114"/>
      <c r="V310" s="114"/>
      <c r="W310" s="114"/>
      <c r="Y310" s="114"/>
      <c r="Z310" s="218"/>
      <c r="AD310" s="114"/>
    </row>
    <row r="311" spans="1:93" x14ac:dyDescent="0.2">
      <c r="A311" s="100" t="s">
        <v>491</v>
      </c>
      <c r="C311" s="119" t="str">
        <f>C260</f>
        <v>20240025-EI</v>
      </c>
      <c r="F311" s="197"/>
      <c r="H311" s="203"/>
      <c r="L311" s="197"/>
      <c r="N311" s="203"/>
      <c r="O311" s="100" t="s">
        <v>493</v>
      </c>
      <c r="U311" s="114"/>
      <c r="V311" s="114"/>
      <c r="W311" s="114"/>
      <c r="Y311" s="114"/>
      <c r="Z311" s="218"/>
      <c r="AD311" s="114"/>
    </row>
    <row r="312" spans="1:93" ht="10.8" thickBot="1" x14ac:dyDescent="0.25">
      <c r="A312" s="123"/>
      <c r="B312" s="109"/>
      <c r="C312" s="109"/>
      <c r="D312" s="109"/>
      <c r="E312" s="109"/>
      <c r="F312" s="274"/>
      <c r="G312" s="109"/>
      <c r="H312" s="272"/>
      <c r="I312" s="109"/>
      <c r="J312" s="109"/>
      <c r="K312" s="109"/>
      <c r="L312" s="274"/>
      <c r="M312" s="109"/>
      <c r="N312" s="275"/>
      <c r="O312" s="109"/>
      <c r="P312" s="109"/>
      <c r="Q312" s="109"/>
      <c r="U312" s="114"/>
      <c r="V312" s="114"/>
      <c r="W312" s="114"/>
      <c r="Y312" s="114"/>
      <c r="Z312" s="218"/>
      <c r="AD312" s="114"/>
    </row>
    <row r="313" spans="1:93" ht="15.6" x14ac:dyDescent="0.2">
      <c r="B313" s="1369"/>
      <c r="C313" s="125"/>
      <c r="D313" s="125"/>
      <c r="E313" s="125"/>
      <c r="F313" s="276"/>
      <c r="G313" s="125"/>
      <c r="H313" s="277"/>
      <c r="I313" s="126" t="s">
        <v>612</v>
      </c>
      <c r="J313" s="125"/>
      <c r="K313" s="125"/>
      <c r="L313" s="276"/>
      <c r="M313" s="125"/>
      <c r="N313" s="277"/>
      <c r="U313" s="127" t="s">
        <v>530</v>
      </c>
      <c r="V313" s="128"/>
      <c r="W313" s="129"/>
      <c r="Y313" s="130" t="s">
        <v>531</v>
      </c>
      <c r="Z313" s="131"/>
    </row>
    <row r="314" spans="1:93" x14ac:dyDescent="0.2">
      <c r="A314" s="101" t="s">
        <v>30</v>
      </c>
      <c r="B314" s="101" t="s">
        <v>532</v>
      </c>
      <c r="C314" s="132"/>
      <c r="D314" s="133" t="s">
        <v>533</v>
      </c>
      <c r="E314" s="134"/>
      <c r="F314" s="278"/>
      <c r="G314" s="133"/>
      <c r="H314" s="279"/>
      <c r="I314" s="135"/>
      <c r="J314" s="136" t="s">
        <v>534</v>
      </c>
      <c r="K314" s="133"/>
      <c r="L314" s="278"/>
      <c r="M314" s="134"/>
      <c r="N314" s="280"/>
      <c r="O314" s="1372"/>
      <c r="Q314" s="118" t="s">
        <v>332</v>
      </c>
      <c r="U314" s="138"/>
      <c r="V314" s="139"/>
      <c r="W314" s="140"/>
      <c r="Y314" s="138"/>
      <c r="Z314" s="141"/>
    </row>
    <row r="315" spans="1:93" x14ac:dyDescent="0.2">
      <c r="A315" s="101" t="s">
        <v>39</v>
      </c>
      <c r="B315" s="102" t="s">
        <v>535</v>
      </c>
      <c r="C315" s="104"/>
      <c r="D315" s="142" t="s">
        <v>536</v>
      </c>
      <c r="E315" s="143"/>
      <c r="F315" s="281" t="s">
        <v>537</v>
      </c>
      <c r="G315" s="142"/>
      <c r="H315" s="282" t="s">
        <v>538</v>
      </c>
      <c r="I315" s="144"/>
      <c r="J315" s="142" t="s">
        <v>536</v>
      </c>
      <c r="K315" s="143"/>
      <c r="L315" s="281" t="s">
        <v>537</v>
      </c>
      <c r="M315" s="142"/>
      <c r="N315" s="282" t="s">
        <v>538</v>
      </c>
      <c r="O315" s="132"/>
      <c r="Q315" s="145" t="s">
        <v>539</v>
      </c>
      <c r="R315" s="132"/>
      <c r="S315" s="132"/>
      <c r="U315" s="138" t="s">
        <v>128</v>
      </c>
      <c r="V315" s="146" t="s">
        <v>343</v>
      </c>
      <c r="W315" s="147" t="s">
        <v>344</v>
      </c>
      <c r="X315" s="118"/>
      <c r="Y315" s="148" t="s">
        <v>128</v>
      </c>
      <c r="Z315" s="149"/>
      <c r="AA315" s="118"/>
    </row>
    <row r="316" spans="1:93" ht="10.8" thickBot="1" x14ac:dyDescent="0.25">
      <c r="A316" s="109"/>
      <c r="B316" s="1370" t="s">
        <v>275</v>
      </c>
      <c r="C316" s="150"/>
      <c r="D316" s="220" t="str">
        <f>+$D$13</f>
        <v>Jan '26-Dec '26</v>
      </c>
      <c r="E316" s="221"/>
      <c r="F316" s="152">
        <f>+$L$13</f>
        <v>46023</v>
      </c>
      <c r="G316" s="153"/>
      <c r="H316" s="153"/>
      <c r="I316" s="153"/>
      <c r="J316" s="153"/>
      <c r="K316" s="151"/>
      <c r="L316" s="152">
        <f>+$L$13</f>
        <v>46023</v>
      </c>
      <c r="M316" s="154"/>
      <c r="N316" s="283"/>
      <c r="O316" s="155"/>
      <c r="P316" s="109"/>
      <c r="Q316" s="156"/>
      <c r="R316" s="132"/>
      <c r="S316" s="132"/>
      <c r="U316" s="157" t="s">
        <v>144</v>
      </c>
      <c r="V316" s="158" t="s">
        <v>540</v>
      </c>
      <c r="W316" s="159" t="s">
        <v>540</v>
      </c>
      <c r="X316" s="118"/>
      <c r="Y316" s="160" t="s">
        <v>144</v>
      </c>
      <c r="Z316" s="159" t="s">
        <v>541</v>
      </c>
      <c r="AA316" s="118"/>
      <c r="AH316" s="116"/>
      <c r="AI316" s="116"/>
      <c r="AJ316" s="116"/>
      <c r="AK316" s="116"/>
      <c r="AL316" s="116"/>
      <c r="AM316" s="116"/>
      <c r="AN316" s="116"/>
      <c r="AO316" s="116"/>
      <c r="AP316" s="116"/>
      <c r="AQ316" s="116"/>
      <c r="AR316" s="116"/>
      <c r="AS316" s="116"/>
      <c r="AT316" s="116"/>
      <c r="AU316" s="116"/>
      <c r="AV316" s="116"/>
      <c r="AW316" s="116"/>
      <c r="AX316" s="116"/>
      <c r="AY316" s="116"/>
      <c r="AZ316" s="116"/>
      <c r="BA316" s="116"/>
      <c r="BB316" s="116"/>
      <c r="BC316" s="116"/>
      <c r="BD316" s="116"/>
      <c r="BE316" s="116"/>
      <c r="BF316" s="116"/>
      <c r="BG316" s="116"/>
      <c r="BH316" s="116"/>
      <c r="BI316" s="116"/>
      <c r="BJ316" s="116"/>
      <c r="BK316" s="116"/>
      <c r="BL316" s="116"/>
      <c r="BM316" s="116"/>
      <c r="BN316" s="116"/>
      <c r="BO316" s="116"/>
      <c r="BP316" s="116"/>
      <c r="BQ316" s="116"/>
      <c r="BR316" s="116"/>
      <c r="BS316" s="116"/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</row>
    <row r="317" spans="1:93" x14ac:dyDescent="0.2">
      <c r="A317" s="118">
        <v>1</v>
      </c>
      <c r="B317" s="226"/>
      <c r="C317" s="223"/>
      <c r="D317" s="168"/>
      <c r="E317" s="225"/>
      <c r="F317" s="183"/>
      <c r="G317" s="233"/>
      <c r="H317" s="174"/>
      <c r="I317" s="229"/>
      <c r="J317" s="168"/>
      <c r="K317" s="225"/>
      <c r="L317" s="183"/>
      <c r="M317" s="233"/>
      <c r="N317" s="174"/>
      <c r="O317" s="227"/>
      <c r="P317" s="303"/>
      <c r="Q317" s="303"/>
      <c r="U317" s="184"/>
      <c r="V317" s="179"/>
      <c r="W317" s="180"/>
      <c r="Y317" s="184"/>
      <c r="Z317" s="181"/>
      <c r="AH317" s="116"/>
      <c r="AI317" s="116"/>
      <c r="AJ317" s="116"/>
      <c r="AK317" s="116"/>
      <c r="AL317" s="116"/>
      <c r="AM317" s="116"/>
      <c r="AN317" s="116"/>
      <c r="AO317" s="116"/>
      <c r="AP317" s="116"/>
      <c r="AQ317" s="116"/>
      <c r="AR317" s="116"/>
      <c r="AS317" s="116"/>
      <c r="AT317" s="116"/>
      <c r="AU317" s="116"/>
      <c r="AV317" s="116"/>
      <c r="AW317" s="116"/>
      <c r="AX317" s="116"/>
      <c r="AY317" s="116"/>
      <c r="AZ317" s="116"/>
      <c r="BA317" s="116"/>
      <c r="BB317" s="116"/>
      <c r="BC317" s="116"/>
      <c r="BD317" s="116"/>
      <c r="BE317" s="116"/>
      <c r="BF317" s="116"/>
      <c r="BG317" s="116"/>
      <c r="BH317" s="116"/>
      <c r="BI317" s="116"/>
      <c r="BJ317" s="116"/>
      <c r="BK317" s="116"/>
      <c r="BL317" s="116"/>
      <c r="BM317" s="116"/>
      <c r="BN317" s="116"/>
      <c r="BO317" s="116"/>
      <c r="BP317" s="116"/>
      <c r="BQ317" s="116"/>
      <c r="BR317" s="116"/>
      <c r="BS317" s="116"/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</row>
    <row r="318" spans="1:93" x14ac:dyDescent="0.2">
      <c r="A318" s="118">
        <f t="shared" ref="A318:A350" si="37">+A317+1</f>
        <v>2</v>
      </c>
      <c r="B318" s="239" t="s">
        <v>551</v>
      </c>
      <c r="C318" s="223"/>
      <c r="D318" s="168"/>
      <c r="E318" s="225"/>
      <c r="F318" s="183"/>
      <c r="G318" s="233"/>
      <c r="H318" s="174"/>
      <c r="I318" s="229"/>
      <c r="J318" s="168"/>
      <c r="K318" s="225"/>
      <c r="L318" s="183"/>
      <c r="M318" s="233"/>
      <c r="N318" s="174"/>
      <c r="O318" s="227"/>
      <c r="P318" s="230"/>
      <c r="Q318" s="230"/>
      <c r="U318" s="184"/>
      <c r="V318" s="179"/>
      <c r="W318" s="180"/>
      <c r="Y318" s="184"/>
      <c r="Z318" s="181"/>
      <c r="AH318" s="116"/>
      <c r="AI318" s="116"/>
      <c r="AJ318" s="116"/>
      <c r="AK318" s="116"/>
      <c r="AL318" s="116"/>
      <c r="AM318" s="116"/>
      <c r="AN318" s="116"/>
      <c r="AO318" s="116"/>
      <c r="AP318" s="116"/>
      <c r="AQ318" s="116"/>
      <c r="AR318" s="116"/>
      <c r="AS318" s="116"/>
      <c r="AT318" s="116"/>
      <c r="AU318" s="116"/>
      <c r="AV318" s="116"/>
      <c r="AW318" s="116"/>
      <c r="AX318" s="116"/>
      <c r="AY318" s="116"/>
      <c r="AZ318" s="116"/>
      <c r="BA318" s="116"/>
      <c r="BB318" s="116"/>
      <c r="BC318" s="116"/>
      <c r="BD318" s="116"/>
      <c r="BE318" s="116"/>
      <c r="BF318" s="116"/>
      <c r="BG318" s="116"/>
      <c r="BH318" s="116"/>
      <c r="BI318" s="116"/>
      <c r="BJ318" s="116"/>
      <c r="BK318" s="116"/>
      <c r="BL318" s="116"/>
      <c r="BM318" s="116"/>
      <c r="BN318" s="116"/>
      <c r="BO318" s="116"/>
      <c r="BP318" s="116"/>
      <c r="BQ318" s="116"/>
      <c r="BR318" s="116"/>
      <c r="BS318" s="116"/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</row>
    <row r="319" spans="1:93" x14ac:dyDescent="0.2">
      <c r="A319" s="118">
        <f t="shared" si="37"/>
        <v>3</v>
      </c>
      <c r="B319" s="228" t="s">
        <v>543</v>
      </c>
      <c r="C319" s="223"/>
      <c r="D319" s="168"/>
      <c r="E319" s="225"/>
      <c r="F319" s="183"/>
      <c r="G319" s="233"/>
      <c r="H319" s="174"/>
      <c r="I319" s="229"/>
      <c r="J319" s="168"/>
      <c r="K319" s="225"/>
      <c r="L319" s="310"/>
      <c r="M319" s="233"/>
      <c r="N319" s="174"/>
      <c r="O319" s="227"/>
      <c r="P319" s="227"/>
      <c r="Q319" s="227"/>
      <c r="U319" s="184"/>
      <c r="V319" s="179"/>
      <c r="W319" s="180"/>
      <c r="Y319" s="184"/>
      <c r="Z319" s="181"/>
    </row>
    <row r="320" spans="1:93" x14ac:dyDescent="0.2">
      <c r="A320" s="118">
        <f t="shared" si="37"/>
        <v>4</v>
      </c>
      <c r="B320" s="234" t="s">
        <v>149</v>
      </c>
      <c r="C320" s="223"/>
      <c r="D320" s="172">
        <f>SUMIF($AH$6:$CP$6,1,$AH320:$CP320)</f>
        <v>8.5840145151625635E-2</v>
      </c>
      <c r="E320" s="225" t="s">
        <v>555</v>
      </c>
      <c r="F320" s="183">
        <v>26.68</v>
      </c>
      <c r="G320" s="233" t="s">
        <v>375</v>
      </c>
      <c r="H320" s="174">
        <f>ROUND(D320*F320,2)</f>
        <v>2.29</v>
      </c>
      <c r="I320" s="229"/>
      <c r="J320" s="172">
        <f>SUMIF($AH$6:$CP$6,1,$AH320:$CP320)</f>
        <v>8.5840145151625635E-2</v>
      </c>
      <c r="K320" s="225" t="s">
        <v>555</v>
      </c>
      <c r="L320" s="173">
        <f>'Exhibit MJC-3 - E-13c cal yr'!L351</f>
        <v>27.9</v>
      </c>
      <c r="M320" s="233" t="s">
        <v>375</v>
      </c>
      <c r="N320" s="174">
        <f>ROUND(J320*L320,2)</f>
        <v>2.39</v>
      </c>
      <c r="O320" s="227"/>
      <c r="P320" s="305"/>
      <c r="Q320" s="1022"/>
      <c r="U320" s="184" t="s">
        <v>613</v>
      </c>
      <c r="V320" s="179">
        <v>246</v>
      </c>
      <c r="W320" s="180">
        <v>220</v>
      </c>
      <c r="Y320" s="184"/>
      <c r="Z320" s="181"/>
      <c r="AB320" s="182">
        <f>SUM(AH320:AS320)</f>
        <v>7.6741170818254989E-2</v>
      </c>
      <c r="AC320" s="182">
        <f>SUM(AT320:BE320)</f>
        <v>8.2225372969407684E-2</v>
      </c>
      <c r="AD320" s="182">
        <f>SUM(BF320:BQ320)</f>
        <v>8.2557813474933739E-2</v>
      </c>
      <c r="AE320" s="182">
        <f>SUM(BR320:CC320)</f>
        <v>8.5840145151625635E-2</v>
      </c>
      <c r="AF320" s="182">
        <f>SUM(CD320:CO320)</f>
        <v>8.6500455559962386E-2</v>
      </c>
      <c r="AH320" s="168">
        <v>0.12679104991198284</v>
      </c>
      <c r="AI320" s="168">
        <v>3.7862765773491576E-2</v>
      </c>
      <c r="AJ320" s="168">
        <v>0</v>
      </c>
      <c r="AK320" s="168">
        <v>0.18610011191583123</v>
      </c>
      <c r="AL320" s="168">
        <v>-0.27401275678305065</v>
      </c>
      <c r="AM320" s="168">
        <v>0</v>
      </c>
      <c r="AN320" s="168">
        <v>0</v>
      </c>
      <c r="AO320" s="168">
        <v>0</v>
      </c>
      <c r="AP320" s="168">
        <v>0</v>
      </c>
      <c r="AQ320" s="168">
        <v>0</v>
      </c>
      <c r="AR320" s="168">
        <v>0</v>
      </c>
      <c r="AS320" s="168">
        <v>0</v>
      </c>
      <c r="AT320" s="168">
        <v>0.1314128215061999</v>
      </c>
      <c r="AU320" s="168">
        <v>3.8492687604584658E-2</v>
      </c>
      <c r="AV320" s="168">
        <v>0</v>
      </c>
      <c r="AW320" s="168">
        <v>0.18292089557888552</v>
      </c>
      <c r="AX320" s="168">
        <v>-0.2706010317202624</v>
      </c>
      <c r="AY320" s="168">
        <v>0</v>
      </c>
      <c r="AZ320" s="168">
        <v>0</v>
      </c>
      <c r="BA320" s="168">
        <v>0</v>
      </c>
      <c r="BB320" s="168">
        <v>0</v>
      </c>
      <c r="BC320" s="168">
        <v>0</v>
      </c>
      <c r="BD320" s="168">
        <v>0</v>
      </c>
      <c r="BE320" s="168">
        <v>0</v>
      </c>
      <c r="BF320" s="168">
        <v>0.13127304960416308</v>
      </c>
      <c r="BG320" s="168">
        <v>3.8949593396119336E-2</v>
      </c>
      <c r="BH320" s="168">
        <v>0</v>
      </c>
      <c r="BI320" s="168">
        <v>0.18489146549162241</v>
      </c>
      <c r="BJ320" s="168">
        <v>-0.2725562950169711</v>
      </c>
      <c r="BK320" s="168">
        <v>0</v>
      </c>
      <c r="BL320" s="168">
        <v>0</v>
      </c>
      <c r="BM320" s="168">
        <v>0</v>
      </c>
      <c r="BN320" s="168">
        <v>0</v>
      </c>
      <c r="BO320" s="168">
        <v>0</v>
      </c>
      <c r="BP320" s="168">
        <v>0</v>
      </c>
      <c r="BQ320" s="168">
        <v>0</v>
      </c>
      <c r="BR320" s="168">
        <v>0.13305931989869227</v>
      </c>
      <c r="BS320" s="168">
        <v>3.9374091090012421E-2</v>
      </c>
      <c r="BT320" s="168">
        <v>0</v>
      </c>
      <c r="BU320" s="168">
        <v>0.18594202014701466</v>
      </c>
      <c r="BV320" s="168">
        <v>-0.27253528598409371</v>
      </c>
      <c r="BW320" s="168">
        <v>0</v>
      </c>
      <c r="BX320" s="168">
        <v>0</v>
      </c>
      <c r="BY320" s="168">
        <v>0</v>
      </c>
      <c r="BZ320" s="168">
        <v>0</v>
      </c>
      <c r="CA320" s="168">
        <v>0</v>
      </c>
      <c r="CB320" s="168">
        <v>0</v>
      </c>
      <c r="CC320" s="168">
        <v>0</v>
      </c>
      <c r="CD320" s="168">
        <v>0.13383993516674858</v>
      </c>
      <c r="CE320" s="168">
        <v>3.9120253493345511E-2</v>
      </c>
      <c r="CF320" s="168">
        <v>0</v>
      </c>
      <c r="CG320" s="168">
        <v>0.18961746992716674</v>
      </c>
      <c r="CH320" s="168">
        <v>-0.27607720302729849</v>
      </c>
      <c r="CI320" s="168">
        <v>0</v>
      </c>
      <c r="CJ320" s="168">
        <v>0</v>
      </c>
      <c r="CK320" s="168">
        <v>0</v>
      </c>
      <c r="CL320" s="168">
        <v>0</v>
      </c>
      <c r="CM320" s="168">
        <v>0</v>
      </c>
      <c r="CN320" s="168">
        <v>0</v>
      </c>
      <c r="CO320" s="168">
        <v>0</v>
      </c>
    </row>
    <row r="321" spans="1:93" x14ac:dyDescent="0.2">
      <c r="A321" s="118">
        <f t="shared" si="37"/>
        <v>5</v>
      </c>
      <c r="B321" s="234" t="s">
        <v>148</v>
      </c>
      <c r="C321" s="223"/>
      <c r="D321" s="172">
        <f>SUMIF($AH$6:$CP$6,1,$AH321:$CP321)</f>
        <v>-2.9691908096501143</v>
      </c>
      <c r="E321" s="225" t="s">
        <v>555</v>
      </c>
      <c r="F321" s="183">
        <v>26.68</v>
      </c>
      <c r="G321" s="233" t="s">
        <v>375</v>
      </c>
      <c r="H321" s="174">
        <f>ROUND(D321*F321,2)</f>
        <v>-79.22</v>
      </c>
      <c r="I321" s="229"/>
      <c r="J321" s="172">
        <f>SUMIF($AH$6:$CP$6,1,$AH321:$CP321)</f>
        <v>-2.9691908096501143</v>
      </c>
      <c r="K321" s="225" t="s">
        <v>555</v>
      </c>
      <c r="L321" s="183">
        <f>L320</f>
        <v>27.9</v>
      </c>
      <c r="M321" s="233" t="s">
        <v>375</v>
      </c>
      <c r="N321" s="174">
        <f>ROUND(J321*L321,2)</f>
        <v>-82.84</v>
      </c>
      <c r="O321" s="227"/>
      <c r="P321" s="176"/>
      <c r="Q321" s="1022"/>
      <c r="S321" s="305"/>
      <c r="T321" s="305"/>
      <c r="U321" s="184" t="s">
        <v>613</v>
      </c>
      <c r="V321" s="179">
        <v>246</v>
      </c>
      <c r="W321" s="180">
        <v>220</v>
      </c>
      <c r="Y321" s="184"/>
      <c r="Z321" s="181"/>
      <c r="AB321" s="182">
        <f>SUM(AH321:AS321)</f>
        <v>-3.9294600584388593</v>
      </c>
      <c r="AC321" s="182">
        <f>SUM(AT321:BE321)</f>
        <v>-3.1018479779680028</v>
      </c>
      <c r="AD321" s="182">
        <f>SUM(BF321:BQ321)</f>
        <v>-3.0156417312019843</v>
      </c>
      <c r="AE321" s="182">
        <f>SUM(BR321:CC321)</f>
        <v>-2.9691908096501143</v>
      </c>
      <c r="AF321" s="182">
        <f>SUM(CD321:CO321)</f>
        <v>-3.8569559955333332</v>
      </c>
      <c r="AH321" s="168">
        <v>9.6203641169473036E-3</v>
      </c>
      <c r="AI321" s="168">
        <v>21.041268443302549</v>
      </c>
      <c r="AJ321" s="168">
        <v>23.139261684351993</v>
      </c>
      <c r="AK321" s="168">
        <v>-48.032919450184693</v>
      </c>
      <c r="AL321" s="168">
        <v>-8.418389970660603E-2</v>
      </c>
      <c r="AM321" s="168">
        <v>0</v>
      </c>
      <c r="AN321" s="168">
        <v>0</v>
      </c>
      <c r="AO321" s="168">
        <v>6.3723761102987081E-2</v>
      </c>
      <c r="AP321" s="168">
        <v>-6.6230961422037965E-2</v>
      </c>
      <c r="AQ321" s="168">
        <v>0</v>
      </c>
      <c r="AR321" s="168">
        <v>0</v>
      </c>
      <c r="AS321" s="168">
        <v>0</v>
      </c>
      <c r="AT321" s="168">
        <v>9.9710444341510659E-3</v>
      </c>
      <c r="AU321" s="168">
        <v>21.391331468957318</v>
      </c>
      <c r="AV321" s="168">
        <v>22.795390179062569</v>
      </c>
      <c r="AW321" s="168">
        <v>-47.212355503956161</v>
      </c>
      <c r="AX321" s="168">
        <v>-8.3135728359095787E-2</v>
      </c>
      <c r="AY321" s="168">
        <v>0</v>
      </c>
      <c r="AZ321" s="168">
        <v>0</v>
      </c>
      <c r="BA321" s="168">
        <v>6.3140895776485767E-2</v>
      </c>
      <c r="BB321" s="168">
        <v>-6.6190333883268115E-2</v>
      </c>
      <c r="BC321" s="168">
        <v>0</v>
      </c>
      <c r="BD321" s="168">
        <v>0</v>
      </c>
      <c r="BE321" s="168">
        <v>0</v>
      </c>
      <c r="BF321" s="168">
        <v>9.9604391383368435E-3</v>
      </c>
      <c r="BG321" s="168">
        <v>21.645245234013316</v>
      </c>
      <c r="BH321" s="168">
        <v>23.136654844193806</v>
      </c>
      <c r="BI321" s="168">
        <v>-47.72096468701919</v>
      </c>
      <c r="BJ321" s="168">
        <v>-8.3736436483792545E-2</v>
      </c>
      <c r="BK321" s="168">
        <v>0</v>
      </c>
      <c r="BL321" s="168">
        <v>0</v>
      </c>
      <c r="BM321" s="168">
        <v>6.3620770016607708E-2</v>
      </c>
      <c r="BN321" s="168">
        <v>-6.6421895061063885E-2</v>
      </c>
      <c r="BO321" s="168">
        <v>0</v>
      </c>
      <c r="BP321" s="168">
        <v>0</v>
      </c>
      <c r="BQ321" s="168">
        <v>0</v>
      </c>
      <c r="BR321" s="168">
        <v>1.0095973710032454E-2</v>
      </c>
      <c r="BS321" s="168">
        <v>21.881149023614995</v>
      </c>
      <c r="BT321" s="168">
        <v>23.217908134133626</v>
      </c>
      <c r="BU321" s="168">
        <v>-47.99211555641412</v>
      </c>
      <c r="BV321" s="168">
        <v>-8.3729981958326496E-2</v>
      </c>
      <c r="BW321" s="168">
        <v>0</v>
      </c>
      <c r="BX321" s="168">
        <v>0</v>
      </c>
      <c r="BY321" s="168">
        <v>6.4486035119881879E-2</v>
      </c>
      <c r="BZ321" s="168">
        <v>-6.6984437856203977E-2</v>
      </c>
      <c r="CA321" s="168">
        <v>0</v>
      </c>
      <c r="CB321" s="168">
        <v>0</v>
      </c>
      <c r="CC321" s="168">
        <v>0</v>
      </c>
      <c r="CD321" s="168">
        <v>1.0155203467331279E-2</v>
      </c>
      <c r="CE321" s="168">
        <v>21.740085239621418</v>
      </c>
      <c r="CF321" s="168">
        <v>23.421816756989504</v>
      </c>
      <c r="CG321" s="168">
        <v>-48.940758635753539</v>
      </c>
      <c r="CH321" s="168">
        <v>-8.4818151694052851E-2</v>
      </c>
      <c r="CI321" s="168">
        <v>0</v>
      </c>
      <c r="CJ321" s="168">
        <v>0</v>
      </c>
      <c r="CK321" s="168">
        <v>6.4607132247708435E-2</v>
      </c>
      <c r="CL321" s="168">
        <v>-6.8043540411706266E-2</v>
      </c>
      <c r="CM321" s="168">
        <v>0</v>
      </c>
      <c r="CN321" s="168">
        <v>0</v>
      </c>
      <c r="CO321" s="168">
        <v>0</v>
      </c>
    </row>
    <row r="322" spans="1:93" x14ac:dyDescent="0.2">
      <c r="A322" s="118">
        <f t="shared" si="37"/>
        <v>6</v>
      </c>
      <c r="B322" s="234" t="s">
        <v>216</v>
      </c>
      <c r="C322" s="223"/>
      <c r="D322" s="172">
        <f>SUMIF($AH$6:$CP$6,1,$AH322:$CP322)</f>
        <v>0</v>
      </c>
      <c r="E322" s="225" t="s">
        <v>555</v>
      </c>
      <c r="F322" s="183">
        <v>26.68</v>
      </c>
      <c r="G322" s="233" t="s">
        <v>375</v>
      </c>
      <c r="H322" s="174">
        <f>ROUND(D322*F322,2)</f>
        <v>0</v>
      </c>
      <c r="I322" s="229"/>
      <c r="J322" s="172">
        <f>SUMIF($AH$6:$CP$6,1,$AH322:$CP322)</f>
        <v>0</v>
      </c>
      <c r="K322" s="225" t="s">
        <v>555</v>
      </c>
      <c r="L322" s="183">
        <f>L320</f>
        <v>27.9</v>
      </c>
      <c r="M322" s="233" t="s">
        <v>375</v>
      </c>
      <c r="N322" s="174">
        <f>ROUND(J322*L322,2)</f>
        <v>0</v>
      </c>
      <c r="O322" s="227"/>
      <c r="Q322" s="1022"/>
      <c r="S322" s="227"/>
      <c r="T322" s="227"/>
      <c r="U322" s="184" t="s">
        <v>613</v>
      </c>
      <c r="V322" s="179">
        <v>246</v>
      </c>
      <c r="W322" s="180">
        <v>220</v>
      </c>
      <c r="Y322" s="184"/>
      <c r="Z322" s="181"/>
      <c r="AB322" s="182">
        <f>SUM(AH322:AS322)</f>
        <v>0</v>
      </c>
      <c r="AC322" s="182">
        <f>SUM(AT322:BE322)</f>
        <v>0</v>
      </c>
      <c r="AD322" s="182">
        <f>SUM(BF322:BQ322)</f>
        <v>0</v>
      </c>
      <c r="AE322" s="182">
        <f>SUM(BR322:CC322)</f>
        <v>0</v>
      </c>
      <c r="AF322" s="182">
        <f>SUM(CD322:CO322)</f>
        <v>0</v>
      </c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  <c r="AX322" s="168"/>
      <c r="AY322" s="168"/>
      <c r="AZ322" s="168"/>
      <c r="BA322" s="168"/>
      <c r="BB322" s="168"/>
      <c r="BC322" s="168"/>
      <c r="BD322" s="168"/>
      <c r="BE322" s="168"/>
      <c r="BF322" s="168"/>
      <c r="BG322" s="168"/>
      <c r="BH322" s="168"/>
      <c r="BI322" s="168"/>
      <c r="BJ322" s="168"/>
      <c r="BK322" s="168"/>
      <c r="BL322" s="168"/>
      <c r="BM322" s="168"/>
      <c r="BN322" s="168"/>
      <c r="BO322" s="168"/>
      <c r="BP322" s="168"/>
      <c r="BQ322" s="168"/>
      <c r="BR322" s="168"/>
      <c r="BS322" s="168"/>
      <c r="BT322" s="168"/>
      <c r="BU322" s="168"/>
      <c r="BV322" s="168"/>
      <c r="BW322" s="168"/>
      <c r="BX322" s="168"/>
      <c r="BY322" s="168"/>
      <c r="BZ322" s="168"/>
      <c r="CA322" s="168"/>
      <c r="CB322" s="168"/>
      <c r="CC322" s="168"/>
      <c r="CD322" s="168"/>
      <c r="CE322" s="168"/>
      <c r="CF322" s="168"/>
      <c r="CG322" s="168"/>
      <c r="CH322" s="168"/>
      <c r="CI322" s="168"/>
      <c r="CJ322" s="168"/>
      <c r="CK322" s="168"/>
      <c r="CL322" s="168"/>
      <c r="CM322" s="168"/>
      <c r="CN322" s="168"/>
      <c r="CO322" s="168"/>
    </row>
    <row r="323" spans="1:93" x14ac:dyDescent="0.2">
      <c r="A323" s="118">
        <f t="shared" si="37"/>
        <v>7</v>
      </c>
      <c r="B323" s="226" t="s">
        <v>546</v>
      </c>
      <c r="C323" s="223"/>
      <c r="D323" s="168"/>
      <c r="E323" s="225"/>
      <c r="F323" s="183"/>
      <c r="G323" s="233"/>
      <c r="H323" s="174"/>
      <c r="I323" s="229"/>
      <c r="J323" s="168"/>
      <c r="K323" s="225"/>
      <c r="L323" s="183"/>
      <c r="M323" s="233"/>
      <c r="N323" s="174"/>
      <c r="O323" s="227"/>
      <c r="Q323" s="1022"/>
      <c r="S323" s="227"/>
      <c r="U323" s="184"/>
      <c r="V323" s="179"/>
      <c r="W323" s="180"/>
      <c r="Y323" s="184"/>
      <c r="Z323" s="181"/>
    </row>
    <row r="324" spans="1:93" x14ac:dyDescent="0.2">
      <c r="A324" s="118">
        <f t="shared" si="37"/>
        <v>8</v>
      </c>
      <c r="B324" s="234" t="s">
        <v>149</v>
      </c>
      <c r="C324" s="223"/>
      <c r="D324" s="168"/>
      <c r="E324" s="225"/>
      <c r="F324" s="183"/>
      <c r="G324" s="233"/>
      <c r="H324" s="174"/>
      <c r="I324" s="229"/>
      <c r="J324" s="168"/>
      <c r="K324" s="225"/>
      <c r="L324" s="310"/>
      <c r="M324" s="233"/>
      <c r="N324" s="174"/>
      <c r="O324" s="227"/>
      <c r="S324" s="305"/>
      <c r="U324" s="184"/>
      <c r="V324" s="179"/>
      <c r="W324" s="180"/>
      <c r="Y324" s="184"/>
      <c r="Z324" s="181"/>
    </row>
    <row r="325" spans="1:93" x14ac:dyDescent="0.2">
      <c r="A325" s="118">
        <f t="shared" si="37"/>
        <v>9</v>
      </c>
      <c r="B325" s="243" t="s">
        <v>559</v>
      </c>
      <c r="C325" s="223"/>
      <c r="D325" s="172">
        <f>'E-13c - prior to updates'!D354</f>
        <v>0</v>
      </c>
      <c r="E325" s="225" t="s">
        <v>555</v>
      </c>
      <c r="F325" s="183">
        <v>29.14</v>
      </c>
      <c r="G325" s="233" t="s">
        <v>375</v>
      </c>
      <c r="H325" s="174">
        <f>ROUND(D325*F325,2)</f>
        <v>0</v>
      </c>
      <c r="I325" s="229"/>
      <c r="J325" s="172">
        <f t="shared" ref="J325:J327" si="38">D325</f>
        <v>0</v>
      </c>
      <c r="K325" s="225" t="s">
        <v>555</v>
      </c>
      <c r="L325" s="173">
        <f>'Exhibit MJC-3 - E-13c cal yr'!L356</f>
        <v>31.4</v>
      </c>
      <c r="M325" s="233" t="s">
        <v>375</v>
      </c>
      <c r="N325" s="174">
        <f>ROUND(J325*L325,2)</f>
        <v>0</v>
      </c>
      <c r="O325" s="227"/>
      <c r="S325" s="305"/>
      <c r="T325" s="927"/>
      <c r="U325" s="184" t="s">
        <v>614</v>
      </c>
      <c r="V325" s="179">
        <v>249</v>
      </c>
      <c r="W325" s="180">
        <v>223</v>
      </c>
      <c r="Y325" s="184"/>
      <c r="Z325" s="181"/>
      <c r="AB325" s="182">
        <f>SUM(AH325:AS325)</f>
        <v>0</v>
      </c>
      <c r="AC325" s="182">
        <f>SUM(AT325:BE325)</f>
        <v>0</v>
      </c>
      <c r="AD325" s="182">
        <f>SUM(BF325:BQ325)</f>
        <v>0</v>
      </c>
      <c r="AE325" s="182">
        <f>SUM(BR325:CC325)</f>
        <v>0</v>
      </c>
      <c r="AF325" s="182">
        <f>SUM(CD325:CO325)</f>
        <v>0</v>
      </c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  <c r="AT325" s="168"/>
      <c r="AU325" s="168"/>
      <c r="AV325" s="168"/>
      <c r="AW325" s="168"/>
      <c r="AX325" s="168"/>
      <c r="AY325" s="168"/>
      <c r="AZ325" s="168"/>
      <c r="BA325" s="168"/>
      <c r="BB325" s="168"/>
      <c r="BC325" s="168"/>
      <c r="BD325" s="168"/>
      <c r="BE325" s="168"/>
      <c r="BF325" s="168"/>
      <c r="BG325" s="168"/>
      <c r="BH325" s="168"/>
      <c r="BI325" s="168"/>
      <c r="BJ325" s="168"/>
      <c r="BK325" s="168"/>
      <c r="BL325" s="168"/>
      <c r="BM325" s="168"/>
      <c r="BN325" s="168"/>
      <c r="BO325" s="168"/>
      <c r="BP325" s="168"/>
      <c r="BQ325" s="168"/>
      <c r="BR325" s="168"/>
      <c r="BS325" s="168"/>
      <c r="BT325" s="168"/>
      <c r="BU325" s="168"/>
      <c r="BV325" s="168"/>
      <c r="BW325" s="168"/>
      <c r="BX325" s="168"/>
      <c r="BY325" s="168"/>
      <c r="BZ325" s="168"/>
      <c r="CA325" s="168"/>
      <c r="CB325" s="168"/>
      <c r="CC325" s="168"/>
      <c r="CD325" s="168"/>
      <c r="CE325" s="168"/>
      <c r="CF325" s="168"/>
      <c r="CG325" s="168"/>
      <c r="CH325" s="168"/>
      <c r="CI325" s="168"/>
      <c r="CJ325" s="168"/>
      <c r="CK325" s="168"/>
      <c r="CL325" s="168"/>
      <c r="CM325" s="168"/>
      <c r="CN325" s="168"/>
      <c r="CO325" s="168"/>
    </row>
    <row r="326" spans="1:93" x14ac:dyDescent="0.2">
      <c r="A326" s="118">
        <f t="shared" si="37"/>
        <v>10</v>
      </c>
      <c r="B326" s="243" t="s">
        <v>560</v>
      </c>
      <c r="C326" s="223"/>
      <c r="D326" s="172">
        <f>'E-13c - prior to updates'!D355</f>
        <v>0</v>
      </c>
      <c r="E326" s="225" t="s">
        <v>555</v>
      </c>
      <c r="F326" s="183">
        <v>21.59</v>
      </c>
      <c r="G326" s="233" t="s">
        <v>375</v>
      </c>
      <c r="H326" s="174">
        <f>ROUND(D326*F326,2)</f>
        <v>0</v>
      </c>
      <c r="I326" s="229"/>
      <c r="J326" s="172">
        <f t="shared" si="38"/>
        <v>0</v>
      </c>
      <c r="K326" s="225" t="s">
        <v>555</v>
      </c>
      <c r="L326" s="173">
        <f>'Exhibit MJC-3 - E-13c cal yr'!L357</f>
        <v>22.43</v>
      </c>
      <c r="M326" s="233" t="s">
        <v>375</v>
      </c>
      <c r="N326" s="174">
        <f>ROUND(J326*L326,2)</f>
        <v>0</v>
      </c>
      <c r="O326" s="227"/>
      <c r="S326" s="305"/>
      <c r="T326" s="927"/>
      <c r="U326" s="184" t="s">
        <v>614</v>
      </c>
      <c r="V326" s="179">
        <v>249</v>
      </c>
      <c r="W326" s="180">
        <v>223</v>
      </c>
      <c r="Y326" s="184"/>
      <c r="Z326" s="181"/>
      <c r="AB326" s="182">
        <f>SUM(AH326:AS326)</f>
        <v>0</v>
      </c>
      <c r="AC326" s="182">
        <f>SUM(AT326:BE326)</f>
        <v>0</v>
      </c>
      <c r="AD326" s="182">
        <f>SUM(BF326:BQ326)</f>
        <v>0</v>
      </c>
      <c r="AE326" s="182">
        <f>SUM(BR326:CC326)</f>
        <v>0</v>
      </c>
      <c r="AF326" s="182">
        <f>SUM(CD326:CO326)</f>
        <v>0</v>
      </c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  <c r="AT326" s="168"/>
      <c r="AU326" s="168"/>
      <c r="AV326" s="168"/>
      <c r="AW326" s="168"/>
      <c r="AX326" s="168"/>
      <c r="AY326" s="168"/>
      <c r="AZ326" s="168"/>
      <c r="BA326" s="168"/>
      <c r="BB326" s="168"/>
      <c r="BC326" s="168"/>
      <c r="BD326" s="168"/>
      <c r="BE326" s="168"/>
      <c r="BF326" s="168"/>
      <c r="BG326" s="168"/>
      <c r="BH326" s="168"/>
      <c r="BI326" s="168"/>
      <c r="BJ326" s="168"/>
      <c r="BK326" s="168"/>
      <c r="BL326" s="168"/>
      <c r="BM326" s="168"/>
      <c r="BN326" s="168"/>
      <c r="BO326" s="168"/>
      <c r="BP326" s="168"/>
      <c r="BQ326" s="168"/>
      <c r="BR326" s="168"/>
      <c r="BS326" s="168"/>
      <c r="BT326" s="168"/>
      <c r="BU326" s="168"/>
      <c r="BV326" s="168"/>
      <c r="BW326" s="168"/>
      <c r="BX326" s="168"/>
      <c r="BY326" s="168"/>
      <c r="BZ326" s="168"/>
      <c r="CA326" s="168"/>
      <c r="CB326" s="168"/>
      <c r="CC326" s="168"/>
      <c r="CD326" s="168"/>
      <c r="CE326" s="168"/>
      <c r="CF326" s="168"/>
      <c r="CG326" s="168"/>
      <c r="CH326" s="168"/>
      <c r="CI326" s="168"/>
      <c r="CJ326" s="168"/>
      <c r="CK326" s="168"/>
      <c r="CL326" s="168"/>
      <c r="CM326" s="168"/>
      <c r="CN326" s="168"/>
      <c r="CO326" s="168"/>
    </row>
    <row r="327" spans="1:93" x14ac:dyDescent="0.2">
      <c r="A327" s="118">
        <f t="shared" si="37"/>
        <v>11</v>
      </c>
      <c r="B327" s="243" t="s">
        <v>561</v>
      </c>
      <c r="C327" s="223"/>
      <c r="D327" s="172">
        <f>'E-13c - prior to updates'!D356</f>
        <v>0</v>
      </c>
      <c r="E327" s="225" t="s">
        <v>555</v>
      </c>
      <c r="F327" s="183">
        <v>16.37</v>
      </c>
      <c r="G327" s="233" t="s">
        <v>375</v>
      </c>
      <c r="H327" s="174">
        <f>ROUND(D327*F327,2)</f>
        <v>0</v>
      </c>
      <c r="I327" s="229"/>
      <c r="J327" s="172">
        <f t="shared" si="38"/>
        <v>0</v>
      </c>
      <c r="K327" s="225" t="s">
        <v>555</v>
      </c>
      <c r="L327" s="173">
        <f>'Exhibit MJC-3 - E-13c cal yr'!L358</f>
        <v>16.940000000000001</v>
      </c>
      <c r="M327" s="233" t="s">
        <v>375</v>
      </c>
      <c r="N327" s="174">
        <f>ROUND(J327*L327,2)</f>
        <v>0</v>
      </c>
      <c r="O327" s="227"/>
      <c r="S327" s="227"/>
      <c r="T327" s="927"/>
      <c r="U327" s="184" t="s">
        <v>614</v>
      </c>
      <c r="V327" s="179">
        <v>249</v>
      </c>
      <c r="W327" s="180">
        <v>223</v>
      </c>
      <c r="Y327" s="184"/>
      <c r="Z327" s="181"/>
      <c r="AB327" s="182">
        <f>SUM(AH327:AS327)</f>
        <v>0</v>
      </c>
      <c r="AC327" s="182">
        <f>SUM(AT327:BE327)</f>
        <v>0</v>
      </c>
      <c r="AD327" s="182">
        <f>SUM(BF327:BQ327)</f>
        <v>0</v>
      </c>
      <c r="AE327" s="182">
        <f>SUM(BR327:CC327)</f>
        <v>0</v>
      </c>
      <c r="AF327" s="182">
        <f>SUM(CD327:CO327)</f>
        <v>0</v>
      </c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  <c r="AT327" s="168"/>
      <c r="AU327" s="168"/>
      <c r="AV327" s="168"/>
      <c r="AW327" s="168"/>
      <c r="AX327" s="168"/>
      <c r="AY327" s="168"/>
      <c r="AZ327" s="168"/>
      <c r="BA327" s="168"/>
      <c r="BB327" s="168"/>
      <c r="BC327" s="168"/>
      <c r="BD327" s="168"/>
      <c r="BE327" s="168"/>
      <c r="BF327" s="168"/>
      <c r="BG327" s="168"/>
      <c r="BH327" s="168"/>
      <c r="BI327" s="168"/>
      <c r="BJ327" s="168"/>
      <c r="BK327" s="168"/>
      <c r="BL327" s="168"/>
      <c r="BM327" s="168"/>
      <c r="BN327" s="168"/>
      <c r="BO327" s="168"/>
      <c r="BP327" s="168"/>
      <c r="BQ327" s="168"/>
      <c r="BR327" s="168"/>
      <c r="BS327" s="168"/>
      <c r="BT327" s="168"/>
      <c r="BU327" s="168"/>
      <c r="BV327" s="168"/>
      <c r="BW327" s="168"/>
      <c r="BX327" s="168"/>
      <c r="BY327" s="168"/>
      <c r="BZ327" s="168"/>
      <c r="CA327" s="168"/>
      <c r="CB327" s="168"/>
      <c r="CC327" s="168"/>
      <c r="CD327" s="168"/>
      <c r="CE327" s="168"/>
      <c r="CF327" s="168"/>
      <c r="CG327" s="168"/>
      <c r="CH327" s="168"/>
      <c r="CI327" s="168"/>
      <c r="CJ327" s="168"/>
      <c r="CK327" s="168"/>
      <c r="CL327" s="168"/>
      <c r="CM327" s="168"/>
      <c r="CN327" s="168"/>
      <c r="CO327" s="168"/>
    </row>
    <row r="328" spans="1:93" x14ac:dyDescent="0.2">
      <c r="A328" s="118">
        <f t="shared" si="37"/>
        <v>12</v>
      </c>
      <c r="B328" s="234" t="s">
        <v>148</v>
      </c>
      <c r="C328" s="223"/>
      <c r="D328" s="168"/>
      <c r="E328" s="225"/>
      <c r="F328" s="183"/>
      <c r="G328" s="233"/>
      <c r="H328" s="174"/>
      <c r="I328" s="229"/>
      <c r="J328" s="168"/>
      <c r="K328" s="225"/>
      <c r="L328" s="183"/>
      <c r="M328" s="233"/>
      <c r="N328" s="174"/>
      <c r="O328" s="227"/>
      <c r="S328" s="227"/>
      <c r="T328" s="306"/>
      <c r="U328" s="184"/>
      <c r="V328" s="179"/>
      <c r="W328" s="180"/>
      <c r="Y328" s="184"/>
      <c r="Z328" s="181"/>
    </row>
    <row r="329" spans="1:93" x14ac:dyDescent="0.2">
      <c r="A329" s="118">
        <f t="shared" si="37"/>
        <v>13</v>
      </c>
      <c r="B329" s="243" t="s">
        <v>559</v>
      </c>
      <c r="C329" s="223"/>
      <c r="D329" s="172">
        <f>'E-13c - prior to updates'!D358</f>
        <v>8842.0074748828665</v>
      </c>
      <c r="E329" s="225" t="s">
        <v>555</v>
      </c>
      <c r="F329" s="183">
        <v>29.14</v>
      </c>
      <c r="G329" s="233" t="s">
        <v>375</v>
      </c>
      <c r="H329" s="174">
        <f>ROUND(D329*F329,2)</f>
        <v>257656.1</v>
      </c>
      <c r="I329" s="229"/>
      <c r="J329" s="172">
        <f t="shared" ref="J329:J331" si="39">D329</f>
        <v>8842.0074748828665</v>
      </c>
      <c r="K329" s="225" t="s">
        <v>555</v>
      </c>
      <c r="L329" s="183">
        <f>L325</f>
        <v>31.4</v>
      </c>
      <c r="M329" s="233" t="s">
        <v>375</v>
      </c>
      <c r="N329" s="174">
        <f>ROUND(J329*L329,2)</f>
        <v>277639.03000000003</v>
      </c>
      <c r="O329" s="227"/>
      <c r="Q329" s="1022"/>
      <c r="S329" s="227"/>
      <c r="T329" s="306"/>
      <c r="U329" s="184" t="s">
        <v>614</v>
      </c>
      <c r="V329" s="179">
        <v>249</v>
      </c>
      <c r="W329" s="180">
        <v>223</v>
      </c>
      <c r="Y329" s="184"/>
      <c r="Z329" s="181"/>
      <c r="AB329" s="182">
        <f>SUM(AH329:AS329)</f>
        <v>8659.3568470564787</v>
      </c>
      <c r="AC329" s="182">
        <f>SUM(AT329:BE329)</f>
        <v>8696.3144982775157</v>
      </c>
      <c r="AD329" s="182">
        <f>SUM(BF329:BQ329)</f>
        <v>8756.4247387058313</v>
      </c>
      <c r="AE329" s="182">
        <f>SUM(BR329:CC329)</f>
        <v>8842.0074748828665</v>
      </c>
      <c r="AF329" s="182">
        <f>SUM(CD329:CO329)</f>
        <v>8884.0847639129061</v>
      </c>
      <c r="AH329" s="168">
        <v>1339.8692220221653</v>
      </c>
      <c r="AI329" s="168">
        <v>1915.9350041593609</v>
      </c>
      <c r="AJ329" s="168">
        <v>107.72415931980481</v>
      </c>
      <c r="AK329" s="168">
        <v>620.1410043383521</v>
      </c>
      <c r="AL329" s="168">
        <v>1394.5041765755459</v>
      </c>
      <c r="AM329" s="168">
        <v>447.17264701245284</v>
      </c>
      <c r="AN329" s="168">
        <v>470.59991369180779</v>
      </c>
      <c r="AO329" s="168">
        <v>330.03951847786533</v>
      </c>
      <c r="AP329" s="168">
        <v>557.07148397667311</v>
      </c>
      <c r="AQ329" s="168">
        <v>444.99348341981568</v>
      </c>
      <c r="AR329" s="168">
        <v>497.61574035117025</v>
      </c>
      <c r="AS329" s="168">
        <v>533.69049371146377</v>
      </c>
      <c r="AT329" s="168">
        <v>1388.7099683887786</v>
      </c>
      <c r="AU329" s="168">
        <v>1947.8103640655929</v>
      </c>
      <c r="AV329" s="168">
        <v>106.12327553506461</v>
      </c>
      <c r="AW329" s="168">
        <v>609.54690854815669</v>
      </c>
      <c r="AX329" s="168">
        <v>1377.1412446258025</v>
      </c>
      <c r="AY329" s="168">
        <v>434.65509158378916</v>
      </c>
      <c r="AZ329" s="168">
        <v>472.28244941667407</v>
      </c>
      <c r="BA329" s="168">
        <v>327.02072943644254</v>
      </c>
      <c r="BB329" s="168">
        <v>556.72976398911874</v>
      </c>
      <c r="BC329" s="168">
        <v>444.8605648846883</v>
      </c>
      <c r="BD329" s="168">
        <v>498.53455761681806</v>
      </c>
      <c r="BE329" s="168">
        <v>532.89958018658876</v>
      </c>
      <c r="BF329" s="168">
        <v>1387.2329235202908</v>
      </c>
      <c r="BG329" s="168">
        <v>1970.9307511192324</v>
      </c>
      <c r="BH329" s="168">
        <v>107.71202325131857</v>
      </c>
      <c r="BI329" s="168">
        <v>616.11343444770216</v>
      </c>
      <c r="BJ329" s="168">
        <v>1387.0919595690632</v>
      </c>
      <c r="BK329" s="168">
        <v>440.48276623630693</v>
      </c>
      <c r="BL329" s="168">
        <v>475.29466772973922</v>
      </c>
      <c r="BM329" s="168">
        <v>329.50610475639292</v>
      </c>
      <c r="BN329" s="168">
        <v>558.67743508095282</v>
      </c>
      <c r="BO329" s="168">
        <v>443.65297484505675</v>
      </c>
      <c r="BP329" s="168">
        <v>499.41486254275657</v>
      </c>
      <c r="BQ329" s="168">
        <v>540.31483560701804</v>
      </c>
      <c r="BR329" s="168">
        <v>1406.1094025108321</v>
      </c>
      <c r="BS329" s="168">
        <v>1992.4112207653275</v>
      </c>
      <c r="BT329" s="168">
        <v>108.09029557781443</v>
      </c>
      <c r="BU329" s="168">
        <v>619.61419547573371</v>
      </c>
      <c r="BV329" s="168">
        <v>1386.9850405174207</v>
      </c>
      <c r="BW329" s="168">
        <v>449.00866068143239</v>
      </c>
      <c r="BX329" s="168">
        <v>483.94725031079219</v>
      </c>
      <c r="BY329" s="168">
        <v>333.98750499230772</v>
      </c>
      <c r="BZ329" s="168">
        <v>563.40900688605132</v>
      </c>
      <c r="CA329" s="168">
        <v>450.17771662557334</v>
      </c>
      <c r="CB329" s="168">
        <v>505.89132985741378</v>
      </c>
      <c r="CC329" s="168">
        <v>542.37585068216947</v>
      </c>
      <c r="CD329" s="168">
        <v>1414.3585839209964</v>
      </c>
      <c r="CE329" s="168">
        <v>1979.5665083706954</v>
      </c>
      <c r="CF329" s="168">
        <v>109.03958623690501</v>
      </c>
      <c r="CG329" s="168">
        <v>631.86188890586754</v>
      </c>
      <c r="CH329" s="168">
        <v>1405.0105447597055</v>
      </c>
      <c r="CI329" s="168">
        <v>446.5413341616736</v>
      </c>
      <c r="CJ329" s="168">
        <v>484.42544291240256</v>
      </c>
      <c r="CK329" s="168">
        <v>334.61469392568443</v>
      </c>
      <c r="CL329" s="168">
        <v>572.31716433400914</v>
      </c>
      <c r="CM329" s="168">
        <v>451.70503611695904</v>
      </c>
      <c r="CN329" s="168">
        <v>511.04774727742978</v>
      </c>
      <c r="CO329" s="168">
        <v>543.59623299058023</v>
      </c>
    </row>
    <row r="330" spans="1:93" x14ac:dyDescent="0.2">
      <c r="A330" s="118">
        <f t="shared" si="37"/>
        <v>14</v>
      </c>
      <c r="B330" s="243" t="s">
        <v>560</v>
      </c>
      <c r="C330" s="223"/>
      <c r="D330" s="172">
        <f>'E-13c - prior to updates'!D359</f>
        <v>44809.763680166274</v>
      </c>
      <c r="E330" s="225" t="s">
        <v>555</v>
      </c>
      <c r="F330" s="183">
        <v>21.59</v>
      </c>
      <c r="G330" s="233" t="s">
        <v>375</v>
      </c>
      <c r="H330" s="174">
        <f>ROUND(D330*F330,2)</f>
        <v>967442.8</v>
      </c>
      <c r="I330" s="229"/>
      <c r="J330" s="172">
        <f t="shared" si="39"/>
        <v>44809.763680166274</v>
      </c>
      <c r="K330" s="225" t="s">
        <v>555</v>
      </c>
      <c r="L330" s="183">
        <f>L326</f>
        <v>22.43</v>
      </c>
      <c r="M330" s="233" t="s">
        <v>375</v>
      </c>
      <c r="N330" s="174">
        <f>ROUND(J330*L330,2)</f>
        <v>1005083</v>
      </c>
      <c r="O330" s="227"/>
      <c r="Q330" s="1022"/>
      <c r="S330" s="247"/>
      <c r="T330" s="306"/>
      <c r="U330" s="184" t="s">
        <v>614</v>
      </c>
      <c r="V330" s="179">
        <v>249</v>
      </c>
      <c r="W330" s="180">
        <v>223</v>
      </c>
      <c r="Y330" s="184"/>
      <c r="Z330" s="181"/>
      <c r="AB330" s="182">
        <f>SUM(AH330:AS330)</f>
        <v>45577.535062655035</v>
      </c>
      <c r="AC330" s="182">
        <f>SUM(AT330:BE330)</f>
        <v>45599.977811643374</v>
      </c>
      <c r="AD330" s="182">
        <f>SUM(BF330:BQ330)</f>
        <v>45903.407635039461</v>
      </c>
      <c r="AE330" s="182">
        <f>SUM(BR330:CC330)</f>
        <v>46365.686307126693</v>
      </c>
      <c r="AF330" s="182">
        <f>SUM(CD330:CO330)</f>
        <v>46612.832180904108</v>
      </c>
      <c r="AH330" s="168">
        <v>4473.301236272282</v>
      </c>
      <c r="AI330" s="168">
        <v>6592.2971286339525</v>
      </c>
      <c r="AJ330" s="168">
        <v>384.27452846187754</v>
      </c>
      <c r="AK330" s="168">
        <v>2436.3197014055086</v>
      </c>
      <c r="AL330" s="168">
        <v>7603.3190591099819</v>
      </c>
      <c r="AM330" s="168">
        <v>3350.1726113268646</v>
      </c>
      <c r="AN330" s="168">
        <v>3415.0779078139431</v>
      </c>
      <c r="AO330" s="168">
        <v>2746.3074026480149</v>
      </c>
      <c r="AP330" s="168">
        <v>4136.6123943584398</v>
      </c>
      <c r="AQ330" s="168">
        <v>3485.5351396097462</v>
      </c>
      <c r="AR330" s="168">
        <v>3689.8786143141488</v>
      </c>
      <c r="AS330" s="168">
        <v>3264.439338700276</v>
      </c>
      <c r="AT330" s="168">
        <v>4636.3614570097188</v>
      </c>
      <c r="AU330" s="168">
        <v>6701.9730013163999</v>
      </c>
      <c r="AV330" s="168">
        <v>378.56384234106963</v>
      </c>
      <c r="AW330" s="168">
        <v>2394.699160090443</v>
      </c>
      <c r="AX330" s="168">
        <v>7508.6503491605417</v>
      </c>
      <c r="AY330" s="168">
        <v>3256.3923418089325</v>
      </c>
      <c r="AZ330" s="168">
        <v>3427.2878347942142</v>
      </c>
      <c r="BA330" s="168">
        <v>2721.1876147822236</v>
      </c>
      <c r="BB330" s="168">
        <v>4134.074904688664</v>
      </c>
      <c r="BC330" s="168">
        <v>3484.494018240212</v>
      </c>
      <c r="BD330" s="168">
        <v>3696.6917512470445</v>
      </c>
      <c r="BE330" s="168">
        <v>3259.6015361639097</v>
      </c>
      <c r="BF330" s="168">
        <v>4631.4301797420303</v>
      </c>
      <c r="BG330" s="168">
        <v>6781.5250011784656</v>
      </c>
      <c r="BH330" s="168">
        <v>384.23123657615406</v>
      </c>
      <c r="BI330" s="168">
        <v>2420.4967711287923</v>
      </c>
      <c r="BJ330" s="168">
        <v>7562.9050884799017</v>
      </c>
      <c r="BK330" s="168">
        <v>3300.0526956767867</v>
      </c>
      <c r="BL330" s="168">
        <v>3449.1470827778371</v>
      </c>
      <c r="BM330" s="168">
        <v>2741.8687885732229</v>
      </c>
      <c r="BN330" s="168">
        <v>4148.5376094049443</v>
      </c>
      <c r="BO330" s="168">
        <v>3475.0352336192977</v>
      </c>
      <c r="BP330" s="168">
        <v>3703.2193146999284</v>
      </c>
      <c r="BQ330" s="168">
        <v>3304.9586331821051</v>
      </c>
      <c r="BR330" s="168">
        <v>4694.4513876457486</v>
      </c>
      <c r="BS330" s="168">
        <v>6855.4344177621424</v>
      </c>
      <c r="BT330" s="168">
        <v>385.58061280533241</v>
      </c>
      <c r="BU330" s="168">
        <v>2434.2500514357544</v>
      </c>
      <c r="BV330" s="168">
        <v>7562.3221288324567</v>
      </c>
      <c r="BW330" s="168">
        <v>3363.9278415470749</v>
      </c>
      <c r="BX330" s="168">
        <v>3511.9376672177686</v>
      </c>
      <c r="BY330" s="168">
        <v>2779.1591794296946</v>
      </c>
      <c r="BZ330" s="168">
        <v>4183.6725591138156</v>
      </c>
      <c r="CA330" s="168">
        <v>3526.1420870907123</v>
      </c>
      <c r="CB330" s="168">
        <v>3751.2430734013578</v>
      </c>
      <c r="CC330" s="168">
        <v>3317.5653008448353</v>
      </c>
      <c r="CD330" s="168">
        <v>4721.9921899821384</v>
      </c>
      <c r="CE330" s="168">
        <v>6811.2386801961839</v>
      </c>
      <c r="CF330" s="168">
        <v>388.96693044010129</v>
      </c>
      <c r="CG330" s="168">
        <v>2482.3670064376993</v>
      </c>
      <c r="CH330" s="168">
        <v>7660.6034120710565</v>
      </c>
      <c r="CI330" s="168">
        <v>3345.4428787817515</v>
      </c>
      <c r="CJ330" s="168">
        <v>3515.4078442023501</v>
      </c>
      <c r="CK330" s="168">
        <v>2784.3781108429234</v>
      </c>
      <c r="CL330" s="168">
        <v>4249.8213309860848</v>
      </c>
      <c r="CM330" s="168">
        <v>3538.1052415075446</v>
      </c>
      <c r="CN330" s="168">
        <v>3789.4785085408635</v>
      </c>
      <c r="CO330" s="168">
        <v>3325.0300469153995</v>
      </c>
    </row>
    <row r="331" spans="1:93" x14ac:dyDescent="0.2">
      <c r="A331" s="118">
        <f t="shared" si="37"/>
        <v>15</v>
      </c>
      <c r="B331" s="243" t="s">
        <v>561</v>
      </c>
      <c r="C331" s="223"/>
      <c r="D331" s="172">
        <f>'E-13c - prior to updates'!D360</f>
        <v>12962.61357882923</v>
      </c>
      <c r="E331" s="225" t="s">
        <v>555</v>
      </c>
      <c r="F331" s="183">
        <v>16.37</v>
      </c>
      <c r="G331" s="233" t="s">
        <v>375</v>
      </c>
      <c r="H331" s="174">
        <f>ROUND(D331*F331,2)</f>
        <v>212197.98</v>
      </c>
      <c r="I331" s="229"/>
      <c r="J331" s="172">
        <f t="shared" si="39"/>
        <v>12962.61357882923</v>
      </c>
      <c r="K331" s="225" t="s">
        <v>555</v>
      </c>
      <c r="L331" s="183">
        <f>L327</f>
        <v>16.940000000000001</v>
      </c>
      <c r="M331" s="233" t="s">
        <v>375</v>
      </c>
      <c r="N331" s="174">
        <f>ROUND(J331*L331,2)</f>
        <v>219586.67</v>
      </c>
      <c r="O331" s="227"/>
      <c r="P331" s="182"/>
      <c r="Q331" s="1022"/>
      <c r="S331" s="227"/>
      <c r="T331" s="306"/>
      <c r="U331" s="184" t="s">
        <v>614</v>
      </c>
      <c r="V331" s="179">
        <v>249</v>
      </c>
      <c r="W331" s="180">
        <v>223</v>
      </c>
      <c r="Y331" s="184"/>
      <c r="Z331" s="181"/>
      <c r="AB331" s="182">
        <f>SUM(AH331:AS331)</f>
        <v>11288.889134058874</v>
      </c>
      <c r="AC331" s="182">
        <f>SUM(AT331:BE331)</f>
        <v>11218.872165784627</v>
      </c>
      <c r="AD331" s="182">
        <f>SUM(BF331:BQ331)</f>
        <v>11287.602742571797</v>
      </c>
      <c r="AE331" s="182">
        <f>SUM(BR331:CC331)</f>
        <v>11406.69095186881</v>
      </c>
      <c r="AF331" s="182">
        <f>SUM(CD331:CO331)</f>
        <v>11480.040081302945</v>
      </c>
      <c r="AH331" s="168">
        <v>0</v>
      </c>
      <c r="AI331" s="168">
        <v>0</v>
      </c>
      <c r="AJ331" s="168">
        <v>0</v>
      </c>
      <c r="AK331" s="168">
        <v>136.42948350203011</v>
      </c>
      <c r="AL331" s="168">
        <v>2126.9896540287937</v>
      </c>
      <c r="AM331" s="168">
        <v>1295.3460720368271</v>
      </c>
      <c r="AN331" s="168">
        <v>1339.6041147686924</v>
      </c>
      <c r="AO331" s="168">
        <v>1024.9474894111806</v>
      </c>
      <c r="AP331" s="168">
        <v>1603.7506912400136</v>
      </c>
      <c r="AQ331" s="168">
        <v>1329.5779500827407</v>
      </c>
      <c r="AR331" s="168">
        <v>1390.4149525633443</v>
      </c>
      <c r="AS331" s="168">
        <v>1041.8287264252531</v>
      </c>
      <c r="AT331" s="168">
        <v>0</v>
      </c>
      <c r="AU331" s="168">
        <v>0</v>
      </c>
      <c r="AV331" s="168">
        <v>0</v>
      </c>
      <c r="AW331" s="168">
        <v>134.09880869304942</v>
      </c>
      <c r="AX331" s="168">
        <v>2100.5065661750155</v>
      </c>
      <c r="AY331" s="168">
        <v>1259.0858795488659</v>
      </c>
      <c r="AZ331" s="168">
        <v>1344.3936009430404</v>
      </c>
      <c r="BA331" s="168">
        <v>1015.5725507270555</v>
      </c>
      <c r="BB331" s="168">
        <v>1602.7669150424988</v>
      </c>
      <c r="BC331" s="168">
        <v>1329.1808081917977</v>
      </c>
      <c r="BD331" s="168">
        <v>1392.9822693928495</v>
      </c>
      <c r="BE331" s="168">
        <v>1040.2847670704543</v>
      </c>
      <c r="BF331" s="168">
        <v>0</v>
      </c>
      <c r="BG331" s="168">
        <v>0</v>
      </c>
      <c r="BH331" s="168">
        <v>0</v>
      </c>
      <c r="BI331" s="168">
        <v>135.54342811123078</v>
      </c>
      <c r="BJ331" s="168">
        <v>2115.6840522593384</v>
      </c>
      <c r="BK331" s="168">
        <v>1275.9671792452607</v>
      </c>
      <c r="BL331" s="168">
        <v>1352.9681457514064</v>
      </c>
      <c r="BM331" s="168">
        <v>1023.2909573171997</v>
      </c>
      <c r="BN331" s="168">
        <v>1608.3740569438205</v>
      </c>
      <c r="BO331" s="168">
        <v>1325.5726989738951</v>
      </c>
      <c r="BP331" s="168">
        <v>1395.4419768188573</v>
      </c>
      <c r="BQ331" s="168">
        <v>1054.7602471507878</v>
      </c>
      <c r="BR331" s="168">
        <v>0</v>
      </c>
      <c r="BS331" s="168">
        <v>0</v>
      </c>
      <c r="BT331" s="168">
        <v>0</v>
      </c>
      <c r="BU331" s="168">
        <v>136.31358685831759</v>
      </c>
      <c r="BV331" s="168">
        <v>2115.5209722768741</v>
      </c>
      <c r="BW331" s="168">
        <v>1300.6645393228018</v>
      </c>
      <c r="BX331" s="168">
        <v>1377.5984843717943</v>
      </c>
      <c r="BY331" s="168">
        <v>1037.2080783396498</v>
      </c>
      <c r="BZ331" s="168">
        <v>1621.995758594943</v>
      </c>
      <c r="CA331" s="168">
        <v>1345.0677098551539</v>
      </c>
      <c r="CB331" s="168">
        <v>1413.5382231066701</v>
      </c>
      <c r="CC331" s="168">
        <v>1058.7835991426057</v>
      </c>
      <c r="CD331" s="168">
        <v>0</v>
      </c>
      <c r="CE331" s="168">
        <v>0</v>
      </c>
      <c r="CF331" s="168">
        <v>0</v>
      </c>
      <c r="CG331" s="168">
        <v>139.0080490484886</v>
      </c>
      <c r="CH331" s="168">
        <v>2143.0146590481409</v>
      </c>
      <c r="CI331" s="168">
        <v>1293.5173183620514</v>
      </c>
      <c r="CJ331" s="168">
        <v>1378.9597017416484</v>
      </c>
      <c r="CK331" s="168">
        <v>1039.155832128698</v>
      </c>
      <c r="CL331" s="168">
        <v>1647.6414146297</v>
      </c>
      <c r="CM331" s="168">
        <v>1349.6311257121054</v>
      </c>
      <c r="CN331" s="168">
        <v>1427.9460468571581</v>
      </c>
      <c r="CO331" s="168">
        <v>1061.1659337749531</v>
      </c>
    </row>
    <row r="332" spans="1:93" x14ac:dyDescent="0.2">
      <c r="A332" s="118">
        <f t="shared" si="37"/>
        <v>16</v>
      </c>
      <c r="B332" s="234" t="s">
        <v>216</v>
      </c>
      <c r="C332" s="223"/>
      <c r="D332" s="168"/>
      <c r="E332" s="225"/>
      <c r="F332" s="183"/>
      <c r="G332" s="233"/>
      <c r="H332" s="174"/>
      <c r="I332" s="229"/>
      <c r="J332" s="168"/>
      <c r="K332" s="225"/>
      <c r="L332" s="183"/>
      <c r="M332" s="233"/>
      <c r="N332" s="174"/>
      <c r="O332" s="227"/>
      <c r="U332" s="184"/>
      <c r="V332" s="179"/>
      <c r="W332" s="180"/>
      <c r="Y332" s="184"/>
      <c r="Z332" s="181"/>
    </row>
    <row r="333" spans="1:93" x14ac:dyDescent="0.2">
      <c r="A333" s="118">
        <f t="shared" si="37"/>
        <v>17</v>
      </c>
      <c r="B333" s="243" t="s">
        <v>559</v>
      </c>
      <c r="C333" s="223"/>
      <c r="D333" s="172">
        <f>'E-13c - prior to updates'!D362</f>
        <v>0</v>
      </c>
      <c r="E333" s="225" t="s">
        <v>555</v>
      </c>
      <c r="F333" s="183">
        <v>29.14</v>
      </c>
      <c r="G333" s="233" t="s">
        <v>375</v>
      </c>
      <c r="H333" s="174">
        <f>ROUND(D333*F333,2)</f>
        <v>0</v>
      </c>
      <c r="I333" s="229"/>
      <c r="J333" s="172">
        <f t="shared" ref="J333:J335" si="40">D333</f>
        <v>0</v>
      </c>
      <c r="K333" s="225" t="s">
        <v>555</v>
      </c>
      <c r="L333" s="183">
        <f>L329</f>
        <v>31.4</v>
      </c>
      <c r="M333" s="233" t="s">
        <v>375</v>
      </c>
      <c r="N333" s="174">
        <f>ROUND(J333*L333,2)</f>
        <v>0</v>
      </c>
      <c r="O333" s="227"/>
      <c r="P333" s="305"/>
      <c r="Q333" s="305"/>
      <c r="U333" s="184" t="s">
        <v>614</v>
      </c>
      <c r="V333" s="179">
        <v>249</v>
      </c>
      <c r="W333" s="180">
        <v>223</v>
      </c>
      <c r="Y333" s="184"/>
      <c r="Z333" s="181"/>
      <c r="AB333" s="182">
        <f>SUM(AH333:AS333)</f>
        <v>0</v>
      </c>
      <c r="AC333" s="182">
        <f>SUM(AT333:BE333)</f>
        <v>0</v>
      </c>
      <c r="AD333" s="182">
        <f>SUM(BF333:BQ333)</f>
        <v>0</v>
      </c>
      <c r="AE333" s="182">
        <f>SUM(BR333:CC333)</f>
        <v>0</v>
      </c>
      <c r="AF333" s="182">
        <f>SUM(CD333:CO333)</f>
        <v>0</v>
      </c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  <c r="AT333" s="168"/>
      <c r="AU333" s="168"/>
      <c r="AV333" s="168"/>
      <c r="AW333" s="168"/>
      <c r="AX333" s="168"/>
      <c r="AY333" s="168"/>
      <c r="AZ333" s="168"/>
      <c r="BA333" s="168"/>
      <c r="BB333" s="168"/>
      <c r="BC333" s="168"/>
      <c r="BD333" s="168"/>
      <c r="BE333" s="168"/>
      <c r="BF333" s="168"/>
      <c r="BG333" s="168"/>
      <c r="BH333" s="168"/>
      <c r="BI333" s="168"/>
      <c r="BJ333" s="168"/>
      <c r="BK333" s="168"/>
      <c r="BL333" s="168"/>
      <c r="BM333" s="168"/>
      <c r="BN333" s="168"/>
      <c r="BO333" s="168"/>
      <c r="BP333" s="168"/>
      <c r="BQ333" s="168"/>
      <c r="BR333" s="168"/>
      <c r="BS333" s="168"/>
      <c r="BT333" s="168"/>
      <c r="BU333" s="168"/>
      <c r="BV333" s="168"/>
      <c r="BW333" s="168"/>
      <c r="BX333" s="168"/>
      <c r="BY333" s="168"/>
      <c r="BZ333" s="168"/>
      <c r="CA333" s="168"/>
      <c r="CB333" s="168"/>
      <c r="CC333" s="168"/>
      <c r="CD333" s="168"/>
      <c r="CE333" s="168"/>
      <c r="CF333" s="168"/>
      <c r="CG333" s="168"/>
      <c r="CH333" s="168"/>
      <c r="CI333" s="168"/>
      <c r="CJ333" s="168"/>
      <c r="CK333" s="168"/>
      <c r="CL333" s="168"/>
      <c r="CM333" s="168"/>
      <c r="CN333" s="168"/>
      <c r="CO333" s="168"/>
    </row>
    <row r="334" spans="1:93" x14ac:dyDescent="0.2">
      <c r="A334" s="118">
        <f t="shared" si="37"/>
        <v>18</v>
      </c>
      <c r="B334" s="243" t="s">
        <v>560</v>
      </c>
      <c r="C334" s="223"/>
      <c r="D334" s="172">
        <f>'E-13c - prior to updates'!D363</f>
        <v>0</v>
      </c>
      <c r="E334" s="225" t="s">
        <v>555</v>
      </c>
      <c r="F334" s="183">
        <v>21.59</v>
      </c>
      <c r="G334" s="233" t="s">
        <v>375</v>
      </c>
      <c r="H334" s="174">
        <f>ROUND(D334*F334,2)</f>
        <v>0</v>
      </c>
      <c r="I334" s="229"/>
      <c r="J334" s="172">
        <f t="shared" si="40"/>
        <v>0</v>
      </c>
      <c r="K334" s="225" t="s">
        <v>555</v>
      </c>
      <c r="L334" s="183">
        <f>L330</f>
        <v>22.43</v>
      </c>
      <c r="M334" s="233" t="s">
        <v>375</v>
      </c>
      <c r="N334" s="174">
        <f>ROUND(J334*L334,2)</f>
        <v>0</v>
      </c>
      <c r="O334" s="227"/>
      <c r="P334" s="305"/>
      <c r="Q334" s="305"/>
      <c r="U334" s="184" t="s">
        <v>614</v>
      </c>
      <c r="V334" s="179">
        <v>249</v>
      </c>
      <c r="W334" s="180">
        <v>223</v>
      </c>
      <c r="Y334" s="184"/>
      <c r="Z334" s="181"/>
      <c r="AB334" s="182">
        <f>SUM(AH334:AS334)</f>
        <v>0</v>
      </c>
      <c r="AC334" s="182">
        <f>SUM(AT334:BE334)</f>
        <v>0</v>
      </c>
      <c r="AD334" s="182">
        <f>SUM(BF334:BQ334)</f>
        <v>0</v>
      </c>
      <c r="AE334" s="182">
        <f>SUM(BR334:CC334)</f>
        <v>0</v>
      </c>
      <c r="AF334" s="182">
        <f>SUM(CD334:CO334)</f>
        <v>0</v>
      </c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  <c r="AT334" s="168"/>
      <c r="AU334" s="168"/>
      <c r="AV334" s="168"/>
      <c r="AW334" s="168"/>
      <c r="AX334" s="168"/>
      <c r="AY334" s="168"/>
      <c r="AZ334" s="168"/>
      <c r="BA334" s="168"/>
      <c r="BB334" s="168"/>
      <c r="BC334" s="168"/>
      <c r="BD334" s="168"/>
      <c r="BE334" s="168"/>
      <c r="BF334" s="168"/>
      <c r="BG334" s="168"/>
      <c r="BH334" s="168"/>
      <c r="BI334" s="168"/>
      <c r="BJ334" s="168"/>
      <c r="BK334" s="168"/>
      <c r="BL334" s="168"/>
      <c r="BM334" s="168"/>
      <c r="BN334" s="168"/>
      <c r="BO334" s="168"/>
      <c r="BP334" s="168"/>
      <c r="BQ334" s="168"/>
      <c r="BR334" s="168"/>
      <c r="BS334" s="168"/>
      <c r="BT334" s="168"/>
      <c r="BU334" s="168"/>
      <c r="BV334" s="168"/>
      <c r="BW334" s="168"/>
      <c r="BX334" s="168"/>
      <c r="BY334" s="168"/>
      <c r="BZ334" s="168"/>
      <c r="CA334" s="168"/>
      <c r="CB334" s="168"/>
      <c r="CC334" s="168"/>
      <c r="CD334" s="168"/>
      <c r="CE334" s="168"/>
      <c r="CF334" s="168"/>
      <c r="CG334" s="168"/>
      <c r="CH334" s="168"/>
      <c r="CI334" s="168"/>
      <c r="CJ334" s="168"/>
      <c r="CK334" s="168"/>
      <c r="CL334" s="168"/>
      <c r="CM334" s="168"/>
      <c r="CN334" s="168"/>
      <c r="CO334" s="168"/>
    </row>
    <row r="335" spans="1:93" x14ac:dyDescent="0.2">
      <c r="A335" s="118">
        <f t="shared" si="37"/>
        <v>19</v>
      </c>
      <c r="B335" s="243" t="s">
        <v>561</v>
      </c>
      <c r="C335" s="223"/>
      <c r="D335" s="172">
        <f>'E-13c - prior to updates'!D364</f>
        <v>0</v>
      </c>
      <c r="E335" s="225" t="s">
        <v>555</v>
      </c>
      <c r="F335" s="183">
        <v>16.37</v>
      </c>
      <c r="G335" s="233" t="s">
        <v>375</v>
      </c>
      <c r="H335" s="174">
        <f>ROUND(D335*F335,2)</f>
        <v>0</v>
      </c>
      <c r="I335" s="229"/>
      <c r="J335" s="172">
        <f t="shared" si="40"/>
        <v>0</v>
      </c>
      <c r="K335" s="225" t="s">
        <v>555</v>
      </c>
      <c r="L335" s="183">
        <f>L331</f>
        <v>16.940000000000001</v>
      </c>
      <c r="M335" s="233" t="s">
        <v>375</v>
      </c>
      <c r="N335" s="174">
        <f>ROUND(J335*L335,2)</f>
        <v>0</v>
      </c>
      <c r="O335" s="227"/>
      <c r="P335" s="305"/>
      <c r="Q335" s="227"/>
      <c r="U335" s="184" t="s">
        <v>614</v>
      </c>
      <c r="V335" s="179">
        <v>249</v>
      </c>
      <c r="W335" s="180">
        <v>223</v>
      </c>
      <c r="Y335" s="184"/>
      <c r="Z335" s="181"/>
      <c r="AB335" s="182">
        <f>SUM(AH335:AS335)</f>
        <v>0</v>
      </c>
      <c r="AC335" s="182">
        <f>SUM(AT335:BE335)</f>
        <v>0</v>
      </c>
      <c r="AD335" s="182">
        <f>SUM(BF335:BQ335)</f>
        <v>0</v>
      </c>
      <c r="AE335" s="182">
        <f>SUM(BR335:CC335)</f>
        <v>0</v>
      </c>
      <c r="AF335" s="182">
        <f>SUM(CD335:CO335)</f>
        <v>0</v>
      </c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  <c r="AT335" s="168"/>
      <c r="AU335" s="168"/>
      <c r="AV335" s="168"/>
      <c r="AW335" s="168"/>
      <c r="AX335" s="168"/>
      <c r="AY335" s="168"/>
      <c r="AZ335" s="168"/>
      <c r="BA335" s="168"/>
      <c r="BB335" s="168"/>
      <c r="BC335" s="168"/>
      <c r="BD335" s="168"/>
      <c r="BE335" s="168"/>
      <c r="BF335" s="168"/>
      <c r="BG335" s="168"/>
      <c r="BH335" s="168"/>
      <c r="BI335" s="168"/>
      <c r="BJ335" s="168"/>
      <c r="BK335" s="168"/>
      <c r="BL335" s="168"/>
      <c r="BM335" s="168"/>
      <c r="BN335" s="168"/>
      <c r="BO335" s="168"/>
      <c r="BP335" s="168"/>
      <c r="BQ335" s="168"/>
      <c r="BR335" s="168"/>
      <c r="BS335" s="168"/>
      <c r="BT335" s="168"/>
      <c r="BU335" s="168"/>
      <c r="BV335" s="168"/>
      <c r="BW335" s="168"/>
      <c r="BX335" s="168"/>
      <c r="BY335" s="168"/>
      <c r="BZ335" s="168"/>
      <c r="CA335" s="168"/>
      <c r="CB335" s="168"/>
      <c r="CC335" s="168"/>
      <c r="CD335" s="168"/>
      <c r="CE335" s="168"/>
      <c r="CF335" s="168"/>
      <c r="CG335" s="168"/>
      <c r="CH335" s="168"/>
      <c r="CI335" s="168"/>
      <c r="CJ335" s="168"/>
      <c r="CK335" s="168"/>
      <c r="CL335" s="168"/>
      <c r="CM335" s="168"/>
      <c r="CN335" s="168"/>
      <c r="CO335" s="168"/>
    </row>
    <row r="336" spans="1:93" x14ac:dyDescent="0.2">
      <c r="A336" s="118">
        <f t="shared" si="37"/>
        <v>20</v>
      </c>
      <c r="B336" s="243"/>
      <c r="C336" s="223" t="s">
        <v>374</v>
      </c>
      <c r="D336" s="204">
        <f>SUM(D320:D335)</f>
        <v>66611.501383213879</v>
      </c>
      <c r="E336" s="225" t="s">
        <v>617</v>
      </c>
      <c r="F336" s="183"/>
      <c r="G336" s="233"/>
      <c r="H336" s="206">
        <f>SUM(H320:H335)</f>
        <v>1437219.95</v>
      </c>
      <c r="I336" s="229"/>
      <c r="J336" s="204">
        <f>SUM(J320:J335)</f>
        <v>66611.501383213879</v>
      </c>
      <c r="K336" s="225" t="s">
        <v>617</v>
      </c>
      <c r="L336" s="183"/>
      <c r="M336" s="233"/>
      <c r="N336" s="206">
        <f>SUM(N320:N335)</f>
        <v>1502228.25</v>
      </c>
      <c r="O336" s="227"/>
      <c r="Q336" s="939"/>
      <c r="U336" s="184"/>
      <c r="V336" s="179"/>
      <c r="W336" s="180"/>
      <c r="Y336" s="184" t="s">
        <v>613</v>
      </c>
      <c r="Z336" s="181" t="s">
        <v>141</v>
      </c>
      <c r="AB336" s="204">
        <f>SUM(AB320:AB334)</f>
        <v>65521.928324882771</v>
      </c>
      <c r="AC336" s="204">
        <f>SUM(AC320:AC334)</f>
        <v>65512.144853100515</v>
      </c>
      <c r="AD336" s="204">
        <f>SUM(AD320:AD334)</f>
        <v>65944.502032399352</v>
      </c>
      <c r="AE336" s="204">
        <f>SUM(AE320:AE334)</f>
        <v>66611.501383213865</v>
      </c>
      <c r="AF336" s="204">
        <f>SUM(AF320:AF334)</f>
        <v>66973.186570579986</v>
      </c>
      <c r="AH336" s="204">
        <f t="shared" ref="AH336:CO336" si="41">SUM(AH320:AH334)</f>
        <v>5813.3068697084764</v>
      </c>
      <c r="AI336" s="204">
        <f t="shared" si="41"/>
        <v>8529.3112640023901</v>
      </c>
      <c r="AJ336" s="204">
        <f t="shared" si="41"/>
        <v>515.13794946603434</v>
      </c>
      <c r="AK336" s="204">
        <f t="shared" si="41"/>
        <v>3145.043369907622</v>
      </c>
      <c r="AL336" s="204">
        <f t="shared" si="41"/>
        <v>11124.454693057833</v>
      </c>
      <c r="AM336" s="204">
        <f t="shared" si="41"/>
        <v>5092.6913303761448</v>
      </c>
      <c r="AN336" s="204">
        <f t="shared" si="41"/>
        <v>5225.2819362744431</v>
      </c>
      <c r="AO336" s="204">
        <f t="shared" si="41"/>
        <v>4101.3581342981643</v>
      </c>
      <c r="AP336" s="204">
        <f t="shared" si="41"/>
        <v>6297.3683386137036</v>
      </c>
      <c r="AQ336" s="204">
        <f t="shared" si="41"/>
        <v>5260.1065731123026</v>
      </c>
      <c r="AR336" s="204">
        <f t="shared" si="41"/>
        <v>5577.9093072286632</v>
      </c>
      <c r="AS336" s="204">
        <f t="shared" si="41"/>
        <v>4839.9585588369928</v>
      </c>
      <c r="AT336" s="204">
        <f t="shared" si="41"/>
        <v>6025.212809264438</v>
      </c>
      <c r="AU336" s="204">
        <f t="shared" si="41"/>
        <v>8671.2131895385537</v>
      </c>
      <c r="AV336" s="204">
        <f t="shared" si="41"/>
        <v>507.48250805519683</v>
      </c>
      <c r="AW336" s="204">
        <f t="shared" si="41"/>
        <v>3091.3154427232716</v>
      </c>
      <c r="AX336" s="204">
        <f t="shared" si="41"/>
        <v>10985.944423201281</v>
      </c>
      <c r="AY336" s="204">
        <f t="shared" si="41"/>
        <v>4950.133312941588</v>
      </c>
      <c r="AZ336" s="204">
        <f t="shared" si="41"/>
        <v>5243.9638851539285</v>
      </c>
      <c r="BA336" s="204">
        <f t="shared" si="41"/>
        <v>4063.8440358414982</v>
      </c>
      <c r="BB336" s="204">
        <f t="shared" si="41"/>
        <v>6293.5053933863983</v>
      </c>
      <c r="BC336" s="204">
        <f t="shared" si="41"/>
        <v>5258.5353913166982</v>
      </c>
      <c r="BD336" s="204">
        <f t="shared" si="41"/>
        <v>5588.2085782567119</v>
      </c>
      <c r="BE336" s="204">
        <f t="shared" si="41"/>
        <v>4832.7858834209528</v>
      </c>
      <c r="BF336" s="204">
        <f t="shared" si="41"/>
        <v>6018.8043367510636</v>
      </c>
      <c r="BG336" s="204">
        <f t="shared" si="41"/>
        <v>8774.1399471251079</v>
      </c>
      <c r="BH336" s="204">
        <f t="shared" si="41"/>
        <v>515.07991467166642</v>
      </c>
      <c r="BI336" s="204">
        <f t="shared" si="41"/>
        <v>3124.6175604661976</v>
      </c>
      <c r="BJ336" s="204">
        <f t="shared" si="41"/>
        <v>11065.324807576802</v>
      </c>
      <c r="BK336" s="204">
        <f t="shared" si="41"/>
        <v>5016.502641158354</v>
      </c>
      <c r="BL336" s="204">
        <f t="shared" si="41"/>
        <v>5277.4098962589824</v>
      </c>
      <c r="BM336" s="204">
        <f t="shared" si="41"/>
        <v>4094.729471416832</v>
      </c>
      <c r="BN336" s="204">
        <f t="shared" si="41"/>
        <v>6315.5226795346562</v>
      </c>
      <c r="BO336" s="204">
        <f t="shared" si="41"/>
        <v>5244.260907438249</v>
      </c>
      <c r="BP336" s="204">
        <f t="shared" si="41"/>
        <v>5598.0761540615422</v>
      </c>
      <c r="BQ336" s="204">
        <f t="shared" si="41"/>
        <v>4900.0337159399114</v>
      </c>
      <c r="BR336" s="204">
        <f t="shared" si="41"/>
        <v>6100.7039454501892</v>
      </c>
      <c r="BS336" s="204">
        <f t="shared" si="41"/>
        <v>8869.7661616421756</v>
      </c>
      <c r="BT336" s="204">
        <f t="shared" si="41"/>
        <v>516.88881651728047</v>
      </c>
      <c r="BU336" s="204">
        <f t="shared" si="41"/>
        <v>3142.3716602335385</v>
      </c>
      <c r="BV336" s="204">
        <f t="shared" si="41"/>
        <v>11064.47187635881</v>
      </c>
      <c r="BW336" s="204">
        <f t="shared" si="41"/>
        <v>5113.6010415513092</v>
      </c>
      <c r="BX336" s="204">
        <f t="shared" si="41"/>
        <v>5373.4834019003556</v>
      </c>
      <c r="BY336" s="204">
        <f t="shared" si="41"/>
        <v>4150.4192487967721</v>
      </c>
      <c r="BZ336" s="204">
        <f t="shared" si="41"/>
        <v>6369.010340156954</v>
      </c>
      <c r="CA336" s="204">
        <f t="shared" si="41"/>
        <v>5321.3875135714397</v>
      </c>
      <c r="CB336" s="204">
        <f t="shared" si="41"/>
        <v>5670.6726263654418</v>
      </c>
      <c r="CC336" s="204">
        <f t="shared" si="41"/>
        <v>4918.7247506696103</v>
      </c>
      <c r="CD336" s="204">
        <f t="shared" si="41"/>
        <v>6136.4947690417684</v>
      </c>
      <c r="CE336" s="204">
        <f t="shared" si="41"/>
        <v>8812.5843940599934</v>
      </c>
      <c r="CF336" s="204">
        <f t="shared" si="41"/>
        <v>521.42833343399582</v>
      </c>
      <c r="CG336" s="204">
        <f t="shared" si="41"/>
        <v>3204.4858032262291</v>
      </c>
      <c r="CH336" s="204">
        <f t="shared" si="41"/>
        <v>11208.267720524182</v>
      </c>
      <c r="CI336" s="204">
        <f t="shared" si="41"/>
        <v>5085.5015313054764</v>
      </c>
      <c r="CJ336" s="204">
        <f t="shared" si="41"/>
        <v>5378.7929888564013</v>
      </c>
      <c r="CK336" s="204">
        <f t="shared" si="41"/>
        <v>4158.2132440295536</v>
      </c>
      <c r="CL336" s="204">
        <f t="shared" si="41"/>
        <v>6469.7118664093823</v>
      </c>
      <c r="CM336" s="204">
        <f t="shared" si="41"/>
        <v>5339.4414033366093</v>
      </c>
      <c r="CN336" s="204">
        <f t="shared" si="41"/>
        <v>5728.4723026754509</v>
      </c>
      <c r="CO336" s="204">
        <f t="shared" si="41"/>
        <v>4929.7922136809329</v>
      </c>
    </row>
    <row r="337" spans="1:93" x14ac:dyDescent="0.2">
      <c r="A337" s="118">
        <f t="shared" si="37"/>
        <v>21</v>
      </c>
      <c r="B337" s="223"/>
      <c r="C337" s="223"/>
      <c r="D337" s="168"/>
      <c r="E337" s="225"/>
      <c r="F337" s="183"/>
      <c r="G337" s="233"/>
      <c r="H337" s="174"/>
      <c r="I337" s="229"/>
      <c r="J337" s="223"/>
      <c r="K337" s="225"/>
      <c r="L337" s="183"/>
      <c r="M337" s="233"/>
      <c r="N337" s="174"/>
      <c r="O337" s="227"/>
      <c r="Q337" s="227"/>
      <c r="U337" s="184"/>
      <c r="V337" s="179"/>
      <c r="W337" s="180"/>
      <c r="Y337" s="184"/>
      <c r="Z337" s="181"/>
      <c r="AB337" s="193">
        <f>SUM(AH337:AS337)</f>
        <v>0</v>
      </c>
      <c r="AC337" s="193">
        <f>SUM(AT337:BE337)</f>
        <v>0</v>
      </c>
      <c r="AD337" s="193">
        <f>SUM(BF337:BQ337)</f>
        <v>0</v>
      </c>
      <c r="AE337" s="193">
        <f>SUM(BR337:CC337)</f>
        <v>0</v>
      </c>
      <c r="AF337" s="193">
        <f>SUM(CD337:CO337)</f>
        <v>0</v>
      </c>
      <c r="AH337" s="294">
        <v>0</v>
      </c>
      <c r="AI337" s="294">
        <v>0</v>
      </c>
      <c r="AJ337" s="294">
        <v>0</v>
      </c>
      <c r="AK337" s="294">
        <v>0</v>
      </c>
      <c r="AL337" s="294">
        <v>0</v>
      </c>
      <c r="AM337" s="294">
        <v>0</v>
      </c>
      <c r="AN337" s="294">
        <v>0</v>
      </c>
      <c r="AO337" s="294">
        <v>0</v>
      </c>
      <c r="AP337" s="294">
        <v>0</v>
      </c>
      <c r="AQ337" s="294">
        <v>0</v>
      </c>
      <c r="AR337" s="294">
        <v>0</v>
      </c>
      <c r="AS337" s="294">
        <v>0</v>
      </c>
      <c r="AT337" s="294">
        <v>0</v>
      </c>
      <c r="AU337" s="294">
        <v>0</v>
      </c>
      <c r="AV337" s="294">
        <v>0</v>
      </c>
      <c r="AW337" s="294">
        <v>0</v>
      </c>
      <c r="AX337" s="294">
        <v>0</v>
      </c>
      <c r="AY337" s="294">
        <v>0</v>
      </c>
      <c r="AZ337" s="294">
        <v>0</v>
      </c>
      <c r="BA337" s="294">
        <v>0</v>
      </c>
      <c r="BB337" s="294">
        <v>0</v>
      </c>
      <c r="BC337" s="294">
        <v>0</v>
      </c>
      <c r="BD337" s="294">
        <v>0</v>
      </c>
      <c r="BE337" s="294">
        <v>0</v>
      </c>
      <c r="BF337" s="294">
        <v>0</v>
      </c>
      <c r="BG337" s="294">
        <v>0</v>
      </c>
      <c r="BH337" s="294">
        <v>0</v>
      </c>
      <c r="BI337" s="294">
        <v>0</v>
      </c>
      <c r="BJ337" s="294">
        <v>0</v>
      </c>
      <c r="BK337" s="294">
        <v>0</v>
      </c>
      <c r="BL337" s="294">
        <v>0</v>
      </c>
      <c r="BM337" s="294">
        <v>0</v>
      </c>
      <c r="BN337" s="294">
        <v>0</v>
      </c>
      <c r="BO337" s="294">
        <v>0</v>
      </c>
      <c r="BP337" s="294">
        <v>0</v>
      </c>
      <c r="BQ337" s="294">
        <v>0</v>
      </c>
      <c r="BR337" s="294">
        <v>0</v>
      </c>
      <c r="BS337" s="294">
        <v>0</v>
      </c>
      <c r="BT337" s="294">
        <v>0</v>
      </c>
      <c r="BU337" s="294">
        <v>0</v>
      </c>
      <c r="BV337" s="294">
        <v>0</v>
      </c>
      <c r="BW337" s="294">
        <v>0</v>
      </c>
      <c r="BX337" s="294">
        <v>0</v>
      </c>
      <c r="BY337" s="294">
        <v>0</v>
      </c>
      <c r="BZ337" s="294">
        <v>0</v>
      </c>
      <c r="CA337" s="294">
        <v>0</v>
      </c>
      <c r="CB337" s="294">
        <v>0</v>
      </c>
      <c r="CC337" s="294">
        <v>0</v>
      </c>
      <c r="CD337" s="294">
        <v>0</v>
      </c>
      <c r="CE337" s="294">
        <v>0</v>
      </c>
      <c r="CF337" s="294">
        <v>0</v>
      </c>
      <c r="CG337" s="294">
        <v>0</v>
      </c>
      <c r="CH337" s="294">
        <v>0</v>
      </c>
      <c r="CI337" s="294">
        <v>0</v>
      </c>
      <c r="CJ337" s="294">
        <v>0</v>
      </c>
      <c r="CK337" s="294">
        <v>0</v>
      </c>
      <c r="CL337" s="294">
        <v>0</v>
      </c>
      <c r="CM337" s="294">
        <v>0</v>
      </c>
      <c r="CN337" s="294">
        <v>0</v>
      </c>
      <c r="CO337" s="294">
        <v>0</v>
      </c>
    </row>
    <row r="338" spans="1:93" x14ac:dyDescent="0.2">
      <c r="A338" s="118">
        <f t="shared" si="37"/>
        <v>22</v>
      </c>
      <c r="B338" s="246" t="s">
        <v>563</v>
      </c>
      <c r="C338" s="223"/>
      <c r="D338" s="168"/>
      <c r="E338" s="225"/>
      <c r="F338" s="183"/>
      <c r="G338" s="233"/>
      <c r="H338" s="174"/>
      <c r="I338" s="229"/>
      <c r="J338" s="223"/>
      <c r="K338" s="225"/>
      <c r="L338" s="183"/>
      <c r="M338" s="233"/>
      <c r="N338" s="174"/>
      <c r="O338" s="227"/>
      <c r="Q338" s="176"/>
      <c r="U338" s="184"/>
      <c r="V338" s="179"/>
      <c r="W338" s="180"/>
      <c r="Y338" s="184"/>
      <c r="Z338" s="181"/>
    </row>
    <row r="339" spans="1:93" x14ac:dyDescent="0.2">
      <c r="A339" s="118">
        <f t="shared" si="37"/>
        <v>23</v>
      </c>
      <c r="B339" s="223"/>
      <c r="C339" s="223"/>
      <c r="E339" s="225"/>
      <c r="F339" s="183"/>
      <c r="G339" s="233"/>
      <c r="H339" s="174"/>
      <c r="I339" s="229"/>
      <c r="J339" s="223"/>
      <c r="K339" s="225"/>
      <c r="L339" s="183"/>
      <c r="M339" s="233"/>
      <c r="N339" s="174"/>
      <c r="O339" s="227"/>
      <c r="Q339" s="306"/>
      <c r="U339" s="184"/>
      <c r="V339" s="179"/>
      <c r="W339" s="180"/>
      <c r="Y339" s="184"/>
      <c r="Z339" s="181"/>
    </row>
    <row r="340" spans="1:93" x14ac:dyDescent="0.2">
      <c r="A340" s="118">
        <f t="shared" si="37"/>
        <v>24</v>
      </c>
      <c r="B340" s="234" t="s">
        <v>582</v>
      </c>
      <c r="C340" s="223"/>
      <c r="D340" s="172">
        <f>SUM(H281,H290:H293,H321,H329:H331)</f>
        <v>2663391.15</v>
      </c>
      <c r="E340" s="233" t="s">
        <v>10</v>
      </c>
      <c r="F340" s="248">
        <v>0.01</v>
      </c>
      <c r="G340" s="233" t="s">
        <v>375</v>
      </c>
      <c r="H340" s="174">
        <f>ROUND(D340*-F340,2)</f>
        <v>-26633.91</v>
      </c>
      <c r="I340" s="229"/>
      <c r="J340" s="172">
        <f>SUM(N281,N290:N293,N321,N329:N331)</f>
        <v>2779948.04</v>
      </c>
      <c r="K340" s="233" t="s">
        <v>10</v>
      </c>
      <c r="L340" s="248">
        <v>0.01</v>
      </c>
      <c r="M340" s="233" t="s">
        <v>375</v>
      </c>
      <c r="N340" s="174">
        <f>ROUND(L340*-J340,2)</f>
        <v>-27799.48</v>
      </c>
      <c r="O340" s="227"/>
      <c r="Q340" s="176"/>
      <c r="U340" s="184" t="s">
        <v>613</v>
      </c>
      <c r="V340" s="179">
        <v>246</v>
      </c>
      <c r="W340" s="180">
        <v>220</v>
      </c>
      <c r="Y340" s="184" t="s">
        <v>613</v>
      </c>
      <c r="Z340" s="181" t="s">
        <v>417</v>
      </c>
      <c r="AB340" s="182">
        <f>SUM(AH340:AS340)</f>
        <v>-18820.362793667868</v>
      </c>
      <c r="AC340" s="182">
        <f>SUM(AT340:BE340)</f>
        <v>-19391.64884433099</v>
      </c>
      <c r="AD340" s="182">
        <f>SUM(BF340:BQ340)</f>
        <v>-19520.017801990121</v>
      </c>
      <c r="AE340" s="182">
        <f>SUM(BR340:CC340)</f>
        <v>-19717.087456888217</v>
      </c>
      <c r="AF340" s="182">
        <f>SUM(CD340:CO340)</f>
        <v>-19823.27742615826</v>
      </c>
      <c r="AH340" s="174">
        <v>-1138.412001411195</v>
      </c>
      <c r="AI340" s="174">
        <v>-2394.046334502465</v>
      </c>
      <c r="AJ340" s="174">
        <v>399.26005024470919</v>
      </c>
      <c r="AK340" s="174">
        <v>-2236.3939446850009</v>
      </c>
      <c r="AL340" s="174">
        <v>-3270.2259764770415</v>
      </c>
      <c r="AM340" s="174">
        <v>-1416.6121910484328</v>
      </c>
      <c r="AN340" s="174">
        <v>-1451.2776286652138</v>
      </c>
      <c r="AO340" s="174">
        <v>-1142.8868987736771</v>
      </c>
      <c r="AP340" s="174">
        <v>-1752.9865952576095</v>
      </c>
      <c r="AQ340" s="174">
        <v>-1464.7644082498714</v>
      </c>
      <c r="AR340" s="174">
        <v>-1558.4647115730641</v>
      </c>
      <c r="AS340" s="174">
        <v>-1393.5521532690043</v>
      </c>
      <c r="AT340" s="174">
        <v>-1208.254837250335</v>
      </c>
      <c r="AU340" s="174">
        <v>-2366.2190335937144</v>
      </c>
      <c r="AV340" s="174">
        <v>560.19335899062082</v>
      </c>
      <c r="AW340" s="174">
        <v>-2588.7048631834768</v>
      </c>
      <c r="AX340" s="174">
        <v>-3332.068277891844</v>
      </c>
      <c r="AY340" s="174">
        <v>-1420.6524221025768</v>
      </c>
      <c r="AZ340" s="174">
        <v>-1502.6788260471203</v>
      </c>
      <c r="BA340" s="174">
        <v>-1167.9519066614916</v>
      </c>
      <c r="BB340" s="174">
        <v>-1807.9525599419981</v>
      </c>
      <c r="BC340" s="174">
        <v>-1510.8006239323836</v>
      </c>
      <c r="BD340" s="174">
        <v>-1610.8937739665184</v>
      </c>
      <c r="BE340" s="174">
        <v>-1435.665078750148</v>
      </c>
      <c r="BF340" s="174">
        <v>-1208.4549828134966</v>
      </c>
      <c r="BG340" s="174">
        <v>-2367.7351636425415</v>
      </c>
      <c r="BH340" s="174">
        <v>595.06255842128644</v>
      </c>
      <c r="BI340" s="174">
        <v>-2670.5400149365673</v>
      </c>
      <c r="BJ340" s="174">
        <v>-3354.3963772477468</v>
      </c>
      <c r="BK340" s="174">
        <v>-1438.9918862798718</v>
      </c>
      <c r="BL340" s="174">
        <v>-1511.5179160499767</v>
      </c>
      <c r="BM340" s="174">
        <v>-1176.1795216281123</v>
      </c>
      <c r="BN340" s="174">
        <v>-1813.4616998838319</v>
      </c>
      <c r="BO340" s="174">
        <v>-1505.9606144631555</v>
      </c>
      <c r="BP340" s="174">
        <v>-1612.9420098565549</v>
      </c>
      <c r="BQ340" s="174">
        <v>-1454.9001736095554</v>
      </c>
      <c r="BR340" s="174">
        <v>-1224.2083165035076</v>
      </c>
      <c r="BS340" s="174">
        <v>-2375.5281186924749</v>
      </c>
      <c r="BT340" s="174">
        <v>617.1644513391434</v>
      </c>
      <c r="BU340" s="174">
        <v>-2727.6148573421115</v>
      </c>
      <c r="BV340" s="174">
        <v>-3355.0095345242953</v>
      </c>
      <c r="BW340" s="174">
        <v>-1467.200355989502</v>
      </c>
      <c r="BX340" s="174">
        <v>-1539.4087894787899</v>
      </c>
      <c r="BY340" s="174">
        <v>-1192.406866573157</v>
      </c>
      <c r="BZ340" s="174">
        <v>-1829.321613648395</v>
      </c>
      <c r="CA340" s="174">
        <v>-1528.477433091685</v>
      </c>
      <c r="CB340" s="174">
        <v>-1634.2563963788903</v>
      </c>
      <c r="CC340" s="174">
        <v>-1460.8196260045527</v>
      </c>
      <c r="CD340" s="174">
        <v>-1231.3642339195778</v>
      </c>
      <c r="CE340" s="174">
        <v>-2529.947718995491</v>
      </c>
      <c r="CF340" s="174">
        <v>440.70362208766221</v>
      </c>
      <c r="CG340" s="174">
        <v>-2400.6735695020548</v>
      </c>
      <c r="CH340" s="174">
        <v>-3399.077423775791</v>
      </c>
      <c r="CI340" s="174">
        <v>-1459.3139293837353</v>
      </c>
      <c r="CJ340" s="174">
        <v>-1541.1172417962377</v>
      </c>
      <c r="CK340" s="174">
        <v>-1195.2892192425281</v>
      </c>
      <c r="CL340" s="174">
        <v>-1857.9400775099778</v>
      </c>
      <c r="CM340" s="174">
        <v>-1533.8457799292607</v>
      </c>
      <c r="CN340" s="174">
        <v>-1651.114068725291</v>
      </c>
      <c r="CO340" s="174">
        <v>-1464.2977854659764</v>
      </c>
    </row>
    <row r="341" spans="1:93" x14ac:dyDescent="0.2">
      <c r="A341" s="118">
        <f t="shared" si="37"/>
        <v>25</v>
      </c>
      <c r="B341" s="234" t="s">
        <v>583</v>
      </c>
      <c r="C341" s="223"/>
      <c r="D341" s="183">
        <f>SUM(H282:H283,H295:H298,H322,H333:H335)</f>
        <v>0</v>
      </c>
      <c r="E341" s="233" t="s">
        <v>10</v>
      </c>
      <c r="F341" s="248">
        <v>0.02</v>
      </c>
      <c r="G341" s="233" t="s">
        <v>375</v>
      </c>
      <c r="H341" s="174">
        <f>ROUND(D341*-F341,2)</f>
        <v>0</v>
      </c>
      <c r="I341" s="229"/>
      <c r="J341" s="183">
        <f>SUM(N282:N283,N295:N298,N322,N333:N335)</f>
        <v>0</v>
      </c>
      <c r="K341" s="233" t="s">
        <v>10</v>
      </c>
      <c r="L341" s="248">
        <v>0.02</v>
      </c>
      <c r="M341" s="233" t="s">
        <v>375</v>
      </c>
      <c r="N341" s="174">
        <f>ROUND(L341*-J341,2)</f>
        <v>0</v>
      </c>
      <c r="O341" s="227"/>
      <c r="Q341" s="176"/>
      <c r="U341" s="184" t="s">
        <v>613</v>
      </c>
      <c r="V341" s="179">
        <v>246</v>
      </c>
      <c r="W341" s="180">
        <v>220</v>
      </c>
      <c r="Y341" s="184" t="s">
        <v>613</v>
      </c>
      <c r="Z341" s="181" t="s">
        <v>417</v>
      </c>
      <c r="AB341" s="182">
        <f>SUM(AH341:AS341)</f>
        <v>0</v>
      </c>
      <c r="AC341" s="182">
        <f>SUM(AT341:BE341)</f>
        <v>0</v>
      </c>
      <c r="AD341" s="182">
        <f>SUM(BF341:BQ341)</f>
        <v>0</v>
      </c>
      <c r="AE341" s="182">
        <f>SUM(BR341:CC341)</f>
        <v>0</v>
      </c>
      <c r="AF341" s="182">
        <f>SUM(CD341:CO341)</f>
        <v>0</v>
      </c>
      <c r="AH341" s="174">
        <v>0</v>
      </c>
      <c r="AI341" s="174">
        <v>0</v>
      </c>
      <c r="AJ341" s="174">
        <v>0</v>
      </c>
      <c r="AK341" s="174">
        <v>0</v>
      </c>
      <c r="AL341" s="174">
        <v>0</v>
      </c>
      <c r="AM341" s="174">
        <v>0</v>
      </c>
      <c r="AN341" s="174">
        <v>0</v>
      </c>
      <c r="AO341" s="174">
        <v>0</v>
      </c>
      <c r="AP341" s="174">
        <v>0</v>
      </c>
      <c r="AQ341" s="174">
        <v>0</v>
      </c>
      <c r="AR341" s="174">
        <v>0</v>
      </c>
      <c r="AS341" s="174">
        <v>0</v>
      </c>
      <c r="AT341" s="174">
        <v>0</v>
      </c>
      <c r="AU341" s="174">
        <v>0</v>
      </c>
      <c r="AV341" s="174">
        <v>0</v>
      </c>
      <c r="AW341" s="174">
        <v>0</v>
      </c>
      <c r="AX341" s="174">
        <v>0</v>
      </c>
      <c r="AY341" s="174">
        <v>0</v>
      </c>
      <c r="AZ341" s="174">
        <v>0</v>
      </c>
      <c r="BA341" s="174">
        <v>0</v>
      </c>
      <c r="BB341" s="174">
        <v>0</v>
      </c>
      <c r="BC341" s="174">
        <v>0</v>
      </c>
      <c r="BD341" s="174">
        <v>0</v>
      </c>
      <c r="BE341" s="174">
        <v>0</v>
      </c>
      <c r="BF341" s="174">
        <v>0</v>
      </c>
      <c r="BG341" s="174">
        <v>0</v>
      </c>
      <c r="BH341" s="174">
        <v>0</v>
      </c>
      <c r="BI341" s="174">
        <v>0</v>
      </c>
      <c r="BJ341" s="174">
        <v>0</v>
      </c>
      <c r="BK341" s="174">
        <v>0</v>
      </c>
      <c r="BL341" s="174">
        <v>0</v>
      </c>
      <c r="BM341" s="174">
        <v>0</v>
      </c>
      <c r="BN341" s="174">
        <v>0</v>
      </c>
      <c r="BO341" s="174">
        <v>0</v>
      </c>
      <c r="BP341" s="174">
        <v>0</v>
      </c>
      <c r="BQ341" s="174">
        <v>0</v>
      </c>
      <c r="BR341" s="174">
        <v>0</v>
      </c>
      <c r="BS341" s="174">
        <v>0</v>
      </c>
      <c r="BT341" s="174">
        <v>0</v>
      </c>
      <c r="BU341" s="174">
        <v>0</v>
      </c>
      <c r="BV341" s="174">
        <v>0</v>
      </c>
      <c r="BW341" s="174">
        <v>0</v>
      </c>
      <c r="BX341" s="174">
        <v>0</v>
      </c>
      <c r="BY341" s="174">
        <v>0</v>
      </c>
      <c r="BZ341" s="174">
        <v>0</v>
      </c>
      <c r="CA341" s="174">
        <v>0</v>
      </c>
      <c r="CB341" s="174">
        <v>0</v>
      </c>
      <c r="CC341" s="174">
        <v>0</v>
      </c>
      <c r="CD341" s="174">
        <v>0</v>
      </c>
      <c r="CE341" s="174">
        <v>0</v>
      </c>
      <c r="CF341" s="174">
        <v>0</v>
      </c>
      <c r="CG341" s="174">
        <v>0</v>
      </c>
      <c r="CH341" s="174">
        <v>0</v>
      </c>
      <c r="CI341" s="174">
        <v>0</v>
      </c>
      <c r="CJ341" s="174">
        <v>0</v>
      </c>
      <c r="CK341" s="174">
        <v>0</v>
      </c>
      <c r="CL341" s="174">
        <v>0</v>
      </c>
      <c r="CM341" s="174">
        <v>0</v>
      </c>
      <c r="CN341" s="174">
        <v>0</v>
      </c>
      <c r="CO341" s="174">
        <v>0</v>
      </c>
    </row>
    <row r="342" spans="1:93" x14ac:dyDescent="0.2">
      <c r="A342" s="118">
        <f t="shared" si="37"/>
        <v>26</v>
      </c>
      <c r="B342" s="234" t="s">
        <v>607</v>
      </c>
      <c r="C342" s="223"/>
      <c r="D342" s="168"/>
      <c r="E342" s="233" t="s">
        <v>618</v>
      </c>
      <c r="F342" s="183">
        <v>0</v>
      </c>
      <c r="G342" s="223"/>
      <c r="H342" s="172">
        <f>SUMIF($AH$6:$CP$6,1,$AH342:$CP342)</f>
        <v>0</v>
      </c>
      <c r="I342" s="229"/>
      <c r="J342" s="174"/>
      <c r="K342" s="233" t="s">
        <v>618</v>
      </c>
      <c r="L342" s="183">
        <v>0</v>
      </c>
      <c r="M342" s="223"/>
      <c r="N342" s="174">
        <f>+J342*L342</f>
        <v>0</v>
      </c>
      <c r="O342" s="227"/>
      <c r="Q342" s="176"/>
      <c r="U342" s="184" t="s">
        <v>613</v>
      </c>
      <c r="V342" s="179">
        <v>246</v>
      </c>
      <c r="W342" s="180">
        <v>220</v>
      </c>
      <c r="Y342" s="184" t="s">
        <v>613</v>
      </c>
      <c r="Z342" s="181" t="s">
        <v>608</v>
      </c>
      <c r="AB342" s="182">
        <f>SUM(AH342:AS342)</f>
        <v>0</v>
      </c>
      <c r="AC342" s="182">
        <f>SUM(AT342:BE342)</f>
        <v>0</v>
      </c>
      <c r="AD342" s="182">
        <f>SUM(BF342:BQ342)</f>
        <v>0</v>
      </c>
      <c r="AE342" s="182">
        <f>SUM(BR342:CC342)</f>
        <v>0</v>
      </c>
      <c r="AF342" s="182">
        <f>SUM(CD342:CO342)</f>
        <v>0</v>
      </c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  <c r="AW342" s="172"/>
      <c r="AX342" s="172"/>
      <c r="AY342" s="172"/>
      <c r="AZ342" s="172"/>
      <c r="BA342" s="172"/>
      <c r="BB342" s="172"/>
      <c r="BC342" s="172"/>
      <c r="BD342" s="172"/>
      <c r="BE342" s="172"/>
      <c r="BF342" s="172"/>
      <c r="BG342" s="172"/>
      <c r="BH342" s="172"/>
      <c r="BI342" s="172"/>
      <c r="BJ342" s="172"/>
      <c r="BK342" s="172"/>
      <c r="BL342" s="172"/>
      <c r="BM342" s="172"/>
      <c r="BN342" s="172"/>
      <c r="BO342" s="172"/>
      <c r="BP342" s="172"/>
      <c r="BQ342" s="172"/>
      <c r="BR342" s="172"/>
      <c r="BS342" s="172"/>
      <c r="BT342" s="172"/>
      <c r="BU342" s="172"/>
      <c r="BV342" s="172"/>
      <c r="BW342" s="172"/>
      <c r="BX342" s="172"/>
      <c r="BY342" s="172"/>
      <c r="BZ342" s="172"/>
      <c r="CA342" s="172"/>
      <c r="CB342" s="172"/>
      <c r="CC342" s="172"/>
      <c r="CD342" s="172"/>
      <c r="CE342" s="172"/>
      <c r="CF342" s="172"/>
      <c r="CG342" s="172"/>
      <c r="CH342" s="172"/>
      <c r="CI342" s="172"/>
      <c r="CJ342" s="172"/>
      <c r="CK342" s="172"/>
      <c r="CL342" s="172"/>
      <c r="CM342" s="172"/>
      <c r="CN342" s="172"/>
      <c r="CO342" s="172"/>
    </row>
    <row r="343" spans="1:93" x14ac:dyDescent="0.2">
      <c r="A343" s="118">
        <f t="shared" si="37"/>
        <v>27</v>
      </c>
      <c r="B343" s="171" t="s">
        <v>564</v>
      </c>
      <c r="C343" s="223"/>
      <c r="D343" s="168"/>
      <c r="E343" s="223"/>
      <c r="F343" s="166"/>
      <c r="G343" s="223"/>
      <c r="H343" s="1225">
        <f>'MFR E-5 Yr4'!N22*1000</f>
        <v>261173.30400000003</v>
      </c>
      <c r="I343" s="162"/>
      <c r="J343" s="208"/>
      <c r="K343" s="166"/>
      <c r="L343" s="166"/>
      <c r="M343" s="143"/>
      <c r="N343" s="174">
        <f>H343</f>
        <v>261173.30400000003</v>
      </c>
      <c r="O343" s="227"/>
      <c r="Q343" s="176"/>
      <c r="U343" s="184"/>
      <c r="V343" s="179"/>
      <c r="W343" s="180"/>
      <c r="Y343" s="184" t="s">
        <v>613</v>
      </c>
      <c r="Z343" s="181" t="s">
        <v>565</v>
      </c>
      <c r="AB343" s="182"/>
      <c r="AC343" s="182"/>
      <c r="AD343" s="182"/>
      <c r="AE343" s="182"/>
      <c r="AF343" s="182"/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  <c r="AW343" s="172"/>
      <c r="AX343" s="172"/>
      <c r="AY343" s="172"/>
      <c r="AZ343" s="172"/>
      <c r="BA343" s="172"/>
      <c r="BB343" s="172"/>
      <c r="BC343" s="172"/>
      <c r="BD343" s="172"/>
      <c r="BE343" s="172"/>
      <c r="BF343" s="172"/>
      <c r="BG343" s="172"/>
      <c r="BH343" s="172"/>
      <c r="BI343" s="172"/>
      <c r="BJ343" s="172"/>
      <c r="BK343" s="172"/>
      <c r="BL343" s="172"/>
      <c r="BM343" s="172"/>
      <c r="BN343" s="172"/>
      <c r="BO343" s="172"/>
      <c r="BP343" s="172"/>
      <c r="BQ343" s="172"/>
      <c r="BR343" s="172"/>
      <c r="BS343" s="172"/>
      <c r="BT343" s="172"/>
      <c r="BU343" s="172"/>
      <c r="BV343" s="172"/>
      <c r="BW343" s="172"/>
      <c r="BX343" s="172"/>
      <c r="BY343" s="172"/>
      <c r="BZ343" s="172"/>
      <c r="CA343" s="172"/>
      <c r="CB343" s="172"/>
      <c r="CC343" s="172"/>
      <c r="CD343" s="172"/>
      <c r="CE343" s="172"/>
      <c r="CF343" s="172"/>
      <c r="CG343" s="172"/>
      <c r="CH343" s="172"/>
      <c r="CI343" s="172"/>
      <c r="CJ343" s="172"/>
      <c r="CK343" s="172"/>
      <c r="CL343" s="172"/>
      <c r="CM343" s="172"/>
      <c r="CN343" s="172"/>
      <c r="CO343" s="172"/>
    </row>
    <row r="344" spans="1:93" x14ac:dyDescent="0.2">
      <c r="A344" s="118">
        <f t="shared" si="37"/>
        <v>28</v>
      </c>
      <c r="B344" s="171" t="s">
        <v>566</v>
      </c>
      <c r="C344" s="223"/>
      <c r="D344" s="168"/>
      <c r="E344" s="223"/>
      <c r="F344" s="166"/>
      <c r="G344" s="223"/>
      <c r="H344" s="1225">
        <f>'MFR E-5 Yr4'!N23*1000</f>
        <v>110998.65419999966</v>
      </c>
      <c r="I344" s="162"/>
      <c r="J344" s="208"/>
      <c r="K344" s="166"/>
      <c r="L344" s="166"/>
      <c r="M344" s="143"/>
      <c r="N344" s="174">
        <f>H344</f>
        <v>110998.65419999966</v>
      </c>
      <c r="O344" s="227"/>
      <c r="Q344" s="176"/>
      <c r="U344" s="184"/>
      <c r="V344" s="179"/>
      <c r="W344" s="180"/>
      <c r="Y344" s="184" t="s">
        <v>613</v>
      </c>
      <c r="Z344" s="181" t="s">
        <v>565</v>
      </c>
      <c r="AB344" s="182"/>
      <c r="AC344" s="182"/>
      <c r="AD344" s="182"/>
      <c r="AE344" s="182"/>
      <c r="AF344" s="18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  <c r="AW344" s="172"/>
      <c r="AX344" s="172"/>
      <c r="AY344" s="172"/>
      <c r="AZ344" s="172"/>
      <c r="BA344" s="172"/>
      <c r="BB344" s="172"/>
      <c r="BC344" s="172"/>
      <c r="BD344" s="172"/>
      <c r="BE344" s="172"/>
      <c r="BF344" s="172"/>
      <c r="BG344" s="172"/>
      <c r="BH344" s="172"/>
      <c r="BI344" s="172"/>
      <c r="BJ344" s="172"/>
      <c r="BK344" s="172"/>
      <c r="BL344" s="172"/>
      <c r="BM344" s="172"/>
      <c r="BN344" s="172"/>
      <c r="BO344" s="172"/>
      <c r="BP344" s="172"/>
      <c r="BQ344" s="172"/>
      <c r="BR344" s="172"/>
      <c r="BS344" s="172"/>
      <c r="BT344" s="172"/>
      <c r="BU344" s="172"/>
      <c r="BV344" s="172"/>
      <c r="BW344" s="172"/>
      <c r="BX344" s="172"/>
      <c r="BY344" s="172"/>
      <c r="BZ344" s="172"/>
      <c r="CA344" s="172"/>
      <c r="CB344" s="172"/>
      <c r="CC344" s="172"/>
      <c r="CD344" s="172"/>
      <c r="CE344" s="172"/>
      <c r="CF344" s="172"/>
      <c r="CG344" s="172"/>
      <c r="CH344" s="172"/>
      <c r="CI344" s="172"/>
      <c r="CJ344" s="172"/>
      <c r="CK344" s="172"/>
      <c r="CL344" s="172"/>
      <c r="CM344" s="172"/>
      <c r="CN344" s="172"/>
      <c r="CO344" s="172"/>
    </row>
    <row r="345" spans="1:93" x14ac:dyDescent="0.2">
      <c r="A345" s="118">
        <f t="shared" si="37"/>
        <v>29</v>
      </c>
      <c r="B345" s="234"/>
      <c r="C345" s="223" t="s">
        <v>374</v>
      </c>
      <c r="E345" s="223"/>
      <c r="F345" s="183"/>
      <c r="G345" s="223"/>
      <c r="H345" s="206">
        <f>SUM(H340:H344)</f>
        <v>345538.04819999967</v>
      </c>
      <c r="I345" s="229"/>
      <c r="J345" s="249"/>
      <c r="K345" s="223"/>
      <c r="L345" s="183"/>
      <c r="M345" s="223"/>
      <c r="N345" s="206">
        <f>SUM(N340:N344)</f>
        <v>344372.47819999966</v>
      </c>
      <c r="O345" s="227"/>
      <c r="Q345" s="176"/>
      <c r="U345" s="184"/>
      <c r="V345" s="179"/>
      <c r="W345" s="180"/>
      <c r="Y345" s="184"/>
      <c r="Z345" s="181"/>
      <c r="AB345" s="182"/>
      <c r="AC345" s="182"/>
      <c r="AD345" s="182"/>
      <c r="AE345" s="182"/>
      <c r="AF345" s="182"/>
      <c r="AH345" s="182"/>
      <c r="AI345" s="182"/>
      <c r="AJ345" s="182"/>
      <c r="AK345" s="182"/>
      <c r="AL345" s="182"/>
      <c r="AM345" s="182"/>
      <c r="AN345" s="182"/>
      <c r="AO345" s="182"/>
      <c r="AP345" s="182"/>
      <c r="AQ345" s="182"/>
      <c r="AR345" s="182"/>
      <c r="AS345" s="182"/>
      <c r="AT345" s="182"/>
      <c r="AU345" s="182"/>
      <c r="AV345" s="182"/>
      <c r="AW345" s="182"/>
      <c r="AX345" s="182"/>
      <c r="AY345" s="182"/>
      <c r="AZ345" s="182"/>
      <c r="BA345" s="182"/>
      <c r="BB345" s="182"/>
      <c r="BC345" s="182"/>
      <c r="BD345" s="182"/>
      <c r="BE345" s="182"/>
      <c r="BF345" s="182"/>
      <c r="BG345" s="182"/>
      <c r="BH345" s="182"/>
      <c r="BI345" s="182"/>
      <c r="BJ345" s="182"/>
      <c r="BK345" s="182"/>
      <c r="BL345" s="182"/>
      <c r="BM345" s="182"/>
      <c r="BN345" s="182"/>
      <c r="BO345" s="182"/>
      <c r="BP345" s="182"/>
      <c r="BQ345" s="182"/>
      <c r="BR345" s="182"/>
      <c r="BS345" s="182"/>
      <c r="BT345" s="182"/>
      <c r="BU345" s="182"/>
      <c r="BV345" s="182"/>
      <c r="BW345" s="182"/>
      <c r="BX345" s="182"/>
      <c r="BY345" s="182"/>
      <c r="BZ345" s="182"/>
      <c r="CA345" s="182"/>
      <c r="CB345" s="182"/>
      <c r="CC345" s="182"/>
      <c r="CD345" s="182"/>
      <c r="CE345" s="182"/>
      <c r="CF345" s="182"/>
      <c r="CG345" s="182"/>
      <c r="CH345" s="182"/>
      <c r="CI345" s="182"/>
      <c r="CJ345" s="182"/>
      <c r="CK345" s="182"/>
      <c r="CL345" s="182"/>
      <c r="CM345" s="182"/>
      <c r="CN345" s="182"/>
      <c r="CO345" s="182"/>
    </row>
    <row r="346" spans="1:93" x14ac:dyDescent="0.2">
      <c r="A346" s="118">
        <f t="shared" si="37"/>
        <v>30</v>
      </c>
      <c r="B346" s="234"/>
      <c r="C346" s="223"/>
      <c r="E346" s="223"/>
      <c r="F346" s="183"/>
      <c r="G346" s="223"/>
      <c r="H346" s="174"/>
      <c r="I346" s="229"/>
      <c r="J346" s="249"/>
      <c r="K346" s="223"/>
      <c r="L346" s="183"/>
      <c r="M346" s="223"/>
      <c r="N346" s="174"/>
      <c r="O346" s="227"/>
      <c r="Q346" s="227"/>
      <c r="U346" s="184"/>
      <c r="V346" s="179"/>
      <c r="W346" s="180"/>
      <c r="Y346" s="184"/>
      <c r="Z346" s="181"/>
    </row>
    <row r="347" spans="1:93" ht="10.8" thickBot="1" x14ac:dyDescent="0.25">
      <c r="A347" s="118">
        <f t="shared" si="37"/>
        <v>31</v>
      </c>
      <c r="B347" s="246" t="s">
        <v>619</v>
      </c>
      <c r="C347" s="223"/>
      <c r="D347" s="168"/>
      <c r="E347" s="225"/>
      <c r="F347" s="183"/>
      <c r="G347" s="223"/>
      <c r="H347" s="210">
        <f>H276+H299+H336+H345</f>
        <v>3031017.9181999997</v>
      </c>
      <c r="I347" s="229"/>
      <c r="J347" s="168"/>
      <c r="K347" s="225"/>
      <c r="L347" s="183"/>
      <c r="M347" s="223"/>
      <c r="N347" s="210">
        <f>N276+N299+N336+N345</f>
        <v>3146883.9381999997</v>
      </c>
      <c r="O347" s="227"/>
      <c r="Q347" s="939">
        <f>(N347-H347)/H347</f>
        <v>3.8226768408155178E-2</v>
      </c>
      <c r="U347" s="184"/>
      <c r="V347" s="179"/>
      <c r="W347" s="180"/>
      <c r="Y347" s="184" t="s">
        <v>613</v>
      </c>
      <c r="Z347" s="181" t="s">
        <v>121</v>
      </c>
    </row>
    <row r="348" spans="1:93" ht="10.8" thickTop="1" x14ac:dyDescent="0.2">
      <c r="A348" s="118">
        <f t="shared" si="37"/>
        <v>32</v>
      </c>
      <c r="B348" s="223"/>
      <c r="C348" s="223"/>
      <c r="D348" s="168"/>
      <c r="E348" s="225"/>
      <c r="F348" s="183"/>
      <c r="G348" s="223"/>
      <c r="H348" s="174"/>
      <c r="I348" s="229"/>
      <c r="J348" s="223"/>
      <c r="K348" s="225"/>
      <c r="L348" s="183"/>
      <c r="M348" s="223"/>
      <c r="N348" s="174"/>
      <c r="O348" s="227"/>
      <c r="Q348" s="227"/>
      <c r="U348" s="184"/>
      <c r="V348" s="179"/>
      <c r="W348" s="180"/>
      <c r="Y348" s="184"/>
      <c r="Z348" s="181"/>
    </row>
    <row r="349" spans="1:93" x14ac:dyDescent="0.2">
      <c r="A349" s="118">
        <f t="shared" si="37"/>
        <v>33</v>
      </c>
      <c r="B349" s="226"/>
      <c r="C349" s="223"/>
      <c r="D349" s="168"/>
      <c r="E349" s="225"/>
      <c r="F349" s="183"/>
      <c r="G349" s="223"/>
      <c r="H349" s="174"/>
      <c r="I349" s="229"/>
      <c r="J349" s="171" t="s">
        <v>573</v>
      </c>
      <c r="K349" s="166"/>
      <c r="L349" s="166"/>
      <c r="M349" s="143"/>
      <c r="N349" s="174">
        <f>N347-H347</f>
        <v>115866.02000000002</v>
      </c>
      <c r="P349" s="182"/>
      <c r="Q349" s="227"/>
      <c r="U349" s="184"/>
      <c r="V349" s="179"/>
      <c r="W349" s="180"/>
      <c r="Y349" s="184"/>
      <c r="Z349" s="181"/>
    </row>
    <row r="350" spans="1:93" x14ac:dyDescent="0.2">
      <c r="A350" s="118">
        <f t="shared" si="37"/>
        <v>34</v>
      </c>
      <c r="B350" s="223"/>
      <c r="C350" s="223"/>
      <c r="D350" s="168"/>
      <c r="E350" s="225"/>
      <c r="F350" s="183"/>
      <c r="G350" s="223"/>
      <c r="H350" s="203"/>
      <c r="I350" s="229"/>
      <c r="J350" s="223"/>
      <c r="K350" s="225"/>
      <c r="L350" s="183"/>
      <c r="M350" s="223"/>
      <c r="N350" s="223"/>
      <c r="O350" s="227"/>
      <c r="P350" s="227"/>
      <c r="Q350" s="227"/>
      <c r="U350" s="298"/>
      <c r="V350" s="253"/>
      <c r="W350" s="254"/>
      <c r="Y350" s="298"/>
      <c r="Z350" s="255"/>
    </row>
    <row r="351" spans="1:93" x14ac:dyDescent="0.2">
      <c r="A351" s="215"/>
      <c r="B351" s="215" t="s">
        <v>674</v>
      </c>
      <c r="C351" s="215"/>
      <c r="D351" s="215"/>
      <c r="E351" s="215"/>
      <c r="F351" s="215"/>
      <c r="G351" s="215"/>
      <c r="H351" s="215"/>
      <c r="I351" s="215"/>
      <c r="J351" s="215"/>
      <c r="K351" s="215"/>
      <c r="L351" s="215"/>
      <c r="M351" s="215"/>
      <c r="N351" s="215" t="s">
        <v>675</v>
      </c>
      <c r="O351" s="215"/>
      <c r="P351" s="215"/>
      <c r="Q351" s="215"/>
      <c r="Y351" s="101"/>
    </row>
    <row r="352" spans="1:93" x14ac:dyDescent="0.2">
      <c r="A352" s="216"/>
      <c r="B352" s="216"/>
      <c r="C352" s="216"/>
      <c r="D352" s="216"/>
      <c r="E352" s="216"/>
      <c r="F352" s="216"/>
      <c r="G352" s="216"/>
      <c r="H352" s="216"/>
      <c r="I352" s="216"/>
      <c r="J352" s="216"/>
      <c r="K352" s="216"/>
      <c r="L352" s="216"/>
      <c r="M352" s="216"/>
      <c r="N352" s="216"/>
      <c r="O352" s="216"/>
      <c r="P352" s="216"/>
      <c r="Q352" s="216"/>
      <c r="R352" s="216"/>
      <c r="S352" s="216"/>
      <c r="T352" s="216"/>
      <c r="U352" s="216"/>
      <c r="V352" s="216"/>
      <c r="W352" s="216"/>
      <c r="X352" s="216"/>
      <c r="Y352" s="216"/>
      <c r="Z352" s="217"/>
      <c r="AA352" s="216"/>
      <c r="AB352" s="216"/>
      <c r="AC352" s="216"/>
      <c r="AD352" s="216"/>
      <c r="AE352" s="216"/>
      <c r="AF352" s="216"/>
      <c r="AG352" s="216"/>
      <c r="AH352" s="216"/>
      <c r="AI352" s="216"/>
      <c r="AJ352" s="216"/>
      <c r="AK352" s="216"/>
      <c r="AL352" s="216"/>
      <c r="AM352" s="216"/>
      <c r="AN352" s="216"/>
      <c r="AO352" s="216"/>
      <c r="AP352" s="216"/>
      <c r="AQ352" s="216"/>
      <c r="AR352" s="216"/>
      <c r="AS352" s="216"/>
      <c r="AT352" s="216"/>
      <c r="AU352" s="216"/>
      <c r="AV352" s="216"/>
      <c r="AW352" s="216"/>
      <c r="AX352" s="216"/>
      <c r="AY352" s="216"/>
      <c r="AZ352" s="216"/>
      <c r="BA352" s="216"/>
      <c r="BB352" s="216"/>
      <c r="BC352" s="216"/>
      <c r="BD352" s="216"/>
      <c r="BE352" s="216"/>
      <c r="BF352" s="216"/>
      <c r="BG352" s="216"/>
      <c r="BH352" s="216"/>
      <c r="BI352" s="216"/>
      <c r="BJ352" s="216"/>
      <c r="BK352" s="216"/>
      <c r="BL352" s="216"/>
      <c r="BM352" s="216"/>
      <c r="BN352" s="216"/>
      <c r="BO352" s="216"/>
      <c r="BP352" s="216"/>
      <c r="BQ352" s="216"/>
      <c r="BR352" s="216"/>
      <c r="BS352" s="216"/>
      <c r="BT352" s="216"/>
      <c r="BU352" s="216"/>
      <c r="BV352" s="216"/>
      <c r="BW352" s="216"/>
      <c r="BX352" s="216"/>
      <c r="BY352" s="216"/>
      <c r="BZ352" s="216"/>
      <c r="CA352" s="216"/>
      <c r="CB352" s="216"/>
      <c r="CC352" s="216"/>
      <c r="CD352" s="216"/>
      <c r="CE352" s="216"/>
      <c r="CF352" s="216"/>
      <c r="CG352" s="216"/>
      <c r="CH352" s="216"/>
      <c r="CI352" s="216"/>
      <c r="CJ352" s="216"/>
      <c r="CK352" s="216"/>
      <c r="CL352" s="216"/>
      <c r="CM352" s="216"/>
      <c r="CN352" s="216"/>
      <c r="CO352" s="216"/>
    </row>
    <row r="353" spans="1:93" x14ac:dyDescent="0.2">
      <c r="A353" s="100" t="s">
        <v>505</v>
      </c>
      <c r="C353" s="102"/>
      <c r="D353" s="103"/>
      <c r="F353" s="268"/>
      <c r="G353" s="104"/>
      <c r="H353" s="102" t="s">
        <v>506</v>
      </c>
      <c r="I353" s="104"/>
      <c r="J353" s="104"/>
      <c r="K353" s="104"/>
      <c r="L353" s="268"/>
      <c r="N353" s="105"/>
      <c r="Q353" s="106" t="s">
        <v>621</v>
      </c>
      <c r="R353" s="105"/>
      <c r="S353" s="105"/>
      <c r="U353" s="114"/>
      <c r="V353" s="114"/>
      <c r="W353" s="114"/>
      <c r="Y353" s="114"/>
      <c r="Z353" s="218"/>
      <c r="AD353" s="114"/>
    </row>
    <row r="354" spans="1:93" ht="10.8" thickBot="1" x14ac:dyDescent="0.25">
      <c r="A354" s="108"/>
      <c r="B354" s="109"/>
      <c r="C354" s="109"/>
      <c r="D354" s="109"/>
      <c r="E354" s="110" t="s">
        <v>416</v>
      </c>
      <c r="F354" s="271" t="s">
        <v>416</v>
      </c>
      <c r="G354" s="109" t="s">
        <v>416</v>
      </c>
      <c r="H354" s="109" t="s">
        <v>416</v>
      </c>
      <c r="I354" s="109" t="s">
        <v>416</v>
      </c>
      <c r="J354" s="109"/>
      <c r="K354" s="109"/>
      <c r="L354" s="271" t="s">
        <v>416</v>
      </c>
      <c r="M354" s="111"/>
      <c r="N354" s="111"/>
      <c r="O354" s="109"/>
      <c r="P354" s="112"/>
      <c r="Q354" s="109"/>
      <c r="U354" s="114"/>
      <c r="V354" s="114"/>
      <c r="W354" s="114"/>
      <c r="Y354" s="114"/>
      <c r="Z354" s="218"/>
      <c r="AD354" s="114"/>
    </row>
    <row r="355" spans="1:93" x14ac:dyDescent="0.2">
      <c r="A355" s="113"/>
      <c r="F355" s="197"/>
      <c r="L355" s="197"/>
      <c r="M355" s="105"/>
      <c r="N355" s="105"/>
      <c r="P355" s="114"/>
      <c r="U355" s="114"/>
      <c r="V355" s="114"/>
      <c r="W355" s="114"/>
      <c r="Y355" s="114"/>
      <c r="Z355" s="218"/>
      <c r="AD355" s="114"/>
    </row>
    <row r="356" spans="1:93" x14ac:dyDescent="0.2">
      <c r="A356" s="100" t="s">
        <v>3</v>
      </c>
      <c r="D356" s="106" t="s">
        <v>4</v>
      </c>
      <c r="E356" s="101" t="s">
        <v>508</v>
      </c>
      <c r="F356" s="197"/>
      <c r="L356" s="197"/>
      <c r="O356" s="100" t="s">
        <v>6</v>
      </c>
      <c r="U356" s="114"/>
      <c r="V356" s="114"/>
      <c r="W356" s="114"/>
      <c r="Y356" s="114"/>
      <c r="Z356" s="218"/>
      <c r="AD356" s="114"/>
    </row>
    <row r="357" spans="1:93" x14ac:dyDescent="0.2">
      <c r="E357" s="101" t="s">
        <v>509</v>
      </c>
      <c r="F357" s="197"/>
      <c r="L357" s="197"/>
      <c r="U357" s="114"/>
      <c r="V357" s="114"/>
      <c r="W357" s="114"/>
      <c r="Y357" s="114"/>
      <c r="Z357" s="218"/>
      <c r="AD357" s="114"/>
    </row>
    <row r="358" spans="1:93" x14ac:dyDescent="0.2">
      <c r="A358" s="100" t="s">
        <v>9</v>
      </c>
      <c r="E358" s="101" t="s">
        <v>510</v>
      </c>
      <c r="F358" s="197"/>
      <c r="L358" s="197"/>
      <c r="O358" s="101" t="str">
        <f>O309</f>
        <v>__X__  Projected Test Year Ended 12/31/26</v>
      </c>
      <c r="U358" s="114"/>
      <c r="V358" s="114"/>
      <c r="W358" s="114"/>
      <c r="Y358" s="114"/>
      <c r="Z358" s="218"/>
      <c r="AD358" s="114"/>
    </row>
    <row r="359" spans="1:93" x14ac:dyDescent="0.2">
      <c r="E359" s="101" t="s">
        <v>512</v>
      </c>
      <c r="F359" s="197"/>
      <c r="L359" s="197"/>
      <c r="U359" s="114"/>
      <c r="V359" s="114"/>
      <c r="W359" s="114"/>
      <c r="Y359" s="114"/>
      <c r="Z359" s="218"/>
      <c r="AD359" s="114"/>
    </row>
    <row r="360" spans="1:93" x14ac:dyDescent="0.2">
      <c r="A360" s="100" t="s">
        <v>491</v>
      </c>
      <c r="C360" s="119" t="str">
        <f>C311</f>
        <v>20240025-EI</v>
      </c>
      <c r="F360" s="197"/>
      <c r="L360" s="197"/>
      <c r="O360" s="100" t="s">
        <v>493</v>
      </c>
      <c r="U360" s="114"/>
      <c r="V360" s="114"/>
      <c r="W360" s="114"/>
      <c r="Y360" s="114"/>
      <c r="Z360" s="218"/>
      <c r="AD360" s="114"/>
    </row>
    <row r="361" spans="1:93" ht="10.8" thickBot="1" x14ac:dyDescent="0.25">
      <c r="A361" s="123"/>
      <c r="B361" s="109"/>
      <c r="C361" s="109"/>
      <c r="D361" s="109"/>
      <c r="E361" s="109"/>
      <c r="F361" s="274"/>
      <c r="G361" s="109"/>
      <c r="H361" s="109"/>
      <c r="I361" s="109"/>
      <c r="J361" s="109"/>
      <c r="K361" s="109"/>
      <c r="L361" s="274"/>
      <c r="M361" s="109"/>
      <c r="N361" s="123"/>
      <c r="O361" s="109"/>
      <c r="P361" s="109"/>
      <c r="Q361" s="109"/>
      <c r="U361" s="114"/>
      <c r="V361" s="114"/>
      <c r="W361" s="114"/>
      <c r="Y361" s="114"/>
      <c r="Z361" s="218"/>
      <c r="AD361" s="114"/>
    </row>
    <row r="362" spans="1:93" ht="15.6" x14ac:dyDescent="0.2">
      <c r="B362" s="1369"/>
      <c r="C362" s="125"/>
      <c r="D362" s="125"/>
      <c r="E362" s="125"/>
      <c r="F362" s="276"/>
      <c r="G362" s="125"/>
      <c r="H362" s="125"/>
      <c r="I362" s="126" t="s">
        <v>622</v>
      </c>
      <c r="J362" s="125"/>
      <c r="K362" s="125"/>
      <c r="L362" s="276"/>
      <c r="M362" s="125"/>
      <c r="N362" s="125"/>
      <c r="U362" s="127" t="s">
        <v>530</v>
      </c>
      <c r="V362" s="128"/>
      <c r="W362" s="129"/>
      <c r="Y362" s="130" t="s">
        <v>531</v>
      </c>
      <c r="Z362" s="131"/>
    </row>
    <row r="363" spans="1:93" x14ac:dyDescent="0.2">
      <c r="A363" s="101" t="s">
        <v>30</v>
      </c>
      <c r="B363" s="101" t="s">
        <v>532</v>
      </c>
      <c r="C363" s="132"/>
      <c r="D363" s="133" t="s">
        <v>533</v>
      </c>
      <c r="E363" s="134"/>
      <c r="F363" s="278"/>
      <c r="G363" s="133"/>
      <c r="H363" s="133"/>
      <c r="I363" s="135"/>
      <c r="J363" s="136" t="s">
        <v>534</v>
      </c>
      <c r="K363" s="133"/>
      <c r="L363" s="278"/>
      <c r="M363" s="134"/>
      <c r="N363" s="134"/>
      <c r="O363" s="1372"/>
      <c r="Q363" s="118" t="s">
        <v>332</v>
      </c>
      <c r="U363" s="138"/>
      <c r="V363" s="139"/>
      <c r="W363" s="140"/>
      <c r="Y363" s="138"/>
      <c r="Z363" s="141"/>
    </row>
    <row r="364" spans="1:93" x14ac:dyDescent="0.2">
      <c r="A364" s="101" t="s">
        <v>39</v>
      </c>
      <c r="B364" s="102" t="s">
        <v>535</v>
      </c>
      <c r="C364" s="104"/>
      <c r="D364" s="142" t="s">
        <v>536</v>
      </c>
      <c r="E364" s="143"/>
      <c r="F364" s="281" t="s">
        <v>537</v>
      </c>
      <c r="G364" s="142"/>
      <c r="H364" s="142" t="s">
        <v>538</v>
      </c>
      <c r="I364" s="144"/>
      <c r="J364" s="142" t="s">
        <v>536</v>
      </c>
      <c r="K364" s="143"/>
      <c r="L364" s="281" t="s">
        <v>537</v>
      </c>
      <c r="M364" s="142"/>
      <c r="N364" s="142" t="s">
        <v>538</v>
      </c>
      <c r="O364" s="132"/>
      <c r="Q364" s="145" t="s">
        <v>539</v>
      </c>
      <c r="R364" s="132"/>
      <c r="S364" s="132"/>
      <c r="U364" s="138" t="s">
        <v>128</v>
      </c>
      <c r="V364" s="146" t="s">
        <v>343</v>
      </c>
      <c r="W364" s="147" t="s">
        <v>344</v>
      </c>
      <c r="X364" s="118"/>
      <c r="Y364" s="148" t="s">
        <v>128</v>
      </c>
      <c r="Z364" s="149"/>
      <c r="AA364" s="118"/>
      <c r="AB364" s="118"/>
      <c r="AH364" s="116"/>
      <c r="AI364" s="116"/>
      <c r="AJ364" s="116"/>
      <c r="AK364" s="116"/>
      <c r="AL364" s="116"/>
      <c r="AM364" s="116"/>
      <c r="AN364" s="116"/>
      <c r="AO364" s="116"/>
      <c r="AP364" s="116"/>
      <c r="AQ364" s="116"/>
      <c r="AR364" s="116"/>
      <c r="AS364" s="116"/>
      <c r="AT364" s="116"/>
      <c r="AU364" s="116"/>
      <c r="AV364" s="116"/>
      <c r="AW364" s="116"/>
      <c r="AX364" s="116"/>
      <c r="AY364" s="116"/>
      <c r="AZ364" s="116"/>
      <c r="BA364" s="116"/>
      <c r="BB364" s="116"/>
      <c r="BC364" s="116"/>
      <c r="BD364" s="116"/>
      <c r="BE364" s="116"/>
      <c r="BF364" s="116"/>
      <c r="BG364" s="116"/>
      <c r="BH364" s="116"/>
      <c r="BI364" s="116"/>
      <c r="BJ364" s="116"/>
      <c r="BK364" s="116"/>
      <c r="BL364" s="116"/>
      <c r="BM364" s="116"/>
      <c r="BN364" s="116"/>
      <c r="BO364" s="116"/>
      <c r="BP364" s="116"/>
      <c r="BQ364" s="116"/>
      <c r="BR364" s="116"/>
      <c r="BS364" s="116"/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</row>
    <row r="365" spans="1:93" ht="10.8" thickBot="1" x14ac:dyDescent="0.25">
      <c r="A365" s="109"/>
      <c r="B365" s="1370" t="s">
        <v>273</v>
      </c>
      <c r="C365" s="150"/>
      <c r="D365" s="220" t="str">
        <f>+$D$13</f>
        <v>Jan '26-Dec '26</v>
      </c>
      <c r="E365" s="221"/>
      <c r="F365" s="152">
        <f>+$L$13</f>
        <v>46023</v>
      </c>
      <c r="G365" s="153"/>
      <c r="H365" s="153"/>
      <c r="I365" s="153"/>
      <c r="J365" s="153"/>
      <c r="K365" s="151"/>
      <c r="L365" s="152">
        <f>+$L$13</f>
        <v>46023</v>
      </c>
      <c r="M365" s="154"/>
      <c r="N365" s="154"/>
      <c r="O365" s="155"/>
      <c r="P365" s="109"/>
      <c r="Q365" s="156"/>
      <c r="R365" s="132"/>
      <c r="S365" s="132"/>
      <c r="U365" s="157" t="s">
        <v>144</v>
      </c>
      <c r="V365" s="158" t="s">
        <v>540</v>
      </c>
      <c r="W365" s="159" t="s">
        <v>540</v>
      </c>
      <c r="X365" s="118"/>
      <c r="Y365" s="160" t="s">
        <v>144</v>
      </c>
      <c r="Z365" s="159" t="s">
        <v>541</v>
      </c>
      <c r="AA365" s="118"/>
      <c r="AH365" s="116"/>
      <c r="AI365" s="116"/>
      <c r="AJ365" s="116"/>
      <c r="AK365" s="116"/>
      <c r="AL365" s="116"/>
      <c r="AM365" s="116"/>
      <c r="AN365" s="116"/>
      <c r="AO365" s="116"/>
      <c r="AP365" s="116"/>
      <c r="AQ365" s="116"/>
      <c r="AR365" s="116"/>
      <c r="AS365" s="116"/>
      <c r="AT365" s="116"/>
      <c r="AU365" s="116"/>
      <c r="AV365" s="116"/>
      <c r="AW365" s="116"/>
      <c r="AX365" s="116"/>
      <c r="AY365" s="116"/>
      <c r="AZ365" s="116"/>
      <c r="BA365" s="116"/>
      <c r="BB365" s="116"/>
      <c r="BC365" s="116"/>
      <c r="BD365" s="116"/>
      <c r="BE365" s="116"/>
      <c r="BF365" s="116"/>
      <c r="BG365" s="116"/>
      <c r="BH365" s="116"/>
      <c r="BI365" s="116"/>
      <c r="BJ365" s="116"/>
      <c r="BK365" s="116"/>
      <c r="BL365" s="116"/>
      <c r="BM365" s="116"/>
      <c r="BN365" s="116"/>
      <c r="BO365" s="116"/>
      <c r="BP365" s="116"/>
      <c r="BQ365" s="116"/>
      <c r="BR365" s="116"/>
      <c r="BS365" s="116"/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</row>
    <row r="366" spans="1:93" x14ac:dyDescent="0.2">
      <c r="A366" s="118">
        <v>1</v>
      </c>
      <c r="B366" s="222" t="s">
        <v>542</v>
      </c>
      <c r="C366" s="223"/>
      <c r="E366" s="225"/>
      <c r="F366" s="284"/>
      <c r="G366" s="227"/>
      <c r="H366" s="307"/>
      <c r="I366" s="308"/>
      <c r="J366" s="226"/>
      <c r="K366" s="225"/>
      <c r="L366" s="284"/>
      <c r="M366" s="227"/>
      <c r="N366" s="307"/>
      <c r="O366" s="227"/>
      <c r="Q366" s="145"/>
      <c r="R366" s="132"/>
      <c r="S366" s="132"/>
      <c r="T366" s="118"/>
      <c r="U366" s="163"/>
      <c r="V366" s="139"/>
      <c r="W366" s="140"/>
      <c r="X366" s="118"/>
      <c r="Y366" s="163"/>
      <c r="Z366" s="141"/>
      <c r="AA366" s="118"/>
      <c r="AB366" s="118"/>
      <c r="AH366" s="116"/>
      <c r="AI366" s="116"/>
      <c r="AJ366" s="116"/>
      <c r="AK366" s="116"/>
      <c r="AL366" s="116"/>
      <c r="AM366" s="116"/>
      <c r="AN366" s="116"/>
      <c r="AO366" s="116"/>
      <c r="AP366" s="116"/>
      <c r="AQ366" s="116"/>
      <c r="AR366" s="116"/>
      <c r="AS366" s="116"/>
      <c r="AT366" s="116"/>
      <c r="AU366" s="116"/>
      <c r="AV366" s="116"/>
      <c r="AW366" s="116"/>
      <c r="AX366" s="116"/>
      <c r="AY366" s="116"/>
      <c r="AZ366" s="116"/>
      <c r="BA366" s="116"/>
      <c r="BB366" s="116"/>
      <c r="BC366" s="116"/>
      <c r="BD366" s="116"/>
      <c r="BE366" s="116"/>
      <c r="BF366" s="116"/>
      <c r="BG366" s="116"/>
      <c r="BH366" s="116"/>
      <c r="BI366" s="116"/>
      <c r="BJ366" s="116"/>
      <c r="BK366" s="116"/>
      <c r="BL366" s="116"/>
      <c r="BM366" s="116"/>
      <c r="BN366" s="116"/>
      <c r="BO366" s="116"/>
      <c r="BP366" s="116"/>
      <c r="BQ366" s="116"/>
      <c r="BR366" s="116"/>
      <c r="BS366" s="116"/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</row>
    <row r="367" spans="1:93" x14ac:dyDescent="0.2">
      <c r="A367" s="118">
        <f t="shared" ref="A367:A402" si="42">+A366+1</f>
        <v>2</v>
      </c>
      <c r="B367" s="228" t="s">
        <v>543</v>
      </c>
      <c r="C367" s="223"/>
      <c r="D367" s="168"/>
      <c r="E367" s="225"/>
      <c r="F367" s="183"/>
      <c r="G367" s="223"/>
      <c r="H367" s="168"/>
      <c r="I367" s="308"/>
      <c r="J367" s="168"/>
      <c r="K367" s="225"/>
      <c r="L367" s="310"/>
      <c r="M367" s="223"/>
      <c r="N367" s="168"/>
      <c r="O367" s="227"/>
      <c r="P367" s="230"/>
      <c r="Q367" s="227"/>
      <c r="R367" s="227"/>
      <c r="S367" s="227"/>
      <c r="T367" s="227"/>
      <c r="U367" s="163"/>
      <c r="V367" s="139"/>
      <c r="W367" s="140"/>
      <c r="X367" s="227"/>
      <c r="Y367" s="163"/>
      <c r="Z367" s="141"/>
      <c r="AA367" s="227"/>
      <c r="AH367" s="116"/>
      <c r="AI367" s="116"/>
      <c r="AJ367" s="116"/>
      <c r="AK367" s="116"/>
      <c r="AL367" s="116"/>
      <c r="AM367" s="116"/>
      <c r="AN367" s="116"/>
      <c r="AO367" s="116"/>
      <c r="AP367" s="116"/>
      <c r="AQ367" s="116"/>
      <c r="AR367" s="116"/>
      <c r="AS367" s="116"/>
      <c r="AT367" s="116"/>
      <c r="AU367" s="116"/>
      <c r="AV367" s="116"/>
      <c r="AW367" s="116"/>
      <c r="AX367" s="116"/>
      <c r="AY367" s="116"/>
      <c r="AZ367" s="116"/>
      <c r="BA367" s="116"/>
      <c r="BB367" s="116"/>
      <c r="BC367" s="116"/>
      <c r="BD367" s="116"/>
      <c r="BE367" s="116"/>
      <c r="BF367" s="116"/>
      <c r="BG367" s="116"/>
      <c r="BH367" s="116"/>
      <c r="BI367" s="116"/>
      <c r="BJ367" s="116"/>
      <c r="BK367" s="116"/>
      <c r="BL367" s="116"/>
      <c r="BM367" s="116"/>
      <c r="BN367" s="116"/>
      <c r="BO367" s="116"/>
      <c r="BP367" s="116"/>
      <c r="BQ367" s="116"/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6"/>
      <c r="CB367" s="116"/>
      <c r="CC367" s="116"/>
      <c r="CD367" s="116"/>
      <c r="CE367" s="116"/>
      <c r="CF367" s="116"/>
      <c r="CG367" s="116"/>
      <c r="CH367" s="116"/>
      <c r="CI367" s="116"/>
      <c r="CJ367" s="116"/>
      <c r="CK367" s="116"/>
      <c r="CL367" s="116"/>
      <c r="CM367" s="116"/>
      <c r="CN367" s="116"/>
      <c r="CO367" s="116"/>
    </row>
    <row r="368" spans="1:93" x14ac:dyDescent="0.2">
      <c r="A368" s="118">
        <f t="shared" si="42"/>
        <v>3</v>
      </c>
      <c r="B368" s="234" t="s">
        <v>149</v>
      </c>
      <c r="C368" s="223"/>
      <c r="D368" s="172">
        <f>SUMIF($AH$6:$CP$6,1,$AH368:$CP368)</f>
        <v>109.92564254693612</v>
      </c>
      <c r="E368" s="225" t="s">
        <v>545</v>
      </c>
      <c r="F368" s="183">
        <v>426.3</v>
      </c>
      <c r="G368" s="233" t="s">
        <v>375</v>
      </c>
      <c r="H368" s="168">
        <f>ROUND(D368*F368,2)</f>
        <v>46861.3</v>
      </c>
      <c r="I368" s="308"/>
      <c r="J368" s="172">
        <f>SUMIF($AH$6:$CP$6,1,$AH368:$CP368)</f>
        <v>109.92564254693612</v>
      </c>
      <c r="K368" s="225" t="s">
        <v>545</v>
      </c>
      <c r="L368" s="173">
        <f>'Exhibit MJC-3 - E-13c cal yr'!L408</f>
        <v>443.34</v>
      </c>
      <c r="M368" s="233" t="s">
        <v>375</v>
      </c>
      <c r="N368" s="168">
        <f>ROUND(J368*L368,2)</f>
        <v>48734.43</v>
      </c>
      <c r="O368" s="227"/>
      <c r="P368" s="227"/>
      <c r="Q368" s="1022"/>
      <c r="R368" s="227"/>
      <c r="S368" s="227"/>
      <c r="T368" s="227"/>
      <c r="U368" s="184" t="s">
        <v>623</v>
      </c>
      <c r="V368" s="179">
        <v>252</v>
      </c>
      <c r="W368" s="180">
        <v>226</v>
      </c>
      <c r="X368" s="227"/>
      <c r="Y368" s="184"/>
      <c r="Z368" s="181"/>
      <c r="AA368" s="227"/>
      <c r="AB368" s="182">
        <f>SUM(AH368:AS368)</f>
        <v>109.73954054087882</v>
      </c>
      <c r="AC368" s="182">
        <f>SUM(AT368:BE368)</f>
        <v>110.0375734486378</v>
      </c>
      <c r="AD368" s="182">
        <f>SUM(BF368:BQ368)</f>
        <v>109.79418488469868</v>
      </c>
      <c r="AE368" s="182">
        <f>SUM(BR368:CC368)</f>
        <v>109.92564254693612</v>
      </c>
      <c r="AF368" s="182">
        <f>SUM(CD368:CO368)</f>
        <v>110.45584038130784</v>
      </c>
      <c r="AH368" s="168">
        <v>8.9219327341946446</v>
      </c>
      <c r="AI368" s="168">
        <v>9.4261380445156657</v>
      </c>
      <c r="AJ368" s="168">
        <v>9.5926758604202682</v>
      </c>
      <c r="AK368" s="168">
        <v>9.9137331844737417</v>
      </c>
      <c r="AL368" s="168">
        <v>9.3645152401676537</v>
      </c>
      <c r="AM368" s="168">
        <v>9.6361172090457945</v>
      </c>
      <c r="AN368" s="168">
        <v>9.0376388482273544</v>
      </c>
      <c r="AO368" s="168">
        <v>8.1214147480621612</v>
      </c>
      <c r="AP368" s="168">
        <v>9.3979130040405359</v>
      </c>
      <c r="AQ368" s="168">
        <v>9.1705235871183781</v>
      </c>
      <c r="AR368" s="168">
        <v>7.7252250644366356</v>
      </c>
      <c r="AS368" s="168">
        <v>9.431713016175971</v>
      </c>
      <c r="AT368" s="168">
        <v>8.9240916425814536</v>
      </c>
      <c r="AU368" s="168">
        <v>9.510477335950771</v>
      </c>
      <c r="AV368" s="168">
        <v>9.665666830182202</v>
      </c>
      <c r="AW368" s="168">
        <v>9.9733734027717347</v>
      </c>
      <c r="AX368" s="168">
        <v>9.4082711672821517</v>
      </c>
      <c r="AY368" s="168">
        <v>9.6703642935133978</v>
      </c>
      <c r="AZ368" s="168">
        <v>9.0615367937242723</v>
      </c>
      <c r="BA368" s="168">
        <v>8.1230024352388703</v>
      </c>
      <c r="BB368" s="168">
        <v>9.4064418896898498</v>
      </c>
      <c r="BC368" s="168">
        <v>9.1717293864102842</v>
      </c>
      <c r="BD368" s="168">
        <v>7.6983443909474598</v>
      </c>
      <c r="BE368" s="168">
        <v>9.4242738803453641</v>
      </c>
      <c r="BF368" s="168">
        <v>8.9111454830496619</v>
      </c>
      <c r="BG368" s="168">
        <v>9.4997331070783204</v>
      </c>
      <c r="BH368" s="168">
        <v>9.6553665222153562</v>
      </c>
      <c r="BI368" s="168">
        <v>9.9535913057860341</v>
      </c>
      <c r="BJ368" s="168">
        <v>9.3926834766444465</v>
      </c>
      <c r="BK368" s="168">
        <v>9.6538664458570835</v>
      </c>
      <c r="BL368" s="168">
        <v>9.0453019550198537</v>
      </c>
      <c r="BM368" s="168">
        <v>8.0891791194700176</v>
      </c>
      <c r="BN368" s="168">
        <v>9.3854923971637625</v>
      </c>
      <c r="BO368" s="168">
        <v>9.1496745059535236</v>
      </c>
      <c r="BP368" s="168">
        <v>7.6532636137200551</v>
      </c>
      <c r="BQ368" s="168">
        <v>9.404886952740549</v>
      </c>
      <c r="BR368" s="168">
        <v>8.8929491853603579</v>
      </c>
      <c r="BS368" s="168">
        <v>9.4903924756577993</v>
      </c>
      <c r="BT368" s="168">
        <v>9.6535936389709569</v>
      </c>
      <c r="BU368" s="168">
        <v>9.951895064121226</v>
      </c>
      <c r="BV368" s="168">
        <v>9.399969587992036</v>
      </c>
      <c r="BW368" s="168">
        <v>9.6662651688662926</v>
      </c>
      <c r="BX368" s="168">
        <v>9.0609042587161692</v>
      </c>
      <c r="BY368" s="168">
        <v>8.0951825909613504</v>
      </c>
      <c r="BZ368" s="168">
        <v>9.4128260964215666</v>
      </c>
      <c r="CA368" s="168">
        <v>9.1832274562613296</v>
      </c>
      <c r="CB368" s="168">
        <v>7.6709497690650918</v>
      </c>
      <c r="CC368" s="168">
        <v>9.4474872545419544</v>
      </c>
      <c r="CD368" s="168">
        <v>8.9293994173639497</v>
      </c>
      <c r="CE368" s="168">
        <v>9.5344584873749341</v>
      </c>
      <c r="CF368" s="168">
        <v>9.6983680124262079</v>
      </c>
      <c r="CG368" s="168">
        <v>9.9970907100388402</v>
      </c>
      <c r="CH368" s="168">
        <v>9.4459318514522845</v>
      </c>
      <c r="CI368" s="168">
        <v>9.7161523557659315</v>
      </c>
      <c r="CJ368" s="168">
        <v>9.1093816839613329</v>
      </c>
      <c r="CK368" s="168">
        <v>8.1317145787066192</v>
      </c>
      <c r="CL368" s="168">
        <v>9.4634417209448785</v>
      </c>
      <c r="CM368" s="168">
        <v>9.2319845755768366</v>
      </c>
      <c r="CN368" s="168">
        <v>7.6988495191734181</v>
      </c>
      <c r="CO368" s="168">
        <v>9.4990674685226075</v>
      </c>
    </row>
    <row r="369" spans="1:93" x14ac:dyDescent="0.2">
      <c r="A369" s="118">
        <f t="shared" si="42"/>
        <v>4</v>
      </c>
      <c r="B369" s="234" t="s">
        <v>148</v>
      </c>
      <c r="C369" s="223"/>
      <c r="D369" s="172">
        <f>SUMIF($AH$6:$CP$6,1,$AH369:$CP369)</f>
        <v>207.84260145429096</v>
      </c>
      <c r="E369" s="225" t="s">
        <v>545</v>
      </c>
      <c r="F369" s="183">
        <v>632.54999999999995</v>
      </c>
      <c r="G369" s="233" t="s">
        <v>375</v>
      </c>
      <c r="H369" s="168">
        <f>ROUND(D369*F369,2)</f>
        <v>131470.84</v>
      </c>
      <c r="I369" s="308"/>
      <c r="J369" s="172">
        <f>SUMIF($AH$6:$CP$6,1,$AH369:$CP369)</f>
        <v>207.84260145429096</v>
      </c>
      <c r="K369" s="225" t="s">
        <v>545</v>
      </c>
      <c r="L369" s="173">
        <f>'Exhibit MJC-3 - E-13c cal yr'!L409</f>
        <v>657.83</v>
      </c>
      <c r="M369" s="233" t="s">
        <v>375</v>
      </c>
      <c r="N369" s="168">
        <f>ROUND(J369*L369,2)</f>
        <v>136725.1</v>
      </c>
      <c r="O369" s="227"/>
      <c r="P369" s="176"/>
      <c r="Q369" s="939"/>
      <c r="R369" s="227"/>
      <c r="S369" s="227"/>
      <c r="T369" s="227"/>
      <c r="U369" s="184" t="s">
        <v>623</v>
      </c>
      <c r="V369" s="179">
        <v>252</v>
      </c>
      <c r="W369" s="180">
        <v>226</v>
      </c>
      <c r="X369" s="227"/>
      <c r="Y369" s="184"/>
      <c r="Z369" s="181"/>
      <c r="AA369" s="227"/>
      <c r="AB369" s="182">
        <f>SUM(AH369:AS369)</f>
        <v>207.4907279134263</v>
      </c>
      <c r="AC369" s="182">
        <f>SUM(AT369:BE369)</f>
        <v>208.05423551213033</v>
      </c>
      <c r="AD369" s="182">
        <f>SUM(BF369:BQ369)</f>
        <v>207.59404705090083</v>
      </c>
      <c r="AE369" s="182">
        <f>SUM(BR369:CC369)</f>
        <v>207.84260145429096</v>
      </c>
      <c r="AF369" s="182">
        <f>SUM(CD369:CO369)</f>
        <v>208.84507635121233</v>
      </c>
      <c r="AH369" s="168">
        <v>16.869200547847015</v>
      </c>
      <c r="AI369" s="168">
        <v>17.822529916101047</v>
      </c>
      <c r="AJ369" s="168">
        <v>18.137412341130759</v>
      </c>
      <c r="AK369" s="168">
        <v>18.744453500055393</v>
      </c>
      <c r="AL369" s="168">
        <v>17.706016210401025</v>
      </c>
      <c r="AM369" s="168">
        <v>18.219549344834483</v>
      </c>
      <c r="AN369" s="168">
        <v>17.087972612194577</v>
      </c>
      <c r="AO369" s="168">
        <v>15.3556161202856</v>
      </c>
      <c r="AP369" s="168">
        <v>17.769163242933786</v>
      </c>
      <c r="AQ369" s="168">
        <v>17.339225269761638</v>
      </c>
      <c r="AR369" s="168">
        <v>14.606517978976832</v>
      </c>
      <c r="AS369" s="168">
        <v>17.833070828904148</v>
      </c>
      <c r="AT369" s="168">
        <v>16.87328251748594</v>
      </c>
      <c r="AU369" s="168">
        <v>17.981994962932127</v>
      </c>
      <c r="AV369" s="168">
        <v>18.275420477235258</v>
      </c>
      <c r="AW369" s="168">
        <v>18.857218618686055</v>
      </c>
      <c r="AX369" s="168">
        <v>17.788748005365413</v>
      </c>
      <c r="AY369" s="168">
        <v>18.284302235634573</v>
      </c>
      <c r="AZ369" s="168">
        <v>17.133157803260175</v>
      </c>
      <c r="BA369" s="168">
        <v>15.358618049821391</v>
      </c>
      <c r="BB369" s="168">
        <v>17.785289287228707</v>
      </c>
      <c r="BC369" s="168">
        <v>17.341505142372387</v>
      </c>
      <c r="BD369" s="168">
        <v>14.555693176161162</v>
      </c>
      <c r="BE369" s="168">
        <v>17.81900523594712</v>
      </c>
      <c r="BF369" s="168">
        <v>16.84880448475776</v>
      </c>
      <c r="BG369" s="168">
        <v>17.961680244475819</v>
      </c>
      <c r="BH369" s="168">
        <v>18.255945105029035</v>
      </c>
      <c r="BI369" s="168">
        <v>18.819815494133255</v>
      </c>
      <c r="BJ369" s="168">
        <v>17.759275481050423</v>
      </c>
      <c r="BK369" s="168">
        <v>18.253108826200368</v>
      </c>
      <c r="BL369" s="168">
        <v>17.102461679659385</v>
      </c>
      <c r="BM369" s="168">
        <v>15.29466640235928</v>
      </c>
      <c r="BN369" s="168">
        <v>17.745678902200389</v>
      </c>
      <c r="BO369" s="168">
        <v>17.299804738147415</v>
      </c>
      <c r="BP369" s="168">
        <v>14.470456412495903</v>
      </c>
      <c r="BQ369" s="168">
        <v>17.782349280391792</v>
      </c>
      <c r="BR369" s="168">
        <v>16.814399720219164</v>
      </c>
      <c r="BS369" s="168">
        <v>17.944019386747939</v>
      </c>
      <c r="BT369" s="168">
        <v>18.252593014861048</v>
      </c>
      <c r="BU369" s="168">
        <v>18.816608314514923</v>
      </c>
      <c r="BV369" s="168">
        <v>17.773051742001748</v>
      </c>
      <c r="BW369" s="168">
        <v>18.276551789873242</v>
      </c>
      <c r="BX369" s="168">
        <v>17.131961833707042</v>
      </c>
      <c r="BY369" s="168">
        <v>15.306017503918518</v>
      </c>
      <c r="BZ369" s="168">
        <v>17.797360266343297</v>
      </c>
      <c r="CA369" s="168">
        <v>17.363245190410076</v>
      </c>
      <c r="CB369" s="168">
        <v>14.503896622181895</v>
      </c>
      <c r="CC369" s="168">
        <v>17.862896069512097</v>
      </c>
      <c r="CD369" s="168">
        <v>16.883318226108308</v>
      </c>
      <c r="CE369" s="168">
        <v>18.027337476129077</v>
      </c>
      <c r="CF369" s="168">
        <v>18.337250443662999</v>
      </c>
      <c r="CG369" s="168">
        <v>18.902062266880158</v>
      </c>
      <c r="CH369" s="168">
        <v>17.859955181317346</v>
      </c>
      <c r="CI369" s="168">
        <v>18.370876302918781</v>
      </c>
      <c r="CJ369" s="168">
        <v>17.223620831019325</v>
      </c>
      <c r="CK369" s="168">
        <v>15.375090589991508</v>
      </c>
      <c r="CL369" s="168">
        <v>17.893062077416786</v>
      </c>
      <c r="CM369" s="168">
        <v>17.455433021048641</v>
      </c>
      <c r="CN369" s="168">
        <v>14.556648250537975</v>
      </c>
      <c r="CO369" s="168">
        <v>17.960421684181398</v>
      </c>
    </row>
    <row r="370" spans="1:93" x14ac:dyDescent="0.2">
      <c r="A370" s="118">
        <f t="shared" si="42"/>
        <v>5</v>
      </c>
      <c r="B370" s="234" t="s">
        <v>216</v>
      </c>
      <c r="C370" s="223"/>
      <c r="D370" s="172">
        <f>SUMIF($AH$6:$CP$6,1,$AH370:$CP370)</f>
        <v>0</v>
      </c>
      <c r="E370" s="225" t="s">
        <v>545</v>
      </c>
      <c r="F370" s="183">
        <v>1513.3</v>
      </c>
      <c r="G370" s="233" t="s">
        <v>375</v>
      </c>
      <c r="H370" s="168">
        <f>ROUND(D370*F370,2)</f>
        <v>0</v>
      </c>
      <c r="I370" s="308"/>
      <c r="J370" s="172">
        <f>SUMIF($AH$6:$CP$6,1,$AH370:$CP370)</f>
        <v>0</v>
      </c>
      <c r="K370" s="225" t="s">
        <v>545</v>
      </c>
      <c r="L370" s="173">
        <f>'Exhibit MJC-3 - E-13c cal yr'!L410</f>
        <v>1573.77</v>
      </c>
      <c r="M370" s="233" t="s">
        <v>375</v>
      </c>
      <c r="N370" s="168">
        <f>ROUND(J370*L370,2)</f>
        <v>0</v>
      </c>
      <c r="O370" s="227"/>
      <c r="P370" s="176"/>
      <c r="Q370" s="227"/>
      <c r="R370" s="227"/>
      <c r="S370" s="227"/>
      <c r="T370" s="227"/>
      <c r="U370" s="184" t="s">
        <v>623</v>
      </c>
      <c r="V370" s="179">
        <v>252</v>
      </c>
      <c r="W370" s="180">
        <v>226</v>
      </c>
      <c r="X370" s="227"/>
      <c r="Y370" s="184"/>
      <c r="Z370" s="181"/>
      <c r="AA370" s="227"/>
      <c r="AB370" s="182">
        <f>SUM(AH370:AS370)</f>
        <v>0</v>
      </c>
      <c r="AC370" s="182">
        <f>SUM(AT370:BE370)</f>
        <v>0</v>
      </c>
      <c r="AD370" s="182">
        <f>SUM(BF370:BQ370)</f>
        <v>0</v>
      </c>
      <c r="AE370" s="182">
        <f>SUM(BR370:CC370)</f>
        <v>0</v>
      </c>
      <c r="AF370" s="182">
        <f>SUM(CD370:CO370)</f>
        <v>0</v>
      </c>
      <c r="AH370" s="168">
        <v>0</v>
      </c>
      <c r="AI370" s="168">
        <v>0</v>
      </c>
      <c r="AJ370" s="168">
        <v>0</v>
      </c>
      <c r="AK370" s="168">
        <v>0</v>
      </c>
      <c r="AL370" s="168">
        <v>0</v>
      </c>
      <c r="AM370" s="168">
        <v>0</v>
      </c>
      <c r="AN370" s="168">
        <v>0</v>
      </c>
      <c r="AO370" s="168">
        <v>0</v>
      </c>
      <c r="AP370" s="168">
        <v>0</v>
      </c>
      <c r="AQ370" s="168">
        <v>0</v>
      </c>
      <c r="AR370" s="168">
        <v>0</v>
      </c>
      <c r="AS370" s="168">
        <v>0</v>
      </c>
      <c r="AT370" s="168">
        <v>0</v>
      </c>
      <c r="AU370" s="168">
        <v>0</v>
      </c>
      <c r="AV370" s="168">
        <v>0</v>
      </c>
      <c r="AW370" s="168">
        <v>0</v>
      </c>
      <c r="AX370" s="168">
        <v>0</v>
      </c>
      <c r="AY370" s="168">
        <v>0</v>
      </c>
      <c r="AZ370" s="168">
        <v>0</v>
      </c>
      <c r="BA370" s="168">
        <v>0</v>
      </c>
      <c r="BB370" s="168">
        <v>0</v>
      </c>
      <c r="BC370" s="168">
        <v>0</v>
      </c>
      <c r="BD370" s="168">
        <v>0</v>
      </c>
      <c r="BE370" s="168">
        <v>0</v>
      </c>
      <c r="BF370" s="168">
        <v>0</v>
      </c>
      <c r="BG370" s="168">
        <v>0</v>
      </c>
      <c r="BH370" s="168">
        <v>0</v>
      </c>
      <c r="BI370" s="168">
        <v>0</v>
      </c>
      <c r="BJ370" s="168">
        <v>0</v>
      </c>
      <c r="BK370" s="168">
        <v>0</v>
      </c>
      <c r="BL370" s="168">
        <v>0</v>
      </c>
      <c r="BM370" s="168">
        <v>0</v>
      </c>
      <c r="BN370" s="168">
        <v>0</v>
      </c>
      <c r="BO370" s="168">
        <v>0</v>
      </c>
      <c r="BP370" s="168">
        <v>0</v>
      </c>
      <c r="BQ370" s="168">
        <v>0</v>
      </c>
      <c r="BR370" s="168">
        <v>0</v>
      </c>
      <c r="BS370" s="168">
        <v>0</v>
      </c>
      <c r="BT370" s="168">
        <v>0</v>
      </c>
      <c r="BU370" s="168">
        <v>0</v>
      </c>
      <c r="BV370" s="168">
        <v>0</v>
      </c>
      <c r="BW370" s="168">
        <v>0</v>
      </c>
      <c r="BX370" s="168">
        <v>0</v>
      </c>
      <c r="BY370" s="168">
        <v>0</v>
      </c>
      <c r="BZ370" s="168">
        <v>0</v>
      </c>
      <c r="CA370" s="168">
        <v>0</v>
      </c>
      <c r="CB370" s="168">
        <v>0</v>
      </c>
      <c r="CC370" s="168">
        <v>0</v>
      </c>
      <c r="CD370" s="168">
        <v>0</v>
      </c>
      <c r="CE370" s="168">
        <v>0</v>
      </c>
      <c r="CF370" s="168">
        <v>0</v>
      </c>
      <c r="CG370" s="168">
        <v>0</v>
      </c>
      <c r="CH370" s="168">
        <v>0</v>
      </c>
      <c r="CI370" s="168">
        <v>0</v>
      </c>
      <c r="CJ370" s="168">
        <v>0</v>
      </c>
      <c r="CK370" s="168">
        <v>0</v>
      </c>
      <c r="CL370" s="168">
        <v>0</v>
      </c>
      <c r="CM370" s="168">
        <v>0</v>
      </c>
      <c r="CN370" s="168">
        <v>0</v>
      </c>
      <c r="CO370" s="168">
        <v>0</v>
      </c>
    </row>
    <row r="371" spans="1:93" x14ac:dyDescent="0.2">
      <c r="A371" s="118">
        <f t="shared" si="42"/>
        <v>6</v>
      </c>
      <c r="B371" s="226" t="s">
        <v>546</v>
      </c>
      <c r="C371" s="223"/>
      <c r="D371" s="168"/>
      <c r="E371" s="225"/>
      <c r="F371" s="183"/>
      <c r="G371" s="233"/>
      <c r="H371" s="168"/>
      <c r="I371" s="308"/>
      <c r="J371" s="168"/>
      <c r="K371" s="225"/>
      <c r="L371" s="183"/>
      <c r="M371" s="233"/>
      <c r="N371" s="168"/>
      <c r="O371" s="227"/>
      <c r="P371" s="227"/>
      <c r="Q371" s="227"/>
      <c r="R371" s="227"/>
      <c r="S371" s="227"/>
      <c r="T371" s="227"/>
      <c r="U371" s="178"/>
      <c r="V371" s="179"/>
      <c r="W371" s="180"/>
      <c r="X371" s="227"/>
      <c r="Y371" s="178"/>
      <c r="Z371" s="181"/>
      <c r="AA371" s="227"/>
      <c r="AB371" s="227"/>
    </row>
    <row r="372" spans="1:93" x14ac:dyDescent="0.2">
      <c r="A372" s="118">
        <f t="shared" si="42"/>
        <v>7</v>
      </c>
      <c r="B372" s="234" t="s">
        <v>149</v>
      </c>
      <c r="C372" s="223"/>
      <c r="D372" s="172">
        <f>SUMIF($AH$6:$CP$6,1,$AH372:$CP372)</f>
        <v>705.74110004923693</v>
      </c>
      <c r="E372" s="225" t="s">
        <v>545</v>
      </c>
      <c r="F372" s="183">
        <v>426.3</v>
      </c>
      <c r="G372" s="233" t="s">
        <v>375</v>
      </c>
      <c r="H372" s="168">
        <f>ROUND(D372*F372,2)</f>
        <v>300857.43</v>
      </c>
      <c r="I372" s="308"/>
      <c r="J372" s="172">
        <f>SUMIF($AH$6:$CP$6,1,$AH372:$CP372)</f>
        <v>705.74110004923693</v>
      </c>
      <c r="K372" s="225" t="s">
        <v>545</v>
      </c>
      <c r="L372" s="183">
        <f>L368</f>
        <v>443.34</v>
      </c>
      <c r="M372" s="233" t="s">
        <v>375</v>
      </c>
      <c r="N372" s="168">
        <f>ROUND(J372*L372,2)</f>
        <v>312883.26</v>
      </c>
      <c r="O372" s="227"/>
      <c r="P372" s="227"/>
      <c r="Q372" s="939"/>
      <c r="R372" s="227"/>
      <c r="S372" s="227"/>
      <c r="T372" s="227"/>
      <c r="U372" s="178" t="s">
        <v>624</v>
      </c>
      <c r="V372" s="179">
        <v>254</v>
      </c>
      <c r="W372" s="180">
        <v>228</v>
      </c>
      <c r="X372" s="227"/>
      <c r="Y372" s="178"/>
      <c r="Z372" s="181"/>
      <c r="AA372" s="227"/>
      <c r="AB372" s="182">
        <f>SUM(AH372:AS372)</f>
        <v>704.54629389270076</v>
      </c>
      <c r="AC372" s="182">
        <f>SUM(AT372:BE372)</f>
        <v>706.45971525007815</v>
      </c>
      <c r="AD372" s="182">
        <f>SUM(BF372:BQ372)</f>
        <v>704.89711976394767</v>
      </c>
      <c r="AE372" s="182">
        <f>SUM(BR372:CC372)</f>
        <v>705.74110004923693</v>
      </c>
      <c r="AF372" s="182">
        <f>SUM(CD372:CO372)</f>
        <v>709.14505925478306</v>
      </c>
      <c r="AH372" s="168">
        <v>57.280307638022755</v>
      </c>
      <c r="AI372" s="168">
        <v>60.517390470671998</v>
      </c>
      <c r="AJ372" s="168">
        <v>61.586591238328438</v>
      </c>
      <c r="AK372" s="168">
        <v>63.647833217965861</v>
      </c>
      <c r="AL372" s="168">
        <v>60.121761709983929</v>
      </c>
      <c r="AM372" s="168">
        <v>61.865491997571311</v>
      </c>
      <c r="AN372" s="168">
        <v>58.023160336518472</v>
      </c>
      <c r="AO372" s="168">
        <v>52.140847626214217</v>
      </c>
      <c r="AP372" s="168">
        <v>60.336180967117379</v>
      </c>
      <c r="AQ372" s="168">
        <v>58.876302693768409</v>
      </c>
      <c r="AR372" s="168">
        <v>49.597243270836884</v>
      </c>
      <c r="AS372" s="168">
        <v>60.553182725701191</v>
      </c>
      <c r="AT372" s="168">
        <v>57.294168192707815</v>
      </c>
      <c r="AU372" s="168">
        <v>61.058862896356203</v>
      </c>
      <c r="AV372" s="168">
        <v>62.055205531589934</v>
      </c>
      <c r="AW372" s="168">
        <v>64.03073344300509</v>
      </c>
      <c r="AX372" s="168">
        <v>60.402682115996335</v>
      </c>
      <c r="AY372" s="168">
        <v>62.085364035665833</v>
      </c>
      <c r="AZ372" s="168">
        <v>58.176589163070112</v>
      </c>
      <c r="BA372" s="168">
        <v>52.15104084472685</v>
      </c>
      <c r="BB372" s="168">
        <v>60.390937846412143</v>
      </c>
      <c r="BC372" s="168">
        <v>58.884044127877786</v>
      </c>
      <c r="BD372" s="168">
        <v>49.424664829276125</v>
      </c>
      <c r="BE372" s="168">
        <v>60.505422223393772</v>
      </c>
      <c r="BF372" s="168">
        <v>57.211051672688576</v>
      </c>
      <c r="BG372" s="168">
        <v>60.989883141242331</v>
      </c>
      <c r="BH372" s="168">
        <v>61.989075823298585</v>
      </c>
      <c r="BI372" s="168">
        <v>63.903729055634699</v>
      </c>
      <c r="BJ372" s="168">
        <v>60.302606522322328</v>
      </c>
      <c r="BK372" s="168">
        <v>61.979445080964801</v>
      </c>
      <c r="BL372" s="168">
        <v>58.072358770043429</v>
      </c>
      <c r="BM372" s="168">
        <v>51.933889472899949</v>
      </c>
      <c r="BN372" s="168">
        <v>60.256438583471549</v>
      </c>
      <c r="BO372" s="168">
        <v>58.742448088642789</v>
      </c>
      <c r="BP372" s="168">
        <v>49.135238662874968</v>
      </c>
      <c r="BQ372" s="168">
        <v>60.380954889863688</v>
      </c>
      <c r="BR372" s="168">
        <v>57.094228383321962</v>
      </c>
      <c r="BS372" s="168">
        <v>60.929914717668566</v>
      </c>
      <c r="BT372" s="168">
        <v>61.977693614905967</v>
      </c>
      <c r="BU372" s="168">
        <v>63.892838899064003</v>
      </c>
      <c r="BV372" s="168">
        <v>60.349384581730376</v>
      </c>
      <c r="BW372" s="168">
        <v>62.059046966502919</v>
      </c>
      <c r="BX372" s="168">
        <v>58.172528182009692</v>
      </c>
      <c r="BY372" s="168">
        <v>51.972432768861104</v>
      </c>
      <c r="BZ372" s="168">
        <v>60.431925526605681</v>
      </c>
      <c r="CA372" s="168">
        <v>58.957863668770209</v>
      </c>
      <c r="CB372" s="168">
        <v>49.248786752653189</v>
      </c>
      <c r="CC372" s="168">
        <v>60.654455987143301</v>
      </c>
      <c r="CD372" s="168">
        <v>57.328244998874425</v>
      </c>
      <c r="CE372" s="168">
        <v>61.212825918944958</v>
      </c>
      <c r="CF372" s="168">
        <v>62.265152617593472</v>
      </c>
      <c r="CG372" s="168">
        <v>64.183002541761965</v>
      </c>
      <c r="CH372" s="168">
        <v>60.644470037895331</v>
      </c>
      <c r="CI372" s="168">
        <v>62.379331090799759</v>
      </c>
      <c r="CJ372" s="168">
        <v>58.483761399550062</v>
      </c>
      <c r="CK372" s="168">
        <v>52.206974270015607</v>
      </c>
      <c r="CL372" s="168">
        <v>60.756886342872995</v>
      </c>
      <c r="CM372" s="168">
        <v>59.270892569249604</v>
      </c>
      <c r="CN372" s="168">
        <v>49.427907837382278</v>
      </c>
      <c r="CO372" s="168">
        <v>60.985609629842614</v>
      </c>
    </row>
    <row r="373" spans="1:93" x14ac:dyDescent="0.2">
      <c r="A373" s="118">
        <f t="shared" si="42"/>
        <v>8</v>
      </c>
      <c r="B373" s="234" t="s">
        <v>148</v>
      </c>
      <c r="C373" s="223"/>
      <c r="D373" s="172">
        <f>SUMIF($AH$6:$CP$6,1,$AH373:$CP373)</f>
        <v>630.91776352569207</v>
      </c>
      <c r="E373" s="225" t="s">
        <v>545</v>
      </c>
      <c r="F373" s="183">
        <v>632.54999999999995</v>
      </c>
      <c r="G373" s="233" t="s">
        <v>375</v>
      </c>
      <c r="H373" s="168">
        <f>ROUND(D373*F373,2)</f>
        <v>399087.03</v>
      </c>
      <c r="I373" s="308"/>
      <c r="J373" s="172">
        <f>SUMIF($AH$6:$CP$6,1,$AH373:$CP373)</f>
        <v>630.91776352569207</v>
      </c>
      <c r="K373" s="225" t="s">
        <v>545</v>
      </c>
      <c r="L373" s="183">
        <f>L369</f>
        <v>657.83</v>
      </c>
      <c r="M373" s="233" t="s">
        <v>375</v>
      </c>
      <c r="N373" s="168">
        <f>ROUND(J373*L373,2)</f>
        <v>415036.63</v>
      </c>
      <c r="O373" s="227"/>
      <c r="Q373" s="939"/>
      <c r="R373" s="230"/>
      <c r="S373" s="227"/>
      <c r="T373" s="227"/>
      <c r="U373" s="178" t="s">
        <v>624</v>
      </c>
      <c r="V373" s="179">
        <v>254</v>
      </c>
      <c r="W373" s="180">
        <v>228</v>
      </c>
      <c r="X373" s="227"/>
      <c r="Y373" s="178"/>
      <c r="Z373" s="181"/>
      <c r="AA373" s="227"/>
      <c r="AB373" s="182">
        <f>SUM(AH373:AS373)</f>
        <v>629.84963184386731</v>
      </c>
      <c r="AC373" s="182">
        <f>SUM(AT373:BE373)</f>
        <v>631.560190465711</v>
      </c>
      <c r="AD373" s="182">
        <f>SUM(BF373:BQ373)</f>
        <v>630.16326282562341</v>
      </c>
      <c r="AE373" s="182">
        <f>SUM(BR373:CC373)</f>
        <v>630.91776352569207</v>
      </c>
      <c r="AF373" s="182">
        <f>SUM(CD373:CO373)</f>
        <v>633.96083176834668</v>
      </c>
      <c r="AH373" s="168">
        <v>51.207395440797832</v>
      </c>
      <c r="AI373" s="168">
        <v>54.101279700875615</v>
      </c>
      <c r="AJ373" s="168">
        <v>55.057122795521359</v>
      </c>
      <c r="AK373" s="168">
        <v>56.899829957945926</v>
      </c>
      <c r="AL373" s="168">
        <v>53.747595874239551</v>
      </c>
      <c r="AM373" s="168">
        <v>55.306454233430891</v>
      </c>
      <c r="AN373" s="168">
        <v>51.871490196128413</v>
      </c>
      <c r="AO373" s="168">
        <v>46.612825822911397</v>
      </c>
      <c r="AP373" s="168">
        <v>53.939282199661214</v>
      </c>
      <c r="AQ373" s="168">
        <v>52.634181596654216</v>
      </c>
      <c r="AR373" s="168">
        <v>44.338896798405223</v>
      </c>
      <c r="AS373" s="168">
        <v>54.1332772272957</v>
      </c>
      <c r="AT373" s="168">
        <v>51.219786486412879</v>
      </c>
      <c r="AU373" s="168">
        <v>54.585344709700642</v>
      </c>
      <c r="AV373" s="168">
        <v>55.476054159785242</v>
      </c>
      <c r="AW373" s="168">
        <v>57.242134740278111</v>
      </c>
      <c r="AX373" s="168">
        <v>53.998732834064782</v>
      </c>
      <c r="AY373" s="168">
        <v>55.503015230837384</v>
      </c>
      <c r="AZ373" s="168">
        <v>52.008652353896437</v>
      </c>
      <c r="BA373" s="168">
        <v>46.621938346791154</v>
      </c>
      <c r="BB373" s="168">
        <v>53.988233703009804</v>
      </c>
      <c r="BC373" s="168">
        <v>52.641102276623727</v>
      </c>
      <c r="BD373" s="168">
        <v>44.184615285858101</v>
      </c>
      <c r="BE373" s="168">
        <v>54.09058033845281</v>
      </c>
      <c r="BF373" s="168">
        <v>51.14548205817578</v>
      </c>
      <c r="BG373" s="168">
        <v>54.523678253231033</v>
      </c>
      <c r="BH373" s="168">
        <v>55.416935585488133</v>
      </c>
      <c r="BI373" s="168">
        <v>57.128595477746714</v>
      </c>
      <c r="BJ373" s="168">
        <v>53.909267349144173</v>
      </c>
      <c r="BK373" s="168">
        <v>55.408325903532663</v>
      </c>
      <c r="BL373" s="168">
        <v>51.915472565366045</v>
      </c>
      <c r="BM373" s="168">
        <v>46.427809568050606</v>
      </c>
      <c r="BN373" s="168">
        <v>53.86799417867941</v>
      </c>
      <c r="BO373" s="168">
        <v>52.514518382909714</v>
      </c>
      <c r="BP373" s="168">
        <v>43.925874354376447</v>
      </c>
      <c r="BQ373" s="168">
        <v>53.979309148922638</v>
      </c>
      <c r="BR373" s="168">
        <v>51.041044484043056</v>
      </c>
      <c r="BS373" s="168">
        <v>54.470067738439298</v>
      </c>
      <c r="BT373" s="168">
        <v>55.406760129555991</v>
      </c>
      <c r="BU373" s="168">
        <v>57.118859905838626</v>
      </c>
      <c r="BV373" s="168">
        <v>53.951085954609745</v>
      </c>
      <c r="BW373" s="168">
        <v>55.479488322148548</v>
      </c>
      <c r="BX373" s="168">
        <v>52.005021921875148</v>
      </c>
      <c r="BY373" s="168">
        <v>46.462266467450434</v>
      </c>
      <c r="BZ373" s="168">
        <v>54.024875830722095</v>
      </c>
      <c r="CA373" s="168">
        <v>52.707095400222585</v>
      </c>
      <c r="CB373" s="168">
        <v>44.027383968667706</v>
      </c>
      <c r="CC373" s="168">
        <v>54.223813402118942</v>
      </c>
      <c r="CD373" s="168">
        <v>51.250250437475437</v>
      </c>
      <c r="CE373" s="168">
        <v>54.722984427538485</v>
      </c>
      <c r="CF373" s="168">
        <v>55.66374245787479</v>
      </c>
      <c r="CG373" s="168">
        <v>57.378260125685102</v>
      </c>
      <c r="CH373" s="168">
        <v>54.214886172621085</v>
      </c>
      <c r="CI373" s="168">
        <v>55.765815621749006</v>
      </c>
      <c r="CJ373" s="168">
        <v>52.283257900383099</v>
      </c>
      <c r="CK373" s="168">
        <v>46.67194165761866</v>
      </c>
      <c r="CL373" s="168">
        <v>54.315383995002946</v>
      </c>
      <c r="CM373" s="168">
        <v>52.986936681672091</v>
      </c>
      <c r="CN373" s="168">
        <v>44.187514467188606</v>
      </c>
      <c r="CO373" s="168">
        <v>54.519857823537308</v>
      </c>
    </row>
    <row r="374" spans="1:93" x14ac:dyDescent="0.2">
      <c r="A374" s="118">
        <f t="shared" si="42"/>
        <v>9</v>
      </c>
      <c r="B374" s="234" t="s">
        <v>216</v>
      </c>
      <c r="C374" s="223"/>
      <c r="D374" s="172">
        <f>SUMIF($AH$6:$CP$6,1,$AH374:$CP374)</f>
        <v>89.603254849183244</v>
      </c>
      <c r="E374" s="225" t="s">
        <v>545</v>
      </c>
      <c r="F374" s="183">
        <v>1513.3</v>
      </c>
      <c r="G374" s="233" t="s">
        <v>375</v>
      </c>
      <c r="H374" s="257">
        <f>ROUND(D374*F374,2)</f>
        <v>135596.60999999999</v>
      </c>
      <c r="I374" s="308"/>
      <c r="J374" s="172">
        <f>SUMIF($AH$6:$CP$6,1,$AH374:$CP374)</f>
        <v>89.603254849183244</v>
      </c>
      <c r="K374" s="225" t="s">
        <v>545</v>
      </c>
      <c r="L374" s="183">
        <f>L370</f>
        <v>1573.77</v>
      </c>
      <c r="M374" s="233" t="s">
        <v>375</v>
      </c>
      <c r="N374" s="257">
        <f>ROUND(J374*L374,2)</f>
        <v>141014.91</v>
      </c>
      <c r="O374" s="227"/>
      <c r="Q374" s="939"/>
      <c r="R374" s="259"/>
      <c r="S374" s="176"/>
      <c r="T374" s="227"/>
      <c r="U374" s="178" t="s">
        <v>624</v>
      </c>
      <c r="V374" s="179">
        <v>254</v>
      </c>
      <c r="W374" s="180">
        <v>228</v>
      </c>
      <c r="X374" s="227"/>
      <c r="Y374" s="178"/>
      <c r="Z374" s="181"/>
      <c r="AA374" s="227"/>
      <c r="AB374" s="182">
        <f>SUM(AH374:AS374)</f>
        <v>89.451558256010443</v>
      </c>
      <c r="AC374" s="182">
        <f>SUM(AT374:BE374)</f>
        <v>89.694492643007308</v>
      </c>
      <c r="AD374" s="182">
        <f>SUM(BF374:BQ374)</f>
        <v>89.496100284166147</v>
      </c>
      <c r="AE374" s="182">
        <f>SUM(BR374:CC374)</f>
        <v>89.603254849183244</v>
      </c>
      <c r="AF374" s="182">
        <f>SUM(CD374:CO374)</f>
        <v>90.035432915855949</v>
      </c>
      <c r="AH374" s="168">
        <v>7.2724997917384924</v>
      </c>
      <c r="AI374" s="168">
        <v>7.683490674941341</v>
      </c>
      <c r="AJ374" s="168">
        <v>7.8192399870652594</v>
      </c>
      <c r="AK374" s="168">
        <v>8.0809421755794357</v>
      </c>
      <c r="AL374" s="168">
        <v>7.6332603218173301</v>
      </c>
      <c r="AM374" s="168">
        <v>7.8546501619953117</v>
      </c>
      <c r="AN374" s="168">
        <v>7.3668148594794403</v>
      </c>
      <c r="AO374" s="168">
        <v>6.6199767274120145</v>
      </c>
      <c r="AP374" s="168">
        <v>7.6604837091758977</v>
      </c>
      <c r="AQ374" s="168">
        <v>7.4751326718527951</v>
      </c>
      <c r="AR374" s="168">
        <v>6.2970321953811235</v>
      </c>
      <c r="AS374" s="168">
        <v>7.6880349795720102</v>
      </c>
      <c r="AT374" s="168">
        <v>7.2742595742050504</v>
      </c>
      <c r="AU374" s="168">
        <v>7.7522378284640743</v>
      </c>
      <c r="AV374" s="168">
        <v>7.8787368279636443</v>
      </c>
      <c r="AW374" s="168">
        <v>8.1295564711668771</v>
      </c>
      <c r="AX374" s="168">
        <v>7.6689269178686441</v>
      </c>
      <c r="AY374" s="168">
        <v>7.8825658526957945</v>
      </c>
      <c r="AZ374" s="168">
        <v>7.386294697405499</v>
      </c>
      <c r="BA374" s="168">
        <v>6.6212708925896671</v>
      </c>
      <c r="BB374" s="168">
        <v>7.6674358260497097</v>
      </c>
      <c r="BC374" s="168">
        <v>7.4761155502672061</v>
      </c>
      <c r="BD374" s="168">
        <v>6.2751210581672563</v>
      </c>
      <c r="BE374" s="168">
        <v>7.6819711461638693</v>
      </c>
      <c r="BF374" s="168">
        <v>7.2637068223177907</v>
      </c>
      <c r="BG374" s="168">
        <v>7.7434799276184636</v>
      </c>
      <c r="BH374" s="168">
        <v>7.8703407786125172</v>
      </c>
      <c r="BI374" s="168">
        <v>8.1134315685818912</v>
      </c>
      <c r="BJ374" s="168">
        <v>7.6562209851639613</v>
      </c>
      <c r="BK374" s="168">
        <v>7.8691180272952694</v>
      </c>
      <c r="BL374" s="168">
        <v>7.3730612574531582</v>
      </c>
      <c r="BM374" s="168">
        <v>6.593700626794889</v>
      </c>
      <c r="BN374" s="168">
        <v>7.6503593489486139</v>
      </c>
      <c r="BO374" s="168">
        <v>7.458138042667998</v>
      </c>
      <c r="BP374" s="168">
        <v>6.2383745422760111</v>
      </c>
      <c r="BQ374" s="168">
        <v>7.6661683564355734</v>
      </c>
      <c r="BR374" s="168">
        <v>7.2488745460500397</v>
      </c>
      <c r="BS374" s="168">
        <v>7.7358661356202232</v>
      </c>
      <c r="BT374" s="168">
        <v>7.8688956552956535</v>
      </c>
      <c r="BU374" s="168">
        <v>8.1120489178130999</v>
      </c>
      <c r="BV374" s="168">
        <v>7.662160084329642</v>
      </c>
      <c r="BW374" s="168">
        <v>7.8792245494120197</v>
      </c>
      <c r="BX374" s="168">
        <v>7.3857791016425924</v>
      </c>
      <c r="BY374" s="168">
        <v>6.5985942128004282</v>
      </c>
      <c r="BZ374" s="168">
        <v>7.6726397592679998</v>
      </c>
      <c r="CA374" s="168">
        <v>7.4854879265323433</v>
      </c>
      <c r="CB374" s="168">
        <v>6.2527909882295285</v>
      </c>
      <c r="CC374" s="168">
        <v>7.7008929721896608</v>
      </c>
      <c r="CD374" s="168">
        <v>7.278586079700025</v>
      </c>
      <c r="CE374" s="168">
        <v>7.7717854897089804</v>
      </c>
      <c r="CF374" s="168">
        <v>7.9053924134902713</v>
      </c>
      <c r="CG374" s="168">
        <v>8.1488890661661131</v>
      </c>
      <c r="CH374" s="168">
        <v>7.6996251226123666</v>
      </c>
      <c r="CI374" s="168">
        <v>7.9198888950360962</v>
      </c>
      <c r="CJ374" s="168">
        <v>7.4252943138172212</v>
      </c>
      <c r="CK374" s="168">
        <v>6.6283723876852285</v>
      </c>
      <c r="CL374" s="168">
        <v>7.7138978733752364</v>
      </c>
      <c r="CM374" s="168">
        <v>7.5252311246298582</v>
      </c>
      <c r="CN374" s="168">
        <v>6.2755328013430383</v>
      </c>
      <c r="CO374" s="168">
        <v>7.7429373482915356</v>
      </c>
    </row>
    <row r="375" spans="1:93" x14ac:dyDescent="0.2">
      <c r="A375" s="118">
        <f t="shared" si="42"/>
        <v>10</v>
      </c>
      <c r="B375" s="226"/>
      <c r="C375" s="223" t="s">
        <v>374</v>
      </c>
      <c r="D375" s="204">
        <f>SUM(D368:D374)</f>
        <v>1744.0303624253395</v>
      </c>
      <c r="E375" s="225" t="s">
        <v>625</v>
      </c>
      <c r="F375" s="183"/>
      <c r="G375" s="233"/>
      <c r="H375" s="204">
        <f>SUM(H368:H370)+SUM(H372:H374)</f>
        <v>1013873.21</v>
      </c>
      <c r="I375" s="308"/>
      <c r="J375" s="204">
        <f>SUM(J368:J374)</f>
        <v>1744.0303624253395</v>
      </c>
      <c r="K375" s="225" t="s">
        <v>625</v>
      </c>
      <c r="L375" s="183"/>
      <c r="M375" s="233"/>
      <c r="N375" s="204">
        <f>SUM(N368:N370)+SUM(N372:N374)</f>
        <v>1054394.33</v>
      </c>
      <c r="O375" s="227"/>
      <c r="Q375" s="939"/>
      <c r="R375" s="227"/>
      <c r="S375" s="263"/>
      <c r="T375" s="197"/>
      <c r="U375" s="178"/>
      <c r="V375" s="179"/>
      <c r="W375" s="180"/>
      <c r="X375" s="227"/>
      <c r="Y375" s="178" t="s">
        <v>623</v>
      </c>
      <c r="Z375" s="181" t="s">
        <v>451</v>
      </c>
      <c r="AA375" s="227"/>
      <c r="AB375" s="309">
        <f>SUM(AB368:AB374)</f>
        <v>1741.0777524468838</v>
      </c>
      <c r="AC375" s="309">
        <f>SUM(AC368:AC374)</f>
        <v>1745.8062073195647</v>
      </c>
      <c r="AD375" s="309">
        <f>SUM(AD368:AD374)</f>
        <v>1741.9447148093368</v>
      </c>
      <c r="AE375" s="309">
        <f>SUM(AE368:AE374)</f>
        <v>1744.0303624253395</v>
      </c>
      <c r="AF375" s="309">
        <f>SUM(AF368:AF374)</f>
        <v>1752.4422406715057</v>
      </c>
      <c r="AH375" s="309">
        <f t="shared" ref="AH375:CO375" si="43">SUM(AH368:AH374)</f>
        <v>141.55133615260073</v>
      </c>
      <c r="AI375" s="309">
        <f t="shared" si="43"/>
        <v>149.55082880710566</v>
      </c>
      <c r="AJ375" s="309">
        <f t="shared" si="43"/>
        <v>152.19304222246609</v>
      </c>
      <c r="AK375" s="309">
        <f t="shared" si="43"/>
        <v>157.28679203602036</v>
      </c>
      <c r="AL375" s="309">
        <f t="shared" si="43"/>
        <v>148.57314935660946</v>
      </c>
      <c r="AM375" s="309">
        <f t="shared" si="43"/>
        <v>152.8822629468778</v>
      </c>
      <c r="AN375" s="309">
        <f t="shared" si="43"/>
        <v>143.38707685254823</v>
      </c>
      <c r="AO375" s="309">
        <f t="shared" si="43"/>
        <v>128.85068104488539</v>
      </c>
      <c r="AP375" s="309">
        <f t="shared" si="43"/>
        <v>149.10302312292882</v>
      </c>
      <c r="AQ375" s="309">
        <f t="shared" si="43"/>
        <v>145.49536581915544</v>
      </c>
      <c r="AR375" s="309">
        <f t="shared" si="43"/>
        <v>122.56491530803669</v>
      </c>
      <c r="AS375" s="309">
        <f t="shared" si="43"/>
        <v>149.63927877764903</v>
      </c>
      <c r="AT375" s="309">
        <f t="shared" si="43"/>
        <v>141.58558841339314</v>
      </c>
      <c r="AU375" s="309">
        <f t="shared" si="43"/>
        <v>150.88891773340382</v>
      </c>
      <c r="AV375" s="309">
        <f t="shared" si="43"/>
        <v>153.35108382675628</v>
      </c>
      <c r="AW375" s="309">
        <f t="shared" si="43"/>
        <v>158.23301667590786</v>
      </c>
      <c r="AX375" s="309">
        <f t="shared" si="43"/>
        <v>149.26736104057733</v>
      </c>
      <c r="AY375" s="309">
        <f t="shared" si="43"/>
        <v>153.42561164834697</v>
      </c>
      <c r="AZ375" s="309">
        <f t="shared" si="43"/>
        <v>143.76623081135648</v>
      </c>
      <c r="BA375" s="309">
        <f t="shared" si="43"/>
        <v>128.87587056916794</v>
      </c>
      <c r="BB375" s="309">
        <f t="shared" si="43"/>
        <v>149.23833855239022</v>
      </c>
      <c r="BC375" s="309">
        <f t="shared" si="43"/>
        <v>145.5144964835514</v>
      </c>
      <c r="BD375" s="309">
        <f t="shared" si="43"/>
        <v>122.13843874041011</v>
      </c>
      <c r="BE375" s="309">
        <f t="shared" si="43"/>
        <v>149.52125282430293</v>
      </c>
      <c r="BF375" s="309">
        <f t="shared" si="43"/>
        <v>141.38019052098957</v>
      </c>
      <c r="BG375" s="309">
        <f t="shared" si="43"/>
        <v>150.71845467364597</v>
      </c>
      <c r="BH375" s="309">
        <f t="shared" si="43"/>
        <v>153.18766381464363</v>
      </c>
      <c r="BI375" s="309">
        <f t="shared" si="43"/>
        <v>157.91916290188257</v>
      </c>
      <c r="BJ375" s="309">
        <f t="shared" si="43"/>
        <v>149.02005381432534</v>
      </c>
      <c r="BK375" s="309">
        <f t="shared" si="43"/>
        <v>153.16386428385019</v>
      </c>
      <c r="BL375" s="309">
        <f t="shared" si="43"/>
        <v>143.50865622754188</v>
      </c>
      <c r="BM375" s="309">
        <f t="shared" si="43"/>
        <v>128.33924518957474</v>
      </c>
      <c r="BN375" s="309">
        <f t="shared" si="43"/>
        <v>148.90596341046373</v>
      </c>
      <c r="BO375" s="309">
        <f t="shared" si="43"/>
        <v>145.16458375832144</v>
      </c>
      <c r="BP375" s="309">
        <f t="shared" si="43"/>
        <v>121.42320758574337</v>
      </c>
      <c r="BQ375" s="309">
        <f t="shared" si="43"/>
        <v>149.21366862835424</v>
      </c>
      <c r="BR375" s="309">
        <f t="shared" si="43"/>
        <v>141.09149631899459</v>
      </c>
      <c r="BS375" s="309">
        <f t="shared" si="43"/>
        <v>150.57026045413383</v>
      </c>
      <c r="BT375" s="309">
        <f t="shared" si="43"/>
        <v>153.15953605358962</v>
      </c>
      <c r="BU375" s="309">
        <f t="shared" si="43"/>
        <v>157.89225110135189</v>
      </c>
      <c r="BV375" s="309">
        <f t="shared" si="43"/>
        <v>149.13565195066354</v>
      </c>
      <c r="BW375" s="309">
        <f t="shared" si="43"/>
        <v>153.360576796803</v>
      </c>
      <c r="BX375" s="309">
        <f t="shared" si="43"/>
        <v>143.75619529795063</v>
      </c>
      <c r="BY375" s="309">
        <f t="shared" si="43"/>
        <v>128.43449354399183</v>
      </c>
      <c r="BZ375" s="309">
        <f t="shared" si="43"/>
        <v>149.33962747936064</v>
      </c>
      <c r="CA375" s="309">
        <f t="shared" si="43"/>
        <v>145.69691964219652</v>
      </c>
      <c r="CB375" s="309">
        <f t="shared" si="43"/>
        <v>121.70380810079742</v>
      </c>
      <c r="CC375" s="309">
        <f t="shared" si="43"/>
        <v>149.88954568550594</v>
      </c>
      <c r="CD375" s="309">
        <f t="shared" si="43"/>
        <v>141.66979915952214</v>
      </c>
      <c r="CE375" s="309">
        <f t="shared" si="43"/>
        <v>151.26939179969642</v>
      </c>
      <c r="CF375" s="309">
        <f t="shared" si="43"/>
        <v>153.86990594504775</v>
      </c>
      <c r="CG375" s="309">
        <f t="shared" si="43"/>
        <v>158.60930471053217</v>
      </c>
      <c r="CH375" s="309">
        <f t="shared" si="43"/>
        <v>149.86486836589842</v>
      </c>
      <c r="CI375" s="309">
        <f t="shared" si="43"/>
        <v>154.15206426626958</v>
      </c>
      <c r="CJ375" s="309">
        <f t="shared" si="43"/>
        <v>144.52531612873105</v>
      </c>
      <c r="CK375" s="309">
        <f t="shared" si="43"/>
        <v>129.01409348401762</v>
      </c>
      <c r="CL375" s="309">
        <f t="shared" si="43"/>
        <v>150.14267200961285</v>
      </c>
      <c r="CM375" s="309">
        <f t="shared" si="43"/>
        <v>146.47047797217704</v>
      </c>
      <c r="CN375" s="309">
        <f t="shared" si="43"/>
        <v>122.14645287562531</v>
      </c>
      <c r="CO375" s="309">
        <f t="shared" si="43"/>
        <v>150.70789395437549</v>
      </c>
    </row>
    <row r="376" spans="1:93" x14ac:dyDescent="0.2">
      <c r="A376" s="118">
        <f t="shared" si="42"/>
        <v>11</v>
      </c>
      <c r="B376" s="226"/>
      <c r="C376" s="223"/>
      <c r="D376" s="168"/>
      <c r="E376" s="237"/>
      <c r="F376" s="183"/>
      <c r="G376" s="233"/>
      <c r="H376" s="103"/>
      <c r="I376" s="308"/>
      <c r="J376" s="168"/>
      <c r="K376" s="237"/>
      <c r="L376" s="183"/>
      <c r="M376" s="233"/>
      <c r="N376" s="103"/>
      <c r="O376" s="227"/>
      <c r="R376" s="227"/>
      <c r="S376" s="263"/>
      <c r="T376" s="197"/>
      <c r="U376" s="178"/>
      <c r="V376" s="179"/>
      <c r="W376" s="180"/>
      <c r="X376" s="227"/>
      <c r="Y376" s="178"/>
      <c r="Z376" s="181"/>
      <c r="AA376" s="227"/>
      <c r="AB376" s="193">
        <f>SUM(AH376:AS376)</f>
        <v>0</v>
      </c>
      <c r="AC376" s="193">
        <f>SUM(AT376:BE376)</f>
        <v>0</v>
      </c>
      <c r="AD376" s="193">
        <f>SUM(BF376:BQ376)</f>
        <v>0</v>
      </c>
      <c r="AE376" s="193">
        <f>SUM(BR376:CC376)</f>
        <v>0</v>
      </c>
      <c r="AF376" s="193">
        <f>SUM(CD376:CO376)</f>
        <v>0</v>
      </c>
      <c r="AH376" s="193">
        <v>0</v>
      </c>
      <c r="AI376" s="193">
        <v>0</v>
      </c>
      <c r="AJ376" s="193">
        <v>0</v>
      </c>
      <c r="AK376" s="193">
        <v>0</v>
      </c>
      <c r="AL376" s="193">
        <v>0</v>
      </c>
      <c r="AM376" s="193">
        <v>0</v>
      </c>
      <c r="AN376" s="193">
        <v>0</v>
      </c>
      <c r="AO376" s="193">
        <v>0</v>
      </c>
      <c r="AP376" s="193">
        <v>0</v>
      </c>
      <c r="AQ376" s="193">
        <v>0</v>
      </c>
      <c r="AR376" s="193">
        <v>0</v>
      </c>
      <c r="AS376" s="193">
        <v>0</v>
      </c>
      <c r="AT376" s="193">
        <v>0</v>
      </c>
      <c r="AU376" s="193">
        <v>0</v>
      </c>
      <c r="AV376" s="193">
        <v>0</v>
      </c>
      <c r="AW376" s="193">
        <v>0</v>
      </c>
      <c r="AX376" s="193">
        <v>0</v>
      </c>
      <c r="AY376" s="193">
        <v>0</v>
      </c>
      <c r="AZ376" s="193">
        <v>0</v>
      </c>
      <c r="BA376" s="193">
        <v>0</v>
      </c>
      <c r="BB376" s="193">
        <v>0</v>
      </c>
      <c r="BC376" s="193">
        <v>0</v>
      </c>
      <c r="BD376" s="193">
        <v>0</v>
      </c>
      <c r="BE376" s="193">
        <v>0</v>
      </c>
      <c r="BF376" s="193">
        <v>0</v>
      </c>
      <c r="BG376" s="193">
        <v>0</v>
      </c>
      <c r="BH376" s="193">
        <v>0</v>
      </c>
      <c r="BI376" s="193">
        <v>0</v>
      </c>
      <c r="BJ376" s="193">
        <v>0</v>
      </c>
      <c r="BK376" s="193">
        <v>0</v>
      </c>
      <c r="BL376" s="193">
        <v>0</v>
      </c>
      <c r="BM376" s="193">
        <v>0</v>
      </c>
      <c r="BN376" s="193">
        <v>0</v>
      </c>
      <c r="BO376" s="193">
        <v>0</v>
      </c>
      <c r="BP376" s="193">
        <v>0</v>
      </c>
      <c r="BQ376" s="193">
        <v>0</v>
      </c>
      <c r="BR376" s="193">
        <v>0</v>
      </c>
      <c r="BS376" s="193">
        <v>0</v>
      </c>
      <c r="BT376" s="193">
        <v>0</v>
      </c>
      <c r="BU376" s="193">
        <v>0</v>
      </c>
      <c r="BV376" s="193">
        <v>0</v>
      </c>
      <c r="BW376" s="193">
        <v>0</v>
      </c>
      <c r="BX376" s="193">
        <v>0</v>
      </c>
      <c r="BY376" s="193">
        <v>0</v>
      </c>
      <c r="BZ376" s="193">
        <v>0</v>
      </c>
      <c r="CA376" s="193">
        <v>0</v>
      </c>
      <c r="CB376" s="193">
        <v>0</v>
      </c>
      <c r="CC376" s="193">
        <v>0</v>
      </c>
      <c r="CD376" s="193">
        <v>0</v>
      </c>
      <c r="CE376" s="193">
        <v>0</v>
      </c>
      <c r="CF376" s="193">
        <v>0</v>
      </c>
      <c r="CG376" s="193">
        <v>0</v>
      </c>
      <c r="CH376" s="193">
        <v>0</v>
      </c>
      <c r="CI376" s="193">
        <v>0</v>
      </c>
      <c r="CJ376" s="193">
        <v>0</v>
      </c>
      <c r="CK376" s="193">
        <v>0</v>
      </c>
      <c r="CL376" s="193">
        <v>0</v>
      </c>
      <c r="CM376" s="193">
        <v>0</v>
      </c>
      <c r="CN376" s="193">
        <v>0</v>
      </c>
      <c r="CO376" s="193">
        <v>0</v>
      </c>
    </row>
    <row r="377" spans="1:93" x14ac:dyDescent="0.2">
      <c r="A377" s="118">
        <f t="shared" si="42"/>
        <v>12</v>
      </c>
      <c r="B377" s="239" t="s">
        <v>594</v>
      </c>
      <c r="C377" s="223"/>
      <c r="D377" s="168"/>
      <c r="E377" s="225"/>
      <c r="F377" s="183"/>
      <c r="G377" s="233"/>
      <c r="H377" s="168"/>
      <c r="I377" s="308"/>
      <c r="J377" s="168"/>
      <c r="K377" s="225"/>
      <c r="L377" s="183"/>
      <c r="M377" s="233"/>
      <c r="N377" s="168"/>
      <c r="O377" s="227"/>
      <c r="R377" s="227"/>
      <c r="S377" s="263"/>
      <c r="T377" s="927"/>
      <c r="U377" s="178"/>
      <c r="V377" s="179"/>
      <c r="W377" s="180"/>
      <c r="X377" s="227"/>
      <c r="Y377" s="178"/>
      <c r="Z377" s="181"/>
      <c r="AA377" s="227"/>
      <c r="AB377" s="227"/>
      <c r="AD377" s="260"/>
      <c r="AE377" s="260"/>
      <c r="AF377" s="260"/>
      <c r="AG377" s="114"/>
    </row>
    <row r="378" spans="1:93" x14ac:dyDescent="0.2">
      <c r="A378" s="118">
        <f t="shared" si="42"/>
        <v>13</v>
      </c>
      <c r="B378" s="228" t="s">
        <v>543</v>
      </c>
      <c r="C378" s="223"/>
      <c r="D378" s="168"/>
      <c r="E378" s="225"/>
      <c r="F378" s="183"/>
      <c r="G378" s="233"/>
      <c r="H378" s="168"/>
      <c r="I378" s="308"/>
      <c r="J378" s="168"/>
      <c r="K378" s="225"/>
      <c r="L378" s="310"/>
      <c r="M378" s="233"/>
      <c r="N378" s="168"/>
      <c r="O378" s="227"/>
      <c r="R378" s="227"/>
      <c r="S378" s="263"/>
      <c r="T378" s="227"/>
      <c r="U378" s="178"/>
      <c r="V378" s="179"/>
      <c r="W378" s="180"/>
      <c r="X378" s="227"/>
      <c r="Y378" s="178"/>
      <c r="Z378" s="181"/>
      <c r="AA378" s="227"/>
      <c r="AB378" s="227"/>
      <c r="AD378" s="114"/>
      <c r="AE378" s="260"/>
      <c r="AF378" s="114"/>
      <c r="AG378" s="114"/>
    </row>
    <row r="379" spans="1:93" x14ac:dyDescent="0.2">
      <c r="A379" s="118">
        <f t="shared" si="42"/>
        <v>14</v>
      </c>
      <c r="B379" s="234" t="s">
        <v>149</v>
      </c>
      <c r="C379" s="223"/>
      <c r="D379" s="172">
        <f>SUMIF($AH$6:$CP$6,1,$AH379:$CP379)</f>
        <v>67319.505608535808</v>
      </c>
      <c r="E379" s="225" t="s">
        <v>596</v>
      </c>
      <c r="F379" s="183">
        <v>12.16</v>
      </c>
      <c r="G379" s="233" t="s">
        <v>375</v>
      </c>
      <c r="H379" s="168">
        <f>ROUND(D379*F379,2)</f>
        <v>818605.19</v>
      </c>
      <c r="I379" s="308"/>
      <c r="J379" s="172">
        <f>SUMIF($AH$6:$CP$6,1,$AH379:$CP379)</f>
        <v>67319.505608535808</v>
      </c>
      <c r="K379" s="225" t="s">
        <v>596</v>
      </c>
      <c r="L379" s="173">
        <f>'Exhibit MJC-3 - E-13c cal yr'!L419</f>
        <v>12.71</v>
      </c>
      <c r="M379" s="233" t="s">
        <v>375</v>
      </c>
      <c r="N379" s="168">
        <f>ROUND(J379*L379,2)</f>
        <v>855630.92</v>
      </c>
      <c r="O379" s="227"/>
      <c r="Q379" s="1022"/>
      <c r="R379" s="227"/>
      <c r="S379" s="263"/>
      <c r="T379" s="197"/>
      <c r="U379" s="184" t="s">
        <v>623</v>
      </c>
      <c r="V379" s="179">
        <v>252</v>
      </c>
      <c r="W379" s="180">
        <v>226</v>
      </c>
      <c r="X379" s="227"/>
      <c r="Y379" s="184"/>
      <c r="Z379" s="181"/>
      <c r="AA379" s="227"/>
      <c r="AB379" s="182">
        <f>SUM(AH379:AS379)</f>
        <v>66067.988057592578</v>
      </c>
      <c r="AC379" s="182">
        <f>SUM(AT379:BE379)</f>
        <v>66023.050726794012</v>
      </c>
      <c r="AD379" s="182">
        <f>SUM(BF379:BQ379)</f>
        <v>66448.765308056085</v>
      </c>
      <c r="AE379" s="182">
        <f>SUM(BR379:CC379)</f>
        <v>67319.505608535808</v>
      </c>
      <c r="AF379" s="182">
        <f>SUM(CD379:CO379)</f>
        <v>67433.229393219066</v>
      </c>
      <c r="AH379" s="168">
        <v>10354.339623920152</v>
      </c>
      <c r="AI379" s="168">
        <v>7482.879664034449</v>
      </c>
      <c r="AJ379" s="168">
        <v>3827.493208503608</v>
      </c>
      <c r="AK379" s="168">
        <v>4994.5551275759954</v>
      </c>
      <c r="AL379" s="168">
        <v>4495.9251715177925</v>
      </c>
      <c r="AM379" s="168">
        <v>5865.8366927331253</v>
      </c>
      <c r="AN379" s="168">
        <v>5791.4759792706072</v>
      </c>
      <c r="AO379" s="168">
        <v>5015.1688448984096</v>
      </c>
      <c r="AP379" s="168">
        <v>4609.3299841421758</v>
      </c>
      <c r="AQ379" s="168">
        <v>4630.2071660816337</v>
      </c>
      <c r="AR379" s="168">
        <v>5677.3636012417628</v>
      </c>
      <c r="AS379" s="168">
        <v>3323.4129936728605</v>
      </c>
      <c r="AT379" s="168">
        <v>10559.64808609638</v>
      </c>
      <c r="AU379" s="168">
        <v>7538.7112621790511</v>
      </c>
      <c r="AV379" s="168">
        <v>3771.8776824274432</v>
      </c>
      <c r="AW379" s="168">
        <v>5034.5577895486413</v>
      </c>
      <c r="AX379" s="168">
        <v>4460.6407896918499</v>
      </c>
      <c r="AY379" s="168">
        <v>5717.7730392035728</v>
      </c>
      <c r="AZ379" s="168">
        <v>5832.1984416920404</v>
      </c>
      <c r="BA379" s="168">
        <v>4950.8614896882527</v>
      </c>
      <c r="BB379" s="168">
        <v>4588.7233817711785</v>
      </c>
      <c r="BC379" s="168">
        <v>4643.1968809597965</v>
      </c>
      <c r="BD379" s="168">
        <v>5632.997217938344</v>
      </c>
      <c r="BE379" s="168">
        <v>3291.8646655974762</v>
      </c>
      <c r="BF379" s="168">
        <v>10544.538169705589</v>
      </c>
      <c r="BG379" s="168">
        <v>7638.8451345854764</v>
      </c>
      <c r="BH379" s="168">
        <v>3836.145416650168</v>
      </c>
      <c r="BI379" s="168">
        <v>5017.9969103449193</v>
      </c>
      <c r="BJ379" s="168">
        <v>4495.8878835851938</v>
      </c>
      <c r="BK379" s="168">
        <v>5807.2656074045672</v>
      </c>
      <c r="BL379" s="168">
        <v>5876.3160209640891</v>
      </c>
      <c r="BM379" s="168">
        <v>4994.1959574183002</v>
      </c>
      <c r="BN379" s="168">
        <v>4610.9274542960993</v>
      </c>
      <c r="BO379" s="168">
        <v>4625.2124773865944</v>
      </c>
      <c r="BP379" s="168">
        <v>5642.7281749608201</v>
      </c>
      <c r="BQ379" s="168">
        <v>3358.7061007542725</v>
      </c>
      <c r="BR379" s="168">
        <v>10673.224239835999</v>
      </c>
      <c r="BS379" s="168">
        <v>7688.371190482585</v>
      </c>
      <c r="BT379" s="168">
        <v>3923.6834280824937</v>
      </c>
      <c r="BU379" s="168">
        <v>5141.0250583487414</v>
      </c>
      <c r="BV379" s="168">
        <v>4481.2318022424988</v>
      </c>
      <c r="BW379" s="168">
        <v>5936.2105018138718</v>
      </c>
      <c r="BX379" s="168">
        <v>5995.6456662428627</v>
      </c>
      <c r="BY379" s="168">
        <v>5064.1827364413239</v>
      </c>
      <c r="BZ379" s="168">
        <v>4656.9776752942571</v>
      </c>
      <c r="CA379" s="168">
        <v>4693.8532756922923</v>
      </c>
      <c r="CB379" s="168">
        <v>5712.861778599794</v>
      </c>
      <c r="CC379" s="168">
        <v>3352.2382554590899</v>
      </c>
      <c r="CD379" s="168">
        <v>10733.31190606874</v>
      </c>
      <c r="CE379" s="168">
        <v>7635.158483904871</v>
      </c>
      <c r="CF379" s="168">
        <v>3858.0509948479753</v>
      </c>
      <c r="CG379" s="168">
        <v>5197.561188128283</v>
      </c>
      <c r="CH379" s="168">
        <v>4538.6948504641896</v>
      </c>
      <c r="CI379" s="168">
        <v>5870.092711610554</v>
      </c>
      <c r="CJ379" s="168">
        <v>5981.9365182393603</v>
      </c>
      <c r="CK379" s="168">
        <v>5064.1176335183591</v>
      </c>
      <c r="CL379" s="168">
        <v>4722.9434887056459</v>
      </c>
      <c r="CM379" s="168">
        <v>4704.7241680243214</v>
      </c>
      <c r="CN379" s="168">
        <v>5774.5750042702057</v>
      </c>
      <c r="CO379" s="168">
        <v>3352.0624454365543</v>
      </c>
    </row>
    <row r="380" spans="1:93" x14ac:dyDescent="0.2">
      <c r="A380" s="118">
        <f t="shared" si="42"/>
        <v>15</v>
      </c>
      <c r="B380" s="234" t="s">
        <v>148</v>
      </c>
      <c r="C380" s="223"/>
      <c r="D380" s="172">
        <f>SUMIF($AH$6:$CP$6,1,$AH380:$CP380)</f>
        <v>346466.63298563985</v>
      </c>
      <c r="E380" s="225" t="s">
        <v>596</v>
      </c>
      <c r="F380" s="310">
        <v>10.86</v>
      </c>
      <c r="G380" s="233" t="s">
        <v>375</v>
      </c>
      <c r="H380" s="168">
        <f>ROUND(D380*F380,2)</f>
        <v>3762627.63</v>
      </c>
      <c r="I380" s="308"/>
      <c r="J380" s="172">
        <f>SUMIF($AH$6:$CP$6,1,$AH380:$CP380)</f>
        <v>346466.63298563985</v>
      </c>
      <c r="K380" s="225" t="s">
        <v>596</v>
      </c>
      <c r="L380" s="173">
        <f>'Exhibit MJC-3 - E-13c cal yr'!L420</f>
        <v>11.37</v>
      </c>
      <c r="M380" s="233" t="s">
        <v>375</v>
      </c>
      <c r="N380" s="168">
        <f>ROUND(J380*L380,2)</f>
        <v>3939325.62</v>
      </c>
      <c r="O380" s="227"/>
      <c r="Q380" s="1022"/>
      <c r="R380" s="227"/>
      <c r="S380" s="263"/>
      <c r="T380" s="197"/>
      <c r="U380" s="184" t="s">
        <v>623</v>
      </c>
      <c r="V380" s="179">
        <v>252</v>
      </c>
      <c r="W380" s="180">
        <v>226</v>
      </c>
      <c r="X380" s="227"/>
      <c r="Y380" s="184"/>
      <c r="Z380" s="181"/>
      <c r="AA380" s="227"/>
      <c r="AB380" s="182">
        <f>SUM(AH380:AS380)</f>
        <v>340025.57154173707</v>
      </c>
      <c r="AC380" s="182">
        <f>SUM(AT380:BE380)</f>
        <v>339794.29703137936</v>
      </c>
      <c r="AD380" s="182">
        <f>SUM(BF380:BQ380)</f>
        <v>341985.28010900994</v>
      </c>
      <c r="AE380" s="182">
        <f>SUM(BR380:CC380)</f>
        <v>346466.63298563985</v>
      </c>
      <c r="AF380" s="182">
        <f>SUM(CD380:CO380)</f>
        <v>347051.92392640689</v>
      </c>
      <c r="AH380" s="168">
        <v>30599.827686544009</v>
      </c>
      <c r="AI380" s="168">
        <v>47451.807734447255</v>
      </c>
      <c r="AJ380" s="168">
        <v>24722.948452015808</v>
      </c>
      <c r="AK380" s="168">
        <v>25028.799307011224</v>
      </c>
      <c r="AL380" s="168">
        <v>22414.855254012127</v>
      </c>
      <c r="AM380" s="168">
        <v>27424.167216350717</v>
      </c>
      <c r="AN380" s="168">
        <v>26551.885193867016</v>
      </c>
      <c r="AO380" s="168">
        <v>25661.295173046285</v>
      </c>
      <c r="AP380" s="168">
        <v>26411.473752739163</v>
      </c>
      <c r="AQ380" s="168">
        <v>30187.533444545865</v>
      </c>
      <c r="AR380" s="168">
        <v>30662.96247566738</v>
      </c>
      <c r="AS380" s="168">
        <v>22908.015851490287</v>
      </c>
      <c r="AT380" s="168">
        <v>31520.365134683194</v>
      </c>
      <c r="AU380" s="168">
        <v>47939.084659722663</v>
      </c>
      <c r="AV380" s="168">
        <v>24498.933554299445</v>
      </c>
      <c r="AW380" s="168">
        <v>25205.967329127623</v>
      </c>
      <c r="AX380" s="168">
        <v>22294.833849784376</v>
      </c>
      <c r="AY380" s="168">
        <v>26794.068700729869</v>
      </c>
      <c r="AZ380" s="168">
        <v>26757.809611739747</v>
      </c>
      <c r="BA380" s="168">
        <v>25291.926713013141</v>
      </c>
      <c r="BB380" s="168">
        <v>26243.218899136427</v>
      </c>
      <c r="BC380" s="168">
        <v>30224.908136023838</v>
      </c>
      <c r="BD380" s="168">
        <v>30369.439472014816</v>
      </c>
      <c r="BE380" s="168">
        <v>22653.740971104184</v>
      </c>
      <c r="BF380" s="168">
        <v>31403.078119196893</v>
      </c>
      <c r="BG380" s="168">
        <v>48519.69351990494</v>
      </c>
      <c r="BH380" s="168">
        <v>24869.860178628649</v>
      </c>
      <c r="BI380" s="168">
        <v>25114.241649634183</v>
      </c>
      <c r="BJ380" s="168">
        <v>22445.610515815624</v>
      </c>
      <c r="BK380" s="168">
        <v>27184.485645496898</v>
      </c>
      <c r="BL380" s="168">
        <v>26942.147519922786</v>
      </c>
      <c r="BM380" s="168">
        <v>25508.543096872359</v>
      </c>
      <c r="BN380" s="168">
        <v>26368.021453287551</v>
      </c>
      <c r="BO380" s="168">
        <v>30101.93444968147</v>
      </c>
      <c r="BP380" s="168">
        <v>30418.01960927355</v>
      </c>
      <c r="BQ380" s="168">
        <v>23109.644351295108</v>
      </c>
      <c r="BR380" s="168">
        <v>31792.757113262618</v>
      </c>
      <c r="BS380" s="168">
        <v>48849.235306147937</v>
      </c>
      <c r="BT380" s="168">
        <v>25442.802637659395</v>
      </c>
      <c r="BU380" s="168">
        <v>25740.341256102212</v>
      </c>
      <c r="BV380" s="168">
        <v>22379.312846388664</v>
      </c>
      <c r="BW380" s="168">
        <v>27796.897055917289</v>
      </c>
      <c r="BX380" s="168">
        <v>27499.352424356774</v>
      </c>
      <c r="BY380" s="168">
        <v>25876.971735187995</v>
      </c>
      <c r="BZ380" s="168">
        <v>26643.046385452515</v>
      </c>
      <c r="CA380" s="168">
        <v>30561.568853838482</v>
      </c>
      <c r="CB380" s="168">
        <v>30809.397347636539</v>
      </c>
      <c r="CC380" s="168">
        <v>23074.950023689446</v>
      </c>
      <c r="CD380" s="168">
        <v>31940.429445505782</v>
      </c>
      <c r="CE380" s="168">
        <v>48536.306840528494</v>
      </c>
      <c r="CF380" s="168">
        <v>25029.52862255149</v>
      </c>
      <c r="CG380" s="168">
        <v>26045.423989005289</v>
      </c>
      <c r="CH380" s="168">
        <v>22680.057052341246</v>
      </c>
      <c r="CI380" s="168">
        <v>27503.121160450246</v>
      </c>
      <c r="CJ380" s="168">
        <v>27453.754338481333</v>
      </c>
      <c r="CK380" s="168">
        <v>25899.115827595906</v>
      </c>
      <c r="CL380" s="168">
        <v>27042.85390126628</v>
      </c>
      <c r="CM380" s="168">
        <v>30659.066162077273</v>
      </c>
      <c r="CN380" s="168">
        <v>31168.572202291674</v>
      </c>
      <c r="CO380" s="168">
        <v>23093.694384311908</v>
      </c>
    </row>
    <row r="381" spans="1:93" x14ac:dyDescent="0.2">
      <c r="A381" s="118">
        <f t="shared" si="42"/>
        <v>16</v>
      </c>
      <c r="B381" s="234" t="s">
        <v>597</v>
      </c>
      <c r="C381" s="223"/>
      <c r="D381" s="172">
        <f>SUMIF($AH$6:$CP$6,1,$AH381:$CP381)</f>
        <v>0</v>
      </c>
      <c r="E381" s="225" t="s">
        <v>596</v>
      </c>
      <c r="F381" s="183">
        <v>5.98</v>
      </c>
      <c r="G381" s="233" t="s">
        <v>375</v>
      </c>
      <c r="H381" s="174">
        <f>ROUND(D381*F381,2)</f>
        <v>0</v>
      </c>
      <c r="I381" s="229"/>
      <c r="J381" s="172">
        <f>SUMIF($AH$6:$CP$6,1,$AH381:$CP381)</f>
        <v>0</v>
      </c>
      <c r="K381" s="225" t="s">
        <v>596</v>
      </c>
      <c r="L381" s="173">
        <f>'Exhibit MJC-3 - E-13c cal yr'!L421</f>
        <v>6.24</v>
      </c>
      <c r="M381" s="233" t="s">
        <v>375</v>
      </c>
      <c r="N381" s="174">
        <f>ROUND(J381*L381,2)</f>
        <v>0</v>
      </c>
      <c r="O381" s="227"/>
      <c r="R381" s="227"/>
      <c r="S381" s="227"/>
      <c r="T381" s="927"/>
      <c r="U381" s="184" t="s">
        <v>623</v>
      </c>
      <c r="V381" s="179">
        <v>252</v>
      </c>
      <c r="W381" s="180">
        <v>226</v>
      </c>
      <c r="X381" s="227"/>
      <c r="Y381" s="184"/>
      <c r="Z381" s="181"/>
      <c r="AA381" s="227"/>
      <c r="AB381" s="182">
        <f>SUM(AH381:AS381)</f>
        <v>0</v>
      </c>
      <c r="AC381" s="182">
        <f>SUM(AT381:BE381)</f>
        <v>0</v>
      </c>
      <c r="AD381" s="182">
        <f>SUM(BF381:BQ381)</f>
        <v>0</v>
      </c>
      <c r="AE381" s="182">
        <f>SUM(BR381:CC381)</f>
        <v>0</v>
      </c>
      <c r="AF381" s="182">
        <f>SUM(CD381:CO381)</f>
        <v>0</v>
      </c>
      <c r="AH381" s="168"/>
      <c r="AI381" s="168"/>
      <c r="AJ381" s="168"/>
      <c r="AK381" s="168"/>
      <c r="AL381" s="168"/>
      <c r="AM381" s="168"/>
      <c r="AN381" s="168"/>
      <c r="AO381" s="168"/>
      <c r="AP381" s="168"/>
      <c r="AQ381" s="168"/>
      <c r="AR381" s="168"/>
      <c r="AS381" s="168"/>
      <c r="AT381" s="168"/>
      <c r="AU381" s="168"/>
      <c r="AV381" s="168"/>
      <c r="AW381" s="168"/>
      <c r="AX381" s="168"/>
      <c r="AY381" s="168"/>
      <c r="AZ381" s="168"/>
      <c r="BA381" s="168"/>
      <c r="BB381" s="168"/>
      <c r="BC381" s="168"/>
      <c r="BD381" s="168"/>
      <c r="BE381" s="168"/>
      <c r="BF381" s="168"/>
      <c r="BG381" s="168"/>
      <c r="BH381" s="168"/>
      <c r="BI381" s="168"/>
      <c r="BJ381" s="168"/>
      <c r="BK381" s="168"/>
      <c r="BL381" s="168"/>
      <c r="BM381" s="168"/>
      <c r="BN381" s="168"/>
      <c r="BO381" s="168"/>
      <c r="BP381" s="168"/>
      <c r="BQ381" s="168"/>
      <c r="BR381" s="168"/>
      <c r="BS381" s="168"/>
      <c r="BT381" s="168"/>
      <c r="BU381" s="168"/>
      <c r="BV381" s="168"/>
      <c r="BW381" s="168"/>
      <c r="BX381" s="168"/>
      <c r="BY381" s="168"/>
      <c r="BZ381" s="168"/>
      <c r="CA381" s="168"/>
      <c r="CB381" s="168"/>
      <c r="CC381" s="168"/>
      <c r="CD381" s="168"/>
      <c r="CE381" s="168"/>
      <c r="CF381" s="168"/>
      <c r="CG381" s="168"/>
      <c r="CH381" s="168"/>
      <c r="CI381" s="168"/>
      <c r="CJ381" s="168"/>
      <c r="CK381" s="168"/>
      <c r="CL381" s="168"/>
      <c r="CM381" s="168"/>
      <c r="CN381" s="168"/>
      <c r="CO381" s="168"/>
    </row>
    <row r="382" spans="1:93" x14ac:dyDescent="0.2">
      <c r="A382" s="118">
        <f t="shared" si="42"/>
        <v>17</v>
      </c>
      <c r="B382" s="234" t="s">
        <v>598</v>
      </c>
      <c r="C382" s="223"/>
      <c r="D382" s="172">
        <f>SUMIF($AH$6:$CP$6,1,$AH382:$CP382)</f>
        <v>0</v>
      </c>
      <c r="E382" s="225" t="s">
        <v>596</v>
      </c>
      <c r="F382" s="183">
        <v>3.55</v>
      </c>
      <c r="G382" s="233" t="s">
        <v>375</v>
      </c>
      <c r="H382" s="174">
        <f>ROUND(D382*F382,2)</f>
        <v>0</v>
      </c>
      <c r="I382" s="229"/>
      <c r="J382" s="172">
        <f>SUMIF($AH$6:$CP$6,1,$AH382:$CP382)</f>
        <v>0</v>
      </c>
      <c r="K382" s="225" t="s">
        <v>596</v>
      </c>
      <c r="L382" s="173">
        <f>'Exhibit MJC-3 - E-13c cal yr'!L422</f>
        <v>3.67</v>
      </c>
      <c r="M382" s="233" t="s">
        <v>375</v>
      </c>
      <c r="N382" s="174">
        <f>ROUND(J382*L382,2)</f>
        <v>0</v>
      </c>
      <c r="O382" s="227"/>
      <c r="R382" s="227"/>
      <c r="S382" s="262"/>
      <c r="T382" s="247"/>
      <c r="U382" s="184" t="s">
        <v>623</v>
      </c>
      <c r="V382" s="179">
        <v>252</v>
      </c>
      <c r="W382" s="180">
        <v>226</v>
      </c>
      <c r="X382" s="227"/>
      <c r="Y382" s="184"/>
      <c r="Z382" s="181"/>
      <c r="AA382" s="227"/>
      <c r="AB382" s="182">
        <f>SUM(AH382:AS382)</f>
        <v>0</v>
      </c>
      <c r="AC382" s="182">
        <f>SUM(AT382:BE382)</f>
        <v>0</v>
      </c>
      <c r="AD382" s="182">
        <f>SUM(BF382:BQ382)</f>
        <v>0</v>
      </c>
      <c r="AE382" s="182">
        <f>SUM(BR382:CC382)</f>
        <v>0</v>
      </c>
      <c r="AF382" s="182">
        <f>SUM(CD382:CO382)</f>
        <v>0</v>
      </c>
      <c r="AH382" s="168"/>
      <c r="AI382" s="168"/>
      <c r="AJ382" s="168"/>
      <c r="AK382" s="168"/>
      <c r="AL382" s="168"/>
      <c r="AM382" s="168"/>
      <c r="AN382" s="168"/>
      <c r="AO382" s="168"/>
      <c r="AP382" s="168"/>
      <c r="AQ382" s="168"/>
      <c r="AR382" s="168"/>
      <c r="AS382" s="168"/>
      <c r="AT382" s="168"/>
      <c r="AU382" s="168"/>
      <c r="AV382" s="168"/>
      <c r="AW382" s="168"/>
      <c r="AX382" s="168"/>
      <c r="AY382" s="168"/>
      <c r="AZ382" s="168"/>
      <c r="BA382" s="168"/>
      <c r="BB382" s="168"/>
      <c r="BC382" s="168"/>
      <c r="BD382" s="168"/>
      <c r="BE382" s="168"/>
      <c r="BF382" s="168"/>
      <c r="BG382" s="168"/>
      <c r="BH382" s="168"/>
      <c r="BI382" s="168"/>
      <c r="BJ382" s="168"/>
      <c r="BK382" s="168"/>
      <c r="BL382" s="168"/>
      <c r="BM382" s="168"/>
      <c r="BN382" s="168"/>
      <c r="BO382" s="168"/>
      <c r="BP382" s="168"/>
      <c r="BQ382" s="168"/>
      <c r="BR382" s="168"/>
      <c r="BS382" s="168"/>
      <c r="BT382" s="168"/>
      <c r="BU382" s="168"/>
      <c r="BV382" s="168"/>
      <c r="BW382" s="168"/>
      <c r="BX382" s="168"/>
      <c r="BY382" s="168"/>
      <c r="BZ382" s="168"/>
      <c r="CA382" s="168"/>
      <c r="CB382" s="168"/>
      <c r="CC382" s="168"/>
      <c r="CD382" s="168"/>
      <c r="CE382" s="168"/>
      <c r="CF382" s="168"/>
      <c r="CG382" s="168"/>
      <c r="CH382" s="168"/>
      <c r="CI382" s="168"/>
      <c r="CJ382" s="168"/>
      <c r="CK382" s="168"/>
      <c r="CL382" s="168"/>
      <c r="CM382" s="168"/>
      <c r="CN382" s="168"/>
      <c r="CO382" s="168"/>
    </row>
    <row r="383" spans="1:93" x14ac:dyDescent="0.2">
      <c r="A383" s="118">
        <f t="shared" si="42"/>
        <v>18</v>
      </c>
      <c r="B383" s="226" t="s">
        <v>546</v>
      </c>
      <c r="C383" s="223"/>
      <c r="D383" s="168"/>
      <c r="E383" s="225"/>
      <c r="F383" s="183"/>
      <c r="G383" s="233"/>
      <c r="H383" s="168"/>
      <c r="I383" s="308"/>
      <c r="J383" s="168"/>
      <c r="K383" s="225"/>
      <c r="L383" s="183"/>
      <c r="M383" s="233"/>
      <c r="N383" s="168"/>
      <c r="O383" s="227"/>
      <c r="R383" s="227"/>
      <c r="S383" s="262"/>
      <c r="T383" s="247"/>
      <c r="U383" s="178"/>
      <c r="V383" s="179"/>
      <c r="W383" s="180"/>
      <c r="X383" s="227"/>
      <c r="Y383" s="178"/>
      <c r="Z383" s="181"/>
      <c r="AA383" s="227"/>
      <c r="AB383" s="227"/>
      <c r="AE383" s="260"/>
      <c r="AF383" s="241"/>
      <c r="AG383" s="114"/>
    </row>
    <row r="384" spans="1:93" x14ac:dyDescent="0.2">
      <c r="A384" s="118">
        <f t="shared" si="42"/>
        <v>19</v>
      </c>
      <c r="B384" s="234" t="s">
        <v>149</v>
      </c>
      <c r="C384" s="223"/>
      <c r="D384" s="168"/>
      <c r="E384" s="225"/>
      <c r="F384" s="183"/>
      <c r="G384" s="233"/>
      <c r="H384" s="168"/>
      <c r="I384" s="308"/>
      <c r="J384" s="168"/>
      <c r="K384" s="225"/>
      <c r="L384" s="310"/>
      <c r="M384" s="233"/>
      <c r="N384" s="168"/>
      <c r="O384" s="227"/>
      <c r="R384" s="227"/>
      <c r="S384" s="262"/>
      <c r="T384" s="247"/>
      <c r="U384" s="178" t="s">
        <v>624</v>
      </c>
      <c r="V384" s="179">
        <v>254</v>
      </c>
      <c r="W384" s="180">
        <v>228</v>
      </c>
      <c r="X384" s="227"/>
      <c r="Y384" s="178"/>
      <c r="Z384" s="181"/>
      <c r="AA384" s="227"/>
      <c r="AB384" s="182">
        <f>SUM(AH384:AS384)</f>
        <v>0</v>
      </c>
      <c r="AC384" s="182">
        <f>SUM(AT384:BE384)</f>
        <v>0</v>
      </c>
      <c r="AD384" s="182">
        <f>SUM(BF384:BQ384)</f>
        <v>0</v>
      </c>
      <c r="AE384" s="182">
        <f>SUM(BR384:CC384)</f>
        <v>0</v>
      </c>
      <c r="AF384" s="182">
        <f>SUM(CD384:CO384)</f>
        <v>0</v>
      </c>
      <c r="AG384" s="114"/>
    </row>
    <row r="385" spans="1:93" x14ac:dyDescent="0.2">
      <c r="A385" s="118">
        <f t="shared" si="42"/>
        <v>20</v>
      </c>
      <c r="B385" s="243" t="s">
        <v>559</v>
      </c>
      <c r="C385" s="223"/>
      <c r="D385" s="172">
        <f>SUMIF($AH$6:$CP$6,1,$AH385:$CP385)</f>
        <v>608723.28058436874</v>
      </c>
      <c r="E385" s="225" t="s">
        <v>596</v>
      </c>
      <c r="F385" s="183">
        <v>2.75</v>
      </c>
      <c r="G385" s="233" t="s">
        <v>375</v>
      </c>
      <c r="H385" s="168">
        <f>ROUND(D385*F385,2)</f>
        <v>1673989.02</v>
      </c>
      <c r="I385" s="308"/>
      <c r="J385" s="172">
        <f>SUMIF($AH$6:$CP$6,1,$AH385:$CP385)</f>
        <v>608723.28058436874</v>
      </c>
      <c r="K385" s="225" t="s">
        <v>596</v>
      </c>
      <c r="L385" s="173">
        <f>'Exhibit MJC-3 - E-13c cal yr'!L425</f>
        <v>2.86</v>
      </c>
      <c r="M385" s="233" t="s">
        <v>375</v>
      </c>
      <c r="N385" s="168">
        <f>ROUND(J385*L385,2)</f>
        <v>1740948.58</v>
      </c>
      <c r="O385" s="227"/>
      <c r="Q385" s="1022"/>
      <c r="R385" s="182"/>
      <c r="S385" s="262"/>
      <c r="T385" s="247"/>
      <c r="U385" s="178" t="s">
        <v>624</v>
      </c>
      <c r="V385" s="179">
        <v>254</v>
      </c>
      <c r="W385" s="180">
        <v>228</v>
      </c>
      <c r="X385" s="227"/>
      <c r="Y385" s="178"/>
      <c r="Z385" s="181"/>
      <c r="AA385" s="227"/>
      <c r="AB385" s="182">
        <f>SUM(AH385:AS385)</f>
        <v>597406.68129516556</v>
      </c>
      <c r="AC385" s="182">
        <f>SUM(AT385:BE385)</f>
        <v>597000.34439210687</v>
      </c>
      <c r="AD385" s="182">
        <f>SUM(BF385:BQ385)</f>
        <v>600849.78407761746</v>
      </c>
      <c r="AE385" s="182">
        <f>SUM(BR385:CC385)</f>
        <v>608723.28058436874</v>
      </c>
      <c r="AF385" s="182">
        <f>SUM(CD385:CO385)</f>
        <v>609751.60535691574</v>
      </c>
      <c r="AH385" s="168">
        <v>85730.427988201336</v>
      </c>
      <c r="AI385" s="168">
        <v>92449.622590966479</v>
      </c>
      <c r="AJ385" s="168">
        <v>56724.34341466138</v>
      </c>
      <c r="AK385" s="168">
        <v>31021.702776679154</v>
      </c>
      <c r="AL385" s="168">
        <v>36457.808167038733</v>
      </c>
      <c r="AM385" s="168">
        <v>41924.282904508822</v>
      </c>
      <c r="AN385" s="168">
        <v>39349.549744849537</v>
      </c>
      <c r="AO385" s="168">
        <v>29779.545839687886</v>
      </c>
      <c r="AP385" s="168">
        <v>45017.905057061515</v>
      </c>
      <c r="AQ385" s="168">
        <v>44973.730388447068</v>
      </c>
      <c r="AR385" s="168">
        <v>24216.379769657648</v>
      </c>
      <c r="AS385" s="168">
        <v>69761.382653405977</v>
      </c>
      <c r="AT385" s="168">
        <v>88541.843992941809</v>
      </c>
      <c r="AU385" s="168">
        <v>93170.16516110189</v>
      </c>
      <c r="AV385" s="168">
        <v>56028.945493357569</v>
      </c>
      <c r="AW385" s="168">
        <v>31152.973950061525</v>
      </c>
      <c r="AX385" s="168">
        <v>36157.923891884864</v>
      </c>
      <c r="AY385" s="168">
        <v>40855.039078919515</v>
      </c>
      <c r="AZ385" s="168">
        <v>39564.807033961333</v>
      </c>
      <c r="BA385" s="168">
        <v>29266.837074669744</v>
      </c>
      <c r="BB385" s="168">
        <v>44630.252402570593</v>
      </c>
      <c r="BC385" s="168">
        <v>44905.820823110684</v>
      </c>
      <c r="BD385" s="168">
        <v>23919.301610135317</v>
      </c>
      <c r="BE385" s="168">
        <v>68806.43387939212</v>
      </c>
      <c r="BF385" s="168">
        <v>88011.433036293121</v>
      </c>
      <c r="BG385" s="168">
        <v>94237.562491708639</v>
      </c>
      <c r="BH385" s="168">
        <v>56854.456484605173</v>
      </c>
      <c r="BI385" s="168">
        <v>31023.223909728214</v>
      </c>
      <c r="BJ385" s="168">
        <v>36384.529772382193</v>
      </c>
      <c r="BK385" s="168">
        <v>41425.405899880854</v>
      </c>
      <c r="BL385" s="168">
        <v>39808.979428851395</v>
      </c>
      <c r="BM385" s="168">
        <v>29503.036631266077</v>
      </c>
      <c r="BN385" s="168">
        <v>44809.378391764258</v>
      </c>
      <c r="BO385" s="168">
        <v>44698.348206003851</v>
      </c>
      <c r="BP385" s="168">
        <v>23944.851244482459</v>
      </c>
      <c r="BQ385" s="168">
        <v>70148.578580651287</v>
      </c>
      <c r="BR385" s="168">
        <v>89175.843997527089</v>
      </c>
      <c r="BS385" s="168">
        <v>94978.579583724684</v>
      </c>
      <c r="BT385" s="168">
        <v>58228.490253368516</v>
      </c>
      <c r="BU385" s="168">
        <v>31831.094884135378</v>
      </c>
      <c r="BV385" s="168">
        <v>36316.234691101679</v>
      </c>
      <c r="BW385" s="168">
        <v>42403.979251358774</v>
      </c>
      <c r="BX385" s="168">
        <v>40675.280609232439</v>
      </c>
      <c r="BY385" s="168">
        <v>29961.322243961986</v>
      </c>
      <c r="BZ385" s="168">
        <v>45325.042701564184</v>
      </c>
      <c r="CA385" s="168">
        <v>45429.846174137805</v>
      </c>
      <c r="CB385" s="168">
        <v>24278.777990974842</v>
      </c>
      <c r="CC385" s="168">
        <v>70118.788203281423</v>
      </c>
      <c r="CD385" s="168">
        <v>89732.01366024217</v>
      </c>
      <c r="CE385" s="168">
        <v>94460.776459374567</v>
      </c>
      <c r="CF385" s="168">
        <v>57332.235487117265</v>
      </c>
      <c r="CG385" s="168">
        <v>32237.814614208921</v>
      </c>
      <c r="CH385" s="168">
        <v>36837.557168220788</v>
      </c>
      <c r="CI385" s="168">
        <v>41995.399631477238</v>
      </c>
      <c r="CJ385" s="168">
        <v>40647.788106201704</v>
      </c>
      <c r="CK385" s="168">
        <v>30014.120096337065</v>
      </c>
      <c r="CL385" s="168">
        <v>46050.684079898019</v>
      </c>
      <c r="CM385" s="168">
        <v>45616.902337773085</v>
      </c>
      <c r="CN385" s="168">
        <v>24584.476152863976</v>
      </c>
      <c r="CO385" s="168">
        <v>70241.837563200941</v>
      </c>
    </row>
    <row r="386" spans="1:93" x14ac:dyDescent="0.2">
      <c r="A386" s="118">
        <f t="shared" si="42"/>
        <v>21</v>
      </c>
      <c r="B386" s="243" t="s">
        <v>599</v>
      </c>
      <c r="C386" s="223"/>
      <c r="D386" s="172">
        <f>SUMIF($AH$6:$CP$6,1,$AH386:$CP386)</f>
        <v>634911.21995928185</v>
      </c>
      <c r="E386" s="225" t="s">
        <v>596</v>
      </c>
      <c r="F386" s="183">
        <v>5.28</v>
      </c>
      <c r="G386" s="233" t="s">
        <v>375</v>
      </c>
      <c r="H386" s="168">
        <f>ROUND(D386*F386,2)</f>
        <v>3352331.24</v>
      </c>
      <c r="I386" s="308"/>
      <c r="J386" s="172">
        <f>SUMIF($AH$6:$CP$6,1,$AH386:$CP386)</f>
        <v>634911.21995928185</v>
      </c>
      <c r="K386" s="225" t="s">
        <v>596</v>
      </c>
      <c r="L386" s="173">
        <f>'Exhibit MJC-3 - E-13c cal yr'!L426</f>
        <v>5.52</v>
      </c>
      <c r="M386" s="233" t="s">
        <v>375</v>
      </c>
      <c r="N386" s="168">
        <f>ROUND(J386*L386,2)</f>
        <v>3504709.93</v>
      </c>
      <c r="O386" s="227"/>
      <c r="Q386" s="1022"/>
      <c r="R386" s="182"/>
      <c r="S386" s="262"/>
      <c r="T386" s="247"/>
      <c r="U386" s="178" t="s">
        <v>624</v>
      </c>
      <c r="V386" s="179">
        <v>254</v>
      </c>
      <c r="W386" s="180">
        <v>228</v>
      </c>
      <c r="X386" s="227"/>
      <c r="Y386" s="178"/>
      <c r="Z386" s="181"/>
      <c r="AA386" s="227"/>
      <c r="AB386" s="182"/>
      <c r="AC386" s="182"/>
      <c r="AD386" s="182"/>
      <c r="AE386" s="182"/>
      <c r="AF386" s="182"/>
      <c r="AH386" s="168">
        <v>54142.36299810229</v>
      </c>
      <c r="AI386" s="168">
        <v>53412.307063689317</v>
      </c>
      <c r="AJ386" s="168">
        <v>44657.114687118905</v>
      </c>
      <c r="AK386" s="168">
        <v>43935.356419880227</v>
      </c>
      <c r="AL386" s="168">
        <v>42237.379697433127</v>
      </c>
      <c r="AM386" s="168">
        <v>58048.31075581981</v>
      </c>
      <c r="AN386" s="168">
        <v>55466.225094739391</v>
      </c>
      <c r="AO386" s="168">
        <v>38978.463045210738</v>
      </c>
      <c r="AP386" s="168">
        <v>64698.573469317831</v>
      </c>
      <c r="AQ386" s="168">
        <v>63348.213767468791</v>
      </c>
      <c r="AR386" s="168">
        <v>31612.063237253285</v>
      </c>
      <c r="AS386" s="168">
        <v>72571.397991287289</v>
      </c>
      <c r="AT386" s="168">
        <v>56107.017636352335</v>
      </c>
      <c r="AU386" s="168">
        <v>53999.856063528146</v>
      </c>
      <c r="AV386" s="168">
        <v>44247.648340432759</v>
      </c>
      <c r="AW386" s="168">
        <v>44260.477555527788</v>
      </c>
      <c r="AX386" s="168">
        <v>42026.131779289179</v>
      </c>
      <c r="AY386" s="168">
        <v>56747.956210271353</v>
      </c>
      <c r="AZ386" s="168">
        <v>55945.10938541231</v>
      </c>
      <c r="BA386" s="168">
        <v>38434.182909574745</v>
      </c>
      <c r="BB386" s="168">
        <v>64334.881826224177</v>
      </c>
      <c r="BC386" s="168">
        <v>63452.50538320122</v>
      </c>
      <c r="BD386" s="168">
        <v>31328.773617043604</v>
      </c>
      <c r="BE386" s="168">
        <v>71799.40956070392</v>
      </c>
      <c r="BF386" s="168">
        <v>55779.197037035985</v>
      </c>
      <c r="BG386" s="168">
        <v>54632.016200114376</v>
      </c>
      <c r="BH386" s="168">
        <v>44911.861246715314</v>
      </c>
      <c r="BI386" s="168">
        <v>44087.617295677337</v>
      </c>
      <c r="BJ386" s="168">
        <v>42298.536381527214</v>
      </c>
      <c r="BK386" s="168">
        <v>57554.364992966184</v>
      </c>
      <c r="BL386" s="168">
        <v>56305.280658330426</v>
      </c>
      <c r="BM386" s="168">
        <v>38751.500913275195</v>
      </c>
      <c r="BN386" s="168">
        <v>64614.351754081494</v>
      </c>
      <c r="BO386" s="168">
        <v>63175.609003229372</v>
      </c>
      <c r="BP386" s="168">
        <v>31367.43887845166</v>
      </c>
      <c r="BQ386" s="168">
        <v>73221.222684950961</v>
      </c>
      <c r="BR386" s="168">
        <v>56474.730914039297</v>
      </c>
      <c r="BS386" s="168">
        <v>55020.002784469798</v>
      </c>
      <c r="BT386" s="168">
        <v>45962.462622844272</v>
      </c>
      <c r="BU386" s="168">
        <v>45201.491369891766</v>
      </c>
      <c r="BV386" s="168">
        <v>42187.310475943683</v>
      </c>
      <c r="BW386" s="168">
        <v>58869.43759255013</v>
      </c>
      <c r="BX386" s="168">
        <v>57487.05204581072</v>
      </c>
      <c r="BY386" s="168">
        <v>39323.832294336498</v>
      </c>
      <c r="BZ386" s="168">
        <v>65308.299506938347</v>
      </c>
      <c r="CA386" s="168">
        <v>64160.948567697589</v>
      </c>
      <c r="CB386" s="168">
        <v>31780.971201337048</v>
      </c>
      <c r="CC386" s="168">
        <v>73134.680583422713</v>
      </c>
      <c r="CD386" s="168">
        <v>56761.093346166403</v>
      </c>
      <c r="CE386" s="168">
        <v>54654.995933854771</v>
      </c>
      <c r="CF386" s="168">
        <v>45200.851896340464</v>
      </c>
      <c r="CG386" s="168">
        <v>45724.449205062781</v>
      </c>
      <c r="CH386" s="168">
        <v>42742.482689704128</v>
      </c>
      <c r="CI386" s="168">
        <v>58232.9210025254</v>
      </c>
      <c r="CJ386" s="168">
        <v>57379.60164216972</v>
      </c>
      <c r="CK386" s="168">
        <v>39347.053211854138</v>
      </c>
      <c r="CL386" s="168">
        <v>66273.350832278244</v>
      </c>
      <c r="CM386" s="168">
        <v>64348.346680745519</v>
      </c>
      <c r="CN386" s="168">
        <v>32143.668119111258</v>
      </c>
      <c r="CO386" s="168">
        <v>73174.969825171938</v>
      </c>
    </row>
    <row r="387" spans="1:93" x14ac:dyDescent="0.2">
      <c r="A387" s="118">
        <f t="shared" si="42"/>
        <v>22</v>
      </c>
      <c r="B387" s="243" t="s">
        <v>145</v>
      </c>
      <c r="C387" s="223"/>
      <c r="D387" s="172">
        <f>SUMIF($AH$6:$CP$6,1,$AH387:$CP387)</f>
        <v>745317.10733794118</v>
      </c>
      <c r="E387" s="225" t="s">
        <v>596</v>
      </c>
      <c r="F387" s="183">
        <v>1.86</v>
      </c>
      <c r="G387" s="233" t="s">
        <v>375</v>
      </c>
      <c r="H387" s="168">
        <f>ROUND(D387*F387,2)</f>
        <v>1386289.82</v>
      </c>
      <c r="I387" s="308"/>
      <c r="J387" s="172">
        <f>SUMIF($AH$6:$CP$6,1,$AH387:$CP387)</f>
        <v>745317.10733794118</v>
      </c>
      <c r="K387" s="225" t="s">
        <v>596</v>
      </c>
      <c r="L387" s="173">
        <f>'Exhibit MJC-3 - E-13c cal yr'!L427</f>
        <v>1.96</v>
      </c>
      <c r="M387" s="233" t="s">
        <v>375</v>
      </c>
      <c r="N387" s="168">
        <f>ROUND(J387*L387,2)</f>
        <v>1460821.53</v>
      </c>
      <c r="O387" s="227"/>
      <c r="Q387" s="1022"/>
      <c r="R387" s="182"/>
      <c r="S387" s="262"/>
      <c r="T387" s="247"/>
      <c r="U387" s="178" t="s">
        <v>624</v>
      </c>
      <c r="V387" s="179">
        <v>254</v>
      </c>
      <c r="W387" s="180">
        <v>228</v>
      </c>
      <c r="X387" s="227"/>
      <c r="Y387" s="178"/>
      <c r="Z387" s="181"/>
      <c r="AA387" s="227"/>
      <c r="AB387" s="182">
        <f>SUM(AH387:AS387)</f>
        <v>731461.1315339033</v>
      </c>
      <c r="AC387" s="182">
        <f>SUM(AT387:BE387)</f>
        <v>730963.61508455453</v>
      </c>
      <c r="AD387" s="182">
        <f>SUM(BF387:BQ387)</f>
        <v>735676.84578031872</v>
      </c>
      <c r="AE387" s="182">
        <f>SUM(BR387:CC387)</f>
        <v>745317.10733794118</v>
      </c>
      <c r="AF387" s="182">
        <f>SUM(CD387:CO387)</f>
        <v>746576.18197714817</v>
      </c>
      <c r="AH387" s="168">
        <v>67688.971356012509</v>
      </c>
      <c r="AI387" s="168">
        <v>64012.979195914028</v>
      </c>
      <c r="AJ387" s="168">
        <v>52257.912213313408</v>
      </c>
      <c r="AK387" s="168">
        <v>51081.401039316617</v>
      </c>
      <c r="AL387" s="168">
        <v>49725.627890479685</v>
      </c>
      <c r="AM387" s="168">
        <v>67713.78825457317</v>
      </c>
      <c r="AN387" s="168">
        <v>64381.076434498325</v>
      </c>
      <c r="AO387" s="168">
        <v>46068.479012547177</v>
      </c>
      <c r="AP387" s="168">
        <v>73906.459706747453</v>
      </c>
      <c r="AQ387" s="168">
        <v>73378.963832222289</v>
      </c>
      <c r="AR387" s="168">
        <v>37283.877016058264</v>
      </c>
      <c r="AS387" s="168">
        <v>83961.59558222034</v>
      </c>
      <c r="AT387" s="168">
        <v>70089.721941105265</v>
      </c>
      <c r="AU387" s="168">
        <v>64689.35397384211</v>
      </c>
      <c r="AV387" s="168">
        <v>51767.447318422375</v>
      </c>
      <c r="AW387" s="168">
        <v>51451.157572183256</v>
      </c>
      <c r="AX387" s="168">
        <v>49463.460677335155</v>
      </c>
      <c r="AY387" s="168">
        <v>66184.33699655869</v>
      </c>
      <c r="AZ387" s="168">
        <v>64927.493791237786</v>
      </c>
      <c r="BA387" s="168">
        <v>45411.258190067245</v>
      </c>
      <c r="BB387" s="168">
        <v>73491.007551859861</v>
      </c>
      <c r="BC387" s="168">
        <v>73490.452518762133</v>
      </c>
      <c r="BD387" s="168">
        <v>36939.109099545334</v>
      </c>
      <c r="BE387" s="168">
        <v>83058.815453635369</v>
      </c>
      <c r="BF387" s="168">
        <v>69694.20438265914</v>
      </c>
      <c r="BG387" s="168">
        <v>65453.789832146664</v>
      </c>
      <c r="BH387" s="168">
        <v>52547.455522812386</v>
      </c>
      <c r="BI387" s="168">
        <v>51252.299233253791</v>
      </c>
      <c r="BJ387" s="168">
        <v>49787.513961220691</v>
      </c>
      <c r="BK387" s="168">
        <v>67128.079033506059</v>
      </c>
      <c r="BL387" s="168">
        <v>65347.904319928595</v>
      </c>
      <c r="BM387" s="168">
        <v>45789.748072291208</v>
      </c>
      <c r="BN387" s="168">
        <v>73810.251576184877</v>
      </c>
      <c r="BO387" s="168">
        <v>73172.107367078686</v>
      </c>
      <c r="BP387" s="168">
        <v>36987.406034429318</v>
      </c>
      <c r="BQ387" s="168">
        <v>84706.086444807399</v>
      </c>
      <c r="BR387" s="168">
        <v>70566.284506994547</v>
      </c>
      <c r="BS387" s="168">
        <v>65920.16920225801</v>
      </c>
      <c r="BT387" s="168">
        <v>53777.310910775501</v>
      </c>
      <c r="BU387" s="168">
        <v>52547.64669968783</v>
      </c>
      <c r="BV387" s="168">
        <v>49657.330166904845</v>
      </c>
      <c r="BW387" s="168">
        <v>68662.612706806642</v>
      </c>
      <c r="BX387" s="168">
        <v>66719.995053706501</v>
      </c>
      <c r="BY387" s="168">
        <v>46466.804278097785</v>
      </c>
      <c r="BZ387" s="168">
        <v>74602.961815142859</v>
      </c>
      <c r="CA387" s="168">
        <v>74313.872664735914</v>
      </c>
      <c r="CB387" s="168">
        <v>37475.616329546523</v>
      </c>
      <c r="CC387" s="168">
        <v>84606.503003284262</v>
      </c>
      <c r="CD387" s="168">
        <v>70928.402188021719</v>
      </c>
      <c r="CE387" s="168">
        <v>65485.005859361911</v>
      </c>
      <c r="CF387" s="168">
        <v>52887.091471373074</v>
      </c>
      <c r="CG387" s="168">
        <v>53156.248808591969</v>
      </c>
      <c r="CH387" s="168">
        <v>50311.855691136821</v>
      </c>
      <c r="CI387" s="168">
        <v>67921.198513854266</v>
      </c>
      <c r="CJ387" s="168">
        <v>66596.029133618329</v>
      </c>
      <c r="CK387" s="168">
        <v>46495.337182393763</v>
      </c>
      <c r="CL387" s="168">
        <v>75705.359025260666</v>
      </c>
      <c r="CM387" s="168">
        <v>74531.649325732229</v>
      </c>
      <c r="CN387" s="168">
        <v>37904.140587169808</v>
      </c>
      <c r="CO387" s="168">
        <v>84653.864190633496</v>
      </c>
    </row>
    <row r="388" spans="1:93" x14ac:dyDescent="0.2">
      <c r="A388" s="118">
        <f t="shared" si="42"/>
        <v>23</v>
      </c>
      <c r="B388" s="234" t="s">
        <v>148</v>
      </c>
      <c r="C388" s="223"/>
      <c r="D388" s="168"/>
      <c r="E388" s="225"/>
      <c r="F388" s="183"/>
      <c r="G388" s="233"/>
      <c r="H388" s="168"/>
      <c r="I388" s="308"/>
      <c r="J388" s="168"/>
      <c r="K388" s="225"/>
      <c r="L388" s="183"/>
      <c r="M388" s="233"/>
      <c r="N388" s="168"/>
      <c r="O388" s="227"/>
      <c r="S388" s="262"/>
      <c r="T388" s="247"/>
      <c r="U388" s="178"/>
      <c r="V388" s="179"/>
      <c r="W388" s="180"/>
      <c r="X388" s="264"/>
      <c r="Y388" s="178"/>
      <c r="Z388" s="181"/>
      <c r="AA388" s="264"/>
      <c r="AB388" s="264"/>
      <c r="AD388" s="242"/>
      <c r="AE388" s="260"/>
    </row>
    <row r="389" spans="1:93" x14ac:dyDescent="0.2">
      <c r="A389" s="118">
        <f t="shared" si="42"/>
        <v>24</v>
      </c>
      <c r="B389" s="243" t="s">
        <v>559</v>
      </c>
      <c r="C389" s="223"/>
      <c r="D389" s="172">
        <f>SUMIF($AH$6:$CP$6,1,$AH389:$CP389)</f>
        <v>2436268.8402590877</v>
      </c>
      <c r="E389" s="225" t="s">
        <v>596</v>
      </c>
      <c r="F389" s="183">
        <v>2.75</v>
      </c>
      <c r="G389" s="233" t="s">
        <v>375</v>
      </c>
      <c r="H389" s="168">
        <f>ROUND(D389*F389,2)</f>
        <v>6699739.3099999996</v>
      </c>
      <c r="I389" s="308"/>
      <c r="J389" s="172">
        <f>SUMIF($AH$6:$CP$6,1,$AH389:$CP389)</f>
        <v>2436268.8402590877</v>
      </c>
      <c r="K389" s="225" t="s">
        <v>596</v>
      </c>
      <c r="L389" s="183">
        <f>L385</f>
        <v>2.86</v>
      </c>
      <c r="M389" s="233" t="s">
        <v>375</v>
      </c>
      <c r="N389" s="168">
        <f>ROUND(J389*L389,2)</f>
        <v>6967728.8799999999</v>
      </c>
      <c r="O389" s="227"/>
      <c r="P389" s="262"/>
      <c r="Q389" s="247"/>
      <c r="R389" s="182"/>
      <c r="S389" s="106"/>
      <c r="T389" s="264"/>
      <c r="U389" s="178" t="s">
        <v>624</v>
      </c>
      <c r="V389" s="179">
        <v>254</v>
      </c>
      <c r="W389" s="180">
        <v>228</v>
      </c>
      <c r="X389" s="264"/>
      <c r="Y389" s="178"/>
      <c r="Z389" s="181"/>
      <c r="AA389" s="264"/>
      <c r="AB389" s="182">
        <f>SUM(AH389:AS389)</f>
        <v>2390976.867526392</v>
      </c>
      <c r="AC389" s="182">
        <f>SUM(AT389:BE389)</f>
        <v>2389350.6015905496</v>
      </c>
      <c r="AD389" s="182">
        <f>SUM(BF389:BQ389)</f>
        <v>2404757.0600871961</v>
      </c>
      <c r="AE389" s="182">
        <f>SUM(BR389:CC389)</f>
        <v>2436268.8402590877</v>
      </c>
      <c r="AF389" s="182">
        <f>SUM(CD389:CO389)</f>
        <v>2440384.463368847</v>
      </c>
      <c r="AH389" s="168">
        <v>172276.57617891137</v>
      </c>
      <c r="AI389" s="168">
        <v>469619.60686862009</v>
      </c>
      <c r="AJ389" s="168">
        <v>276438.80231457239</v>
      </c>
      <c r="AK389" s="168">
        <v>218053.59909574583</v>
      </c>
      <c r="AL389" s="168">
        <v>137146.86562351498</v>
      </c>
      <c r="AM389" s="168">
        <v>148656.14534509153</v>
      </c>
      <c r="AN389" s="168">
        <v>141948.93394372653</v>
      </c>
      <c r="AO389" s="168">
        <v>168959.483654696</v>
      </c>
      <c r="AP389" s="168">
        <v>160262.22857456378</v>
      </c>
      <c r="AQ389" s="168">
        <v>155063.76946910017</v>
      </c>
      <c r="AR389" s="168">
        <v>127312.80266265423</v>
      </c>
      <c r="AS389" s="168">
        <v>215238.05379519466</v>
      </c>
      <c r="AT389" s="168">
        <v>176850.86869297017</v>
      </c>
      <c r="AU389" s="168">
        <v>473039.5565193721</v>
      </c>
      <c r="AV389" s="168">
        <v>273543.76106173999</v>
      </c>
      <c r="AW389" s="168">
        <v>219721.06026869506</v>
      </c>
      <c r="AX389" s="168">
        <v>136253.59033823991</v>
      </c>
      <c r="AY389" s="168">
        <v>144997.44067931353</v>
      </c>
      <c r="AZ389" s="168">
        <v>142896.52377767902</v>
      </c>
      <c r="BA389" s="168">
        <v>168207.68381441748</v>
      </c>
      <c r="BB389" s="168">
        <v>159360.98673132528</v>
      </c>
      <c r="BC389" s="168">
        <v>155311.93263631294</v>
      </c>
      <c r="BD389" s="168">
        <v>126149.45874854608</v>
      </c>
      <c r="BE389" s="168">
        <v>213017.7383219375</v>
      </c>
      <c r="BF389" s="168">
        <v>175899.37288991912</v>
      </c>
      <c r="BG389" s="168">
        <v>478250.05722477462</v>
      </c>
      <c r="BH389" s="168">
        <v>277448.51435252005</v>
      </c>
      <c r="BI389" s="168">
        <v>218621.75059656939</v>
      </c>
      <c r="BJ389" s="168">
        <v>137040.03153297381</v>
      </c>
      <c r="BK389" s="168">
        <v>146966.86548867112</v>
      </c>
      <c r="BL389" s="168">
        <v>143712.41969185226</v>
      </c>
      <c r="BM389" s="168">
        <v>169219.30602236543</v>
      </c>
      <c r="BN389" s="168">
        <v>159899.36044330621</v>
      </c>
      <c r="BO389" s="168">
        <v>154485.01875929741</v>
      </c>
      <c r="BP389" s="168">
        <v>126182.13124821289</v>
      </c>
      <c r="BQ389" s="168">
        <v>217032.23183673396</v>
      </c>
      <c r="BR389" s="168">
        <v>178189.741128903</v>
      </c>
      <c r="BS389" s="168">
        <v>481764.97845548869</v>
      </c>
      <c r="BT389" s="168">
        <v>283913.24917953805</v>
      </c>
      <c r="BU389" s="168">
        <v>224114.3882386823</v>
      </c>
      <c r="BV389" s="168">
        <v>136670.22779458293</v>
      </c>
      <c r="BW389" s="168">
        <v>150324.92561799649</v>
      </c>
      <c r="BX389" s="168">
        <v>146729.2673064502</v>
      </c>
      <c r="BY389" s="168">
        <v>171550.16038707798</v>
      </c>
      <c r="BZ389" s="168">
        <v>161589.14455014013</v>
      </c>
      <c r="CA389" s="168">
        <v>156869.0606920484</v>
      </c>
      <c r="CB389" s="168">
        <v>127828.05809708001</v>
      </c>
      <c r="CC389" s="168">
        <v>216725.63881109908</v>
      </c>
      <c r="CD389" s="168">
        <v>179563.8782545373</v>
      </c>
      <c r="CE389" s="168">
        <v>479580.21987987659</v>
      </c>
      <c r="CF389" s="168">
        <v>279668.10018758423</v>
      </c>
      <c r="CG389" s="168">
        <v>227057.69120361062</v>
      </c>
      <c r="CH389" s="168">
        <v>138700.78036536142</v>
      </c>
      <c r="CI389" s="168">
        <v>148964.04863612732</v>
      </c>
      <c r="CJ389" s="168">
        <v>146714.8917750456</v>
      </c>
      <c r="CK389" s="168">
        <v>171699.30964345211</v>
      </c>
      <c r="CL389" s="168">
        <v>164225.02713916978</v>
      </c>
      <c r="CM389" s="168">
        <v>157566.9964519832</v>
      </c>
      <c r="CN389" s="168">
        <v>129488.18380529352</v>
      </c>
      <c r="CO389" s="168">
        <v>217155.3360268056</v>
      </c>
    </row>
    <row r="390" spans="1:93" x14ac:dyDescent="0.2">
      <c r="A390" s="118">
        <f t="shared" si="42"/>
        <v>25</v>
      </c>
      <c r="B390" s="243" t="s">
        <v>599</v>
      </c>
      <c r="C390" s="223"/>
      <c r="D390" s="172">
        <f>SUMIF($AH$6:$CP$6,1,$AH390:$CP390)</f>
        <v>2638947.7404091447</v>
      </c>
      <c r="E390" s="225" t="s">
        <v>596</v>
      </c>
      <c r="F390" s="183">
        <v>5.28</v>
      </c>
      <c r="G390" s="233" t="s">
        <v>375</v>
      </c>
      <c r="H390" s="168">
        <f>ROUND(D390*F390,2)</f>
        <v>13933644.07</v>
      </c>
      <c r="I390" s="308"/>
      <c r="J390" s="172">
        <f>SUMIF($AH$6:$CP$6,1,$AH390:$CP390)</f>
        <v>2638947.7404091447</v>
      </c>
      <c r="K390" s="225" t="s">
        <v>596</v>
      </c>
      <c r="L390" s="183">
        <f>L386</f>
        <v>5.52</v>
      </c>
      <c r="M390" s="233" t="s">
        <v>375</v>
      </c>
      <c r="N390" s="168">
        <f>ROUND(J390*L390,2)</f>
        <v>14566991.529999999</v>
      </c>
      <c r="O390" s="227"/>
      <c r="P390" s="262"/>
      <c r="Q390" s="247"/>
      <c r="R390" s="182"/>
      <c r="S390" s="263"/>
      <c r="T390" s="197"/>
      <c r="U390" s="178" t="s">
        <v>624</v>
      </c>
      <c r="V390" s="179">
        <v>254</v>
      </c>
      <c r="W390" s="180">
        <v>228</v>
      </c>
      <c r="X390" s="264"/>
      <c r="Y390" s="178"/>
      <c r="Z390" s="181"/>
      <c r="AA390" s="264"/>
      <c r="AB390" s="182"/>
      <c r="AC390" s="182"/>
      <c r="AD390" s="182"/>
      <c r="AE390" s="182"/>
      <c r="AF390" s="182"/>
      <c r="AH390" s="168">
        <v>79310.168622866331</v>
      </c>
      <c r="AI390" s="168">
        <v>298295.9509542617</v>
      </c>
      <c r="AJ390" s="168">
        <v>188860.05894889944</v>
      </c>
      <c r="AK390" s="168">
        <v>255525.84673765476</v>
      </c>
      <c r="AL390" s="168">
        <v>166327.79098509165</v>
      </c>
      <c r="AM390" s="168">
        <v>211500.08668180631</v>
      </c>
      <c r="AN390" s="168">
        <v>203136.87944794865</v>
      </c>
      <c r="AO390" s="168">
        <v>299256.59455226001</v>
      </c>
      <c r="AP390" s="168">
        <v>244602.69921756265</v>
      </c>
      <c r="AQ390" s="168">
        <v>236567.07421643165</v>
      </c>
      <c r="AR390" s="168">
        <v>192050.77961942207</v>
      </c>
      <c r="AS390" s="168">
        <v>214453.89260039065</v>
      </c>
      <c r="AT390" s="168">
        <v>82402.051562663983</v>
      </c>
      <c r="AU390" s="168">
        <v>301858.3518948222</v>
      </c>
      <c r="AV390" s="168">
        <v>187546.08934642334</v>
      </c>
      <c r="AW390" s="168">
        <v>257854.01477969915</v>
      </c>
      <c r="AX390" s="168">
        <v>165847.79051739234</v>
      </c>
      <c r="AY390" s="168">
        <v>207194.90602440183</v>
      </c>
      <c r="AZ390" s="168">
        <v>205276.43644192486</v>
      </c>
      <c r="BA390" s="168">
        <v>295702.25911331852</v>
      </c>
      <c r="BB390" s="168">
        <v>243720.12819499665</v>
      </c>
      <c r="BC390" s="168">
        <v>237413.3204826354</v>
      </c>
      <c r="BD390" s="168">
        <v>190678.70845469661</v>
      </c>
      <c r="BE390" s="168">
        <v>212632.20697081069</v>
      </c>
      <c r="BF390" s="168">
        <v>81908.057283109389</v>
      </c>
      <c r="BG390" s="168">
        <v>305338.54722999956</v>
      </c>
      <c r="BH390" s="168">
        <v>190331.31358658019</v>
      </c>
      <c r="BI390" s="168">
        <v>256804.54347043793</v>
      </c>
      <c r="BJ390" s="168">
        <v>166896.16946727017</v>
      </c>
      <c r="BK390" s="168">
        <v>210105.62403119617</v>
      </c>
      <c r="BL390" s="168">
        <v>206564.38352485228</v>
      </c>
      <c r="BM390" s="168">
        <v>298096.04577415599</v>
      </c>
      <c r="BN390" s="168">
        <v>244739.48852168833</v>
      </c>
      <c r="BO390" s="168">
        <v>236338.97531332562</v>
      </c>
      <c r="BP390" s="168">
        <v>190882.85587451421</v>
      </c>
      <c r="BQ390" s="168">
        <v>216808.41750171717</v>
      </c>
      <c r="BR390" s="168">
        <v>82867.840308849074</v>
      </c>
      <c r="BS390" s="168">
        <v>307358.38183084922</v>
      </c>
      <c r="BT390" s="168">
        <v>194650.2347879289</v>
      </c>
      <c r="BU390" s="168">
        <v>263134.14414493635</v>
      </c>
      <c r="BV390" s="168">
        <v>166346.03460498404</v>
      </c>
      <c r="BW390" s="168">
        <v>214763.82958086571</v>
      </c>
      <c r="BX390" s="168">
        <v>210766.867040015</v>
      </c>
      <c r="BY390" s="168">
        <v>302296.97251039237</v>
      </c>
      <c r="BZ390" s="168">
        <v>247206.48585986305</v>
      </c>
      <c r="CA390" s="168">
        <v>239872.04307532558</v>
      </c>
      <c r="CB390" s="168">
        <v>193278.84164858246</v>
      </c>
      <c r="CC390" s="168">
        <v>216406.06501655284</v>
      </c>
      <c r="CD390" s="168">
        <v>83273.269928232025</v>
      </c>
      <c r="CE390" s="168">
        <v>305373.87923047098</v>
      </c>
      <c r="CF390" s="168">
        <v>191406.00885452243</v>
      </c>
      <c r="CG390" s="168">
        <v>266182.52810311236</v>
      </c>
      <c r="CH390" s="168">
        <v>168522.33161789572</v>
      </c>
      <c r="CI390" s="168">
        <v>212427.1531363767</v>
      </c>
      <c r="CJ390" s="168">
        <v>210367.89227740152</v>
      </c>
      <c r="CK390" s="168">
        <v>302453.22895516839</v>
      </c>
      <c r="CL390" s="168">
        <v>250845.84644694539</v>
      </c>
      <c r="CM390" s="168">
        <v>240564.5897995636</v>
      </c>
      <c r="CN390" s="168">
        <v>195481.98405089934</v>
      </c>
      <c r="CO390" s="168">
        <v>216507.03942601662</v>
      </c>
    </row>
    <row r="391" spans="1:93" x14ac:dyDescent="0.2">
      <c r="A391" s="118">
        <f t="shared" si="42"/>
        <v>26</v>
      </c>
      <c r="B391" s="243" t="s">
        <v>145</v>
      </c>
      <c r="C391" s="223"/>
      <c r="D391" s="172">
        <f>SUMIF($AH$6:$CP$6,1,$AH391:$CP391)</f>
        <v>3405348.5014528972</v>
      </c>
      <c r="E391" s="225" t="s">
        <v>596</v>
      </c>
      <c r="F391" s="183">
        <v>1.86</v>
      </c>
      <c r="G391" s="233" t="s">
        <v>375</v>
      </c>
      <c r="H391" s="168">
        <f>ROUND(D391*F391,2)</f>
        <v>6333948.21</v>
      </c>
      <c r="I391" s="308"/>
      <c r="J391" s="172">
        <f>SUMIF($AH$6:$CP$6,1,$AH391:$CP391)</f>
        <v>3405348.5014528972</v>
      </c>
      <c r="K391" s="225" t="s">
        <v>596</v>
      </c>
      <c r="L391" s="183">
        <f>L387</f>
        <v>1.96</v>
      </c>
      <c r="M391" s="233" t="s">
        <v>375</v>
      </c>
      <c r="N391" s="168">
        <f>ROUND(J391*L391,2)</f>
        <v>6674483.0599999996</v>
      </c>
      <c r="O391" s="227"/>
      <c r="P391" s="262"/>
      <c r="Q391" s="247"/>
      <c r="R391" s="182"/>
      <c r="S391" s="263"/>
      <c r="T391" s="197"/>
      <c r="U391" s="178" t="s">
        <v>624</v>
      </c>
      <c r="V391" s="179">
        <v>254</v>
      </c>
      <c r="W391" s="180">
        <v>228</v>
      </c>
      <c r="X391" s="227"/>
      <c r="Y391" s="178"/>
      <c r="Z391" s="181"/>
      <c r="AA391" s="227"/>
      <c r="AB391" s="182">
        <f>SUM(AH391:AS391)</f>
        <v>3342040.647687166</v>
      </c>
      <c r="AC391" s="182">
        <f>SUM(AT391:BE391)</f>
        <v>3339767.4986093319</v>
      </c>
      <c r="AD391" s="182">
        <f>SUM(BF391:BQ391)</f>
        <v>3361302.2157502687</v>
      </c>
      <c r="AE391" s="182">
        <f>SUM(BR391:CC391)</f>
        <v>3405348.5014528972</v>
      </c>
      <c r="AF391" s="182">
        <f>SUM(CD391:CO391)</f>
        <v>3411101.204421374</v>
      </c>
      <c r="AH391" s="168">
        <v>149332.70818353374</v>
      </c>
      <c r="AI391" s="168">
        <v>423286.66406212829</v>
      </c>
      <c r="AJ391" s="168">
        <v>252545.90920232626</v>
      </c>
      <c r="AK391" s="168">
        <v>317748.79873009434</v>
      </c>
      <c r="AL391" s="168">
        <v>216005.64844217111</v>
      </c>
      <c r="AM391" s="168">
        <v>275712.87802972202</v>
      </c>
      <c r="AN391" s="168">
        <v>264248.18537934561</v>
      </c>
      <c r="AO391" s="168">
        <v>325469.67481702403</v>
      </c>
      <c r="AP391" s="168">
        <v>307815.95500077069</v>
      </c>
      <c r="AQ391" s="168">
        <v>298183.54784165777</v>
      </c>
      <c r="AR391" s="168">
        <v>242451.27522687096</v>
      </c>
      <c r="AS391" s="168">
        <v>269239.40277152124</v>
      </c>
      <c r="AT391" s="168">
        <v>153243.13385506696</v>
      </c>
      <c r="AU391" s="168">
        <v>426876.58790292568</v>
      </c>
      <c r="AV391" s="168">
        <v>250222.03578951766</v>
      </c>
      <c r="AW391" s="168">
        <v>320831.45089913975</v>
      </c>
      <c r="AX391" s="168">
        <v>215124.7229212393</v>
      </c>
      <c r="AY391" s="168">
        <v>269747.28639650164</v>
      </c>
      <c r="AZ391" s="168">
        <v>266733.98485647369</v>
      </c>
      <c r="BA391" s="168">
        <v>323391.96476938005</v>
      </c>
      <c r="BB391" s="168">
        <v>306697.14662908774</v>
      </c>
      <c r="BC391" s="168">
        <v>299241.26228547859</v>
      </c>
      <c r="BD391" s="168">
        <v>240711.22937784041</v>
      </c>
      <c r="BE391" s="168">
        <v>266946.69292668113</v>
      </c>
      <c r="BF391" s="168">
        <v>152490.43799893878</v>
      </c>
      <c r="BG391" s="168">
        <v>431932.88117957744</v>
      </c>
      <c r="BH391" s="168">
        <v>253988.45674982769</v>
      </c>
      <c r="BI391" s="168">
        <v>319507.64040064241</v>
      </c>
      <c r="BJ391" s="168">
        <v>216507.10008619679</v>
      </c>
      <c r="BK391" s="168">
        <v>273567.91798880126</v>
      </c>
      <c r="BL391" s="168">
        <v>268433.44301693887</v>
      </c>
      <c r="BM391" s="168">
        <v>325849.09687490726</v>
      </c>
      <c r="BN391" s="168">
        <v>307979.79883345379</v>
      </c>
      <c r="BO391" s="168">
        <v>297887.01330630429</v>
      </c>
      <c r="BP391" s="168">
        <v>240968.83740301678</v>
      </c>
      <c r="BQ391" s="168">
        <v>272189.5919116633</v>
      </c>
      <c r="BR391" s="168">
        <v>154459.75555053388</v>
      </c>
      <c r="BS391" s="168">
        <v>434928.91141788202</v>
      </c>
      <c r="BT391" s="168">
        <v>259807.64399739681</v>
      </c>
      <c r="BU391" s="168">
        <v>327365.5706547841</v>
      </c>
      <c r="BV391" s="168">
        <v>215818.05827982261</v>
      </c>
      <c r="BW391" s="168">
        <v>279668.00728776329</v>
      </c>
      <c r="BX391" s="168">
        <v>273923.79108592548</v>
      </c>
      <c r="BY391" s="168">
        <v>330269.53034526453</v>
      </c>
      <c r="BZ391" s="168">
        <v>311085.54879349697</v>
      </c>
      <c r="CA391" s="168">
        <v>302341.57607630757</v>
      </c>
      <c r="CB391" s="168">
        <v>243994.75229109605</v>
      </c>
      <c r="CC391" s="168">
        <v>271685.35567262385</v>
      </c>
      <c r="CD391" s="168">
        <v>155576.84168463229</v>
      </c>
      <c r="CE391" s="168">
        <v>432396.9721619701</v>
      </c>
      <c r="CF391" s="168">
        <v>255585.66617916478</v>
      </c>
      <c r="CG391" s="168">
        <v>331122.28129101964</v>
      </c>
      <c r="CH391" s="168">
        <v>218690.61473341801</v>
      </c>
      <c r="CI391" s="168">
        <v>276692.99583705963</v>
      </c>
      <c r="CJ391" s="168">
        <v>273462.37673227739</v>
      </c>
      <c r="CK391" s="168">
        <v>330098.84755192976</v>
      </c>
      <c r="CL391" s="168">
        <v>315667.12295509002</v>
      </c>
      <c r="CM391" s="168">
        <v>303216.41500063473</v>
      </c>
      <c r="CN391" s="168">
        <v>246777.72092812663</v>
      </c>
      <c r="CO391" s="168">
        <v>271813.34936605184</v>
      </c>
    </row>
    <row r="392" spans="1:93" x14ac:dyDescent="0.2">
      <c r="A392" s="118">
        <f t="shared" si="42"/>
        <v>27</v>
      </c>
      <c r="B392" s="847" t="s">
        <v>600</v>
      </c>
      <c r="C392" s="848"/>
      <c r="D392" s="185">
        <v>2083353.5792699324</v>
      </c>
      <c r="E392" s="849" t="s">
        <v>596</v>
      </c>
      <c r="F392" s="183">
        <v>-1.3</v>
      </c>
      <c r="G392" s="850" t="s">
        <v>375</v>
      </c>
      <c r="H392" s="174">
        <f>ROUND(D392*F392,0)</f>
        <v>-2708360</v>
      </c>
      <c r="I392" s="851"/>
      <c r="J392" s="185">
        <f>+D392</f>
        <v>2083353.5792699324</v>
      </c>
      <c r="K392" s="849" t="s">
        <v>596</v>
      </c>
      <c r="L392" s="173">
        <f>'Exhibit MJC-3 - E-13c cal yr'!L432</f>
        <v>-1.34</v>
      </c>
      <c r="M392" s="850" t="s">
        <v>375</v>
      </c>
      <c r="N392" s="174">
        <f>ROUND(J392*L392,0)</f>
        <v>-2791694</v>
      </c>
      <c r="O392" s="852"/>
      <c r="P392" s="1155"/>
      <c r="Q392" s="854"/>
      <c r="T392" s="927"/>
      <c r="U392" s="178"/>
      <c r="V392" s="179"/>
      <c r="W392" s="180"/>
      <c r="X392" s="852"/>
      <c r="Y392" s="178"/>
      <c r="Z392" s="181"/>
      <c r="AA392" s="852"/>
      <c r="AB392" s="182"/>
      <c r="AC392" s="182"/>
      <c r="AD392" s="182"/>
      <c r="AE392" s="182"/>
      <c r="AF392" s="182"/>
      <c r="AH392" s="168"/>
      <c r="AI392" s="168"/>
      <c r="AJ392" s="168"/>
      <c r="AK392" s="168"/>
      <c r="AL392" s="168"/>
      <c r="AM392" s="168"/>
      <c r="AN392" s="168"/>
      <c r="AO392" s="168"/>
      <c r="AP392" s="168"/>
      <c r="AQ392" s="168"/>
      <c r="AR392" s="168"/>
      <c r="AS392" s="168"/>
      <c r="AT392" s="168"/>
      <c r="AU392" s="168"/>
      <c r="AV392" s="168"/>
      <c r="AW392" s="168"/>
      <c r="AX392" s="168"/>
      <c r="AY392" s="168"/>
      <c r="AZ392" s="168"/>
      <c r="BA392" s="168"/>
      <c r="BB392" s="168"/>
      <c r="BC392" s="168"/>
      <c r="BD392" s="168"/>
      <c r="BE392" s="168"/>
      <c r="BF392" s="168"/>
      <c r="BG392" s="168"/>
      <c r="BH392" s="168"/>
      <c r="BI392" s="168"/>
      <c r="BJ392" s="168"/>
      <c r="BK392" s="168"/>
      <c r="BL392" s="168"/>
      <c r="BM392" s="168"/>
      <c r="BN392" s="168"/>
      <c r="BO392" s="168"/>
      <c r="BP392" s="168"/>
      <c r="BQ392" s="168"/>
      <c r="BR392" s="168"/>
      <c r="BS392" s="168"/>
      <c r="BT392" s="168"/>
      <c r="BU392" s="168"/>
      <c r="BV392" s="168"/>
      <c r="BW392" s="168"/>
      <c r="BX392" s="168"/>
      <c r="BY392" s="168"/>
      <c r="BZ392" s="168"/>
      <c r="CA392" s="168"/>
      <c r="CB392" s="168"/>
      <c r="CC392" s="168"/>
      <c r="CD392" s="168"/>
      <c r="CE392" s="168"/>
      <c r="CF392" s="168"/>
      <c r="CG392" s="168"/>
      <c r="CH392" s="168"/>
      <c r="CI392" s="168"/>
      <c r="CJ392" s="168"/>
      <c r="CK392" s="168"/>
      <c r="CL392" s="168"/>
      <c r="CM392" s="168"/>
      <c r="CN392" s="168"/>
      <c r="CO392" s="168"/>
    </row>
    <row r="393" spans="1:93" x14ac:dyDescent="0.2">
      <c r="A393" s="118">
        <f t="shared" si="42"/>
        <v>28</v>
      </c>
      <c r="B393" s="847" t="s">
        <v>626</v>
      </c>
      <c r="C393" s="848"/>
      <c r="D393" s="185">
        <v>555594.16113921197</v>
      </c>
      <c r="E393" s="849" t="s">
        <v>596</v>
      </c>
      <c r="F393" s="183">
        <v>-6.18</v>
      </c>
      <c r="G393" s="850" t="s">
        <v>375</v>
      </c>
      <c r="H393" s="174">
        <f>ROUND(D393*F393,0)</f>
        <v>-3433572</v>
      </c>
      <c r="I393" s="851"/>
      <c r="J393" s="185">
        <f>+D393</f>
        <v>555594.16113921197</v>
      </c>
      <c r="K393" s="849" t="s">
        <v>596</v>
      </c>
      <c r="L393" s="173">
        <f>'Exhibit MJC-3 - E-13c cal yr'!L433</f>
        <v>-6.47</v>
      </c>
      <c r="M393" s="850" t="s">
        <v>375</v>
      </c>
      <c r="N393" s="174">
        <f>ROUND(J393*L393,0)</f>
        <v>-3594694</v>
      </c>
      <c r="O393" s="852"/>
      <c r="P393" s="853"/>
      <c r="Q393" s="854"/>
      <c r="T393" s="852"/>
      <c r="U393" s="178" t="s">
        <v>624</v>
      </c>
      <c r="V393" s="179">
        <v>228</v>
      </c>
      <c r="W393" s="180">
        <v>228</v>
      </c>
      <c r="X393" s="852"/>
      <c r="Y393" s="178"/>
      <c r="Z393" s="181"/>
      <c r="AA393" s="852"/>
      <c r="AB393" s="182"/>
      <c r="AC393" s="182"/>
      <c r="AD393" s="182"/>
      <c r="AE393" s="182"/>
      <c r="AF393" s="182"/>
      <c r="AH393" s="168"/>
      <c r="AI393" s="168"/>
      <c r="AJ393" s="168"/>
      <c r="AK393" s="168"/>
      <c r="AL393" s="168"/>
      <c r="AM393" s="168"/>
      <c r="AN393" s="168"/>
      <c r="AO393" s="168"/>
      <c r="AP393" s="168"/>
      <c r="AQ393" s="168"/>
      <c r="AR393" s="168"/>
      <c r="AS393" s="168"/>
      <c r="AT393" s="168"/>
      <c r="AU393" s="168"/>
      <c r="AV393" s="168"/>
      <c r="AW393" s="168"/>
      <c r="AX393" s="168"/>
      <c r="AY393" s="168"/>
      <c r="AZ393" s="168"/>
      <c r="BA393" s="168"/>
      <c r="BB393" s="168"/>
      <c r="BC393" s="168"/>
      <c r="BD393" s="168"/>
      <c r="BE393" s="168"/>
      <c r="BF393" s="168"/>
      <c r="BG393" s="168"/>
      <c r="BH393" s="168"/>
      <c r="BI393" s="168"/>
      <c r="BJ393" s="168"/>
      <c r="BK393" s="168"/>
      <c r="BL393" s="168"/>
      <c r="BM393" s="168"/>
      <c r="BN393" s="168"/>
      <c r="BO393" s="168"/>
      <c r="BP393" s="168"/>
      <c r="BQ393" s="168"/>
      <c r="BR393" s="168"/>
      <c r="BS393" s="168"/>
      <c r="BT393" s="168"/>
      <c r="BU393" s="168"/>
      <c r="BV393" s="168"/>
      <c r="BW393" s="168"/>
      <c r="BX393" s="168"/>
      <c r="BY393" s="168"/>
      <c r="BZ393" s="168"/>
      <c r="CA393" s="168"/>
      <c r="CB393" s="168"/>
      <c r="CC393" s="168"/>
      <c r="CD393" s="168"/>
      <c r="CE393" s="168"/>
      <c r="CF393" s="168"/>
      <c r="CG393" s="168"/>
      <c r="CH393" s="168"/>
      <c r="CI393" s="168"/>
      <c r="CJ393" s="168"/>
      <c r="CK393" s="168"/>
      <c r="CL393" s="168"/>
      <c r="CM393" s="168"/>
      <c r="CN393" s="168"/>
      <c r="CO393" s="168"/>
    </row>
    <row r="394" spans="1:93" x14ac:dyDescent="0.2">
      <c r="A394" s="118">
        <f t="shared" si="42"/>
        <v>29</v>
      </c>
      <c r="B394" s="234" t="s">
        <v>216</v>
      </c>
      <c r="C394" s="223"/>
      <c r="D394" s="168"/>
      <c r="E394" s="225"/>
      <c r="F394" s="183"/>
      <c r="G394" s="233"/>
      <c r="H394" s="168"/>
      <c r="I394" s="308"/>
      <c r="J394" s="168"/>
      <c r="K394" s="225"/>
      <c r="L394" s="183"/>
      <c r="M394" s="233"/>
      <c r="N394" s="168"/>
      <c r="O394" s="227"/>
      <c r="P394" s="262"/>
      <c r="Q394" s="247"/>
      <c r="S394" s="263"/>
      <c r="T394" s="227"/>
      <c r="U394" s="178"/>
      <c r="V394" s="179"/>
      <c r="W394" s="180"/>
      <c r="X394" s="264"/>
      <c r="Y394" s="178"/>
      <c r="Z394" s="181"/>
      <c r="AA394" s="264"/>
      <c r="AB394" s="264"/>
      <c r="AC394" s="264"/>
      <c r="AE394" s="244"/>
    </row>
    <row r="395" spans="1:93" x14ac:dyDescent="0.2">
      <c r="A395" s="118">
        <f t="shared" si="42"/>
        <v>30</v>
      </c>
      <c r="B395" s="243" t="s">
        <v>559</v>
      </c>
      <c r="C395" s="223"/>
      <c r="D395" s="172">
        <f>SUMIF($AH$6:$CP$6,1,$AH395:$CP395)</f>
        <v>2481812.8883460429</v>
      </c>
      <c r="E395" s="225" t="s">
        <v>596</v>
      </c>
      <c r="F395" s="183">
        <v>2.75</v>
      </c>
      <c r="G395" s="233" t="s">
        <v>375</v>
      </c>
      <c r="H395" s="168">
        <f>ROUND(D395*F395,2)</f>
        <v>6824985.4400000004</v>
      </c>
      <c r="I395" s="308"/>
      <c r="J395" s="172">
        <f>SUMIF($AH$6:$CP$6,1,$AH395:$CP395)</f>
        <v>2481812.8883460429</v>
      </c>
      <c r="K395" s="225" t="s">
        <v>596</v>
      </c>
      <c r="L395" s="183">
        <f>L389</f>
        <v>2.86</v>
      </c>
      <c r="M395" s="233" t="s">
        <v>375</v>
      </c>
      <c r="N395" s="168">
        <f>ROUND(J395*L395,2)</f>
        <v>7097984.8600000003</v>
      </c>
      <c r="O395" s="227"/>
      <c r="P395" s="262"/>
      <c r="Q395" s="247"/>
      <c r="R395" s="182"/>
      <c r="S395" s="263"/>
      <c r="T395" s="197"/>
      <c r="U395" s="178" t="s">
        <v>624</v>
      </c>
      <c r="V395" s="179">
        <v>254</v>
      </c>
      <c r="W395" s="180">
        <v>228</v>
      </c>
      <c r="X395" s="264"/>
      <c r="Y395" s="178"/>
      <c r="Z395" s="181"/>
      <c r="AA395" s="264"/>
      <c r="AB395" s="182">
        <f>SUM(AH395:AS395)</f>
        <v>2435674.2193251527</v>
      </c>
      <c r="AC395" s="182">
        <f>SUM(AT395:BE395)</f>
        <v>2434017.5516812722</v>
      </c>
      <c r="AD395" s="182">
        <f>SUM(BF395:BQ395)</f>
        <v>2449712.0212853253</v>
      </c>
      <c r="AE395" s="182">
        <f>SUM(BR395:CC395)</f>
        <v>2481812.8883460429</v>
      </c>
      <c r="AF395" s="182">
        <f>SUM(CD395:CO395)</f>
        <v>2486005.449654791</v>
      </c>
      <c r="AH395" s="168">
        <v>149988.30016128521</v>
      </c>
      <c r="AI395" s="168">
        <v>95093.61424954822</v>
      </c>
      <c r="AJ395" s="168">
        <v>472894.88311307022</v>
      </c>
      <c r="AK395" s="168">
        <v>285840.0631283035</v>
      </c>
      <c r="AL395" s="168">
        <v>236629.27895375638</v>
      </c>
      <c r="AM395" s="168">
        <v>166351.4821022441</v>
      </c>
      <c r="AN395" s="168">
        <v>170906.89598975328</v>
      </c>
      <c r="AO395" s="168">
        <v>177900.02282411745</v>
      </c>
      <c r="AP395" s="168">
        <v>160600.83692535042</v>
      </c>
      <c r="AQ395" s="168">
        <v>131529.91433722302</v>
      </c>
      <c r="AR395" s="168">
        <v>108052.70890254337</v>
      </c>
      <c r="AS395" s="168">
        <v>279886.2186379577</v>
      </c>
      <c r="AT395" s="168">
        <v>151012.16368664475</v>
      </c>
      <c r="AU395" s="168">
        <v>95558.90146764474</v>
      </c>
      <c r="AV395" s="168">
        <v>470604.45563152415</v>
      </c>
      <c r="AW395" s="168">
        <v>289168.97164592642</v>
      </c>
      <c r="AX395" s="168">
        <v>236402.7717860234</v>
      </c>
      <c r="AY395" s="168">
        <v>163343.88932739323</v>
      </c>
      <c r="AZ395" s="168">
        <v>173135.84778226246</v>
      </c>
      <c r="BA395" s="168">
        <v>176412.22238308433</v>
      </c>
      <c r="BB395" s="168">
        <v>160404.87249325815</v>
      </c>
      <c r="BC395" s="168">
        <v>132334.1144131168</v>
      </c>
      <c r="BD395" s="168">
        <v>107570.8252986867</v>
      </c>
      <c r="BE395" s="168">
        <v>278068.5157657073</v>
      </c>
      <c r="BF395" s="168">
        <v>151376.13462948837</v>
      </c>
      <c r="BG395" s="168">
        <v>96782.308926627156</v>
      </c>
      <c r="BH395" s="168">
        <v>476810.32204671873</v>
      </c>
      <c r="BI395" s="168">
        <v>287529.14110373391</v>
      </c>
      <c r="BJ395" s="168">
        <v>237524.36698436717</v>
      </c>
      <c r="BK395" s="168">
        <v>165364.47668744792</v>
      </c>
      <c r="BL395" s="168">
        <v>173936.23749142</v>
      </c>
      <c r="BM395" s="168">
        <v>177483.63597373365</v>
      </c>
      <c r="BN395" s="168">
        <v>160809.1156735952</v>
      </c>
      <c r="BO395" s="168">
        <v>131516.38496853015</v>
      </c>
      <c r="BP395" s="168">
        <v>107505.29848863088</v>
      </c>
      <c r="BQ395" s="168">
        <v>283074.59831103199</v>
      </c>
      <c r="BR395" s="168">
        <v>153452.81431537023</v>
      </c>
      <c r="BS395" s="168">
        <v>97445.016460536674</v>
      </c>
      <c r="BT395" s="168">
        <v>487169.02592099452</v>
      </c>
      <c r="BU395" s="168">
        <v>294405.79423077602</v>
      </c>
      <c r="BV395" s="168">
        <v>236575.75252601132</v>
      </c>
      <c r="BW395" s="168">
        <v>168880.95614256684</v>
      </c>
      <c r="BX395" s="168">
        <v>177320.12320963759</v>
      </c>
      <c r="BY395" s="168">
        <v>179813.30313180189</v>
      </c>
      <c r="BZ395" s="168">
        <v>162284.38545986946</v>
      </c>
      <c r="CA395" s="168">
        <v>133356.18286842993</v>
      </c>
      <c r="CB395" s="168">
        <v>108741.41400646532</v>
      </c>
      <c r="CC395" s="168">
        <v>282368.12007358356</v>
      </c>
      <c r="CD395" s="168">
        <v>154054.70289074682</v>
      </c>
      <c r="CE395" s="168">
        <v>96865.815475422132</v>
      </c>
      <c r="CF395" s="168">
        <v>479946.4443430145</v>
      </c>
      <c r="CG395" s="168">
        <v>298230.76380448346</v>
      </c>
      <c r="CH395" s="168">
        <v>240042.71954098978</v>
      </c>
      <c r="CI395" s="168">
        <v>167333.8820595154</v>
      </c>
      <c r="CJ395" s="168">
        <v>177275.01120465368</v>
      </c>
      <c r="CK395" s="168">
        <v>180223.05630652959</v>
      </c>
      <c r="CL395" s="168">
        <v>164957.4222236436</v>
      </c>
      <c r="CM395" s="168">
        <v>133974.08744112434</v>
      </c>
      <c r="CN395" s="168">
        <v>110180.14386566594</v>
      </c>
      <c r="CO395" s="168">
        <v>282921.40049900179</v>
      </c>
    </row>
    <row r="396" spans="1:93" x14ac:dyDescent="0.2">
      <c r="A396" s="118">
        <f t="shared" si="42"/>
        <v>31</v>
      </c>
      <c r="B396" s="243" t="s">
        <v>599</v>
      </c>
      <c r="C396" s="223"/>
      <c r="D396" s="172">
        <f>SUMIF($AH$6:$CP$6,1,$AH396:$CP396)</f>
        <v>2442122.169550058</v>
      </c>
      <c r="E396" s="225" t="s">
        <v>596</v>
      </c>
      <c r="F396" s="183">
        <v>5.28</v>
      </c>
      <c r="G396" s="233" t="s">
        <v>375</v>
      </c>
      <c r="H396" s="168">
        <f>ROUND(D396*F396,2)</f>
        <v>12894405.060000001</v>
      </c>
      <c r="I396" s="308"/>
      <c r="J396" s="172">
        <f>SUMIF($AH$6:$CP$6,1,$AH396:$CP396)</f>
        <v>2442122.169550058</v>
      </c>
      <c r="K396" s="225" t="s">
        <v>596</v>
      </c>
      <c r="L396" s="183">
        <f>L390</f>
        <v>5.52</v>
      </c>
      <c r="M396" s="233" t="s">
        <v>375</v>
      </c>
      <c r="N396" s="168">
        <f>ROUND(J396*L396,2)</f>
        <v>13480514.380000001</v>
      </c>
      <c r="O396" s="227"/>
      <c r="P396" s="262"/>
      <c r="Q396" s="247"/>
      <c r="R396" s="182"/>
      <c r="S396" s="263"/>
      <c r="T396" s="197"/>
      <c r="U396" s="178" t="s">
        <v>624</v>
      </c>
      <c r="V396" s="179">
        <v>254</v>
      </c>
      <c r="W396" s="180">
        <v>228</v>
      </c>
      <c r="X396" s="264"/>
      <c r="Y396" s="178"/>
      <c r="Z396" s="181"/>
      <c r="AA396" s="264"/>
      <c r="AB396" s="182"/>
      <c r="AC396" s="182"/>
      <c r="AD396" s="182"/>
      <c r="AE396" s="182"/>
      <c r="AF396" s="182"/>
      <c r="AH396" s="168">
        <v>11969.975508594302</v>
      </c>
      <c r="AI396" s="168">
        <v>43098.441851172181</v>
      </c>
      <c r="AJ396" s="168">
        <v>285955.70622411784</v>
      </c>
      <c r="AK396" s="168">
        <v>263690.72901575139</v>
      </c>
      <c r="AL396" s="168">
        <v>260900.28768540753</v>
      </c>
      <c r="AM396" s="168">
        <v>230641.03008703914</v>
      </c>
      <c r="AN396" s="168">
        <v>222040.10148790217</v>
      </c>
      <c r="AO396" s="168">
        <v>224176.46266355042</v>
      </c>
      <c r="AP396" s="168">
        <v>220204.13228890981</v>
      </c>
      <c r="AQ396" s="168">
        <v>186586.96493347175</v>
      </c>
      <c r="AR396" s="168">
        <v>146083.98967636874</v>
      </c>
      <c r="AS396" s="168">
        <v>301373.55783510144</v>
      </c>
      <c r="AT396" s="168">
        <v>12461.886631801357</v>
      </c>
      <c r="AU396" s="168">
        <v>43774.721379423863</v>
      </c>
      <c r="AV396" s="168">
        <v>284681.19270868931</v>
      </c>
      <c r="AW396" s="168">
        <v>266894.09458205278</v>
      </c>
      <c r="AX396" s="168">
        <v>260815.46891867759</v>
      </c>
      <c r="AY396" s="168">
        <v>226539.09821960886</v>
      </c>
      <c r="AZ396" s="168">
        <v>225018.24792156427</v>
      </c>
      <c r="BA396" s="168">
        <v>222089.82319820669</v>
      </c>
      <c r="BB396" s="168">
        <v>220002.84023154082</v>
      </c>
      <c r="BC396" s="168">
        <v>187780.67010752327</v>
      </c>
      <c r="BD396" s="168">
        <v>145463.4603639539</v>
      </c>
      <c r="BE396" s="168">
        <v>299569.7018254901</v>
      </c>
      <c r="BF396" s="168">
        <v>12374.545858836147</v>
      </c>
      <c r="BG396" s="168">
        <v>44235.242911966452</v>
      </c>
      <c r="BH396" s="168">
        <v>288642.44228017476</v>
      </c>
      <c r="BI396" s="168">
        <v>265555.51262300473</v>
      </c>
      <c r="BJ396" s="168">
        <v>262210.6982655293</v>
      </c>
      <c r="BK396" s="168">
        <v>229503.90940328129</v>
      </c>
      <c r="BL396" s="168">
        <v>226219.02340495458</v>
      </c>
      <c r="BM396" s="168">
        <v>223675.39207617988</v>
      </c>
      <c r="BN396" s="168">
        <v>220715.95137816487</v>
      </c>
      <c r="BO396" s="168">
        <v>186757.41099261635</v>
      </c>
      <c r="BP396" s="168">
        <v>145485.71351963605</v>
      </c>
      <c r="BQ396" s="168">
        <v>305158.83711040905</v>
      </c>
      <c r="BR396" s="168">
        <v>12523.760424812132</v>
      </c>
      <c r="BS396" s="168">
        <v>44531.299166349476</v>
      </c>
      <c r="BT396" s="168">
        <v>295142.89535329811</v>
      </c>
      <c r="BU396" s="168">
        <v>272077.36562861135</v>
      </c>
      <c r="BV396" s="168">
        <v>261354.78691463117</v>
      </c>
      <c r="BW396" s="168">
        <v>234578.35262157879</v>
      </c>
      <c r="BX396" s="168">
        <v>230786.12914604048</v>
      </c>
      <c r="BY396" s="168">
        <v>226815.49939687434</v>
      </c>
      <c r="BZ396" s="168">
        <v>222915.20569333064</v>
      </c>
      <c r="CA396" s="168">
        <v>189517.63260809414</v>
      </c>
      <c r="CB396" s="168">
        <v>147277.81381001795</v>
      </c>
      <c r="CC396" s="168">
        <v>304601.42878641968</v>
      </c>
      <c r="CD396" s="168">
        <v>12584.007913987956</v>
      </c>
      <c r="CE396" s="168">
        <v>44224.432984695646</v>
      </c>
      <c r="CF396" s="168">
        <v>290247.27499543864</v>
      </c>
      <c r="CG396" s="168">
        <v>275196.02405130141</v>
      </c>
      <c r="CH396" s="168">
        <v>264758.64779868396</v>
      </c>
      <c r="CI396" s="168">
        <v>232021.70750550224</v>
      </c>
      <c r="CJ396" s="168">
        <v>230342.23039700175</v>
      </c>
      <c r="CK396" s="168">
        <v>226929.29721422846</v>
      </c>
      <c r="CL396" s="168">
        <v>226194.93498652824</v>
      </c>
      <c r="CM396" s="168">
        <v>190063.01351627085</v>
      </c>
      <c r="CN396" s="168">
        <v>148956.2206420688</v>
      </c>
      <c r="CO396" s="168">
        <v>304729.88876534876</v>
      </c>
    </row>
    <row r="397" spans="1:93" x14ac:dyDescent="0.2">
      <c r="A397" s="118">
        <f t="shared" si="42"/>
        <v>32</v>
      </c>
      <c r="B397" s="243" t="s">
        <v>145</v>
      </c>
      <c r="C397" s="223"/>
      <c r="D397" s="172">
        <f>SUMIF($AH$6:$CP$6,1,$AH397:$CP397)</f>
        <v>2948056.3210333781</v>
      </c>
      <c r="E397" s="225" t="s">
        <v>596</v>
      </c>
      <c r="F397" s="183">
        <v>1.86</v>
      </c>
      <c r="G397" s="233" t="s">
        <v>375</v>
      </c>
      <c r="H397" s="168">
        <f>ROUND(D397*F397,2)</f>
        <v>5483384.7599999998</v>
      </c>
      <c r="I397" s="308"/>
      <c r="J397" s="172">
        <f>SUMIF($AH$6:$CP$6,1,$AH397:$CP397)</f>
        <v>2948056.3210333781</v>
      </c>
      <c r="K397" s="225" t="s">
        <v>596</v>
      </c>
      <c r="L397" s="183">
        <f>L391</f>
        <v>1.96</v>
      </c>
      <c r="M397" s="233" t="s">
        <v>375</v>
      </c>
      <c r="N397" s="168">
        <f>ROUND(J397*L397,2)</f>
        <v>5778190.3899999997</v>
      </c>
      <c r="O397" s="227"/>
      <c r="P397" s="262"/>
      <c r="Q397" s="247"/>
      <c r="R397" s="182"/>
      <c r="S397" s="227"/>
      <c r="T397" s="927"/>
      <c r="U397" s="178" t="s">
        <v>624</v>
      </c>
      <c r="V397" s="179">
        <v>254</v>
      </c>
      <c r="W397" s="180">
        <v>228</v>
      </c>
      <c r="X397" s="227"/>
      <c r="Y397" s="178"/>
      <c r="Z397" s="181"/>
      <c r="AA397" s="227"/>
      <c r="AB397" s="182">
        <f>SUM(AH397:AS397)</f>
        <v>2893249.854562914</v>
      </c>
      <c r="AC397" s="182">
        <f>SUM(AT397:BE397)</f>
        <v>2891281.9586178456</v>
      </c>
      <c r="AD397" s="182">
        <f>SUM(BF397:BQ397)</f>
        <v>2909924.8549210923</v>
      </c>
      <c r="AE397" s="182">
        <f>SUM(BR397:CC397)</f>
        <v>2948056.3210333781</v>
      </c>
      <c r="AF397" s="182">
        <f>SUM(CD397:CO397)</f>
        <v>2953036.513909969</v>
      </c>
      <c r="AH397" s="168">
        <v>157623.42717958579</v>
      </c>
      <c r="AI397" s="168">
        <v>80480.122255470691</v>
      </c>
      <c r="AJ397" s="168">
        <v>325742.72593685857</v>
      </c>
      <c r="AK397" s="168">
        <v>299930.403250031</v>
      </c>
      <c r="AL397" s="168">
        <v>299383.63487059606</v>
      </c>
      <c r="AM397" s="168">
        <v>262071.40319659421</v>
      </c>
      <c r="AN397" s="168">
        <v>251411.20736537001</v>
      </c>
      <c r="AO397" s="168">
        <v>247474.08823952556</v>
      </c>
      <c r="AP397" s="168">
        <v>249522.59685174871</v>
      </c>
      <c r="AQ397" s="168">
        <v>210965.48368850027</v>
      </c>
      <c r="AR397" s="168">
        <v>164685.45577733431</v>
      </c>
      <c r="AS397" s="168">
        <v>343959.30595129885</v>
      </c>
      <c r="AT397" s="168">
        <v>158566.65393169946</v>
      </c>
      <c r="AU397" s="168">
        <v>80629.82101266025</v>
      </c>
      <c r="AV397" s="168">
        <v>324167.94220292679</v>
      </c>
      <c r="AW397" s="168">
        <v>303581.67161920527</v>
      </c>
      <c r="AX397" s="168">
        <v>299232.43079240795</v>
      </c>
      <c r="AY397" s="168">
        <v>257407.79891365435</v>
      </c>
      <c r="AZ397" s="168">
        <v>254779.61069292808</v>
      </c>
      <c r="BA397" s="168">
        <v>245427.04505221537</v>
      </c>
      <c r="BB397" s="168">
        <v>249292.55686061943</v>
      </c>
      <c r="BC397" s="168">
        <v>212313.36717811346</v>
      </c>
      <c r="BD397" s="168">
        <v>163984.41263860432</v>
      </c>
      <c r="BE397" s="168">
        <v>341898.64772281109</v>
      </c>
      <c r="BF397" s="168">
        <v>158985.01988700274</v>
      </c>
      <c r="BG397" s="168">
        <v>81768.697292800571</v>
      </c>
      <c r="BH397" s="168">
        <v>328707.88853107166</v>
      </c>
      <c r="BI397" s="168">
        <v>302055.07857032737</v>
      </c>
      <c r="BJ397" s="168">
        <v>300845.35772509163</v>
      </c>
      <c r="BK397" s="168">
        <v>260775.35340521223</v>
      </c>
      <c r="BL397" s="168">
        <v>256137.95940843213</v>
      </c>
      <c r="BM397" s="168">
        <v>247111.21567311732</v>
      </c>
      <c r="BN397" s="168">
        <v>250099.03538634151</v>
      </c>
      <c r="BO397" s="168">
        <v>211154.99579765354</v>
      </c>
      <c r="BP397" s="168">
        <v>164008.29305364471</v>
      </c>
      <c r="BQ397" s="168">
        <v>348275.96019039629</v>
      </c>
      <c r="BR397" s="168">
        <v>161186.19353978377</v>
      </c>
      <c r="BS397" s="168">
        <v>82387.505657054135</v>
      </c>
      <c r="BT397" s="168">
        <v>336131.36840475362</v>
      </c>
      <c r="BU397" s="168">
        <v>309480.34711826028</v>
      </c>
      <c r="BV397" s="168">
        <v>299873.21312560752</v>
      </c>
      <c r="BW397" s="168">
        <v>266548.56123532302</v>
      </c>
      <c r="BX397" s="168">
        <v>261317.39961203554</v>
      </c>
      <c r="BY397" s="168">
        <v>250568.44887175941</v>
      </c>
      <c r="BZ397" s="168">
        <v>252598.72376621253</v>
      </c>
      <c r="CA397" s="168">
        <v>214282.79711310222</v>
      </c>
      <c r="CB397" s="168">
        <v>166034.44503250797</v>
      </c>
      <c r="CC397" s="168">
        <v>347647.31755697762</v>
      </c>
      <c r="CD397" s="168">
        <v>161814.34268525511</v>
      </c>
      <c r="CE397" s="168">
        <v>81813.377589968732</v>
      </c>
      <c r="CF397" s="168">
        <v>330547.48665937106</v>
      </c>
      <c r="CG397" s="168">
        <v>313023.61177027528</v>
      </c>
      <c r="CH397" s="168">
        <v>303774.82771204313</v>
      </c>
      <c r="CI397" s="168">
        <v>263639.57253748272</v>
      </c>
      <c r="CJ397" s="168">
        <v>260810.33634439565</v>
      </c>
      <c r="CK397" s="168">
        <v>250693.09267625041</v>
      </c>
      <c r="CL397" s="168">
        <v>256310.97816868703</v>
      </c>
      <c r="CM397" s="168">
        <v>214895.65017914859</v>
      </c>
      <c r="CN397" s="168">
        <v>167923.38114070817</v>
      </c>
      <c r="CO397" s="168">
        <v>347789.85644638317</v>
      </c>
    </row>
    <row r="398" spans="1:93" x14ac:dyDescent="0.2">
      <c r="A398" s="118">
        <f t="shared" si="42"/>
        <v>33</v>
      </c>
      <c r="B398" s="847" t="s">
        <v>627</v>
      </c>
      <c r="C398" s="848"/>
      <c r="D398" s="172">
        <f t="shared" ref="D398:D399" si="44">SUMIF($AH$6:$CP$6,1,$AH398:$CP398)</f>
        <v>1995648.1351424274</v>
      </c>
      <c r="E398" s="849" t="s">
        <v>596</v>
      </c>
      <c r="F398" s="183">
        <v>-6.18</v>
      </c>
      <c r="G398" s="850" t="s">
        <v>375</v>
      </c>
      <c r="H398" s="174">
        <f>ROUND(D398*F398,2)</f>
        <v>-12333105.48</v>
      </c>
      <c r="I398" s="851"/>
      <c r="J398" s="172">
        <f t="shared" ref="J398:J399" si="45">SUMIF($AH$6:$CP$6,1,$AH398:$CP398)</f>
        <v>1995648.1351424274</v>
      </c>
      <c r="K398" s="849" t="s">
        <v>596</v>
      </c>
      <c r="L398" s="173">
        <f>'Exhibit MJC-3 - E-13c cal yr'!L438</f>
        <v>-6.47</v>
      </c>
      <c r="M398" s="850" t="s">
        <v>375</v>
      </c>
      <c r="N398" s="174">
        <f>ROUND(J398*L398,2)</f>
        <v>-12911843.43</v>
      </c>
      <c r="O398" s="852"/>
      <c r="P398" s="853"/>
      <c r="Q398" s="854"/>
      <c r="T398" s="852"/>
      <c r="U398" s="178" t="s">
        <v>624</v>
      </c>
      <c r="V398" s="179">
        <v>254</v>
      </c>
      <c r="W398" s="180">
        <v>228</v>
      </c>
      <c r="X398" s="852"/>
      <c r="Y398" s="178"/>
      <c r="Z398" s="181"/>
      <c r="AA398" s="852"/>
      <c r="AB398" s="182"/>
      <c r="AC398" s="182"/>
      <c r="AD398" s="182"/>
      <c r="AE398" s="182"/>
      <c r="AF398" s="182"/>
      <c r="AH398" s="168">
        <f>AH396-AH399</f>
        <v>11969.975508594302</v>
      </c>
      <c r="AI398" s="168">
        <f t="shared" ref="AI398:CO398" si="46">AI396-AI399</f>
        <v>43098.441851172181</v>
      </c>
      <c r="AJ398" s="168">
        <f t="shared" si="46"/>
        <v>214395.37063045707</v>
      </c>
      <c r="AK398" s="168">
        <f t="shared" si="46"/>
        <v>221911.47737202872</v>
      </c>
      <c r="AL398" s="168">
        <f t="shared" si="46"/>
        <v>227181.0843517794</v>
      </c>
      <c r="AM398" s="168">
        <f t="shared" si="46"/>
        <v>189707.41670967219</v>
      </c>
      <c r="AN398" s="168">
        <f t="shared" si="46"/>
        <v>175013.86823880597</v>
      </c>
      <c r="AO398" s="168">
        <f t="shared" si="46"/>
        <v>184676.99642611467</v>
      </c>
      <c r="AP398" s="168">
        <f t="shared" si="46"/>
        <v>175535.67270910391</v>
      </c>
      <c r="AQ398" s="168">
        <f t="shared" si="46"/>
        <v>144844.05785474391</v>
      </c>
      <c r="AR398" s="168">
        <f t="shared" si="46"/>
        <v>109331.98723643474</v>
      </c>
      <c r="AS398" s="168">
        <f t="shared" si="46"/>
        <v>260881.26621759785</v>
      </c>
      <c r="AT398" s="168">
        <f t="shared" si="46"/>
        <v>12461.886631801357</v>
      </c>
      <c r="AU398" s="168">
        <f t="shared" si="46"/>
        <v>43774.721379423863</v>
      </c>
      <c r="AV398" s="168">
        <f t="shared" si="46"/>
        <v>213415.27176221035</v>
      </c>
      <c r="AW398" s="168">
        <f t="shared" si="46"/>
        <v>224590.95530794523</v>
      </c>
      <c r="AX398" s="168">
        <f t="shared" si="46"/>
        <v>227093.74609590392</v>
      </c>
      <c r="AY398" s="168">
        <f t="shared" si="46"/>
        <v>186318.29667842115</v>
      </c>
      <c r="AZ398" s="168">
        <f t="shared" si="46"/>
        <v>177344.01542225326</v>
      </c>
      <c r="BA398" s="168">
        <f t="shared" si="46"/>
        <v>182943.21239770073</v>
      </c>
      <c r="BB398" s="168">
        <f t="shared" si="46"/>
        <v>175358.87335170514</v>
      </c>
      <c r="BC398" s="168">
        <f t="shared" si="46"/>
        <v>145755.73116412666</v>
      </c>
      <c r="BD398" s="168">
        <f t="shared" si="46"/>
        <v>108854.99208390978</v>
      </c>
      <c r="BE398" s="168">
        <f t="shared" si="46"/>
        <v>259303.77143173123</v>
      </c>
      <c r="BF398" s="168">
        <f t="shared" si="46"/>
        <v>12374.545858836147</v>
      </c>
      <c r="BG398" s="168">
        <f t="shared" si="46"/>
        <v>44235.242911966452</v>
      </c>
      <c r="BH398" s="168">
        <f t="shared" si="46"/>
        <v>216364.87252080531</v>
      </c>
      <c r="BI398" s="168">
        <f t="shared" si="46"/>
        <v>223451.45902325262</v>
      </c>
      <c r="BJ398" s="168">
        <f t="shared" si="46"/>
        <v>228297.67899656316</v>
      </c>
      <c r="BK398" s="168">
        <f t="shared" si="46"/>
        <v>188744.34415921022</v>
      </c>
      <c r="BL398" s="168">
        <f t="shared" si="46"/>
        <v>178276.43359047227</v>
      </c>
      <c r="BM398" s="168">
        <f t="shared" si="46"/>
        <v>184237.30661953875</v>
      </c>
      <c r="BN398" s="168">
        <f t="shared" si="46"/>
        <v>175914.0917034781</v>
      </c>
      <c r="BO398" s="168">
        <f t="shared" si="46"/>
        <v>144949.49364596899</v>
      </c>
      <c r="BP398" s="168">
        <f t="shared" si="46"/>
        <v>108861.52556220924</v>
      </c>
      <c r="BQ398" s="168">
        <f t="shared" si="46"/>
        <v>264128.54372342874</v>
      </c>
      <c r="BR398" s="168">
        <f t="shared" si="46"/>
        <v>12523.760424812132</v>
      </c>
      <c r="BS398" s="168">
        <f t="shared" si="46"/>
        <v>44531.299166349476</v>
      </c>
      <c r="BT398" s="168">
        <f t="shared" si="46"/>
        <v>221336.2557009756</v>
      </c>
      <c r="BU398" s="168">
        <f t="shared" si="46"/>
        <v>229003.91140239217</v>
      </c>
      <c r="BV398" s="168">
        <f t="shared" si="46"/>
        <v>227604.87756177981</v>
      </c>
      <c r="BW398" s="168">
        <f t="shared" si="46"/>
        <v>192978.59327382644</v>
      </c>
      <c r="BX398" s="168">
        <f t="shared" si="46"/>
        <v>181944.28466289863</v>
      </c>
      <c r="BY398" s="168">
        <f t="shared" si="46"/>
        <v>186882.42144572915</v>
      </c>
      <c r="BZ398" s="168">
        <f t="shared" si="46"/>
        <v>177731.16348952867</v>
      </c>
      <c r="CA398" s="168">
        <f t="shared" si="46"/>
        <v>147150.45555173222</v>
      </c>
      <c r="CB398" s="168">
        <f t="shared" si="46"/>
        <v>110251.90189707502</v>
      </c>
      <c r="CC398" s="168">
        <f t="shared" si="46"/>
        <v>263709.21056532807</v>
      </c>
      <c r="CD398" s="168">
        <f t="shared" si="46"/>
        <v>12584.007913987956</v>
      </c>
      <c r="CE398" s="168">
        <f t="shared" si="46"/>
        <v>44224.432984695646</v>
      </c>
      <c r="CF398" s="168">
        <f t="shared" si="46"/>
        <v>217612.34986780473</v>
      </c>
      <c r="CG398" s="168">
        <f t="shared" si="46"/>
        <v>231593.44785916558</v>
      </c>
      <c r="CH398" s="168">
        <f t="shared" si="46"/>
        <v>230540.44103439077</v>
      </c>
      <c r="CI398" s="168">
        <f t="shared" si="46"/>
        <v>190842.66570468424</v>
      </c>
      <c r="CJ398" s="168">
        <f t="shared" si="46"/>
        <v>181557.23403101962</v>
      </c>
      <c r="CK398" s="168">
        <f t="shared" si="46"/>
        <v>186944.40833521995</v>
      </c>
      <c r="CL398" s="168">
        <f t="shared" si="46"/>
        <v>180310.81946898549</v>
      </c>
      <c r="CM398" s="168">
        <f t="shared" si="46"/>
        <v>147542.07175343292</v>
      </c>
      <c r="CN398" s="168">
        <f t="shared" si="46"/>
        <v>111481.29633397641</v>
      </c>
      <c r="CO398" s="168">
        <f t="shared" si="46"/>
        <v>263786.23622991133</v>
      </c>
    </row>
    <row r="399" spans="1:93" x14ac:dyDescent="0.2">
      <c r="A399" s="118">
        <f t="shared" si="42"/>
        <v>34</v>
      </c>
      <c r="B399" s="847" t="s">
        <v>628</v>
      </c>
      <c r="C399" s="848"/>
      <c r="D399" s="172">
        <f t="shared" si="44"/>
        <v>446474.03440763085</v>
      </c>
      <c r="E399" s="849" t="s">
        <v>596</v>
      </c>
      <c r="F399" s="183">
        <v>-8.61</v>
      </c>
      <c r="G399" s="850" t="s">
        <v>375</v>
      </c>
      <c r="H399" s="174">
        <f>ROUND(D399*F399,2)</f>
        <v>-3844141.44</v>
      </c>
      <c r="I399" s="851"/>
      <c r="J399" s="172">
        <f t="shared" si="45"/>
        <v>446474.03440763085</v>
      </c>
      <c r="K399" s="849" t="s">
        <v>596</v>
      </c>
      <c r="L399" s="173">
        <f>'Exhibit MJC-3 - E-13c cal yr'!L439</f>
        <v>-9.0399999999999991</v>
      </c>
      <c r="M399" s="850" t="s">
        <v>375</v>
      </c>
      <c r="N399" s="174">
        <f>ROUND(J399*L399,2)</f>
        <v>-4036125.27</v>
      </c>
      <c r="O399" s="852"/>
      <c r="P399" s="853"/>
      <c r="Q399" s="854"/>
      <c r="T399" s="852"/>
      <c r="U399" s="178" t="s">
        <v>624</v>
      </c>
      <c r="V399" s="179">
        <v>254</v>
      </c>
      <c r="W399" s="180">
        <v>228</v>
      </c>
      <c r="X399" s="852"/>
      <c r="Y399" s="178"/>
      <c r="Z399" s="181"/>
      <c r="AA399" s="852"/>
      <c r="AB399" s="182"/>
      <c r="AC399" s="182"/>
      <c r="AD399" s="182"/>
      <c r="AE399" s="182"/>
      <c r="AF399" s="182"/>
      <c r="AH399" s="168">
        <v>0</v>
      </c>
      <c r="AI399" s="168">
        <v>0</v>
      </c>
      <c r="AJ399" s="168">
        <v>71560.33559366077</v>
      </c>
      <c r="AK399" s="168">
        <v>41779.251643722666</v>
      </c>
      <c r="AL399" s="168">
        <v>33719.203333628131</v>
      </c>
      <c r="AM399" s="168">
        <v>40933.613377366935</v>
      </c>
      <c r="AN399" s="168">
        <v>47026.233249096185</v>
      </c>
      <c r="AO399" s="168">
        <v>39499.46623743575</v>
      </c>
      <c r="AP399" s="168">
        <v>44668.459579805894</v>
      </c>
      <c r="AQ399" s="168">
        <v>41742.907078727862</v>
      </c>
      <c r="AR399" s="168">
        <v>36752.002439933996</v>
      </c>
      <c r="AS399" s="168">
        <v>40492.291617503586</v>
      </c>
      <c r="AT399" s="168">
        <v>0</v>
      </c>
      <c r="AU399" s="168">
        <v>0</v>
      </c>
      <c r="AV399" s="168">
        <v>71265.920946478946</v>
      </c>
      <c r="AW399" s="168">
        <v>42303.139274107562</v>
      </c>
      <c r="AX399" s="168">
        <v>33721.722822773692</v>
      </c>
      <c r="AY399" s="168">
        <v>40220.80154118772</v>
      </c>
      <c r="AZ399" s="168">
        <v>47674.232499311009</v>
      </c>
      <c r="BA399" s="168">
        <v>39146.610800505965</v>
      </c>
      <c r="BB399" s="168">
        <v>44643.966879835672</v>
      </c>
      <c r="BC399" s="168">
        <v>42024.938943396599</v>
      </c>
      <c r="BD399" s="168">
        <v>36608.468280044115</v>
      </c>
      <c r="BE399" s="168">
        <v>40265.930393758856</v>
      </c>
      <c r="BF399" s="168">
        <v>0</v>
      </c>
      <c r="BG399" s="168">
        <v>0</v>
      </c>
      <c r="BH399" s="168">
        <v>72277.569759369449</v>
      </c>
      <c r="BI399" s="168">
        <v>42104.053599752107</v>
      </c>
      <c r="BJ399" s="168">
        <v>33913.019268966134</v>
      </c>
      <c r="BK399" s="168">
        <v>40759.565244071055</v>
      </c>
      <c r="BL399" s="168">
        <v>47942.5898144823</v>
      </c>
      <c r="BM399" s="168">
        <v>39438.085456641129</v>
      </c>
      <c r="BN399" s="168">
        <v>44801.859674686762</v>
      </c>
      <c r="BO399" s="168">
        <v>41807.917346647366</v>
      </c>
      <c r="BP399" s="168">
        <v>36624.18795742681</v>
      </c>
      <c r="BQ399" s="168">
        <v>41030.293386980338</v>
      </c>
      <c r="BR399" s="168">
        <v>0</v>
      </c>
      <c r="BS399" s="168">
        <v>0</v>
      </c>
      <c r="BT399" s="168">
        <v>73806.639652322527</v>
      </c>
      <c r="BU399" s="168">
        <v>43073.454226219175</v>
      </c>
      <c r="BV399" s="168">
        <v>33749.909352851362</v>
      </c>
      <c r="BW399" s="168">
        <v>41599.759347752341</v>
      </c>
      <c r="BX399" s="168">
        <v>48841.844483141853</v>
      </c>
      <c r="BY399" s="168">
        <v>39933.077951145176</v>
      </c>
      <c r="BZ399" s="168">
        <v>45184.042203801982</v>
      </c>
      <c r="CA399" s="168">
        <v>42367.177056361921</v>
      </c>
      <c r="CB399" s="168">
        <v>37025.911912942931</v>
      </c>
      <c r="CC399" s="168">
        <v>40892.2182210916</v>
      </c>
      <c r="CD399" s="168">
        <v>0</v>
      </c>
      <c r="CE399" s="168">
        <v>0</v>
      </c>
      <c r="CF399" s="168">
        <v>72634.92512763392</v>
      </c>
      <c r="CG399" s="168">
        <v>43602.576192135843</v>
      </c>
      <c r="CH399" s="168">
        <v>34218.206764293194</v>
      </c>
      <c r="CI399" s="168">
        <v>41179.041800817991</v>
      </c>
      <c r="CJ399" s="168">
        <v>48784.996365982144</v>
      </c>
      <c r="CK399" s="168">
        <v>39984.888879008504</v>
      </c>
      <c r="CL399" s="168">
        <v>45884.115517542741</v>
      </c>
      <c r="CM399" s="168">
        <v>42520.941762837938</v>
      </c>
      <c r="CN399" s="168">
        <v>37474.924308092384</v>
      </c>
      <c r="CO399" s="168">
        <v>40943.652535437417</v>
      </c>
    </row>
    <row r="400" spans="1:93" x14ac:dyDescent="0.2">
      <c r="A400" s="118">
        <f t="shared" si="42"/>
        <v>35</v>
      </c>
      <c r="B400" s="243"/>
      <c r="C400" s="225" t="s">
        <v>603</v>
      </c>
      <c r="D400" s="204">
        <f>SUM(D379:D382,D387,D391,D397)</f>
        <v>7512508.068418392</v>
      </c>
      <c r="E400" s="233" t="s">
        <v>629</v>
      </c>
      <c r="F400" s="205" t="s">
        <v>374</v>
      </c>
      <c r="G400" s="233"/>
      <c r="H400" s="204">
        <f>SUM(H377:H399)</f>
        <v>40844770.829999998</v>
      </c>
      <c r="I400" s="308"/>
      <c r="J400" s="204">
        <f>SUM(J379:J382,J387,J391,J397)</f>
        <v>7512508.068418392</v>
      </c>
      <c r="K400" s="233" t="s">
        <v>629</v>
      </c>
      <c r="L400" s="205" t="s">
        <v>374</v>
      </c>
      <c r="M400" s="233"/>
      <c r="N400" s="204">
        <f>SUM(N377:N399)</f>
        <v>42732972.980000004</v>
      </c>
      <c r="O400" s="227"/>
      <c r="P400" s="312"/>
      <c r="Q400" s="939"/>
      <c r="U400" s="184"/>
      <c r="V400" s="179"/>
      <c r="W400" s="180"/>
      <c r="Y400" s="184" t="s">
        <v>623</v>
      </c>
      <c r="Z400" s="181" t="s">
        <v>146</v>
      </c>
      <c r="AB400" s="204">
        <f>SUM(AB379:AB382,AB387,AB391,AB397)</f>
        <v>7372845.1933833128</v>
      </c>
      <c r="AC400" s="204">
        <f>SUM(AC379:AC382,AC387,AC391,AC397)</f>
        <v>7367830.420069905</v>
      </c>
      <c r="AD400" s="204">
        <f>SUM(AD379:AD382,AD387,AD391,AD397)</f>
        <v>7415337.9618687453</v>
      </c>
      <c r="AE400" s="204">
        <f>SUM(AE379:AE382,AE387,AE391,AE397)</f>
        <v>7512508.068418392</v>
      </c>
      <c r="AF400" s="204">
        <f>SUM(AF379:AF382,AF387,AF391,AF397)</f>
        <v>7525199.0536281168</v>
      </c>
      <c r="AH400" s="204">
        <f t="shared" ref="AH400:BM400" si="47">SUM(AH379:AH382,AH387,AH391,AH397)</f>
        <v>415599.27402959624</v>
      </c>
      <c r="AI400" s="204">
        <f t="shared" si="47"/>
        <v>622714.45291199477</v>
      </c>
      <c r="AJ400" s="204">
        <f t="shared" si="47"/>
        <v>659096.98901301762</v>
      </c>
      <c r="AK400" s="204">
        <f t="shared" si="47"/>
        <v>698783.95745402924</v>
      </c>
      <c r="AL400" s="204">
        <f t="shared" si="47"/>
        <v>592025.69162877672</v>
      </c>
      <c r="AM400" s="204">
        <f t="shared" si="47"/>
        <v>638788.07338997326</v>
      </c>
      <c r="AN400" s="204">
        <f t="shared" si="47"/>
        <v>612383.83035235154</v>
      </c>
      <c r="AO400" s="204">
        <f t="shared" si="47"/>
        <v>649688.70608704141</v>
      </c>
      <c r="AP400" s="204">
        <f t="shared" si="47"/>
        <v>662265.81529614818</v>
      </c>
      <c r="AQ400" s="204">
        <f t="shared" si="47"/>
        <v>617345.73597300786</v>
      </c>
      <c r="AR400" s="204">
        <f t="shared" si="47"/>
        <v>480760.93409717269</v>
      </c>
      <c r="AS400" s="204">
        <f t="shared" si="47"/>
        <v>723391.7331502036</v>
      </c>
      <c r="AT400" s="204">
        <f t="shared" si="47"/>
        <v>423979.52294865123</v>
      </c>
      <c r="AU400" s="204">
        <f t="shared" si="47"/>
        <v>627673.55881132977</v>
      </c>
      <c r="AV400" s="204">
        <f t="shared" si="47"/>
        <v>654428.23654759373</v>
      </c>
      <c r="AW400" s="204">
        <f t="shared" si="47"/>
        <v>706104.80520920455</v>
      </c>
      <c r="AX400" s="204">
        <f t="shared" si="47"/>
        <v>590576.08903045859</v>
      </c>
      <c r="AY400" s="204">
        <f t="shared" si="47"/>
        <v>625851.26404664805</v>
      </c>
      <c r="AZ400" s="204">
        <f t="shared" si="47"/>
        <v>619031.09739407129</v>
      </c>
      <c r="BA400" s="204">
        <f t="shared" si="47"/>
        <v>644473.05621436401</v>
      </c>
      <c r="BB400" s="204">
        <f t="shared" si="47"/>
        <v>660312.65332247468</v>
      </c>
      <c r="BC400" s="204">
        <f t="shared" si="47"/>
        <v>619913.18699933786</v>
      </c>
      <c r="BD400" s="204">
        <f t="shared" si="47"/>
        <v>477637.18780594319</v>
      </c>
      <c r="BE400" s="204">
        <f t="shared" si="47"/>
        <v>717849.76173982932</v>
      </c>
      <c r="BF400" s="204">
        <f t="shared" si="47"/>
        <v>423117.27855750313</v>
      </c>
      <c r="BG400" s="204">
        <f t="shared" si="47"/>
        <v>635313.90695901506</v>
      </c>
      <c r="BH400" s="204">
        <f t="shared" si="47"/>
        <v>663949.80639899056</v>
      </c>
      <c r="BI400" s="204">
        <f t="shared" si="47"/>
        <v>702947.25676420261</v>
      </c>
      <c r="BJ400" s="204">
        <f t="shared" si="47"/>
        <v>594081.4701719099</v>
      </c>
      <c r="BK400" s="204">
        <f t="shared" si="47"/>
        <v>634463.10168042104</v>
      </c>
      <c r="BL400" s="204">
        <f t="shared" si="47"/>
        <v>622737.77028618648</v>
      </c>
      <c r="BM400" s="204">
        <f t="shared" si="47"/>
        <v>649252.79967460642</v>
      </c>
      <c r="BN400" s="204">
        <f t="shared" ref="BN400:CO400" si="48">SUM(BN379:BN382,BN387,BN391,BN397)</f>
        <v>662868.0347035639</v>
      </c>
      <c r="BO400" s="204">
        <f t="shared" si="48"/>
        <v>616941.26339810458</v>
      </c>
      <c r="BP400" s="204">
        <f t="shared" si="48"/>
        <v>478025.28427532519</v>
      </c>
      <c r="BQ400" s="204">
        <f t="shared" si="48"/>
        <v>731639.98899891635</v>
      </c>
      <c r="BR400" s="204">
        <f t="shared" si="48"/>
        <v>428678.21495041082</v>
      </c>
      <c r="BS400" s="204">
        <f t="shared" si="48"/>
        <v>639774.19277382467</v>
      </c>
      <c r="BT400" s="204">
        <f t="shared" si="48"/>
        <v>679082.80937866785</v>
      </c>
      <c r="BU400" s="204">
        <f t="shared" si="48"/>
        <v>720274.93078718311</v>
      </c>
      <c r="BV400" s="204">
        <f t="shared" si="48"/>
        <v>592209.14622096613</v>
      </c>
      <c r="BW400" s="204">
        <f t="shared" si="48"/>
        <v>648612.2887876241</v>
      </c>
      <c r="BX400" s="204">
        <f t="shared" si="48"/>
        <v>635456.18384226714</v>
      </c>
      <c r="BY400" s="204">
        <f t="shared" si="48"/>
        <v>658245.93796675105</v>
      </c>
      <c r="BZ400" s="204">
        <f t="shared" si="48"/>
        <v>669587.25843559904</v>
      </c>
      <c r="CA400" s="204">
        <f t="shared" si="48"/>
        <v>626193.66798367654</v>
      </c>
      <c r="CB400" s="204">
        <f t="shared" si="48"/>
        <v>484027.07277938689</v>
      </c>
      <c r="CC400" s="204">
        <f t="shared" si="48"/>
        <v>730366.36451203423</v>
      </c>
      <c r="CD400" s="204">
        <f t="shared" si="48"/>
        <v>430993.32790948363</v>
      </c>
      <c r="CE400" s="204">
        <f t="shared" si="48"/>
        <v>635866.82093573408</v>
      </c>
      <c r="CF400" s="204">
        <f t="shared" si="48"/>
        <v>667907.82392730843</v>
      </c>
      <c r="CG400" s="204">
        <f t="shared" si="48"/>
        <v>728545.12704702048</v>
      </c>
      <c r="CH400" s="204">
        <f t="shared" si="48"/>
        <v>599996.05003940337</v>
      </c>
      <c r="CI400" s="204">
        <f t="shared" si="48"/>
        <v>641626.98076045746</v>
      </c>
      <c r="CJ400" s="204">
        <f t="shared" si="48"/>
        <v>634304.43306701211</v>
      </c>
      <c r="CK400" s="204">
        <f t="shared" si="48"/>
        <v>658250.51087168814</v>
      </c>
      <c r="CL400" s="204">
        <f t="shared" si="48"/>
        <v>679449.25753900968</v>
      </c>
      <c r="CM400" s="204">
        <f t="shared" si="48"/>
        <v>628007.50483561715</v>
      </c>
      <c r="CN400" s="204">
        <f t="shared" si="48"/>
        <v>489548.38986256649</v>
      </c>
      <c r="CO400" s="204">
        <f t="shared" si="48"/>
        <v>730702.82683281694</v>
      </c>
    </row>
    <row r="401" spans="1:93" x14ac:dyDescent="0.2">
      <c r="A401" s="118">
        <f t="shared" si="42"/>
        <v>36</v>
      </c>
      <c r="B401" s="243"/>
      <c r="C401" s="225"/>
      <c r="D401" s="313"/>
      <c r="E401" s="233"/>
      <c r="F401" s="205"/>
      <c r="G401" s="233"/>
      <c r="H401" s="313"/>
      <c r="I401" s="308"/>
      <c r="J401" s="313"/>
      <c r="K401" s="233"/>
      <c r="L401" s="205"/>
      <c r="M401" s="233"/>
      <c r="N401" s="313"/>
      <c r="O401" s="227"/>
      <c r="P401" s="312"/>
      <c r="Q401" s="247"/>
      <c r="U401" s="184"/>
      <c r="V401" s="179"/>
      <c r="W401" s="180"/>
      <c r="Y401" s="184"/>
      <c r="Z401" s="181"/>
      <c r="AB401" s="313"/>
      <c r="AC401" s="313"/>
      <c r="AD401" s="313"/>
      <c r="AE401" s="313"/>
      <c r="AF401" s="313"/>
      <c r="AH401" s="313"/>
      <c r="AI401" s="313"/>
      <c r="AJ401" s="313"/>
      <c r="AK401" s="313"/>
      <c r="AL401" s="313"/>
      <c r="AM401" s="313"/>
      <c r="AN401" s="313"/>
      <c r="AO401" s="313"/>
      <c r="AP401" s="313"/>
      <c r="AQ401" s="313"/>
      <c r="AR401" s="313"/>
      <c r="AS401" s="313"/>
      <c r="AT401" s="313"/>
      <c r="AU401" s="313"/>
      <c r="AV401" s="313"/>
      <c r="AW401" s="313"/>
      <c r="AX401" s="313"/>
      <c r="AY401" s="313"/>
      <c r="AZ401" s="313"/>
      <c r="BA401" s="313"/>
      <c r="BB401" s="313"/>
      <c r="BC401" s="313"/>
      <c r="BD401" s="313"/>
      <c r="BE401" s="313"/>
      <c r="BF401" s="313"/>
      <c r="BG401" s="313"/>
      <c r="BH401" s="313"/>
      <c r="BI401" s="313"/>
      <c r="BJ401" s="313"/>
      <c r="BK401" s="313"/>
      <c r="BL401" s="313"/>
      <c r="BM401" s="313"/>
      <c r="BN401" s="313"/>
      <c r="BO401" s="313"/>
      <c r="BP401" s="313"/>
      <c r="BQ401" s="313"/>
      <c r="BR401" s="313"/>
      <c r="BS401" s="313"/>
      <c r="BT401" s="313"/>
      <c r="BU401" s="313"/>
      <c r="BV401" s="313"/>
      <c r="BW401" s="313"/>
      <c r="BX401" s="313"/>
      <c r="BY401" s="313"/>
      <c r="BZ401" s="313"/>
      <c r="CA401" s="313"/>
      <c r="CB401" s="313"/>
      <c r="CC401" s="313"/>
      <c r="CD401" s="313"/>
      <c r="CE401" s="313"/>
      <c r="CF401" s="313"/>
      <c r="CG401" s="313"/>
      <c r="CH401" s="313"/>
      <c r="CI401" s="313"/>
      <c r="CJ401" s="313"/>
      <c r="CK401" s="313"/>
      <c r="CL401" s="313"/>
      <c r="CM401" s="313"/>
      <c r="CN401" s="313"/>
      <c r="CO401" s="313"/>
    </row>
    <row r="402" spans="1:93" x14ac:dyDescent="0.2">
      <c r="A402" s="118">
        <f t="shared" si="42"/>
        <v>37</v>
      </c>
      <c r="B402" s="243"/>
      <c r="C402" s="225"/>
      <c r="D402" s="313"/>
      <c r="E402" s="233"/>
      <c r="F402" s="205"/>
      <c r="G402" s="233"/>
      <c r="H402" s="940"/>
      <c r="I402" s="297"/>
      <c r="J402" s="168"/>
      <c r="K402" s="233"/>
      <c r="L402" s="205"/>
      <c r="M402" s="233"/>
      <c r="N402" s="940"/>
      <c r="O402" s="227"/>
      <c r="P402" s="227"/>
      <c r="Q402" s="247"/>
      <c r="U402" s="184"/>
      <c r="V402" s="179"/>
      <c r="W402" s="180"/>
      <c r="Y402" s="184"/>
      <c r="Z402" s="181"/>
      <c r="AB402" s="313"/>
      <c r="AC402" s="313"/>
      <c r="AD402" s="313"/>
      <c r="AE402" s="313"/>
      <c r="AF402" s="313"/>
      <c r="AH402" s="313"/>
      <c r="AI402" s="313"/>
      <c r="AJ402" s="313"/>
      <c r="AK402" s="313"/>
      <c r="AL402" s="313"/>
      <c r="AM402" s="313"/>
      <c r="AN402" s="313"/>
      <c r="AO402" s="313"/>
      <c r="AP402" s="313"/>
      <c r="AQ402" s="313"/>
      <c r="AR402" s="313"/>
      <c r="AS402" s="313"/>
      <c r="AT402" s="313"/>
      <c r="AU402" s="313"/>
      <c r="AV402" s="313"/>
      <c r="AW402" s="313"/>
      <c r="AX402" s="313"/>
      <c r="AY402" s="313"/>
      <c r="AZ402" s="313"/>
      <c r="BA402" s="313"/>
      <c r="BB402" s="313"/>
      <c r="BC402" s="313"/>
      <c r="BD402" s="313"/>
      <c r="BE402" s="313"/>
      <c r="BF402" s="313"/>
      <c r="BG402" s="313"/>
      <c r="BH402" s="313"/>
      <c r="BI402" s="313"/>
      <c r="BJ402" s="313"/>
      <c r="BK402" s="313"/>
      <c r="BL402" s="313"/>
      <c r="BM402" s="313"/>
      <c r="BN402" s="313"/>
      <c r="BO402" s="313"/>
      <c r="BP402" s="313"/>
      <c r="BQ402" s="313"/>
      <c r="BR402" s="313"/>
      <c r="BS402" s="313"/>
      <c r="BT402" s="313"/>
      <c r="BU402" s="313"/>
      <c r="BV402" s="313"/>
      <c r="BW402" s="313"/>
      <c r="BX402" s="313"/>
      <c r="BY402" s="313"/>
      <c r="BZ402" s="313"/>
      <c r="CA402" s="313"/>
      <c r="CB402" s="313"/>
      <c r="CC402" s="313"/>
      <c r="CD402" s="313"/>
      <c r="CE402" s="313"/>
      <c r="CF402" s="313"/>
      <c r="CG402" s="313"/>
      <c r="CH402" s="313"/>
      <c r="CI402" s="313"/>
      <c r="CJ402" s="313"/>
      <c r="CK402" s="313"/>
      <c r="CL402" s="313"/>
      <c r="CM402" s="313"/>
      <c r="CN402" s="313"/>
      <c r="CO402" s="313"/>
    </row>
    <row r="403" spans="1:93" x14ac:dyDescent="0.2">
      <c r="A403" s="215"/>
      <c r="B403" s="215" t="s">
        <v>674</v>
      </c>
      <c r="C403" s="215"/>
      <c r="D403" s="215"/>
      <c r="E403" s="215"/>
      <c r="F403" s="215"/>
      <c r="G403" s="215"/>
      <c r="H403" s="215"/>
      <c r="I403" s="215"/>
      <c r="J403" s="215"/>
      <c r="K403" s="215"/>
      <c r="L403" s="215"/>
      <c r="M403" s="215"/>
      <c r="N403" s="215" t="s">
        <v>675</v>
      </c>
      <c r="O403" s="215"/>
      <c r="P403" s="215"/>
      <c r="Q403" s="215"/>
      <c r="U403" s="215"/>
      <c r="V403" s="215"/>
      <c r="W403" s="215"/>
      <c r="Y403" s="215"/>
      <c r="Z403" s="315"/>
      <c r="AB403" s="193">
        <f>SUM(AH403:AS403)</f>
        <v>-4.7293724492192268E-11</v>
      </c>
      <c r="AC403" s="193">
        <f>SUM(AT403:BE403)</f>
        <v>1.4551915228366852E-10</v>
      </c>
      <c r="AD403" s="193">
        <f>SUM(BF403:BQ403)</f>
        <v>-3.637978807091713E-11</v>
      </c>
      <c r="AE403" s="193">
        <f>SUM(BR403:CC403)</f>
        <v>3.2741809263825417E-11</v>
      </c>
      <c r="AF403" s="193">
        <f>SUM(CD403:CO403)</f>
        <v>-4.0017766878008842E-11</v>
      </c>
      <c r="AH403" s="193">
        <v>0</v>
      </c>
      <c r="AI403" s="193">
        <v>0</v>
      </c>
      <c r="AJ403" s="193">
        <v>-8.0035533756017685E-11</v>
      </c>
      <c r="AK403" s="193">
        <v>3.2741809263825417E-11</v>
      </c>
      <c r="AL403" s="193">
        <v>0</v>
      </c>
      <c r="AM403" s="193">
        <v>0</v>
      </c>
      <c r="AN403" s="193">
        <v>0</v>
      </c>
      <c r="AO403" s="193">
        <v>0</v>
      </c>
      <c r="AP403" s="193">
        <v>0</v>
      </c>
      <c r="AQ403" s="193">
        <v>0</v>
      </c>
      <c r="AR403" s="193">
        <v>0</v>
      </c>
      <c r="AS403" s="193">
        <v>0</v>
      </c>
      <c r="AT403" s="193">
        <v>0</v>
      </c>
      <c r="AU403" s="193">
        <v>0</v>
      </c>
      <c r="AV403" s="193">
        <v>0</v>
      </c>
      <c r="AW403" s="193">
        <v>7.2759576141834259E-11</v>
      </c>
      <c r="AX403" s="193">
        <v>0</v>
      </c>
      <c r="AY403" s="193">
        <v>0</v>
      </c>
      <c r="AZ403" s="193">
        <v>0</v>
      </c>
      <c r="BA403" s="193">
        <v>3.2741809263825417E-11</v>
      </c>
      <c r="BB403" s="193">
        <v>0</v>
      </c>
      <c r="BC403" s="193">
        <v>0</v>
      </c>
      <c r="BD403" s="193">
        <v>4.0017766878008842E-11</v>
      </c>
      <c r="BE403" s="193">
        <v>0</v>
      </c>
      <c r="BF403" s="193">
        <v>0</v>
      </c>
      <c r="BG403" s="193">
        <v>0</v>
      </c>
      <c r="BH403" s="193">
        <v>-8.0035533756017685E-11</v>
      </c>
      <c r="BI403" s="193">
        <v>0</v>
      </c>
      <c r="BJ403" s="193">
        <v>0</v>
      </c>
      <c r="BK403" s="193">
        <v>0</v>
      </c>
      <c r="BL403" s="193">
        <v>0</v>
      </c>
      <c r="BM403" s="193">
        <v>4.3655745685100555E-11</v>
      </c>
      <c r="BN403" s="193">
        <v>0</v>
      </c>
      <c r="BO403" s="193">
        <v>0</v>
      </c>
      <c r="BP403" s="193">
        <v>0</v>
      </c>
      <c r="BQ403" s="193">
        <v>0</v>
      </c>
      <c r="BR403" s="193">
        <v>0</v>
      </c>
      <c r="BS403" s="193">
        <v>0</v>
      </c>
      <c r="BT403" s="193">
        <v>0</v>
      </c>
      <c r="BU403" s="193">
        <v>3.2741809263825417E-11</v>
      </c>
      <c r="BV403" s="193">
        <v>0</v>
      </c>
      <c r="BW403" s="193">
        <v>0</v>
      </c>
      <c r="BX403" s="193">
        <v>0</v>
      </c>
      <c r="BY403" s="193">
        <v>0</v>
      </c>
      <c r="BZ403" s="193">
        <v>0</v>
      </c>
      <c r="CA403" s="193">
        <v>0</v>
      </c>
      <c r="CB403" s="193">
        <v>0</v>
      </c>
      <c r="CC403" s="193">
        <v>0</v>
      </c>
      <c r="CD403" s="193">
        <v>0</v>
      </c>
      <c r="CE403" s="193">
        <v>0</v>
      </c>
      <c r="CF403" s="193">
        <v>0</v>
      </c>
      <c r="CG403" s="193">
        <v>-4.0017766878008842E-11</v>
      </c>
      <c r="CH403" s="193">
        <v>0</v>
      </c>
      <c r="CI403" s="193">
        <v>0</v>
      </c>
      <c r="CJ403" s="193">
        <v>0</v>
      </c>
      <c r="CK403" s="193">
        <v>0</v>
      </c>
      <c r="CL403" s="193">
        <v>0</v>
      </c>
      <c r="CM403" s="193">
        <v>0</v>
      </c>
      <c r="CN403" s="193">
        <v>0</v>
      </c>
      <c r="CO403" s="193">
        <v>0</v>
      </c>
    </row>
    <row r="404" spans="1:93" x14ac:dyDescent="0.2">
      <c r="A404" s="216"/>
      <c r="B404" s="216"/>
      <c r="C404" s="216"/>
      <c r="D404" s="216"/>
      <c r="E404" s="216"/>
      <c r="F404" s="216"/>
      <c r="G404" s="216"/>
      <c r="H404" s="216"/>
      <c r="I404" s="216"/>
      <c r="J404" s="216"/>
      <c r="K404" s="216"/>
      <c r="L404" s="216"/>
      <c r="M404" s="216"/>
      <c r="N404" s="216"/>
      <c r="O404" s="216"/>
      <c r="P404" s="216"/>
      <c r="Q404" s="216"/>
      <c r="R404" s="216"/>
      <c r="S404" s="216"/>
      <c r="T404" s="216"/>
      <c r="U404" s="216"/>
      <c r="V404" s="216"/>
      <c r="W404" s="216"/>
      <c r="X404" s="216"/>
      <c r="Y404" s="216"/>
      <c r="Z404" s="217"/>
      <c r="AA404" s="216"/>
      <c r="AB404" s="216"/>
      <c r="AC404" s="216"/>
      <c r="AD404" s="216"/>
      <c r="AE404" s="216"/>
      <c r="AF404" s="216"/>
      <c r="AG404" s="216"/>
      <c r="AH404" s="216"/>
      <c r="AI404" s="216"/>
      <c r="AJ404" s="216"/>
      <c r="AK404" s="216"/>
      <c r="AL404" s="216"/>
      <c r="AM404" s="216"/>
      <c r="AN404" s="216"/>
      <c r="AO404" s="216"/>
      <c r="AP404" s="216"/>
      <c r="AQ404" s="216"/>
      <c r="AR404" s="216"/>
      <c r="AS404" s="216"/>
      <c r="AT404" s="216"/>
      <c r="AU404" s="216"/>
      <c r="AV404" s="216"/>
      <c r="AW404" s="216"/>
      <c r="AX404" s="216"/>
      <c r="AY404" s="216"/>
      <c r="AZ404" s="216"/>
      <c r="BA404" s="216"/>
      <c r="BB404" s="216"/>
      <c r="BC404" s="216"/>
      <c r="BD404" s="216"/>
      <c r="BE404" s="216"/>
      <c r="BF404" s="216"/>
      <c r="BG404" s="216"/>
      <c r="BH404" s="216"/>
      <c r="BI404" s="216"/>
      <c r="BJ404" s="216"/>
      <c r="BK404" s="216"/>
      <c r="BL404" s="216"/>
      <c r="BM404" s="216"/>
      <c r="BN404" s="216"/>
      <c r="BO404" s="216"/>
      <c r="BP404" s="216"/>
      <c r="BQ404" s="216"/>
      <c r="BR404" s="216"/>
      <c r="BS404" s="216"/>
      <c r="BT404" s="216"/>
      <c r="BU404" s="216"/>
      <c r="BV404" s="216"/>
      <c r="BW404" s="216"/>
      <c r="BX404" s="216"/>
      <c r="BY404" s="216"/>
      <c r="BZ404" s="216"/>
      <c r="CA404" s="216"/>
      <c r="CB404" s="216"/>
      <c r="CC404" s="216"/>
      <c r="CD404" s="216"/>
      <c r="CE404" s="216"/>
      <c r="CF404" s="216"/>
      <c r="CG404" s="216"/>
      <c r="CH404" s="216"/>
      <c r="CI404" s="216"/>
      <c r="CJ404" s="216"/>
      <c r="CK404" s="216"/>
      <c r="CL404" s="216"/>
      <c r="CM404" s="216"/>
      <c r="CN404" s="216"/>
      <c r="CO404" s="216"/>
    </row>
    <row r="405" spans="1:93" x14ac:dyDescent="0.2">
      <c r="A405" s="100" t="s">
        <v>505</v>
      </c>
      <c r="C405" s="102"/>
      <c r="D405" s="103"/>
      <c r="F405" s="268"/>
      <c r="G405" s="104"/>
      <c r="H405" s="102" t="s">
        <v>506</v>
      </c>
      <c r="I405" s="104"/>
      <c r="J405" s="104"/>
      <c r="K405" s="104"/>
      <c r="L405" s="268"/>
      <c r="N405" s="105"/>
      <c r="Q405" s="106" t="s">
        <v>630</v>
      </c>
      <c r="R405" s="105"/>
      <c r="S405" s="105"/>
      <c r="U405" s="114"/>
      <c r="V405" s="114"/>
      <c r="W405" s="114"/>
      <c r="Y405" s="114"/>
      <c r="Z405" s="218"/>
      <c r="AD405" s="114"/>
    </row>
    <row r="406" spans="1:93" ht="10.8" thickBot="1" x14ac:dyDescent="0.25">
      <c r="A406" s="108"/>
      <c r="B406" s="109"/>
      <c r="C406" s="109"/>
      <c r="D406" s="109"/>
      <c r="E406" s="110" t="s">
        <v>416</v>
      </c>
      <c r="F406" s="271" t="s">
        <v>416</v>
      </c>
      <c r="G406" s="109" t="s">
        <v>416</v>
      </c>
      <c r="H406" s="109" t="s">
        <v>416</v>
      </c>
      <c r="I406" s="109" t="s">
        <v>416</v>
      </c>
      <c r="J406" s="109"/>
      <c r="K406" s="109"/>
      <c r="L406" s="271" t="s">
        <v>416</v>
      </c>
      <c r="M406" s="111"/>
      <c r="N406" s="111"/>
      <c r="O406" s="109"/>
      <c r="P406" s="112"/>
      <c r="Q406" s="109"/>
      <c r="U406" s="114"/>
      <c r="V406" s="114"/>
      <c r="W406" s="114"/>
      <c r="Y406" s="114"/>
      <c r="Z406" s="218"/>
      <c r="AD406" s="114"/>
    </row>
    <row r="407" spans="1:93" x14ac:dyDescent="0.2">
      <c r="A407" s="113"/>
      <c r="F407" s="197"/>
      <c r="L407" s="197"/>
      <c r="M407" s="105"/>
      <c r="N407" s="105"/>
      <c r="P407" s="114"/>
      <c r="U407" s="114"/>
      <c r="V407" s="114"/>
      <c r="W407" s="114"/>
      <c r="Y407" s="114"/>
      <c r="Z407" s="218"/>
      <c r="AD407" s="114"/>
    </row>
    <row r="408" spans="1:93" x14ac:dyDescent="0.2">
      <c r="A408" s="100" t="s">
        <v>3</v>
      </c>
      <c r="D408" s="106" t="s">
        <v>4</v>
      </c>
      <c r="E408" s="101" t="s">
        <v>508</v>
      </c>
      <c r="F408" s="197"/>
      <c r="L408" s="197"/>
      <c r="O408" s="100" t="s">
        <v>6</v>
      </c>
      <c r="U408" s="114"/>
      <c r="V408" s="114"/>
      <c r="W408" s="114"/>
      <c r="Y408" s="114"/>
      <c r="Z408" s="218"/>
      <c r="AD408" s="114"/>
    </row>
    <row r="409" spans="1:93" x14ac:dyDescent="0.2">
      <c r="E409" s="101" t="s">
        <v>509</v>
      </c>
      <c r="F409" s="197"/>
      <c r="L409" s="197"/>
      <c r="U409" s="114"/>
      <c r="V409" s="114"/>
      <c r="W409" s="114"/>
      <c r="Y409" s="114"/>
      <c r="Z409" s="218"/>
      <c r="AD409" s="114"/>
    </row>
    <row r="410" spans="1:93" x14ac:dyDescent="0.2">
      <c r="A410" s="100" t="s">
        <v>9</v>
      </c>
      <c r="E410" s="101" t="s">
        <v>510</v>
      </c>
      <c r="F410" s="197"/>
      <c r="L410" s="197"/>
      <c r="O410" s="101" t="str">
        <f>O358</f>
        <v>__X__  Projected Test Year Ended 12/31/26</v>
      </c>
      <c r="U410" s="114"/>
      <c r="V410" s="114"/>
      <c r="W410" s="114"/>
      <c r="Y410" s="114"/>
      <c r="Z410" s="218"/>
      <c r="AD410" s="114"/>
    </row>
    <row r="411" spans="1:93" x14ac:dyDescent="0.2">
      <c r="E411" s="101" t="s">
        <v>512</v>
      </c>
      <c r="F411" s="197"/>
      <c r="L411" s="197"/>
      <c r="U411" s="114"/>
      <c r="V411" s="114"/>
      <c r="W411" s="114"/>
      <c r="Y411" s="114"/>
      <c r="Z411" s="218"/>
      <c r="AD411" s="114"/>
    </row>
    <row r="412" spans="1:93" x14ac:dyDescent="0.2">
      <c r="A412" s="100" t="s">
        <v>491</v>
      </c>
      <c r="C412" s="119" t="str">
        <f>C360</f>
        <v>20240025-EI</v>
      </c>
      <c r="F412" s="197"/>
      <c r="L412" s="197"/>
      <c r="O412" s="100" t="s">
        <v>493</v>
      </c>
      <c r="U412" s="114"/>
      <c r="V412" s="114"/>
      <c r="W412" s="114"/>
      <c r="Y412" s="114"/>
      <c r="Z412" s="218"/>
      <c r="AD412" s="114"/>
    </row>
    <row r="413" spans="1:93" ht="10.8" thickBot="1" x14ac:dyDescent="0.25">
      <c r="A413" s="123"/>
      <c r="B413" s="109"/>
      <c r="C413" s="109"/>
      <c r="D413" s="109"/>
      <c r="E413" s="109"/>
      <c r="F413" s="274"/>
      <c r="G413" s="109"/>
      <c r="H413" s="109"/>
      <c r="I413" s="109"/>
      <c r="J413" s="109"/>
      <c r="K413" s="109"/>
      <c r="L413" s="274"/>
      <c r="M413" s="109"/>
      <c r="N413" s="123"/>
      <c r="O413" s="109"/>
      <c r="P413" s="109"/>
      <c r="Q413" s="109"/>
      <c r="U413" s="114"/>
      <c r="V413" s="114"/>
      <c r="W413" s="114"/>
      <c r="Y413" s="114"/>
      <c r="Z413" s="218"/>
      <c r="AD413" s="114"/>
    </row>
    <row r="414" spans="1:93" ht="15.6" x14ac:dyDescent="0.2">
      <c r="B414" s="1369"/>
      <c r="C414" s="125"/>
      <c r="D414" s="125"/>
      <c r="E414" s="125"/>
      <c r="F414" s="276"/>
      <c r="G414" s="125"/>
      <c r="H414" s="125"/>
      <c r="I414" s="126" t="s">
        <v>622</v>
      </c>
      <c r="J414" s="125"/>
      <c r="K414" s="125"/>
      <c r="L414" s="276"/>
      <c r="M414" s="125"/>
      <c r="N414" s="125"/>
      <c r="U414" s="127" t="s">
        <v>530</v>
      </c>
      <c r="V414" s="128"/>
      <c r="W414" s="129"/>
      <c r="Y414" s="130" t="s">
        <v>531</v>
      </c>
      <c r="Z414" s="131"/>
    </row>
    <row r="415" spans="1:93" x14ac:dyDescent="0.2">
      <c r="A415" s="101" t="s">
        <v>30</v>
      </c>
      <c r="B415" s="101" t="s">
        <v>532</v>
      </c>
      <c r="C415" s="132"/>
      <c r="D415" s="133" t="s">
        <v>533</v>
      </c>
      <c r="E415" s="134"/>
      <c r="F415" s="278"/>
      <c r="G415" s="133"/>
      <c r="H415" s="133"/>
      <c r="I415" s="135"/>
      <c r="J415" s="136" t="s">
        <v>534</v>
      </c>
      <c r="K415" s="133"/>
      <c r="L415" s="278"/>
      <c r="M415" s="134"/>
      <c r="N415" s="134"/>
      <c r="O415" s="1372"/>
      <c r="Q415" s="118" t="s">
        <v>332</v>
      </c>
      <c r="U415" s="138"/>
      <c r="V415" s="139"/>
      <c r="W415" s="140"/>
      <c r="Y415" s="138"/>
      <c r="Z415" s="141"/>
    </row>
    <row r="416" spans="1:93" x14ac:dyDescent="0.2">
      <c r="A416" s="101" t="s">
        <v>39</v>
      </c>
      <c r="B416" s="102" t="s">
        <v>535</v>
      </c>
      <c r="C416" s="104"/>
      <c r="D416" s="142" t="s">
        <v>536</v>
      </c>
      <c r="E416" s="143"/>
      <c r="F416" s="281" t="s">
        <v>537</v>
      </c>
      <c r="G416" s="142"/>
      <c r="H416" s="142" t="s">
        <v>538</v>
      </c>
      <c r="I416" s="144"/>
      <c r="J416" s="142" t="s">
        <v>536</v>
      </c>
      <c r="K416" s="143"/>
      <c r="L416" s="281" t="s">
        <v>537</v>
      </c>
      <c r="M416" s="142"/>
      <c r="N416" s="142" t="s">
        <v>538</v>
      </c>
      <c r="O416" s="132"/>
      <c r="Q416" s="145" t="s">
        <v>539</v>
      </c>
      <c r="R416" s="132"/>
      <c r="S416" s="132"/>
      <c r="U416" s="138" t="s">
        <v>128</v>
      </c>
      <c r="V416" s="146" t="s">
        <v>343</v>
      </c>
      <c r="W416" s="147" t="s">
        <v>344</v>
      </c>
      <c r="X416" s="118"/>
      <c r="Y416" s="148" t="s">
        <v>128</v>
      </c>
      <c r="Z416" s="149"/>
      <c r="AA416" s="118"/>
      <c r="AH416" s="116"/>
      <c r="AI416" s="116"/>
      <c r="AJ416" s="116"/>
      <c r="AK416" s="116"/>
      <c r="AL416" s="116"/>
      <c r="AM416" s="116"/>
      <c r="AN416" s="116"/>
      <c r="AO416" s="116"/>
      <c r="AP416" s="116"/>
      <c r="AQ416" s="116"/>
      <c r="AR416" s="116"/>
      <c r="AS416" s="116"/>
      <c r="AT416" s="116"/>
      <c r="AU416" s="116"/>
      <c r="AV416" s="116"/>
      <c r="AW416" s="116"/>
      <c r="AX416" s="116"/>
      <c r="AY416" s="116"/>
      <c r="AZ416" s="116"/>
      <c r="BA416" s="116"/>
      <c r="BB416" s="116"/>
      <c r="BC416" s="116"/>
      <c r="BD416" s="116"/>
      <c r="BE416" s="116"/>
      <c r="BF416" s="116"/>
      <c r="BG416" s="116"/>
      <c r="BH416" s="116"/>
      <c r="BI416" s="116"/>
      <c r="BJ416" s="116"/>
      <c r="BK416" s="116"/>
      <c r="BL416" s="116"/>
      <c r="BM416" s="116"/>
      <c r="BN416" s="116"/>
      <c r="BO416" s="116"/>
      <c r="BP416" s="116"/>
      <c r="BQ416" s="116"/>
      <c r="BR416" s="116"/>
      <c r="BS416" s="116"/>
      <c r="BT416" s="116"/>
      <c r="BU416" s="116"/>
      <c r="BV416" s="116"/>
      <c r="BW416" s="116"/>
      <c r="BX416" s="116"/>
      <c r="BY416" s="116"/>
      <c r="BZ416" s="116"/>
      <c r="CA416" s="116"/>
      <c r="CB416" s="116"/>
      <c r="CC416" s="116"/>
      <c r="CD416" s="116"/>
      <c r="CE416" s="116"/>
      <c r="CF416" s="116"/>
      <c r="CG416" s="116"/>
      <c r="CH416" s="116"/>
      <c r="CI416" s="116"/>
      <c r="CJ416" s="116"/>
      <c r="CK416" s="116"/>
      <c r="CL416" s="116"/>
      <c r="CM416" s="116"/>
      <c r="CN416" s="116"/>
      <c r="CO416" s="116"/>
    </row>
    <row r="417" spans="1:93" ht="10.8" thickBot="1" x14ac:dyDescent="0.25">
      <c r="A417" s="109"/>
      <c r="B417" s="1370" t="s">
        <v>273</v>
      </c>
      <c r="C417" s="150"/>
      <c r="D417" s="220" t="str">
        <f>+$D$13</f>
        <v>Jan '26-Dec '26</v>
      </c>
      <c r="E417" s="221"/>
      <c r="F417" s="152">
        <f>+$L$13</f>
        <v>46023</v>
      </c>
      <c r="G417" s="153"/>
      <c r="H417" s="153"/>
      <c r="I417" s="153"/>
      <c r="J417" s="153"/>
      <c r="K417" s="151"/>
      <c r="L417" s="152">
        <f>+$L$13</f>
        <v>46023</v>
      </c>
      <c r="M417" s="154"/>
      <c r="N417" s="154"/>
      <c r="O417" s="155"/>
      <c r="P417" s="109"/>
      <c r="Q417" s="156"/>
      <c r="R417" s="132"/>
      <c r="S417" s="132"/>
      <c r="U417" s="157" t="s">
        <v>144</v>
      </c>
      <c r="V417" s="158" t="s">
        <v>540</v>
      </c>
      <c r="W417" s="159" t="s">
        <v>540</v>
      </c>
      <c r="X417" s="118"/>
      <c r="Y417" s="160" t="s">
        <v>144</v>
      </c>
      <c r="Z417" s="159" t="s">
        <v>541</v>
      </c>
      <c r="AA417" s="118"/>
      <c r="AH417" s="116"/>
      <c r="AI417" s="116"/>
      <c r="AJ417" s="116"/>
      <c r="AK417" s="116"/>
      <c r="AL417" s="116"/>
      <c r="AM417" s="116"/>
      <c r="AN417" s="116"/>
      <c r="AO417" s="116"/>
      <c r="AP417" s="116"/>
      <c r="AQ417" s="116"/>
      <c r="AR417" s="116"/>
      <c r="AS417" s="116"/>
      <c r="AT417" s="116"/>
      <c r="AU417" s="116"/>
      <c r="AV417" s="116"/>
      <c r="AW417" s="116"/>
      <c r="AX417" s="116"/>
      <c r="AY417" s="116"/>
      <c r="AZ417" s="116"/>
      <c r="BA417" s="116"/>
      <c r="BB417" s="116"/>
      <c r="BC417" s="116"/>
      <c r="BD417" s="116"/>
      <c r="BE417" s="116"/>
      <c r="BF417" s="116"/>
      <c r="BG417" s="116"/>
      <c r="BH417" s="116"/>
      <c r="BI417" s="116"/>
      <c r="BJ417" s="116"/>
      <c r="BK417" s="116"/>
      <c r="BL417" s="116"/>
      <c r="BM417" s="116"/>
      <c r="BN417" s="116"/>
      <c r="BO417" s="116"/>
      <c r="BP417" s="116"/>
      <c r="BQ417" s="116"/>
      <c r="BR417" s="116"/>
      <c r="BS417" s="116"/>
      <c r="BT417" s="116"/>
      <c r="BU417" s="116"/>
      <c r="BV417" s="116"/>
      <c r="BW417" s="116"/>
      <c r="BX417" s="116"/>
      <c r="BY417" s="116"/>
      <c r="BZ417" s="116"/>
      <c r="CA417" s="116"/>
      <c r="CB417" s="116"/>
      <c r="CC417" s="116"/>
      <c r="CD417" s="116"/>
      <c r="CE417" s="116"/>
      <c r="CF417" s="116"/>
      <c r="CG417" s="116"/>
      <c r="CH417" s="116"/>
      <c r="CI417" s="116"/>
      <c r="CJ417" s="116"/>
      <c r="CK417" s="116"/>
      <c r="CL417" s="116"/>
      <c r="CM417" s="116"/>
      <c r="CN417" s="116"/>
      <c r="CO417" s="116"/>
    </row>
    <row r="418" spans="1:93" x14ac:dyDescent="0.2">
      <c r="A418" s="118">
        <v>1</v>
      </c>
      <c r="B418" s="239" t="s">
        <v>551</v>
      </c>
      <c r="C418" s="223"/>
      <c r="D418" s="168"/>
      <c r="E418" s="225"/>
      <c r="F418" s="183"/>
      <c r="G418" s="233"/>
      <c r="H418" s="223"/>
      <c r="I418" s="229"/>
      <c r="J418" s="168"/>
      <c r="K418" s="225"/>
      <c r="L418" s="183"/>
      <c r="M418" s="233"/>
      <c r="N418" s="223"/>
      <c r="O418" s="227"/>
      <c r="P418" s="230"/>
      <c r="Q418" s="230"/>
      <c r="U418" s="184"/>
      <c r="V418" s="179"/>
      <c r="W418" s="180"/>
      <c r="Y418" s="184"/>
      <c r="Z418" s="181"/>
      <c r="AH418" s="116"/>
      <c r="AI418" s="116"/>
      <c r="AJ418" s="116"/>
      <c r="AK418" s="116"/>
      <c r="AL418" s="116"/>
      <c r="AM418" s="116"/>
      <c r="AN418" s="116"/>
      <c r="AO418" s="116"/>
      <c r="AP418" s="116"/>
      <c r="AQ418" s="116"/>
      <c r="AR418" s="116"/>
      <c r="AS418" s="116"/>
      <c r="AT418" s="116"/>
      <c r="AU418" s="116"/>
      <c r="AV418" s="116"/>
      <c r="AW418" s="116"/>
      <c r="AX418" s="116"/>
      <c r="AY418" s="116"/>
      <c r="AZ418" s="116"/>
      <c r="BA418" s="116"/>
      <c r="BB418" s="116"/>
      <c r="BC418" s="116"/>
      <c r="BD418" s="116"/>
      <c r="BE418" s="116"/>
      <c r="BF418" s="116"/>
      <c r="BG418" s="116"/>
      <c r="BH418" s="116"/>
      <c r="BI418" s="116"/>
      <c r="BJ418" s="116"/>
      <c r="BK418" s="116"/>
      <c r="BL418" s="116"/>
      <c r="BM418" s="116"/>
      <c r="BN418" s="116"/>
      <c r="BO418" s="116"/>
      <c r="BP418" s="116"/>
      <c r="BQ418" s="116"/>
      <c r="BR418" s="116"/>
      <c r="BS418" s="116"/>
      <c r="BT418" s="116"/>
      <c r="BU418" s="116"/>
      <c r="BV418" s="116"/>
      <c r="BW418" s="116"/>
      <c r="BX418" s="116"/>
      <c r="BY418" s="116"/>
      <c r="BZ418" s="116"/>
      <c r="CA418" s="116"/>
      <c r="CB418" s="116"/>
      <c r="CC418" s="116"/>
      <c r="CD418" s="116"/>
      <c r="CE418" s="116"/>
      <c r="CF418" s="116"/>
      <c r="CG418" s="116"/>
      <c r="CH418" s="116"/>
      <c r="CI418" s="116"/>
      <c r="CJ418" s="116"/>
      <c r="CK418" s="116"/>
      <c r="CL418" s="116"/>
      <c r="CM418" s="116"/>
      <c r="CN418" s="116"/>
      <c r="CO418" s="116"/>
    </row>
    <row r="419" spans="1:93" x14ac:dyDescent="0.2">
      <c r="A419" s="118">
        <f t="shared" ref="A419:A449" si="49">+A418+1</f>
        <v>2</v>
      </c>
      <c r="B419" s="228" t="s">
        <v>543</v>
      </c>
      <c r="C419" s="223"/>
      <c r="D419" s="168"/>
      <c r="E419" s="225"/>
      <c r="F419" s="183"/>
      <c r="G419" s="233"/>
      <c r="H419" s="223"/>
      <c r="I419" s="229"/>
      <c r="J419" s="168"/>
      <c r="K419" s="225"/>
      <c r="L419" s="310"/>
      <c r="M419" s="233"/>
      <c r="N419" s="223"/>
      <c r="O419" s="227"/>
      <c r="P419" s="227"/>
      <c r="Q419" s="227"/>
      <c r="U419" s="184"/>
      <c r="V419" s="179"/>
      <c r="W419" s="180"/>
      <c r="Y419" s="184"/>
      <c r="Z419" s="181"/>
      <c r="AH419" s="116"/>
      <c r="AI419" s="116"/>
      <c r="AJ419" s="116"/>
      <c r="AK419" s="116"/>
      <c r="AL419" s="116"/>
      <c r="AM419" s="116"/>
      <c r="AN419" s="116"/>
      <c r="AO419" s="116"/>
      <c r="AP419" s="116"/>
      <c r="AQ419" s="116"/>
      <c r="AR419" s="116"/>
      <c r="AS419" s="116"/>
      <c r="AT419" s="116"/>
      <c r="AU419" s="116"/>
      <c r="AV419" s="116"/>
      <c r="AW419" s="116"/>
      <c r="AX419" s="116"/>
      <c r="AY419" s="116"/>
      <c r="AZ419" s="116"/>
      <c r="BA419" s="116"/>
      <c r="BB419" s="116"/>
      <c r="BC419" s="116"/>
      <c r="BD419" s="116"/>
      <c r="BE419" s="116"/>
      <c r="BF419" s="116"/>
      <c r="BG419" s="116"/>
      <c r="BH419" s="116"/>
      <c r="BI419" s="116"/>
      <c r="BJ419" s="116"/>
      <c r="BK419" s="116"/>
      <c r="BL419" s="116"/>
      <c r="BM419" s="116"/>
      <c r="BN419" s="116"/>
      <c r="BO419" s="116"/>
      <c r="BP419" s="116"/>
      <c r="BQ419" s="116"/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6"/>
      <c r="CB419" s="116"/>
      <c r="CC419" s="116"/>
      <c r="CD419" s="116"/>
      <c r="CE419" s="116"/>
      <c r="CF419" s="116"/>
      <c r="CG419" s="116"/>
      <c r="CH419" s="116"/>
      <c r="CI419" s="116"/>
      <c r="CJ419" s="116"/>
      <c r="CK419" s="116"/>
      <c r="CL419" s="116"/>
      <c r="CM419" s="116"/>
      <c r="CN419" s="116"/>
      <c r="CO419" s="116"/>
    </row>
    <row r="420" spans="1:93" x14ac:dyDescent="0.2">
      <c r="A420" s="118">
        <f t="shared" si="49"/>
        <v>3</v>
      </c>
      <c r="B420" s="234" t="s">
        <v>149</v>
      </c>
      <c r="C420" s="223"/>
      <c r="D420" s="172">
        <f>SUMIF($AH$6:$CP$6,1,$AH420:$CP420)</f>
        <v>19461.100774819202</v>
      </c>
      <c r="E420" s="225" t="s">
        <v>555</v>
      </c>
      <c r="F420" s="183">
        <v>17.45</v>
      </c>
      <c r="G420" s="233" t="s">
        <v>375</v>
      </c>
      <c r="H420" s="174">
        <f>ROUND(D420*F420,2)</f>
        <v>339596.21</v>
      </c>
      <c r="I420" s="229"/>
      <c r="J420" s="168">
        <f>D420</f>
        <v>19461.100774819202</v>
      </c>
      <c r="K420" s="225" t="s">
        <v>555</v>
      </c>
      <c r="L420" s="173">
        <f>'Exhibit MJC-3 - E-13c cal yr'!L468</f>
        <v>18.12</v>
      </c>
      <c r="M420" s="233" t="s">
        <v>375</v>
      </c>
      <c r="N420" s="174">
        <f>ROUND(J420*L420,2)</f>
        <v>352635.15</v>
      </c>
      <c r="O420" s="227"/>
      <c r="P420" s="227"/>
      <c r="Q420" s="1022"/>
      <c r="U420" s="184" t="s">
        <v>623</v>
      </c>
      <c r="V420" s="179">
        <v>252</v>
      </c>
      <c r="W420" s="180">
        <v>226</v>
      </c>
      <c r="Y420" s="184"/>
      <c r="Z420" s="181"/>
      <c r="AB420" s="182">
        <f>SUM(AH420:AS420)</f>
        <v>19025.986688695313</v>
      </c>
      <c r="AC420" s="182">
        <f>SUM(AT420:BE420)</f>
        <v>19113.90827504675</v>
      </c>
      <c r="AD420" s="182">
        <f>SUM(BF420:BQ420)</f>
        <v>19203.587968939046</v>
      </c>
      <c r="AE420" s="182">
        <f>SUM(BR420:CC420)</f>
        <v>19461.100774819202</v>
      </c>
      <c r="AF420" s="182">
        <f>SUM(CD420:CO420)</f>
        <v>19494.318989978008</v>
      </c>
      <c r="AH420" s="168">
        <v>3396.9397269427259</v>
      </c>
      <c r="AI420" s="168">
        <v>2158.7772820232472</v>
      </c>
      <c r="AJ420" s="168">
        <v>1127.5864419775153</v>
      </c>
      <c r="AK420" s="168">
        <v>1375.3730389863711</v>
      </c>
      <c r="AL420" s="168">
        <v>1287.8641084981077</v>
      </c>
      <c r="AM420" s="168">
        <v>1681.1131662572584</v>
      </c>
      <c r="AN420" s="168">
        <v>1635.4256637415592</v>
      </c>
      <c r="AO420" s="168">
        <v>1372.1948848461225</v>
      </c>
      <c r="AP420" s="168">
        <v>1261.1537562173291</v>
      </c>
      <c r="AQ420" s="168">
        <v>1266.8659392271727</v>
      </c>
      <c r="AR420" s="168">
        <v>1553.3772708291172</v>
      </c>
      <c r="AS420" s="168">
        <v>909.31540914878519</v>
      </c>
      <c r="AT420" s="168">
        <v>3523.671498889541</v>
      </c>
      <c r="AU420" s="168">
        <v>2184.6742944304738</v>
      </c>
      <c r="AV420" s="168">
        <v>1118.3480218805084</v>
      </c>
      <c r="AW420" s="168">
        <v>1386.9156307802746</v>
      </c>
      <c r="AX420" s="168">
        <v>1282.6852025024027</v>
      </c>
      <c r="AY420" s="168">
        <v>1645.0730316457084</v>
      </c>
      <c r="AZ420" s="168">
        <v>1651.170498790344</v>
      </c>
      <c r="BA420" s="168">
        <v>1354.3669040441764</v>
      </c>
      <c r="BB420" s="168">
        <v>1255.2997277400887</v>
      </c>
      <c r="BC420" s="168">
        <v>1270.2015997884598</v>
      </c>
      <c r="BD420" s="168">
        <v>1540.9732262634977</v>
      </c>
      <c r="BE420" s="168">
        <v>900.52863829127421</v>
      </c>
      <c r="BF420" s="168">
        <v>3503.1151105183467</v>
      </c>
      <c r="BG420" s="168">
        <v>2210.2695762959625</v>
      </c>
      <c r="BH420" s="168">
        <v>1135.1460817687046</v>
      </c>
      <c r="BI420" s="168">
        <v>1381.5114739107471</v>
      </c>
      <c r="BJ420" s="168">
        <v>1291.0109552028071</v>
      </c>
      <c r="BK420" s="168">
        <v>1668.4651716179796</v>
      </c>
      <c r="BL420" s="168">
        <v>1661.8156388039192</v>
      </c>
      <c r="BM420" s="168">
        <v>1365.5610754823288</v>
      </c>
      <c r="BN420" s="168">
        <v>1260.7641164153461</v>
      </c>
      <c r="BO420" s="168">
        <v>1264.6700647724126</v>
      </c>
      <c r="BP420" s="168">
        <v>1542.8889897298325</v>
      </c>
      <c r="BQ420" s="168">
        <v>918.36971442066078</v>
      </c>
      <c r="BR420" s="168">
        <v>3545.7729188146645</v>
      </c>
      <c r="BS420" s="168">
        <v>2225.3238557726886</v>
      </c>
      <c r="BT420" s="168">
        <v>1161.3646130333557</v>
      </c>
      <c r="BU420" s="168">
        <v>1416.0064464300369</v>
      </c>
      <c r="BV420" s="168">
        <v>1287.2444407926359</v>
      </c>
      <c r="BW420" s="168">
        <v>1706.0956037855872</v>
      </c>
      <c r="BX420" s="168">
        <v>1696.2050459715522</v>
      </c>
      <c r="BY420" s="168">
        <v>1385.3293468488289</v>
      </c>
      <c r="BZ420" s="168">
        <v>1273.9366205688102</v>
      </c>
      <c r="CA420" s="168">
        <v>1284.0241024139</v>
      </c>
      <c r="CB420" s="168">
        <v>1562.7783372498745</v>
      </c>
      <c r="CC420" s="168">
        <v>917.01944313726995</v>
      </c>
      <c r="CD420" s="168">
        <v>3562.9860020357269</v>
      </c>
      <c r="CE420" s="168">
        <v>2210.0856122512014</v>
      </c>
      <c r="CF420" s="168">
        <v>1141.8749206898253</v>
      </c>
      <c r="CG420" s="168">
        <v>1432.0809394989019</v>
      </c>
      <c r="CH420" s="168">
        <v>1303.903783857595</v>
      </c>
      <c r="CI420" s="168">
        <v>1687.2858623473387</v>
      </c>
      <c r="CJ420" s="168">
        <v>1692.6706216995954</v>
      </c>
      <c r="CK420" s="168">
        <v>1385.8493648952256</v>
      </c>
      <c r="CL420" s="168">
        <v>1292.4834508062836</v>
      </c>
      <c r="CM420" s="168">
        <v>1287.4975409553915</v>
      </c>
      <c r="CN420" s="168">
        <v>1580.2735404958864</v>
      </c>
      <c r="CO420" s="168">
        <v>917.32735044503659</v>
      </c>
    </row>
    <row r="421" spans="1:93" x14ac:dyDescent="0.2">
      <c r="A421" s="118">
        <f t="shared" si="49"/>
        <v>4</v>
      </c>
      <c r="B421" s="234" t="s">
        <v>148</v>
      </c>
      <c r="C421" s="223"/>
      <c r="D421" s="172">
        <f>SUMIF($AH$6:$CP$6,1,$AH421:$CP421)</f>
        <v>138287.6718135977</v>
      </c>
      <c r="E421" s="225" t="s">
        <v>555</v>
      </c>
      <c r="F421" s="183">
        <v>17.45</v>
      </c>
      <c r="G421" s="233" t="s">
        <v>375</v>
      </c>
      <c r="H421" s="174">
        <f>ROUND(D421*F421,2)</f>
        <v>2413119.87</v>
      </c>
      <c r="I421" s="229"/>
      <c r="J421" s="168">
        <f>D421</f>
        <v>138287.6718135977</v>
      </c>
      <c r="K421" s="225" t="s">
        <v>555</v>
      </c>
      <c r="L421" s="183">
        <f>L420</f>
        <v>18.12</v>
      </c>
      <c r="M421" s="233" t="s">
        <v>375</v>
      </c>
      <c r="N421" s="174">
        <f>ROUND(J421*L421,2)</f>
        <v>2505772.61</v>
      </c>
      <c r="O421" s="227"/>
      <c r="P421" s="227"/>
      <c r="Q421" s="227"/>
      <c r="U421" s="184" t="s">
        <v>623</v>
      </c>
      <c r="V421" s="179">
        <v>252</v>
      </c>
      <c r="W421" s="180">
        <v>226</v>
      </c>
      <c r="Y421" s="184"/>
      <c r="Z421" s="181"/>
      <c r="AB421" s="182">
        <f>SUM(AH421:AS421)</f>
        <v>135483.5903309088</v>
      </c>
      <c r="AC421" s="182">
        <f>SUM(AT421:BE421)</f>
        <v>135707.10686640406</v>
      </c>
      <c r="AD421" s="182">
        <f>SUM(BF421:BQ421)</f>
        <v>136500.41655268756</v>
      </c>
      <c r="AE421" s="182">
        <f>SUM(BR421:CC421)</f>
        <v>138287.6718135977</v>
      </c>
      <c r="AF421" s="182">
        <f>SUM(CD421:CO421)</f>
        <v>138470.46043210541</v>
      </c>
      <c r="AH421" s="168">
        <v>13237.042299701687</v>
      </c>
      <c r="AI421" s="168">
        <v>18814.370686628114</v>
      </c>
      <c r="AJ421" s="168">
        <v>9661.3650854604603</v>
      </c>
      <c r="AK421" s="168">
        <v>9854.3750262305293</v>
      </c>
      <c r="AL421" s="168">
        <v>8830.7145063449334</v>
      </c>
      <c r="AM421" s="168">
        <v>10848.050721995678</v>
      </c>
      <c r="AN421" s="168">
        <v>10554.493941638406</v>
      </c>
      <c r="AO421" s="168">
        <v>10124.063442266286</v>
      </c>
      <c r="AP421" s="168">
        <v>10477.43468494188</v>
      </c>
      <c r="AQ421" s="168">
        <v>11903.801074900097</v>
      </c>
      <c r="AR421" s="168">
        <v>12135.238411234885</v>
      </c>
      <c r="AS421" s="168">
        <v>9042.6404495658589</v>
      </c>
      <c r="AT421" s="168">
        <v>13730.884981887264</v>
      </c>
      <c r="AU421" s="168">
        <v>19040.070667428874</v>
      </c>
      <c r="AV421" s="168">
        <v>9582.2086269866377</v>
      </c>
      <c r="AW421" s="168">
        <v>9937.0762462541825</v>
      </c>
      <c r="AX421" s="168">
        <v>8795.2034302915745</v>
      </c>
      <c r="AY421" s="168">
        <v>10615.487432301106</v>
      </c>
      <c r="AZ421" s="168">
        <v>10656.105876573016</v>
      </c>
      <c r="BA421" s="168">
        <v>9992.5284754188851</v>
      </c>
      <c r="BB421" s="168">
        <v>10428.800487317916</v>
      </c>
      <c r="BC421" s="168">
        <v>11935.143807027833</v>
      </c>
      <c r="BD421" s="168">
        <v>12038.335977489971</v>
      </c>
      <c r="BE421" s="168">
        <v>8955.2608574267852</v>
      </c>
      <c r="BF421" s="168">
        <v>13650.781770093306</v>
      </c>
      <c r="BG421" s="168">
        <v>19263.14097896871</v>
      </c>
      <c r="BH421" s="168">
        <v>9726.137449882619</v>
      </c>
      <c r="BI421" s="168">
        <v>9898.3561412475065</v>
      </c>
      <c r="BJ421" s="168">
        <v>8852.2920195787156</v>
      </c>
      <c r="BK421" s="168">
        <v>10766.434510706407</v>
      </c>
      <c r="BL421" s="168">
        <v>10724.806073880745</v>
      </c>
      <c r="BM421" s="168">
        <v>10075.119150457123</v>
      </c>
      <c r="BN421" s="168">
        <v>10474.197628749638</v>
      </c>
      <c r="BO421" s="168">
        <v>11883.168068766188</v>
      </c>
      <c r="BP421" s="168">
        <v>12053.302236389265</v>
      </c>
      <c r="BQ421" s="168">
        <v>9132.6805239673522</v>
      </c>
      <c r="BR421" s="168">
        <v>13817.008803311568</v>
      </c>
      <c r="BS421" s="168">
        <v>19394.34339473147</v>
      </c>
      <c r="BT421" s="168">
        <v>9950.7825796237285</v>
      </c>
      <c r="BU421" s="168">
        <v>10145.508285494221</v>
      </c>
      <c r="BV421" s="168">
        <v>8826.465526534319</v>
      </c>
      <c r="BW421" s="168">
        <v>11009.259827311154</v>
      </c>
      <c r="BX421" s="168">
        <v>10946.743883500856</v>
      </c>
      <c r="BY421" s="168">
        <v>10220.96959463862</v>
      </c>
      <c r="BZ421" s="168">
        <v>10583.632383413498</v>
      </c>
      <c r="CA421" s="168">
        <v>12065.023628179941</v>
      </c>
      <c r="CB421" s="168">
        <v>12208.681086416334</v>
      </c>
      <c r="CC421" s="168">
        <v>9119.2528204420069</v>
      </c>
      <c r="CD421" s="168">
        <v>13884.083973618035</v>
      </c>
      <c r="CE421" s="168">
        <v>19261.537678915491</v>
      </c>
      <c r="CF421" s="168">
        <v>9783.7913618117054</v>
      </c>
      <c r="CG421" s="168">
        <v>10260.680008777292</v>
      </c>
      <c r="CH421" s="168">
        <v>8940.6964469390132</v>
      </c>
      <c r="CI421" s="168">
        <v>10887.882496334665</v>
      </c>
      <c r="CJ421" s="168">
        <v>10923.933883393483</v>
      </c>
      <c r="CK421" s="168">
        <v>10224.806291416155</v>
      </c>
      <c r="CL421" s="168">
        <v>10737.716055977486</v>
      </c>
      <c r="CM421" s="168">
        <v>12097.660957958522</v>
      </c>
      <c r="CN421" s="168">
        <v>12345.35648809132</v>
      </c>
      <c r="CO421" s="168">
        <v>9122.3147888722269</v>
      </c>
    </row>
    <row r="422" spans="1:93" x14ac:dyDescent="0.2">
      <c r="A422" s="118">
        <f t="shared" si="49"/>
        <v>5</v>
      </c>
      <c r="B422" s="234" t="s">
        <v>216</v>
      </c>
      <c r="C422" s="223"/>
      <c r="D422" s="172">
        <f>SUMIF($AH$6:$CP$6,1,$AH422:$CP422)</f>
        <v>0</v>
      </c>
      <c r="E422" s="225" t="s">
        <v>555</v>
      </c>
      <c r="F422" s="183">
        <v>17.45</v>
      </c>
      <c r="G422" s="233" t="s">
        <v>375</v>
      </c>
      <c r="H422" s="174">
        <f>ROUND(D422*F422,2)</f>
        <v>0</v>
      </c>
      <c r="I422" s="229"/>
      <c r="J422" s="168">
        <f>D422</f>
        <v>0</v>
      </c>
      <c r="K422" s="225" t="s">
        <v>555</v>
      </c>
      <c r="L422" s="183">
        <f>L420</f>
        <v>18.12</v>
      </c>
      <c r="M422" s="233" t="s">
        <v>375</v>
      </c>
      <c r="N422" s="174">
        <f>ROUND(J422*L422,2)</f>
        <v>0</v>
      </c>
      <c r="O422" s="227"/>
      <c r="S422" s="247"/>
      <c r="T422" s="227"/>
      <c r="U422" s="184" t="s">
        <v>623</v>
      </c>
      <c r="V422" s="179">
        <v>252</v>
      </c>
      <c r="W422" s="180">
        <v>226</v>
      </c>
      <c r="Y422" s="184"/>
      <c r="Z422" s="181"/>
      <c r="AB422" s="182">
        <f>SUM(AH422:AS422)</f>
        <v>0</v>
      </c>
      <c r="AC422" s="182">
        <f>SUM(AT422:BE422)</f>
        <v>0</v>
      </c>
      <c r="AD422" s="182">
        <f>SUM(BF422:BQ422)</f>
        <v>0</v>
      </c>
      <c r="AE422" s="182">
        <f>SUM(BR422:CC422)</f>
        <v>0</v>
      </c>
      <c r="AF422" s="182">
        <f>SUM(CD422:CO422)</f>
        <v>0</v>
      </c>
      <c r="AH422" s="168"/>
      <c r="AI422" s="168"/>
      <c r="AJ422" s="168"/>
      <c r="AK422" s="168"/>
      <c r="AL422" s="168"/>
      <c r="AM422" s="168"/>
      <c r="AN422" s="168"/>
      <c r="AO422" s="168"/>
      <c r="AP422" s="168"/>
      <c r="AQ422" s="168"/>
      <c r="AR422" s="168"/>
      <c r="AS422" s="168"/>
      <c r="AT422" s="168"/>
      <c r="AU422" s="168"/>
      <c r="AV422" s="168"/>
      <c r="AW422" s="168"/>
      <c r="AX422" s="168"/>
      <c r="AY422" s="168"/>
      <c r="AZ422" s="168"/>
      <c r="BA422" s="168"/>
      <c r="BB422" s="168"/>
      <c r="BC422" s="168"/>
      <c r="BD422" s="168"/>
      <c r="BE422" s="168"/>
      <c r="BF422" s="168"/>
      <c r="BG422" s="168"/>
      <c r="BH422" s="168"/>
      <c r="BI422" s="168"/>
      <c r="BJ422" s="168"/>
      <c r="BK422" s="168"/>
      <c r="BL422" s="168"/>
      <c r="BM422" s="168"/>
      <c r="BN422" s="168"/>
      <c r="BO422" s="168"/>
      <c r="BP422" s="168"/>
      <c r="BQ422" s="168"/>
      <c r="BR422" s="168"/>
      <c r="BS422" s="168"/>
      <c r="BT422" s="168"/>
      <c r="BU422" s="168"/>
      <c r="BV422" s="168"/>
      <c r="BW422" s="168"/>
      <c r="BX422" s="168"/>
      <c r="BY422" s="168"/>
      <c r="BZ422" s="168"/>
      <c r="CA422" s="168"/>
      <c r="CB422" s="168"/>
      <c r="CC422" s="168"/>
      <c r="CD422" s="168"/>
      <c r="CE422" s="168"/>
      <c r="CF422" s="168"/>
      <c r="CG422" s="168"/>
      <c r="CH422" s="168"/>
      <c r="CI422" s="168"/>
      <c r="CJ422" s="168"/>
      <c r="CK422" s="168"/>
      <c r="CL422" s="168"/>
      <c r="CM422" s="168"/>
      <c r="CN422" s="168"/>
      <c r="CO422" s="168"/>
    </row>
    <row r="423" spans="1:93" x14ac:dyDescent="0.2">
      <c r="A423" s="118">
        <f t="shared" si="49"/>
        <v>6</v>
      </c>
      <c r="B423" s="226" t="s">
        <v>546</v>
      </c>
      <c r="C423" s="223"/>
      <c r="D423" s="168"/>
      <c r="E423" s="225"/>
      <c r="F423" s="183"/>
      <c r="G423" s="233"/>
      <c r="H423" s="174"/>
      <c r="I423" s="229"/>
      <c r="J423" s="168"/>
      <c r="K423" s="225"/>
      <c r="L423" s="183"/>
      <c r="M423" s="233"/>
      <c r="N423" s="174"/>
      <c r="O423" s="227"/>
      <c r="S423" s="227"/>
      <c r="T423" s="227"/>
      <c r="U423" s="184"/>
      <c r="V423" s="179"/>
      <c r="W423" s="180"/>
      <c r="Y423" s="184"/>
      <c r="Z423" s="181"/>
    </row>
    <row r="424" spans="1:93" x14ac:dyDescent="0.2">
      <c r="A424" s="118">
        <f t="shared" si="49"/>
        <v>7</v>
      </c>
      <c r="B424" s="234" t="s">
        <v>149</v>
      </c>
      <c r="C424" s="223"/>
      <c r="D424" s="168"/>
      <c r="E424" s="225"/>
      <c r="F424" s="183"/>
      <c r="G424" s="233"/>
      <c r="H424" s="174"/>
      <c r="I424" s="229"/>
      <c r="J424" s="168"/>
      <c r="K424" s="225"/>
      <c r="L424" s="310"/>
      <c r="M424" s="233"/>
      <c r="N424" s="174"/>
      <c r="O424" s="227"/>
      <c r="S424" s="227"/>
      <c r="T424" s="227"/>
      <c r="U424" s="184"/>
      <c r="V424" s="179"/>
      <c r="W424" s="180"/>
      <c r="Y424" s="184"/>
      <c r="Z424" s="181"/>
    </row>
    <row r="425" spans="1:93" x14ac:dyDescent="0.2">
      <c r="A425" s="118">
        <f t="shared" si="49"/>
        <v>8</v>
      </c>
      <c r="B425" s="243" t="s">
        <v>559</v>
      </c>
      <c r="C425" s="223"/>
      <c r="D425" s="172">
        <f>'E-13c - prior to updates'!D471</f>
        <v>45090.427942644761</v>
      </c>
      <c r="E425" s="225" t="s">
        <v>555</v>
      </c>
      <c r="F425" s="183">
        <v>27.03</v>
      </c>
      <c r="G425" s="233" t="s">
        <v>375</v>
      </c>
      <c r="H425" s="174">
        <f>ROUND(D425*F425,2)</f>
        <v>1218794.27</v>
      </c>
      <c r="I425" s="229"/>
      <c r="J425" s="172">
        <f t="shared" ref="J425:J427" si="50">D425</f>
        <v>45090.427942644761</v>
      </c>
      <c r="K425" s="225" t="s">
        <v>555</v>
      </c>
      <c r="L425" s="173">
        <f>'Exhibit MJC-3 - E-13c cal yr'!L473</f>
        <v>29.05</v>
      </c>
      <c r="M425" s="233" t="s">
        <v>375</v>
      </c>
      <c r="N425" s="174">
        <f>ROUND(J425*L425,2)</f>
        <v>1309876.93</v>
      </c>
      <c r="O425" s="227"/>
      <c r="Q425" s="1022"/>
      <c r="S425" s="227"/>
      <c r="T425" s="927"/>
      <c r="U425" s="184" t="s">
        <v>624</v>
      </c>
      <c r="V425" s="179">
        <v>254</v>
      </c>
      <c r="W425" s="180">
        <v>228</v>
      </c>
      <c r="Y425" s="184"/>
      <c r="Z425" s="181"/>
      <c r="AB425" s="182">
        <f>SUM(AH425:AS425)</f>
        <v>44099.30529877029</v>
      </c>
      <c r="AC425" s="182">
        <f>SUM(AT425:BE425)</f>
        <v>44260.405791627054</v>
      </c>
      <c r="AD425" s="182">
        <f>SUM(BF425:BQ425)</f>
        <v>44553.551214092397</v>
      </c>
      <c r="AE425" s="182">
        <f>SUM(BR425:CC425)</f>
        <v>45090.427942644761</v>
      </c>
      <c r="AF425" s="182">
        <f>SUM(CD425:CO425)</f>
        <v>45104.327666104989</v>
      </c>
      <c r="AG425" s="241"/>
      <c r="AH425" s="168">
        <v>6503.4381613955811</v>
      </c>
      <c r="AI425" s="168">
        <v>6811.091774675634</v>
      </c>
      <c r="AJ425" s="168">
        <v>4146.2825336975793</v>
      </c>
      <c r="AK425" s="168">
        <v>2276.5172051284326</v>
      </c>
      <c r="AL425" s="168">
        <v>2713.476166308737</v>
      </c>
      <c r="AM425" s="168">
        <v>3089.8809244986264</v>
      </c>
      <c r="AN425" s="168">
        <v>2883.8617723005987</v>
      </c>
      <c r="AO425" s="168">
        <v>2235.6863223711744</v>
      </c>
      <c r="AP425" s="168">
        <v>3235.2844235316793</v>
      </c>
      <c r="AQ425" s="168">
        <v>3303.3378367941482</v>
      </c>
      <c r="AR425" s="168">
        <v>1827.815293777629</v>
      </c>
      <c r="AS425" s="168">
        <v>5072.6328842904677</v>
      </c>
      <c r="AT425" s="168">
        <v>6746.0660288855861</v>
      </c>
      <c r="AU425" s="168">
        <v>6892.7986416435015</v>
      </c>
      <c r="AV425" s="168">
        <v>4112.3116570878865</v>
      </c>
      <c r="AW425" s="168">
        <v>2295.6225009759955</v>
      </c>
      <c r="AX425" s="168">
        <v>2702.5644265574933</v>
      </c>
      <c r="AY425" s="168">
        <v>3023.6392658835093</v>
      </c>
      <c r="AZ425" s="168">
        <v>2911.6257538223799</v>
      </c>
      <c r="BA425" s="168">
        <v>2206.6395934592852</v>
      </c>
      <c r="BB425" s="168">
        <v>3220.2668675406217</v>
      </c>
      <c r="BC425" s="168">
        <v>3312.0355319500554</v>
      </c>
      <c r="BD425" s="168">
        <v>1813.2198038168181</v>
      </c>
      <c r="BE425" s="168">
        <v>5023.6157200039197</v>
      </c>
      <c r="BF425" s="168">
        <v>6706.7108411754953</v>
      </c>
      <c r="BG425" s="168">
        <v>6973.5535278637017</v>
      </c>
      <c r="BH425" s="168">
        <v>4174.080315987585</v>
      </c>
      <c r="BI425" s="168">
        <v>2286.6775415039392</v>
      </c>
      <c r="BJ425" s="168">
        <v>2720.1064415651736</v>
      </c>
      <c r="BK425" s="168">
        <v>3066.6339485344338</v>
      </c>
      <c r="BL425" s="168">
        <v>2930.3970823067957</v>
      </c>
      <c r="BM425" s="168">
        <v>2224.878005692809</v>
      </c>
      <c r="BN425" s="168">
        <v>3234.2848661217063</v>
      </c>
      <c r="BO425" s="168">
        <v>3297.6121203259295</v>
      </c>
      <c r="BP425" s="168">
        <v>1815.4740287425875</v>
      </c>
      <c r="BQ425" s="168">
        <v>5123.1424942722415</v>
      </c>
      <c r="BR425" s="168">
        <v>6788.3791781658192</v>
      </c>
      <c r="BS425" s="168">
        <v>7021.0508218047853</v>
      </c>
      <c r="BT425" s="168">
        <v>4270.4892778150943</v>
      </c>
      <c r="BU425" s="168">
        <v>2343.7736137727907</v>
      </c>
      <c r="BV425" s="168">
        <v>2712.1705522002812</v>
      </c>
      <c r="BW425" s="168">
        <v>3135.798569256664</v>
      </c>
      <c r="BX425" s="168">
        <v>2991.038356870095</v>
      </c>
      <c r="BY425" s="168">
        <v>2257.0860064652074</v>
      </c>
      <c r="BZ425" s="168">
        <v>3268.0767787227778</v>
      </c>
      <c r="CA425" s="168">
        <v>3348.0775427958579</v>
      </c>
      <c r="CB425" s="168">
        <v>1838.8772639148053</v>
      </c>
      <c r="CC425" s="168">
        <v>5115.6099808605813</v>
      </c>
      <c r="CD425" s="168">
        <v>6821.3336110653054</v>
      </c>
      <c r="CE425" s="168">
        <v>6972.9731085668409</v>
      </c>
      <c r="CF425" s="168">
        <v>4198.8231350319311</v>
      </c>
      <c r="CG425" s="168">
        <v>2370.3801117901994</v>
      </c>
      <c r="CH425" s="168">
        <v>2747.2710958483553</v>
      </c>
      <c r="CI425" s="168">
        <v>3101.2263212775529</v>
      </c>
      <c r="CJ425" s="168">
        <v>2984.8058565058359</v>
      </c>
      <c r="CK425" s="168">
        <v>2257.9332601946548</v>
      </c>
      <c r="CL425" s="168">
        <v>3315.6556490051448</v>
      </c>
      <c r="CM425" s="168">
        <v>3357.1344923929782</v>
      </c>
      <c r="CN425" s="168">
        <v>1859.4633769353331</v>
      </c>
      <c r="CO425" s="168">
        <v>5117.3276474908553</v>
      </c>
    </row>
    <row r="426" spans="1:93" x14ac:dyDescent="0.2">
      <c r="A426" s="118">
        <f t="shared" si="49"/>
        <v>9</v>
      </c>
      <c r="B426" s="243" t="s">
        <v>560</v>
      </c>
      <c r="C426" s="223"/>
      <c r="D426" s="172">
        <f>'E-13c - prior to updates'!D472</f>
        <v>242327.11690325302</v>
      </c>
      <c r="E426" s="225" t="s">
        <v>555</v>
      </c>
      <c r="F426" s="183">
        <v>20.02</v>
      </c>
      <c r="G426" s="233" t="s">
        <v>375</v>
      </c>
      <c r="H426" s="174">
        <f>ROUND(D426*F426,2)</f>
        <v>4851388.88</v>
      </c>
      <c r="I426" s="229"/>
      <c r="J426" s="172">
        <f t="shared" si="50"/>
        <v>242327.11690325302</v>
      </c>
      <c r="K426" s="225" t="s">
        <v>555</v>
      </c>
      <c r="L426" s="173">
        <f>'Exhibit MJC-3 - E-13c cal yr'!L474</f>
        <v>20.75</v>
      </c>
      <c r="M426" s="233" t="s">
        <v>375</v>
      </c>
      <c r="N426" s="174">
        <f>ROUND(J426*L426,2)</f>
        <v>5028287.68</v>
      </c>
      <c r="O426" s="227"/>
      <c r="Q426" s="1022"/>
      <c r="S426" s="227"/>
      <c r="T426" s="927"/>
      <c r="U426" s="184" t="s">
        <v>624</v>
      </c>
      <c r="V426" s="179">
        <v>254</v>
      </c>
      <c r="W426" s="180">
        <v>228</v>
      </c>
      <c r="Y426" s="184"/>
      <c r="Z426" s="181"/>
      <c r="AB426" s="182">
        <f>SUM(AH426:AS426)</f>
        <v>245713.19607383202</v>
      </c>
      <c r="AC426" s="182">
        <f>SUM(AT426:BE426)</f>
        <v>245860.20023268461</v>
      </c>
      <c r="AD426" s="182">
        <f>SUM(BF426:BQ426)</f>
        <v>247429.14256408371</v>
      </c>
      <c r="AE426" s="182">
        <f>SUM(BR426:CC426)</f>
        <v>250595.04865654255</v>
      </c>
      <c r="AF426" s="182">
        <f>SUM(CD426:CO426)</f>
        <v>250958.74169760416</v>
      </c>
      <c r="AH426" s="168">
        <v>22990.532893924024</v>
      </c>
      <c r="AI426" s="168">
        <v>21583.493580581446</v>
      </c>
      <c r="AJ426" s="168">
        <v>17544.47181208749</v>
      </c>
      <c r="AK426" s="168">
        <v>17129.145188037204</v>
      </c>
      <c r="AL426" s="168">
        <v>16712.651807639431</v>
      </c>
      <c r="AM426" s="168">
        <v>22720.303399895045</v>
      </c>
      <c r="AN426" s="168">
        <v>21582.350883099622</v>
      </c>
      <c r="AO426" s="168">
        <v>15494.429194230661</v>
      </c>
      <c r="AP426" s="168">
        <v>24701.960768110788</v>
      </c>
      <c r="AQ426" s="168">
        <v>24589.371608558471</v>
      </c>
      <c r="AR426" s="168">
        <v>12535.112859433335</v>
      </c>
      <c r="AS426" s="168">
        <v>28129.372078234501</v>
      </c>
      <c r="AT426" s="168">
        <v>23848.255198661773</v>
      </c>
      <c r="AU426" s="168">
        <v>21842.412370260266</v>
      </c>
      <c r="AV426" s="168">
        <v>17400.72833048274</v>
      </c>
      <c r="AW426" s="168">
        <v>17272.898718955428</v>
      </c>
      <c r="AX426" s="168">
        <v>16645.444986609491</v>
      </c>
      <c r="AY426" s="168">
        <v>22233.219716664782</v>
      </c>
      <c r="AZ426" s="168">
        <v>21790.131989971804</v>
      </c>
      <c r="BA426" s="168">
        <v>15293.120772764834</v>
      </c>
      <c r="BB426" s="168">
        <v>24587.299109239051</v>
      </c>
      <c r="BC426" s="168">
        <v>24654.1154733683</v>
      </c>
      <c r="BD426" s="168">
        <v>12435.017344027417</v>
      </c>
      <c r="BE426" s="168">
        <v>27857.556221678751</v>
      </c>
      <c r="BF426" s="168">
        <v>23709.129290927878</v>
      </c>
      <c r="BG426" s="168">
        <v>22098.314452627565</v>
      </c>
      <c r="BH426" s="168">
        <v>17662.094623331526</v>
      </c>
      <c r="BI426" s="168">
        <v>17205.594369507598</v>
      </c>
      <c r="BJ426" s="168">
        <v>16753.488533285108</v>
      </c>
      <c r="BK426" s="168">
        <v>22549.365308770317</v>
      </c>
      <c r="BL426" s="168">
        <v>21930.613549033977</v>
      </c>
      <c r="BM426" s="168">
        <v>15419.522130656487</v>
      </c>
      <c r="BN426" s="168">
        <v>24694.328972974923</v>
      </c>
      <c r="BO426" s="168">
        <v>24546.750545585721</v>
      </c>
      <c r="BP426" s="168">
        <v>12450.476763779106</v>
      </c>
      <c r="BQ426" s="168">
        <v>28409.464023603512</v>
      </c>
      <c r="BR426" s="168">
        <v>23997.837900339055</v>
      </c>
      <c r="BS426" s="168">
        <v>22248.827406025732</v>
      </c>
      <c r="BT426" s="168">
        <v>18070.036990854409</v>
      </c>
      <c r="BU426" s="168">
        <v>17635.201011336008</v>
      </c>
      <c r="BV426" s="168">
        <v>16704.610360929604</v>
      </c>
      <c r="BW426" s="168">
        <v>23057.941919243654</v>
      </c>
      <c r="BX426" s="168">
        <v>22384.442951744713</v>
      </c>
      <c r="BY426" s="168">
        <v>15642.739754015374</v>
      </c>
      <c r="BZ426" s="168">
        <v>24952.33611858467</v>
      </c>
      <c r="CA426" s="168">
        <v>24922.404834612451</v>
      </c>
      <c r="CB426" s="168">
        <v>12610.975581771436</v>
      </c>
      <c r="CC426" s="168">
        <v>28367.693827085448</v>
      </c>
      <c r="CD426" s="168">
        <v>24114.336274702571</v>
      </c>
      <c r="CE426" s="168">
        <v>22096.475176842967</v>
      </c>
      <c r="CF426" s="168">
        <v>17766.790742746231</v>
      </c>
      <c r="CG426" s="168">
        <v>17835.395662383991</v>
      </c>
      <c r="CH426" s="168">
        <v>16920.799163887521</v>
      </c>
      <c r="CI426" s="168">
        <v>22803.727604033673</v>
      </c>
      <c r="CJ426" s="168">
        <v>22337.799936107673</v>
      </c>
      <c r="CK426" s="168">
        <v>15648.611647934087</v>
      </c>
      <c r="CL426" s="168">
        <v>25315.609090369671</v>
      </c>
      <c r="CM426" s="168">
        <v>24989.822916046011</v>
      </c>
      <c r="CN426" s="168">
        <v>12752.154644518005</v>
      </c>
      <c r="CO426" s="168">
        <v>28377.218838031735</v>
      </c>
    </row>
    <row r="427" spans="1:93" x14ac:dyDescent="0.2">
      <c r="A427" s="118">
        <f t="shared" si="49"/>
        <v>10</v>
      </c>
      <c r="B427" s="243" t="s">
        <v>561</v>
      </c>
      <c r="C427" s="223"/>
      <c r="D427" s="172">
        <f>'E-13c - prior to updates'!D473</f>
        <v>66560.973895116738</v>
      </c>
      <c r="E427" s="225" t="s">
        <v>555</v>
      </c>
      <c r="F427" s="183">
        <v>15.5</v>
      </c>
      <c r="G427" s="233"/>
      <c r="H427" s="174">
        <f>ROUND(D427*F427,2)</f>
        <v>1031695.1</v>
      </c>
      <c r="I427" s="229"/>
      <c r="J427" s="172">
        <f t="shared" si="50"/>
        <v>66560.973895116738</v>
      </c>
      <c r="K427" s="225" t="s">
        <v>555</v>
      </c>
      <c r="L427" s="173">
        <f>'Exhibit MJC-3 - E-13c cal yr'!L475</f>
        <v>15.79</v>
      </c>
      <c r="M427" s="233" t="s">
        <v>375</v>
      </c>
      <c r="N427" s="174">
        <f>ROUND(J427*L427,2)</f>
        <v>1050997.78</v>
      </c>
      <c r="O427" s="227"/>
      <c r="Q427" s="1022"/>
      <c r="S427" s="227"/>
      <c r="T427" s="927"/>
      <c r="U427" s="184" t="s">
        <v>624</v>
      </c>
      <c r="V427" s="179">
        <v>254</v>
      </c>
      <c r="W427" s="180">
        <v>228</v>
      </c>
      <c r="Y427" s="184"/>
      <c r="Z427" s="181"/>
      <c r="AB427" s="182">
        <f>SUM(AH427:AS427)</f>
        <v>57479.626189738818</v>
      </c>
      <c r="AC427" s="182">
        <f>SUM(AT427:BE427)</f>
        <v>57205.488584719045</v>
      </c>
      <c r="AD427" s="182">
        <f>SUM(BF427:BQ427)</f>
        <v>57579.768222703984</v>
      </c>
      <c r="AE427" s="182">
        <f>SUM(BR427:CC427)</f>
        <v>58293.042141827224</v>
      </c>
      <c r="AF427" s="182">
        <f>SUM(CD427:CO427)</f>
        <v>58496.836704339563</v>
      </c>
      <c r="AH427" s="168">
        <v>0</v>
      </c>
      <c r="AI427" s="168">
        <v>0</v>
      </c>
      <c r="AJ427" s="168">
        <v>1656.384072778126</v>
      </c>
      <c r="AK427" s="168">
        <v>3564.0130206671506</v>
      </c>
      <c r="AL427" s="168">
        <v>7703.2434937516546</v>
      </c>
      <c r="AM427" s="168">
        <v>7038.2354141407259</v>
      </c>
      <c r="AN427" s="168">
        <v>6704.9800765416721</v>
      </c>
      <c r="AO427" s="168">
        <v>4763.4987782075868</v>
      </c>
      <c r="AP427" s="168">
        <v>7712.7254797163741</v>
      </c>
      <c r="AQ427" s="168">
        <v>7717.6843000652498</v>
      </c>
      <c r="AR427" s="168">
        <v>4062.4224678711043</v>
      </c>
      <c r="AS427" s="168">
        <v>6556.4390859991718</v>
      </c>
      <c r="AT427" s="168">
        <v>0</v>
      </c>
      <c r="AU427" s="168">
        <v>0</v>
      </c>
      <c r="AV427" s="168">
        <v>1642.8131647424818</v>
      </c>
      <c r="AW427" s="168">
        <v>3593.9234131785779</v>
      </c>
      <c r="AX427" s="168">
        <v>7672.2663326886814</v>
      </c>
      <c r="AY427" s="168">
        <v>6887.3479207555274</v>
      </c>
      <c r="AZ427" s="168">
        <v>6769.5313475967059</v>
      </c>
      <c r="BA427" s="168">
        <v>4701.60992720994</v>
      </c>
      <c r="BB427" s="168">
        <v>7676.9245201800677</v>
      </c>
      <c r="BC427" s="168">
        <v>7738.0049783209888</v>
      </c>
      <c r="BD427" s="168">
        <v>4029.9831691365798</v>
      </c>
      <c r="BE427" s="168">
        <v>6493.0838109094948</v>
      </c>
      <c r="BF427" s="168">
        <v>0</v>
      </c>
      <c r="BG427" s="168">
        <v>0</v>
      </c>
      <c r="BH427" s="168">
        <v>1667.4889127087174</v>
      </c>
      <c r="BI427" s="168">
        <v>3579.9195866509635</v>
      </c>
      <c r="BJ427" s="168">
        <v>7722.0660746775839</v>
      </c>
      <c r="BK427" s="168">
        <v>6985.2826649892659</v>
      </c>
      <c r="BL427" s="168">
        <v>6813.1746957998394</v>
      </c>
      <c r="BM427" s="168">
        <v>4740.4698752811382</v>
      </c>
      <c r="BN427" s="168">
        <v>7710.3425943514076</v>
      </c>
      <c r="BO427" s="168">
        <v>7704.3071420884926</v>
      </c>
      <c r="BP427" s="168">
        <v>4034.9933110350817</v>
      </c>
      <c r="BQ427" s="168">
        <v>6621.7233651214892</v>
      </c>
      <c r="BR427" s="168">
        <v>0</v>
      </c>
      <c r="BS427" s="168">
        <v>0</v>
      </c>
      <c r="BT427" s="168">
        <v>1706.0029955157452</v>
      </c>
      <c r="BU427" s="168">
        <v>3669.3066312718979</v>
      </c>
      <c r="BV427" s="168">
        <v>7699.5370070276549</v>
      </c>
      <c r="BW427" s="168">
        <v>7142.8281804533608</v>
      </c>
      <c r="BX427" s="168">
        <v>6954.1656897747853</v>
      </c>
      <c r="BY427" s="168">
        <v>4809.0943378421971</v>
      </c>
      <c r="BZ427" s="168">
        <v>7790.9005024694607</v>
      </c>
      <c r="CA427" s="168">
        <v>7822.2109769170593</v>
      </c>
      <c r="CB427" s="168">
        <v>4087.0083197223098</v>
      </c>
      <c r="CC427" s="168">
        <v>6611.9875008327581</v>
      </c>
      <c r="CD427" s="168">
        <v>0</v>
      </c>
      <c r="CE427" s="168">
        <v>0</v>
      </c>
      <c r="CF427" s="168">
        <v>1677.3733359354524</v>
      </c>
      <c r="CG427" s="168">
        <v>3710.960568766759</v>
      </c>
      <c r="CH427" s="168">
        <v>7799.1833712896241</v>
      </c>
      <c r="CI427" s="168">
        <v>7064.0783431558229</v>
      </c>
      <c r="CJ427" s="168">
        <v>6939.675123281354</v>
      </c>
      <c r="CK427" s="168">
        <v>4810.8995517779222</v>
      </c>
      <c r="CL427" s="168">
        <v>7904.3256970068696</v>
      </c>
      <c r="CM427" s="168">
        <v>7843.3709917764563</v>
      </c>
      <c r="CN427" s="168">
        <v>4132.7621157133071</v>
      </c>
      <c r="CO427" s="168">
        <v>6614.2076056359901</v>
      </c>
    </row>
    <row r="428" spans="1:93" x14ac:dyDescent="0.2">
      <c r="A428" s="118">
        <f t="shared" si="49"/>
        <v>11</v>
      </c>
      <c r="B428" s="234" t="s">
        <v>148</v>
      </c>
      <c r="C428" s="223"/>
      <c r="D428" s="168"/>
      <c r="E428" s="225"/>
      <c r="F428" s="183"/>
      <c r="G428" s="233"/>
      <c r="H428" s="174"/>
      <c r="I428" s="229"/>
      <c r="J428" s="168"/>
      <c r="K428" s="225"/>
      <c r="L428" s="183"/>
      <c r="M428" s="233"/>
      <c r="N428" s="174"/>
      <c r="O428" s="227"/>
      <c r="S428" s="227"/>
      <c r="T428" s="227"/>
      <c r="U428" s="184"/>
      <c r="V428" s="179"/>
      <c r="W428" s="180"/>
      <c r="Y428" s="184"/>
      <c r="Z428" s="181"/>
    </row>
    <row r="429" spans="1:93" x14ac:dyDescent="0.2">
      <c r="A429" s="118">
        <f t="shared" si="49"/>
        <v>12</v>
      </c>
      <c r="B429" s="243" t="s">
        <v>559</v>
      </c>
      <c r="C429" s="223"/>
      <c r="D429" s="172">
        <f>'E-13c - prior to updates'!D475</f>
        <v>137455.52596349793</v>
      </c>
      <c r="E429" s="225" t="s">
        <v>555</v>
      </c>
      <c r="F429" s="183">
        <v>27.03</v>
      </c>
      <c r="G429" s="233" t="s">
        <v>375</v>
      </c>
      <c r="H429" s="174">
        <f>ROUND(D429*F429,2)</f>
        <v>3715422.87</v>
      </c>
      <c r="I429" s="229"/>
      <c r="J429" s="172">
        <f t="shared" ref="J429:J431" si="51">D429</f>
        <v>137455.52596349793</v>
      </c>
      <c r="K429" s="225" t="s">
        <v>555</v>
      </c>
      <c r="L429" s="183">
        <f>L425</f>
        <v>29.05</v>
      </c>
      <c r="M429" s="233" t="s">
        <v>375</v>
      </c>
      <c r="N429" s="174">
        <f>ROUND(J429*L429,2)</f>
        <v>3993083.03</v>
      </c>
      <c r="O429" s="227"/>
      <c r="S429" s="106"/>
      <c r="T429" s="264"/>
      <c r="U429" s="184" t="s">
        <v>624</v>
      </c>
      <c r="V429" s="179">
        <v>254</v>
      </c>
      <c r="W429" s="180">
        <v>228</v>
      </c>
      <c r="Y429" s="184"/>
      <c r="Z429" s="181"/>
      <c r="AB429" s="182">
        <f>SUM(AH429:AS429)</f>
        <v>134401.31193501546</v>
      </c>
      <c r="AC429" s="182">
        <f>SUM(AT429:BE429)</f>
        <v>134763.76883288735</v>
      </c>
      <c r="AD429" s="182">
        <f>SUM(BF429:BQ429)</f>
        <v>135722.95669043562</v>
      </c>
      <c r="AE429" s="182">
        <f>SUM(BR429:CC429)</f>
        <v>137455.52596349793</v>
      </c>
      <c r="AF429" s="182">
        <f>SUM(CD429:CO429)</f>
        <v>137405.85268327195</v>
      </c>
      <c r="AG429" s="241"/>
      <c r="AH429" s="168">
        <v>12476.365699308813</v>
      </c>
      <c r="AI429" s="168">
        <v>27951.544106335306</v>
      </c>
      <c r="AJ429" s="168">
        <v>15766.32652366044</v>
      </c>
      <c r="AK429" s="168">
        <v>11573.222284100442</v>
      </c>
      <c r="AL429" s="168">
        <v>7866.6349688923256</v>
      </c>
      <c r="AM429" s="168">
        <v>8714.8346343811318</v>
      </c>
      <c r="AN429" s="168">
        <v>8180.9166910067506</v>
      </c>
      <c r="AO429" s="168">
        <v>6207.4712305253506</v>
      </c>
      <c r="AP429" s="168">
        <v>8692.6203049600335</v>
      </c>
      <c r="AQ429" s="168">
        <v>8413.796991847963</v>
      </c>
      <c r="AR429" s="168">
        <v>6915.8259866733961</v>
      </c>
      <c r="AS429" s="168">
        <v>11641.752513323509</v>
      </c>
      <c r="AT429" s="168">
        <v>12941.829340005468</v>
      </c>
      <c r="AU429" s="168">
        <v>28286.854974459908</v>
      </c>
      <c r="AV429" s="168">
        <v>15637.15155100228</v>
      </c>
      <c r="AW429" s="168">
        <v>11670.348646751791</v>
      </c>
      <c r="AX429" s="168">
        <v>7835.0007593995797</v>
      </c>
      <c r="AY429" s="168">
        <v>8528.0037775151704</v>
      </c>
      <c r="AZ429" s="168">
        <v>8259.6773382825559</v>
      </c>
      <c r="BA429" s="168">
        <v>6126.8218423454427</v>
      </c>
      <c r="BB429" s="168">
        <v>8652.2708657610401</v>
      </c>
      <c r="BC429" s="168">
        <v>8435.9505362186464</v>
      </c>
      <c r="BD429" s="168">
        <v>6860.601660067292</v>
      </c>
      <c r="BE429" s="168">
        <v>11529.257541078199</v>
      </c>
      <c r="BF429" s="168">
        <v>12866.32931957771</v>
      </c>
      <c r="BG429" s="168">
        <v>28618.259078039689</v>
      </c>
      <c r="BH429" s="168">
        <v>15872.028175358309</v>
      </c>
      <c r="BI429" s="168">
        <v>11624.874795704603</v>
      </c>
      <c r="BJ429" s="168">
        <v>7885.8567906401167</v>
      </c>
      <c r="BK429" s="168">
        <v>8649.2678516384476</v>
      </c>
      <c r="BL429" s="168">
        <v>8312.927697223311</v>
      </c>
      <c r="BM429" s="168">
        <v>6177.461513079742</v>
      </c>
      <c r="BN429" s="168">
        <v>8689.9346761557445</v>
      </c>
      <c r="BO429" s="168">
        <v>8399.2132531035077</v>
      </c>
      <c r="BP429" s="168">
        <v>6869.1308738092457</v>
      </c>
      <c r="BQ429" s="168">
        <v>11757.672666105183</v>
      </c>
      <c r="BR429" s="168">
        <v>13023.003991198946</v>
      </c>
      <c r="BS429" s="168">
        <v>28813.179767768474</v>
      </c>
      <c r="BT429" s="168">
        <v>16238.62528002404</v>
      </c>
      <c r="BU429" s="168">
        <v>11915.136399890109</v>
      </c>
      <c r="BV429" s="168">
        <v>7862.8498648516179</v>
      </c>
      <c r="BW429" s="168">
        <v>8844.3427580417501</v>
      </c>
      <c r="BX429" s="168">
        <v>8484.9543942043711</v>
      </c>
      <c r="BY429" s="168">
        <v>6266.8882972340425</v>
      </c>
      <c r="BZ429" s="168">
        <v>8780.7273939406205</v>
      </c>
      <c r="CA429" s="168">
        <v>8527.7516711364333</v>
      </c>
      <c r="CB429" s="168">
        <v>6957.6806865431927</v>
      </c>
      <c r="CC429" s="168">
        <v>11740.385458664368</v>
      </c>
      <c r="CD429" s="168">
        <v>13086.2246363506</v>
      </c>
      <c r="CE429" s="168">
        <v>28615.877137506061</v>
      </c>
      <c r="CF429" s="168">
        <v>15966.113265073871</v>
      </c>
      <c r="CG429" s="168">
        <v>12050.396926392288</v>
      </c>
      <c r="CH429" s="168">
        <v>7964.6098019822612</v>
      </c>
      <c r="CI429" s="168">
        <v>8746.8336852202283</v>
      </c>
      <c r="CJ429" s="168">
        <v>8467.2740855479678</v>
      </c>
      <c r="CK429" s="168">
        <v>6269.2407306223377</v>
      </c>
      <c r="CL429" s="168">
        <v>8908.5631572804268</v>
      </c>
      <c r="CM429" s="168">
        <v>8550.8202578328273</v>
      </c>
      <c r="CN429" s="168">
        <v>7035.5714755505023</v>
      </c>
      <c r="CO429" s="168">
        <v>11744.327523912569</v>
      </c>
    </row>
    <row r="430" spans="1:93" x14ac:dyDescent="0.2">
      <c r="A430" s="118">
        <f t="shared" si="49"/>
        <v>13</v>
      </c>
      <c r="B430" s="243" t="s">
        <v>560</v>
      </c>
      <c r="C430" s="223"/>
      <c r="D430" s="172">
        <f>'E-13c - prior to updates'!D476</f>
        <v>717950.53059065668</v>
      </c>
      <c r="E430" s="225" t="s">
        <v>555</v>
      </c>
      <c r="F430" s="183">
        <v>20.02</v>
      </c>
      <c r="G430" s="233" t="s">
        <v>375</v>
      </c>
      <c r="H430" s="174">
        <f>ROUND(D430*F430,2)</f>
        <v>14373369.619999999</v>
      </c>
      <c r="I430" s="229"/>
      <c r="J430" s="172">
        <f t="shared" si="51"/>
        <v>717950.53059065668</v>
      </c>
      <c r="K430" s="225" t="s">
        <v>555</v>
      </c>
      <c r="L430" s="183">
        <f>L426</f>
        <v>20.75</v>
      </c>
      <c r="M430" s="233" t="s">
        <v>375</v>
      </c>
      <c r="N430" s="174">
        <f>ROUND(J430*L430,2)</f>
        <v>14897473.51</v>
      </c>
      <c r="O430" s="227"/>
      <c r="P430" s="227"/>
      <c r="Q430" s="227"/>
      <c r="S430" s="263"/>
      <c r="T430" s="197"/>
      <c r="U430" s="184" t="s">
        <v>624</v>
      </c>
      <c r="V430" s="179">
        <v>254</v>
      </c>
      <c r="W430" s="180">
        <v>228</v>
      </c>
      <c r="Y430" s="184"/>
      <c r="Z430" s="181"/>
      <c r="AB430" s="182">
        <f>SUM(AH430:AS430)</f>
        <v>728750.47096450988</v>
      </c>
      <c r="AC430" s="182">
        <f>SUM(AT430:BE430)</f>
        <v>728553.42548215587</v>
      </c>
      <c r="AD430" s="182">
        <f>SUM(BF430:BQ430)</f>
        <v>733288.67803624459</v>
      </c>
      <c r="AE430" s="182">
        <f>SUM(BR430:CC430)</f>
        <v>743058.24206558976</v>
      </c>
      <c r="AF430" s="182">
        <f>SUM(CD430:CO430)</f>
        <v>743986.79835766589</v>
      </c>
      <c r="AH430" s="168">
        <v>38443.216244278163</v>
      </c>
      <c r="AI430" s="168">
        <v>95524.032000853069</v>
      </c>
      <c r="AJ430" s="168">
        <v>56421.694421414053</v>
      </c>
      <c r="AK430" s="168">
        <v>67611.811732374219</v>
      </c>
      <c r="AL430" s="168">
        <v>47443.105104461356</v>
      </c>
      <c r="AM430" s="168">
        <v>60646.682954601987</v>
      </c>
      <c r="AN430" s="168">
        <v>57857.375027569957</v>
      </c>
      <c r="AO430" s="168">
        <v>64020.043626095248</v>
      </c>
      <c r="AP430" s="168">
        <v>66329.745836250149</v>
      </c>
      <c r="AQ430" s="168">
        <v>64204.661576637802</v>
      </c>
      <c r="AR430" s="168">
        <v>52165.465790489507</v>
      </c>
      <c r="AS430" s="168">
        <v>58082.636649484542</v>
      </c>
      <c r="AT430" s="168">
        <v>39877.441548698502</v>
      </c>
      <c r="AU430" s="168">
        <v>96669.952454303406</v>
      </c>
      <c r="AV430" s="168">
        <v>55959.426256202867</v>
      </c>
      <c r="AW430" s="168">
        <v>68179.232731006123</v>
      </c>
      <c r="AX430" s="168">
        <v>47252.32148073968</v>
      </c>
      <c r="AY430" s="168">
        <v>59346.523833075371</v>
      </c>
      <c r="AZ430" s="168">
        <v>58414.38892698539</v>
      </c>
      <c r="BA430" s="168">
        <v>63188.275397463673</v>
      </c>
      <c r="BB430" s="168">
        <v>66021.856160547031</v>
      </c>
      <c r="BC430" s="168">
        <v>64373.712579463412</v>
      </c>
      <c r="BD430" s="168">
        <v>51748.913562899514</v>
      </c>
      <c r="BE430" s="168">
        <v>57521.38055077086</v>
      </c>
      <c r="BF430" s="168">
        <v>39644.804602835931</v>
      </c>
      <c r="BG430" s="168">
        <v>97802.521591633951</v>
      </c>
      <c r="BH430" s="168">
        <v>56799.960486307871</v>
      </c>
      <c r="BI430" s="168">
        <v>67913.57037870062</v>
      </c>
      <c r="BJ430" s="168">
        <v>47559.030517688989</v>
      </c>
      <c r="BK430" s="168">
        <v>60190.402594483465</v>
      </c>
      <c r="BL430" s="168">
        <v>58790.988042213496</v>
      </c>
      <c r="BM430" s="168">
        <v>63710.541842079409</v>
      </c>
      <c r="BN430" s="168">
        <v>66309.252927351627</v>
      </c>
      <c r="BO430" s="168">
        <v>64093.374839922282</v>
      </c>
      <c r="BP430" s="168">
        <v>51813.248670308669</v>
      </c>
      <c r="BQ430" s="168">
        <v>58660.981542718211</v>
      </c>
      <c r="BR430" s="168">
        <v>40127.563639104803</v>
      </c>
      <c r="BS430" s="168">
        <v>98468.660468700851</v>
      </c>
      <c r="BT430" s="168">
        <v>58111.872286699967</v>
      </c>
      <c r="BU430" s="168">
        <v>69609.304933310239</v>
      </c>
      <c r="BV430" s="168">
        <v>47420.277416441677</v>
      </c>
      <c r="BW430" s="168">
        <v>61547.932197439601</v>
      </c>
      <c r="BX430" s="168">
        <v>60007.601472946575</v>
      </c>
      <c r="BY430" s="168">
        <v>64632.834738862628</v>
      </c>
      <c r="BZ430" s="168">
        <v>67002.054140699984</v>
      </c>
      <c r="CA430" s="168">
        <v>65074.235875361621</v>
      </c>
      <c r="CB430" s="168">
        <v>52481.17210213418</v>
      </c>
      <c r="CC430" s="168">
        <v>58574.732793887662</v>
      </c>
      <c r="CD430" s="168">
        <v>40322.364352008117</v>
      </c>
      <c r="CE430" s="168">
        <v>97794.381341388973</v>
      </c>
      <c r="CF430" s="168">
        <v>57136.65528795214</v>
      </c>
      <c r="CG430" s="168">
        <v>70399.509167549404</v>
      </c>
      <c r="CH430" s="168">
        <v>48033.984218880527</v>
      </c>
      <c r="CI430" s="168">
        <v>60869.364895511208</v>
      </c>
      <c r="CJ430" s="168">
        <v>59882.562154350271</v>
      </c>
      <c r="CK430" s="168">
        <v>64657.096291200651</v>
      </c>
      <c r="CL430" s="168">
        <v>67977.515324282824</v>
      </c>
      <c r="CM430" s="168">
        <v>65250.269454889189</v>
      </c>
      <c r="CN430" s="168">
        <v>53068.69545757788</v>
      </c>
      <c r="CO430" s="168">
        <v>58594.400412074676</v>
      </c>
    </row>
    <row r="431" spans="1:93" x14ac:dyDescent="0.2">
      <c r="A431" s="118">
        <f t="shared" si="49"/>
        <v>14</v>
      </c>
      <c r="B431" s="243" t="s">
        <v>561</v>
      </c>
      <c r="C431" s="223"/>
      <c r="D431" s="172">
        <f>'E-13c - prior to updates'!D477</f>
        <v>219541.19531902435</v>
      </c>
      <c r="E431" s="225" t="s">
        <v>555</v>
      </c>
      <c r="F431" s="183">
        <v>15.5</v>
      </c>
      <c r="G431" s="233" t="s">
        <v>375</v>
      </c>
      <c r="H431" s="174">
        <f>ROUND(D431*F431,2)</f>
        <v>3402888.53</v>
      </c>
      <c r="I431" s="229"/>
      <c r="J431" s="172">
        <f t="shared" si="51"/>
        <v>219541.19531902435</v>
      </c>
      <c r="K431" s="225" t="s">
        <v>555</v>
      </c>
      <c r="L431" s="183">
        <f>L427</f>
        <v>15.79</v>
      </c>
      <c r="M431" s="233" t="s">
        <v>375</v>
      </c>
      <c r="N431" s="174">
        <f>ROUND(J431*L431,2)</f>
        <v>3466555.47</v>
      </c>
      <c r="O431" s="227"/>
      <c r="P431" s="227"/>
      <c r="Q431" s="227"/>
      <c r="S431" s="263"/>
      <c r="T431" s="197"/>
      <c r="U431" s="184" t="s">
        <v>624</v>
      </c>
      <c r="V431" s="179">
        <v>254</v>
      </c>
      <c r="W431" s="180">
        <v>228</v>
      </c>
      <c r="Y431" s="184"/>
      <c r="Z431" s="181"/>
      <c r="AB431" s="182">
        <f>SUM(AH431:AS431)</f>
        <v>191804.64516362571</v>
      </c>
      <c r="AC431" s="182">
        <f>SUM(AT431:BE431)</f>
        <v>190836.58433308578</v>
      </c>
      <c r="AD431" s="182">
        <f>SUM(BF431:BQ431)</f>
        <v>191930.66451460301</v>
      </c>
      <c r="AE431" s="182">
        <f>SUM(BR431:CC431)</f>
        <v>194433.48384409133</v>
      </c>
      <c r="AF431" s="182">
        <f>SUM(CD431:CO431)</f>
        <v>195233.51035532134</v>
      </c>
      <c r="AH431" s="168">
        <v>0</v>
      </c>
      <c r="AI431" s="168">
        <v>0</v>
      </c>
      <c r="AJ431" s="168">
        <v>2961.967947052261</v>
      </c>
      <c r="AK431" s="168">
        <v>13669.655032252655</v>
      </c>
      <c r="AL431" s="168">
        <v>23719.61823388873</v>
      </c>
      <c r="AM431" s="168">
        <v>21066.877832206388</v>
      </c>
      <c r="AN431" s="168">
        <v>20404.967352131687</v>
      </c>
      <c r="AO431" s="168">
        <v>28235.533797768861</v>
      </c>
      <c r="AP431" s="168">
        <v>24524.13066674304</v>
      </c>
      <c r="AQ431" s="168">
        <v>23781.55219042367</v>
      </c>
      <c r="AR431" s="168">
        <v>19824.095630203363</v>
      </c>
      <c r="AS431" s="168">
        <v>13616.24648095504</v>
      </c>
      <c r="AT431" s="168">
        <v>0</v>
      </c>
      <c r="AU431" s="168">
        <v>0</v>
      </c>
      <c r="AV431" s="168">
        <v>2937.7002694800221</v>
      </c>
      <c r="AW431" s="168">
        <v>13784.375361594761</v>
      </c>
      <c r="AX431" s="168">
        <v>23624.234200529358</v>
      </c>
      <c r="AY431" s="168">
        <v>20615.240709758426</v>
      </c>
      <c r="AZ431" s="168">
        <v>20601.413361423321</v>
      </c>
      <c r="BA431" s="168">
        <v>27868.689000401933</v>
      </c>
      <c r="BB431" s="168">
        <v>24410.294460336863</v>
      </c>
      <c r="BC431" s="168">
        <v>23844.169065083803</v>
      </c>
      <c r="BD431" s="168">
        <v>19665.796052703499</v>
      </c>
      <c r="BE431" s="168">
        <v>13484.671851773795</v>
      </c>
      <c r="BF431" s="168">
        <v>0</v>
      </c>
      <c r="BG431" s="168">
        <v>0</v>
      </c>
      <c r="BH431" s="168">
        <v>2981.8257689621214</v>
      </c>
      <c r="BI431" s="168">
        <v>13730.664144308532</v>
      </c>
      <c r="BJ431" s="168">
        <v>23777.576214069635</v>
      </c>
      <c r="BK431" s="168">
        <v>20908.379425771727</v>
      </c>
      <c r="BL431" s="168">
        <v>20734.231219948862</v>
      </c>
      <c r="BM431" s="168">
        <v>28099.030484305225</v>
      </c>
      <c r="BN431" s="168">
        <v>24516.553813112241</v>
      </c>
      <c r="BO431" s="168">
        <v>23740.331330873727</v>
      </c>
      <c r="BP431" s="168">
        <v>19690.244896442011</v>
      </c>
      <c r="BQ431" s="168">
        <v>13751.827216808924</v>
      </c>
      <c r="BR431" s="168">
        <v>0</v>
      </c>
      <c r="BS431" s="168">
        <v>0</v>
      </c>
      <c r="BT431" s="168">
        <v>3050.6971621729967</v>
      </c>
      <c r="BU431" s="168">
        <v>14073.505221834117</v>
      </c>
      <c r="BV431" s="168">
        <v>23708.205320594017</v>
      </c>
      <c r="BW431" s="168">
        <v>21379.945369790279</v>
      </c>
      <c r="BX431" s="168">
        <v>21163.302834802522</v>
      </c>
      <c r="BY431" s="168">
        <v>28505.800470446713</v>
      </c>
      <c r="BZ431" s="168">
        <v>24772.703558117722</v>
      </c>
      <c r="CA431" s="168">
        <v>24103.644481866817</v>
      </c>
      <c r="CB431" s="168">
        <v>19944.071403797319</v>
      </c>
      <c r="CC431" s="168">
        <v>13731.608020668815</v>
      </c>
      <c r="CD431" s="168">
        <v>0</v>
      </c>
      <c r="CE431" s="168">
        <v>0</v>
      </c>
      <c r="CF431" s="168">
        <v>2999.5012255508723</v>
      </c>
      <c r="CG431" s="168">
        <v>14233.267532742619</v>
      </c>
      <c r="CH431" s="168">
        <v>24015.03370017284</v>
      </c>
      <c r="CI431" s="168">
        <v>21144.231003328445</v>
      </c>
      <c r="CJ431" s="168">
        <v>21119.204338932741</v>
      </c>
      <c r="CK431" s="168">
        <v>28516.500836179479</v>
      </c>
      <c r="CL431" s="168">
        <v>25133.361317693325</v>
      </c>
      <c r="CM431" s="168">
        <v>24168.847718765825</v>
      </c>
      <c r="CN431" s="168">
        <v>20167.344003913102</v>
      </c>
      <c r="CO431" s="168">
        <v>13736.2186780421</v>
      </c>
    </row>
    <row r="432" spans="1:93" x14ac:dyDescent="0.2">
      <c r="A432" s="118">
        <f t="shared" si="49"/>
        <v>15</v>
      </c>
      <c r="B432" s="234" t="s">
        <v>216</v>
      </c>
      <c r="C432" s="223"/>
      <c r="D432" s="168"/>
      <c r="E432" s="225"/>
      <c r="F432" s="183"/>
      <c r="G432" s="233"/>
      <c r="H432" s="174"/>
      <c r="I432" s="229"/>
      <c r="J432" s="168"/>
      <c r="K432" s="225"/>
      <c r="L432" s="183"/>
      <c r="M432" s="233"/>
      <c r="N432" s="174"/>
      <c r="O432" s="227"/>
      <c r="P432" s="227"/>
      <c r="Q432" s="227"/>
      <c r="S432" s="263"/>
      <c r="T432" s="927"/>
      <c r="U432" s="184"/>
      <c r="V432" s="179"/>
      <c r="W432" s="180"/>
      <c r="Y432" s="184"/>
      <c r="Z432" s="181"/>
    </row>
    <row r="433" spans="1:93" x14ac:dyDescent="0.2">
      <c r="A433" s="118">
        <f t="shared" si="49"/>
        <v>16</v>
      </c>
      <c r="B433" s="243" t="s">
        <v>559</v>
      </c>
      <c r="C433" s="223"/>
      <c r="D433" s="172">
        <f>'E-13c - prior to updates'!D479</f>
        <v>121461.77740279508</v>
      </c>
      <c r="E433" s="225" t="s">
        <v>555</v>
      </c>
      <c r="F433" s="183">
        <v>27.03</v>
      </c>
      <c r="G433" s="233" t="s">
        <v>375</v>
      </c>
      <c r="H433" s="174">
        <f>ROUND(D433*F433,2)</f>
        <v>3283111.84</v>
      </c>
      <c r="I433" s="229"/>
      <c r="J433" s="172">
        <f t="shared" ref="J433:J435" si="52">D433</f>
        <v>121461.77740279508</v>
      </c>
      <c r="K433" s="225" t="s">
        <v>555</v>
      </c>
      <c r="L433" s="183">
        <f>L429</f>
        <v>29.05</v>
      </c>
      <c r="M433" s="233" t="s">
        <v>375</v>
      </c>
      <c r="N433" s="174">
        <f>ROUND(J433*L433,2)</f>
        <v>3528464.63</v>
      </c>
      <c r="O433" s="227"/>
      <c r="P433" s="227"/>
      <c r="Q433" s="227"/>
      <c r="S433" s="263"/>
      <c r="T433" s="227"/>
      <c r="U433" s="184" t="s">
        <v>624</v>
      </c>
      <c r="V433" s="179">
        <v>254</v>
      </c>
      <c r="W433" s="180">
        <v>228</v>
      </c>
      <c r="Y433" s="184"/>
      <c r="Z433" s="181"/>
      <c r="AB433" s="182">
        <f>SUM(AH433:AS433)</f>
        <v>118794.05994422382</v>
      </c>
      <c r="AC433" s="182">
        <f>SUM(AT433:BE433)</f>
        <v>119046.56252583434</v>
      </c>
      <c r="AD433" s="182">
        <f>SUM(BF433:BQ433)</f>
        <v>119803.59669910584</v>
      </c>
      <c r="AE433" s="182">
        <f>SUM(BR433:CC433)</f>
        <v>121461.77740279508</v>
      </c>
      <c r="AF433" s="182">
        <f>SUM(CD433:CO433)</f>
        <v>121503.99599059613</v>
      </c>
      <c r="AG433" s="241"/>
      <c r="AH433" s="168">
        <v>17250.204822575422</v>
      </c>
      <c r="AI433" s="168">
        <v>5980.9763609804513</v>
      </c>
      <c r="AJ433" s="168">
        <v>21034.588777055829</v>
      </c>
      <c r="AK433" s="168">
        <v>12331.872191258999</v>
      </c>
      <c r="AL433" s="168">
        <v>10366.148416577598</v>
      </c>
      <c r="AM433" s="168">
        <v>7306.328391949769</v>
      </c>
      <c r="AN433" s="168">
        <v>7483.8557645399369</v>
      </c>
      <c r="AO433" s="168">
        <v>7324.1926999511088</v>
      </c>
      <c r="AP433" s="168">
        <v>7051.8653748661172</v>
      </c>
      <c r="AQ433" s="168">
        <v>5788.7104364963361</v>
      </c>
      <c r="AR433" s="168">
        <v>4781.4402854214241</v>
      </c>
      <c r="AS433" s="168">
        <v>12093.876422550837</v>
      </c>
      <c r="AT433" s="168">
        <v>17893.769089044774</v>
      </c>
      <c r="AU433" s="168">
        <v>6052.7250403451289</v>
      </c>
      <c r="AV433" s="168">
        <v>20862.250444085606</v>
      </c>
      <c r="AW433" s="168">
        <v>12435.365398355158</v>
      </c>
      <c r="AX433" s="168">
        <v>10324.462878613826</v>
      </c>
      <c r="AY433" s="168">
        <v>7149.693452644462</v>
      </c>
      <c r="AZ433" s="168">
        <v>7555.9055538724569</v>
      </c>
      <c r="BA433" s="168">
        <v>7229.0345206818974</v>
      </c>
      <c r="BB433" s="168">
        <v>7019.1319983697003</v>
      </c>
      <c r="BC433" s="168">
        <v>5803.9521226967781</v>
      </c>
      <c r="BD433" s="168">
        <v>4743.2594780271202</v>
      </c>
      <c r="BE433" s="168">
        <v>11977.012549097415</v>
      </c>
      <c r="BF433" s="168">
        <v>17789.380451529949</v>
      </c>
      <c r="BG433" s="168">
        <v>6123.6377635171311</v>
      </c>
      <c r="BH433" s="168">
        <v>21175.610261875619</v>
      </c>
      <c r="BI433" s="168">
        <v>12386.910637408528</v>
      </c>
      <c r="BJ433" s="168">
        <v>10391.477703860222</v>
      </c>
      <c r="BK433" s="168">
        <v>7251.3586229960638</v>
      </c>
      <c r="BL433" s="168">
        <v>7604.6186774470634</v>
      </c>
      <c r="BM433" s="168">
        <v>7288.7842469305242</v>
      </c>
      <c r="BN433" s="168">
        <v>7049.6866655574968</v>
      </c>
      <c r="BO433" s="168">
        <v>5778.6767928566142</v>
      </c>
      <c r="BP433" s="168">
        <v>4749.1563768599326</v>
      </c>
      <c r="BQ433" s="168">
        <v>12214.298498266699</v>
      </c>
      <c r="BR433" s="168">
        <v>18006.003644622615</v>
      </c>
      <c r="BS433" s="168">
        <v>6165.3462298937557</v>
      </c>
      <c r="BT433" s="168">
        <v>21664.704492667475</v>
      </c>
      <c r="BU433" s="168">
        <v>12696.199521435497</v>
      </c>
      <c r="BV433" s="168">
        <v>10361.160648565825</v>
      </c>
      <c r="BW433" s="168">
        <v>7414.905194676091</v>
      </c>
      <c r="BX433" s="168">
        <v>7761.9877152312674</v>
      </c>
      <c r="BY433" s="168">
        <v>7394.2988720265112</v>
      </c>
      <c r="BZ433" s="168">
        <v>7123.3420192224685</v>
      </c>
      <c r="CA433" s="168">
        <v>5867.1115010720423</v>
      </c>
      <c r="CB433" s="168">
        <v>4810.3776456842925</v>
      </c>
      <c r="CC433" s="168">
        <v>12196.339917697242</v>
      </c>
      <c r="CD433" s="168">
        <v>18093.414442299203</v>
      </c>
      <c r="CE433" s="168">
        <v>6123.1280839813353</v>
      </c>
      <c r="CF433" s="168">
        <v>21301.133551606385</v>
      </c>
      <c r="CG433" s="168">
        <v>12840.326669813081</v>
      </c>
      <c r="CH433" s="168">
        <v>10495.253385209784</v>
      </c>
      <c r="CI433" s="168">
        <v>7333.1557023314008</v>
      </c>
      <c r="CJ433" s="168">
        <v>7745.81387006762</v>
      </c>
      <c r="CK433" s="168">
        <v>7397.0745071941692</v>
      </c>
      <c r="CL433" s="168">
        <v>7227.0484462305812</v>
      </c>
      <c r="CM433" s="168">
        <v>5882.9827383617012</v>
      </c>
      <c r="CN433" s="168">
        <v>4864.2295148811836</v>
      </c>
      <c r="CO433" s="168">
        <v>12200.435078619692</v>
      </c>
    </row>
    <row r="434" spans="1:93" x14ac:dyDescent="0.2">
      <c r="A434" s="118">
        <f t="shared" si="49"/>
        <v>17</v>
      </c>
      <c r="B434" s="243" t="s">
        <v>560</v>
      </c>
      <c r="C434" s="223"/>
      <c r="D434" s="172">
        <f>'E-13c - prior to updates'!D480</f>
        <v>641643.93823952379</v>
      </c>
      <c r="E434" s="225" t="s">
        <v>555</v>
      </c>
      <c r="F434" s="183">
        <v>20.02</v>
      </c>
      <c r="G434" s="233" t="s">
        <v>375</v>
      </c>
      <c r="H434" s="174">
        <f>ROUND(D434*F434,2)</f>
        <v>12845711.640000001</v>
      </c>
      <c r="I434" s="229"/>
      <c r="J434" s="172">
        <f t="shared" si="52"/>
        <v>641643.93823952379</v>
      </c>
      <c r="K434" s="225" t="s">
        <v>555</v>
      </c>
      <c r="L434" s="183">
        <f>L430</f>
        <v>20.75</v>
      </c>
      <c r="M434" s="233" t="s">
        <v>375</v>
      </c>
      <c r="N434" s="174">
        <f>ROUND(J434*L434,2)</f>
        <v>13314111.720000001</v>
      </c>
      <c r="O434" s="227"/>
      <c r="P434" s="227"/>
      <c r="Q434" s="227"/>
      <c r="S434" s="263"/>
      <c r="T434" s="197"/>
      <c r="U434" s="184" t="s">
        <v>624</v>
      </c>
      <c r="V434" s="179">
        <v>254</v>
      </c>
      <c r="W434" s="180">
        <v>228</v>
      </c>
      <c r="Y434" s="184"/>
      <c r="Z434" s="181"/>
      <c r="AB434" s="182">
        <f>SUM(AH434:AS434)</f>
        <v>651979.35836844891</v>
      </c>
      <c r="AC434" s="182">
        <f>SUM(AT434:BE434)</f>
        <v>651490.41612117679</v>
      </c>
      <c r="AD434" s="182">
        <f>SUM(BF434:BQ434)</f>
        <v>655727.44529829698</v>
      </c>
      <c r="AE434" s="182">
        <f>SUM(BR434:CC434)</f>
        <v>664513.46322000585</v>
      </c>
      <c r="AF434" s="182">
        <f>SUM(CD434:CO434)</f>
        <v>665603.45815461955</v>
      </c>
      <c r="AH434" s="168">
        <v>55738.285676267864</v>
      </c>
      <c r="AI434" s="168">
        <v>20249.996491479353</v>
      </c>
      <c r="AJ434" s="168">
        <v>72815.927818474534</v>
      </c>
      <c r="AK434" s="168">
        <v>64352.694385822651</v>
      </c>
      <c r="AL434" s="168">
        <v>63722.339389512206</v>
      </c>
      <c r="AM434" s="168">
        <v>56672.906845927471</v>
      </c>
      <c r="AN434" s="168">
        <v>55088.100495326391</v>
      </c>
      <c r="AO434" s="168">
        <v>52639.798256422349</v>
      </c>
      <c r="AP434" s="168">
        <v>54482.997454079137</v>
      </c>
      <c r="AQ434" s="168">
        <v>46432.007179994223</v>
      </c>
      <c r="AR434" s="168">
        <v>36631.554007772524</v>
      </c>
      <c r="AS434" s="168">
        <v>73152.750367370172</v>
      </c>
      <c r="AT434" s="168">
        <v>57817.749039425231</v>
      </c>
      <c r="AU434" s="168">
        <v>20492.918452328704</v>
      </c>
      <c r="AV434" s="168">
        <v>72219.340181467633</v>
      </c>
      <c r="AW434" s="168">
        <v>64892.763778691377</v>
      </c>
      <c r="AX434" s="168">
        <v>63466.091852720798</v>
      </c>
      <c r="AY434" s="168">
        <v>55457.938554350541</v>
      </c>
      <c r="AZ434" s="168">
        <v>55618.453586071861</v>
      </c>
      <c r="BA434" s="168">
        <v>51955.885699177205</v>
      </c>
      <c r="BB434" s="168">
        <v>54230.098061717792</v>
      </c>
      <c r="BC434" s="168">
        <v>46554.262748113928</v>
      </c>
      <c r="BD434" s="168">
        <v>36339.04333637729</v>
      </c>
      <c r="BE434" s="168">
        <v>72445.870830734493</v>
      </c>
      <c r="BF434" s="168">
        <v>57480.451960404891</v>
      </c>
      <c r="BG434" s="168">
        <v>20733.010087668143</v>
      </c>
      <c r="BH434" s="168">
        <v>73304.105189961498</v>
      </c>
      <c r="BI434" s="168">
        <v>64639.907247714109</v>
      </c>
      <c r="BJ434" s="168">
        <v>63878.042489241765</v>
      </c>
      <c r="BK434" s="168">
        <v>56246.523520660026</v>
      </c>
      <c r="BL434" s="168">
        <v>55977.027231976994</v>
      </c>
      <c r="BM434" s="168">
        <v>52385.313714584961</v>
      </c>
      <c r="BN434" s="168">
        <v>54466.164657733105</v>
      </c>
      <c r="BO434" s="168">
        <v>46351.526005709929</v>
      </c>
      <c r="BP434" s="168">
        <v>36384.220637604114</v>
      </c>
      <c r="BQ434" s="168">
        <v>73881.152555037377</v>
      </c>
      <c r="BR434" s="168">
        <v>58180.397586841886</v>
      </c>
      <c r="BS434" s="168">
        <v>20874.223870638722</v>
      </c>
      <c r="BT434" s="168">
        <v>74997.214125117811</v>
      </c>
      <c r="BU434" s="168">
        <v>66253.901677921356</v>
      </c>
      <c r="BV434" s="168">
        <v>63691.678797625042</v>
      </c>
      <c r="BW434" s="168">
        <v>57515.103185379921</v>
      </c>
      <c r="BX434" s="168">
        <v>57135.408905951168</v>
      </c>
      <c r="BY434" s="168">
        <v>53143.6592149965</v>
      </c>
      <c r="BZ434" s="168">
        <v>55035.228902849107</v>
      </c>
      <c r="CA434" s="168">
        <v>47060.872422647793</v>
      </c>
      <c r="CB434" s="168">
        <v>36853.248813528764</v>
      </c>
      <c r="CC434" s="168">
        <v>73772.525716507749</v>
      </c>
      <c r="CD434" s="168">
        <v>58462.836436826547</v>
      </c>
      <c r="CE434" s="168">
        <v>20731.284448209175</v>
      </c>
      <c r="CF434" s="168">
        <v>73738.632097116555</v>
      </c>
      <c r="CG434" s="168">
        <v>67006.015403103898</v>
      </c>
      <c r="CH434" s="168">
        <v>64515.967871128007</v>
      </c>
      <c r="CI434" s="168">
        <v>56880.997911730126</v>
      </c>
      <c r="CJ434" s="168">
        <v>57016.354445816782</v>
      </c>
      <c r="CK434" s="168">
        <v>53163.608017717102</v>
      </c>
      <c r="CL434" s="168">
        <v>55836.468957543424</v>
      </c>
      <c r="CM434" s="168">
        <v>47188.177702791472</v>
      </c>
      <c r="CN434" s="168">
        <v>37265.818570160496</v>
      </c>
      <c r="CO434" s="168">
        <v>73797.29629247589</v>
      </c>
    </row>
    <row r="435" spans="1:93" x14ac:dyDescent="0.2">
      <c r="A435" s="118">
        <f t="shared" si="49"/>
        <v>18</v>
      </c>
      <c r="B435" s="243" t="s">
        <v>561</v>
      </c>
      <c r="C435" s="223"/>
      <c r="D435" s="172">
        <f>'E-13c - prior to updates'!D481</f>
        <v>216017.09505103741</v>
      </c>
      <c r="E435" s="225" t="s">
        <v>555</v>
      </c>
      <c r="F435" s="183">
        <v>15.5</v>
      </c>
      <c r="G435" s="233" t="s">
        <v>375</v>
      </c>
      <c r="H435" s="174">
        <f>ROUND(D435*F435,2)</f>
        <v>3348264.97</v>
      </c>
      <c r="I435" s="229"/>
      <c r="J435" s="172">
        <f t="shared" si="52"/>
        <v>216017.09505103741</v>
      </c>
      <c r="K435" s="225" t="s">
        <v>555</v>
      </c>
      <c r="L435" s="183">
        <f>L431</f>
        <v>15.79</v>
      </c>
      <c r="M435" s="233" t="s">
        <v>375</v>
      </c>
      <c r="N435" s="174">
        <f>ROUND(J435*L435,2)</f>
        <v>3410909.93</v>
      </c>
      <c r="O435" s="227"/>
      <c r="P435" s="247"/>
      <c r="Q435" s="227"/>
      <c r="S435" s="263"/>
      <c r="T435" s="197"/>
      <c r="U435" s="184" t="s">
        <v>624</v>
      </c>
      <c r="V435" s="179">
        <v>254</v>
      </c>
      <c r="W435" s="180">
        <v>228</v>
      </c>
      <c r="Y435" s="184"/>
      <c r="Z435" s="181"/>
      <c r="AB435" s="182">
        <f>SUM(AH435:AS435)</f>
        <v>190565.80289307935</v>
      </c>
      <c r="AC435" s="182">
        <f>SUM(AT435:BE435)</f>
        <v>189546.75758340905</v>
      </c>
      <c r="AD435" s="182">
        <f>SUM(BF435:BQ435)</f>
        <v>190870.38680099946</v>
      </c>
      <c r="AE435" s="182">
        <f>SUM(BR435:CC435)</f>
        <v>193147.57007055532</v>
      </c>
      <c r="AF435" s="182">
        <f>SUM(CD435:CO435)</f>
        <v>193873.49030827219</v>
      </c>
      <c r="AH435" s="168">
        <v>0</v>
      </c>
      <c r="AI435" s="168">
        <v>0</v>
      </c>
      <c r="AJ435" s="168">
        <v>102.90767459973334</v>
      </c>
      <c r="AK435" s="168">
        <v>12694.321945180156</v>
      </c>
      <c r="AL435" s="168">
        <v>26102.459970931344</v>
      </c>
      <c r="AM435" s="168">
        <v>24849.734574367481</v>
      </c>
      <c r="AN435" s="168">
        <v>22511.815283128362</v>
      </c>
      <c r="AO435" s="168">
        <v>22274.043322224941</v>
      </c>
      <c r="AP435" s="168">
        <v>22887.006908173538</v>
      </c>
      <c r="AQ435" s="168">
        <v>19463.552749545343</v>
      </c>
      <c r="AR435" s="168">
        <v>14330.936476123783</v>
      </c>
      <c r="AS435" s="168">
        <v>25349.023988804667</v>
      </c>
      <c r="AT435" s="168">
        <v>0</v>
      </c>
      <c r="AU435" s="168">
        <v>0</v>
      </c>
      <c r="AV435" s="168">
        <v>102.06454249582904</v>
      </c>
      <c r="AW435" s="168">
        <v>12800.856952163856</v>
      </c>
      <c r="AX435" s="168">
        <v>25997.493782686714</v>
      </c>
      <c r="AY435" s="168">
        <v>24316.999600245908</v>
      </c>
      <c r="AZ435" s="168">
        <v>22728.544680336581</v>
      </c>
      <c r="BA435" s="168">
        <v>21984.652054908813</v>
      </c>
      <c r="BB435" s="168">
        <v>22780.769909283645</v>
      </c>
      <c r="BC435" s="168">
        <v>19514.800323009025</v>
      </c>
      <c r="BD435" s="168">
        <v>14216.50093103433</v>
      </c>
      <c r="BE435" s="168">
        <v>25104.07480724436</v>
      </c>
      <c r="BF435" s="168">
        <v>0</v>
      </c>
      <c r="BG435" s="168">
        <v>0</v>
      </c>
      <c r="BH435" s="168">
        <v>103.59759505528487</v>
      </c>
      <c r="BI435" s="168">
        <v>12750.978042806584</v>
      </c>
      <c r="BJ435" s="168">
        <v>26166.240333783328</v>
      </c>
      <c r="BK435" s="168">
        <v>24662.775530804785</v>
      </c>
      <c r="BL435" s="168">
        <v>22875.076210910942</v>
      </c>
      <c r="BM435" s="168">
        <v>22166.360544222833</v>
      </c>
      <c r="BN435" s="168">
        <v>22879.935852169689</v>
      </c>
      <c r="BO435" s="168">
        <v>19429.816332014318</v>
      </c>
      <c r="BP435" s="168">
        <v>14234.175120720818</v>
      </c>
      <c r="BQ435" s="168">
        <v>25601.431238510897</v>
      </c>
      <c r="BR435" s="168">
        <v>0</v>
      </c>
      <c r="BS435" s="168">
        <v>0</v>
      </c>
      <c r="BT435" s="168">
        <v>105.99039438615826</v>
      </c>
      <c r="BU435" s="168">
        <v>13069.357329180211</v>
      </c>
      <c r="BV435" s="168">
        <v>26089.900531336258</v>
      </c>
      <c r="BW435" s="168">
        <v>25219.017829094355</v>
      </c>
      <c r="BX435" s="168">
        <v>23348.450207062429</v>
      </c>
      <c r="BY435" s="168">
        <v>22487.247422381028</v>
      </c>
      <c r="BZ435" s="168">
        <v>23118.986159931148</v>
      </c>
      <c r="CA435" s="168">
        <v>19727.162973744675</v>
      </c>
      <c r="CB435" s="168">
        <v>14417.667554409609</v>
      </c>
      <c r="CC435" s="168">
        <v>25563.7896690294</v>
      </c>
      <c r="CD435" s="168">
        <v>0</v>
      </c>
      <c r="CE435" s="168">
        <v>0</v>
      </c>
      <c r="CF435" s="168">
        <v>104.21169357611697</v>
      </c>
      <c r="CG435" s="168">
        <v>13217.720561799717</v>
      </c>
      <c r="CH435" s="168">
        <v>26427.552487490397</v>
      </c>
      <c r="CI435" s="168">
        <v>24940.977604596213</v>
      </c>
      <c r="CJ435" s="168">
        <v>23299.798465741183</v>
      </c>
      <c r="CK435" s="168">
        <v>22495.688573577328</v>
      </c>
      <c r="CL435" s="168">
        <v>23455.567984056193</v>
      </c>
      <c r="CM435" s="168">
        <v>19780.527305503303</v>
      </c>
      <c r="CN435" s="168">
        <v>14579.072417905287</v>
      </c>
      <c r="CO435" s="168">
        <v>25572.373214026415</v>
      </c>
    </row>
    <row r="436" spans="1:93" x14ac:dyDescent="0.2">
      <c r="A436" s="118">
        <f t="shared" si="49"/>
        <v>19</v>
      </c>
      <c r="B436" s="243"/>
      <c r="C436" s="223" t="s">
        <v>374</v>
      </c>
      <c r="D436" s="204">
        <f>SUM(D420:D435)</f>
        <v>2565797.3538959669</v>
      </c>
      <c r="E436" s="225" t="s">
        <v>617</v>
      </c>
      <c r="F436" s="183"/>
      <c r="G436" s="233"/>
      <c r="H436" s="206">
        <f>SUM(H420:H435)</f>
        <v>50823363.799999997</v>
      </c>
      <c r="I436" s="229"/>
      <c r="J436" s="204">
        <f>SUM(J420:J435)</f>
        <v>2565797.3538959669</v>
      </c>
      <c r="K436" s="225" t="s">
        <v>617</v>
      </c>
      <c r="L436" s="183"/>
      <c r="M436" s="233"/>
      <c r="N436" s="206">
        <f>SUM(N420:N435)</f>
        <v>52858168.439999998</v>
      </c>
      <c r="O436" s="227"/>
      <c r="P436" s="227"/>
      <c r="Q436" s="939"/>
      <c r="S436" s="227"/>
      <c r="T436" s="927"/>
      <c r="U436" s="184"/>
      <c r="V436" s="179"/>
      <c r="W436" s="180"/>
      <c r="Y436" s="184" t="s">
        <v>623</v>
      </c>
      <c r="Z436" s="181" t="s">
        <v>141</v>
      </c>
      <c r="AB436" s="204">
        <f>SUM(AB420:AB435)</f>
        <v>2518097.3538508485</v>
      </c>
      <c r="AC436" s="204">
        <f>SUM(AC420:AC435)</f>
        <v>2516384.6246290305</v>
      </c>
      <c r="AD436" s="204">
        <f>SUM(AD420:AD435)</f>
        <v>2532610.1945621921</v>
      </c>
      <c r="AE436" s="204">
        <f>SUM(AE420:AE435)</f>
        <v>2565797.3538959669</v>
      </c>
      <c r="AF436" s="204">
        <f>SUM(AF420:AF435)</f>
        <v>2570131.7913398794</v>
      </c>
      <c r="AH436" s="204">
        <f t="shared" ref="AH436:CO436" si="53">SUM(AH420:AH435)</f>
        <v>170036.0255243943</v>
      </c>
      <c r="AI436" s="204">
        <f t="shared" si="53"/>
        <v>199074.28228355665</v>
      </c>
      <c r="AJ436" s="204">
        <f t="shared" si="53"/>
        <v>203239.50310825801</v>
      </c>
      <c r="AK436" s="204">
        <f t="shared" si="53"/>
        <v>216433.00105003882</v>
      </c>
      <c r="AL436" s="204">
        <f t="shared" si="53"/>
        <v>216468.25616680642</v>
      </c>
      <c r="AM436" s="204">
        <f t="shared" si="53"/>
        <v>224634.94886022154</v>
      </c>
      <c r="AN436" s="204">
        <f t="shared" si="53"/>
        <v>214888.14295102493</v>
      </c>
      <c r="AO436" s="204">
        <f t="shared" si="53"/>
        <v>214690.95555490965</v>
      </c>
      <c r="AP436" s="204">
        <f t="shared" si="53"/>
        <v>231356.92565759004</v>
      </c>
      <c r="AQ436" s="204">
        <f t="shared" si="53"/>
        <v>216865.34188449048</v>
      </c>
      <c r="AR436" s="204">
        <f t="shared" si="53"/>
        <v>166763.28447983006</v>
      </c>
      <c r="AS436" s="204">
        <f t="shared" si="53"/>
        <v>243646.68632972756</v>
      </c>
      <c r="AT436" s="204">
        <f t="shared" si="53"/>
        <v>176379.66672549813</v>
      </c>
      <c r="AU436" s="204">
        <f t="shared" si="53"/>
        <v>201462.40689520029</v>
      </c>
      <c r="AV436" s="204">
        <f t="shared" si="53"/>
        <v>201574.34304591449</v>
      </c>
      <c r="AW436" s="204">
        <f t="shared" si="53"/>
        <v>218249.37937870753</v>
      </c>
      <c r="AX436" s="204">
        <f t="shared" si="53"/>
        <v>215597.76933333959</v>
      </c>
      <c r="AY436" s="204">
        <f t="shared" si="53"/>
        <v>219819.1672948405</v>
      </c>
      <c r="AZ436" s="204">
        <f t="shared" si="53"/>
        <v>216956.9489137264</v>
      </c>
      <c r="BA436" s="204">
        <f t="shared" si="53"/>
        <v>211901.62418787606</v>
      </c>
      <c r="BB436" s="204">
        <f t="shared" si="53"/>
        <v>230283.01216803381</v>
      </c>
      <c r="BC436" s="204">
        <f t="shared" si="53"/>
        <v>217436.34876504124</v>
      </c>
      <c r="BD436" s="204">
        <f t="shared" si="53"/>
        <v>165431.64454184333</v>
      </c>
      <c r="BE436" s="204">
        <f t="shared" si="53"/>
        <v>241292.31337900934</v>
      </c>
      <c r="BF436" s="204">
        <f t="shared" si="53"/>
        <v>175350.70334706351</v>
      </c>
      <c r="BG436" s="204">
        <f t="shared" si="53"/>
        <v>203822.70705661483</v>
      </c>
      <c r="BH436" s="204">
        <f t="shared" si="53"/>
        <v>204602.07486119986</v>
      </c>
      <c r="BI436" s="204">
        <f t="shared" si="53"/>
        <v>217398.96435946375</v>
      </c>
      <c r="BJ436" s="204">
        <f t="shared" si="53"/>
        <v>216997.18807359342</v>
      </c>
      <c r="BK436" s="204">
        <f t="shared" si="53"/>
        <v>222944.88915097294</v>
      </c>
      <c r="BL436" s="204">
        <f t="shared" si="53"/>
        <v>218355.67611954594</v>
      </c>
      <c r="BM436" s="204">
        <f t="shared" si="53"/>
        <v>213653.04258277258</v>
      </c>
      <c r="BN436" s="204">
        <f t="shared" si="53"/>
        <v>231285.44677069294</v>
      </c>
      <c r="BO436" s="204">
        <f t="shared" si="53"/>
        <v>216489.44649601911</v>
      </c>
      <c r="BP436" s="204">
        <f t="shared" si="53"/>
        <v>165637.31190542068</v>
      </c>
      <c r="BQ436" s="204">
        <f t="shared" si="53"/>
        <v>246072.74383883254</v>
      </c>
      <c r="BR436" s="204">
        <f t="shared" si="53"/>
        <v>177485.96766239934</v>
      </c>
      <c r="BS436" s="204">
        <f t="shared" si="53"/>
        <v>205210.95581533649</v>
      </c>
      <c r="BT436" s="204">
        <f t="shared" si="53"/>
        <v>209327.78019791079</v>
      </c>
      <c r="BU436" s="204">
        <f t="shared" si="53"/>
        <v>222827.20107187648</v>
      </c>
      <c r="BV436" s="204">
        <f t="shared" si="53"/>
        <v>216364.10046689893</v>
      </c>
      <c r="BW436" s="204">
        <f t="shared" si="53"/>
        <v>227973.17063447242</v>
      </c>
      <c r="BX436" s="204">
        <f t="shared" si="53"/>
        <v>222874.30145806028</v>
      </c>
      <c r="BY436" s="204">
        <f t="shared" si="53"/>
        <v>216745.94805575762</v>
      </c>
      <c r="BZ436" s="204">
        <f t="shared" si="53"/>
        <v>233701.92457852027</v>
      </c>
      <c r="CA436" s="204">
        <f t="shared" si="53"/>
        <v>219802.52001074859</v>
      </c>
      <c r="CB436" s="204">
        <f t="shared" si="53"/>
        <v>167772.53879517212</v>
      </c>
      <c r="CC436" s="204">
        <f t="shared" si="53"/>
        <v>245710.94514881331</v>
      </c>
      <c r="CD436" s="204">
        <f t="shared" si="53"/>
        <v>178347.5797289061</v>
      </c>
      <c r="CE436" s="204">
        <f t="shared" si="53"/>
        <v>203805.74258766207</v>
      </c>
      <c r="CF436" s="204">
        <f t="shared" si="53"/>
        <v>205814.9006170911</v>
      </c>
      <c r="CG436" s="204">
        <f t="shared" si="53"/>
        <v>225356.73355261813</v>
      </c>
      <c r="CH436" s="204">
        <f t="shared" si="53"/>
        <v>219164.25532668593</v>
      </c>
      <c r="CI436" s="204">
        <f t="shared" si="53"/>
        <v>225459.76142986669</v>
      </c>
      <c r="CJ436" s="204">
        <f t="shared" si="53"/>
        <v>222409.89278144451</v>
      </c>
      <c r="CK436" s="204">
        <f t="shared" si="53"/>
        <v>216827.30907270912</v>
      </c>
      <c r="CL436" s="204">
        <f t="shared" si="53"/>
        <v>237104.31513025225</v>
      </c>
      <c r="CM436" s="204">
        <f t="shared" si="53"/>
        <v>220397.11207727366</v>
      </c>
      <c r="CN436" s="204">
        <f t="shared" si="53"/>
        <v>169650.74160574228</v>
      </c>
      <c r="CO436" s="204">
        <f t="shared" si="53"/>
        <v>245793.44742962718</v>
      </c>
    </row>
    <row r="437" spans="1:93" x14ac:dyDescent="0.2">
      <c r="A437" s="118">
        <f t="shared" si="49"/>
        <v>20</v>
      </c>
      <c r="F437" s="197"/>
      <c r="I437" s="229"/>
      <c r="L437" s="197"/>
      <c r="U437" s="184"/>
      <c r="V437" s="179"/>
      <c r="W437" s="180"/>
      <c r="Y437" s="184"/>
      <c r="Z437" s="181"/>
      <c r="AB437" s="193">
        <f>SUM(AH437:AS437)</f>
        <v>0</v>
      </c>
      <c r="AC437" s="193">
        <f>SUM(AT437:BE437)</f>
        <v>0</v>
      </c>
      <c r="AD437" s="193">
        <f>SUM(BF437:BQ437)</f>
        <v>0</v>
      </c>
      <c r="AE437" s="193">
        <f>SUM(BR437:CC437)</f>
        <v>0</v>
      </c>
      <c r="AF437" s="193">
        <f>SUM(CD437:CO437)</f>
        <v>0</v>
      </c>
      <c r="AH437" s="294">
        <v>0</v>
      </c>
      <c r="AI437" s="294">
        <v>0</v>
      </c>
      <c r="AJ437" s="294">
        <v>0</v>
      </c>
      <c r="AK437" s="294">
        <v>0</v>
      </c>
      <c r="AL437" s="294">
        <v>0</v>
      </c>
      <c r="AM437" s="294">
        <v>0</v>
      </c>
      <c r="AN437" s="294">
        <v>0</v>
      </c>
      <c r="AO437" s="294">
        <v>0</v>
      </c>
      <c r="AP437" s="294">
        <v>0</v>
      </c>
      <c r="AQ437" s="294">
        <v>0</v>
      </c>
      <c r="AR437" s="294">
        <v>0</v>
      </c>
      <c r="AS437" s="294">
        <v>0</v>
      </c>
      <c r="AT437" s="294">
        <v>0</v>
      </c>
      <c r="AU437" s="294">
        <v>0</v>
      </c>
      <c r="AV437" s="294">
        <v>0</v>
      </c>
      <c r="AW437" s="294">
        <v>0</v>
      </c>
      <c r="AX437" s="294">
        <v>0</v>
      </c>
      <c r="AY437" s="294">
        <v>0</v>
      </c>
      <c r="AZ437" s="294">
        <v>0</v>
      </c>
      <c r="BA437" s="294">
        <v>0</v>
      </c>
      <c r="BB437" s="294">
        <v>0</v>
      </c>
      <c r="BC437" s="294">
        <v>0</v>
      </c>
      <c r="BD437" s="294">
        <v>0</v>
      </c>
      <c r="BE437" s="294">
        <v>0</v>
      </c>
      <c r="BF437" s="294">
        <v>0</v>
      </c>
      <c r="BG437" s="294">
        <v>0</v>
      </c>
      <c r="BH437" s="294">
        <v>0</v>
      </c>
      <c r="BI437" s="294">
        <v>0</v>
      </c>
      <c r="BJ437" s="294">
        <v>0</v>
      </c>
      <c r="BK437" s="294">
        <v>0</v>
      </c>
      <c r="BL437" s="294">
        <v>0</v>
      </c>
      <c r="BM437" s="294">
        <v>0</v>
      </c>
      <c r="BN437" s="294">
        <v>0</v>
      </c>
      <c r="BO437" s="294">
        <v>0</v>
      </c>
      <c r="BP437" s="294">
        <v>0</v>
      </c>
      <c r="BQ437" s="294">
        <v>0</v>
      </c>
      <c r="BR437" s="294">
        <v>0</v>
      </c>
      <c r="BS437" s="294">
        <v>0</v>
      </c>
      <c r="BT437" s="294">
        <v>0</v>
      </c>
      <c r="BU437" s="294">
        <v>0</v>
      </c>
      <c r="BV437" s="294">
        <v>0</v>
      </c>
      <c r="BW437" s="294">
        <v>0</v>
      </c>
      <c r="BX437" s="294">
        <v>0</v>
      </c>
      <c r="BY437" s="294">
        <v>0</v>
      </c>
      <c r="BZ437" s="294">
        <v>0</v>
      </c>
      <c r="CA437" s="294">
        <v>0</v>
      </c>
      <c r="CB437" s="294">
        <v>0</v>
      </c>
      <c r="CC437" s="294">
        <v>0</v>
      </c>
      <c r="CD437" s="294">
        <v>0</v>
      </c>
      <c r="CE437" s="294">
        <v>0</v>
      </c>
      <c r="CF437" s="294">
        <v>0</v>
      </c>
      <c r="CG437" s="294">
        <v>0</v>
      </c>
      <c r="CH437" s="294">
        <v>0</v>
      </c>
      <c r="CI437" s="294">
        <v>0</v>
      </c>
      <c r="CJ437" s="294">
        <v>0</v>
      </c>
      <c r="CK437" s="294">
        <v>0</v>
      </c>
      <c r="CL437" s="294">
        <v>0</v>
      </c>
      <c r="CM437" s="294">
        <v>0</v>
      </c>
      <c r="CN437" s="294">
        <v>0</v>
      </c>
      <c r="CO437" s="294">
        <v>0</v>
      </c>
    </row>
    <row r="438" spans="1:93" x14ac:dyDescent="0.2">
      <c r="A438" s="118">
        <f t="shared" si="49"/>
        <v>21</v>
      </c>
      <c r="B438" s="246" t="s">
        <v>563</v>
      </c>
      <c r="C438" s="223"/>
      <c r="D438" s="168"/>
      <c r="E438" s="225"/>
      <c r="F438" s="197"/>
      <c r="G438" s="233"/>
      <c r="H438" s="174"/>
      <c r="I438" s="229"/>
      <c r="J438" s="223"/>
      <c r="K438" s="225"/>
      <c r="L438" s="197"/>
      <c r="M438" s="233"/>
      <c r="N438" s="174"/>
      <c r="O438" s="227"/>
      <c r="Q438" s="176"/>
      <c r="U438" s="184"/>
      <c r="V438" s="179"/>
      <c r="W438" s="180"/>
      <c r="Y438" s="184"/>
      <c r="Z438" s="181"/>
    </row>
    <row r="439" spans="1:93" x14ac:dyDescent="0.2">
      <c r="A439" s="118">
        <f t="shared" si="49"/>
        <v>22</v>
      </c>
      <c r="B439" s="234" t="s">
        <v>582</v>
      </c>
      <c r="C439" s="223"/>
      <c r="D439" s="172">
        <f>SUM(H380,H389:H393,H421,H429:H431)</f>
        <v>48492828.109999999</v>
      </c>
      <c r="E439" s="233" t="s">
        <v>10</v>
      </c>
      <c r="F439" s="248">
        <v>0.01</v>
      </c>
      <c r="G439" s="233" t="s">
        <v>375</v>
      </c>
      <c r="H439" s="174">
        <f>ROUND(D439*-F439,2)</f>
        <v>-484928.28</v>
      </c>
      <c r="I439" s="229"/>
      <c r="J439" s="172">
        <f>SUM(N380,N389:N393,N421,N429:N431)</f>
        <v>50625025.710000001</v>
      </c>
      <c r="K439" s="233" t="s">
        <v>10</v>
      </c>
      <c r="L439" s="248">
        <v>0.01</v>
      </c>
      <c r="M439" s="233" t="s">
        <v>375</v>
      </c>
      <c r="N439" s="174">
        <f>ROUND(J439*-L439,2)</f>
        <v>-506250.26</v>
      </c>
      <c r="O439" s="227"/>
      <c r="Q439" s="176"/>
      <c r="U439" s="184" t="s">
        <v>623</v>
      </c>
      <c r="V439" s="179">
        <v>252</v>
      </c>
      <c r="W439" s="180">
        <v>226</v>
      </c>
      <c r="Y439" s="184" t="s">
        <v>623</v>
      </c>
      <c r="Z439" s="181" t="s">
        <v>417</v>
      </c>
      <c r="AB439" s="182">
        <f>SUM(AH439:AS439)</f>
        <v>-374327.10420469008</v>
      </c>
      <c r="AC439" s="182">
        <f>SUM(AT439:BE439)</f>
        <v>-385422.82397733594</v>
      </c>
      <c r="AD439" s="182">
        <f>SUM(BF439:BQ439)</f>
        <v>-387905.99371744285</v>
      </c>
      <c r="AE439" s="182">
        <f>SUM(BR439:CC439)</f>
        <v>-393005.14509475132</v>
      </c>
      <c r="AF439" s="182">
        <f>SUM(CD439:CO439)</f>
        <v>-393604.51670770522</v>
      </c>
      <c r="AH439" s="174">
        <v>-19735.59522346015</v>
      </c>
      <c r="AI439" s="174">
        <v>-49193.026828040085</v>
      </c>
      <c r="AJ439" s="174">
        <v>-29224.723587691336</v>
      </c>
      <c r="AK439" s="174">
        <v>-33877.823129566168</v>
      </c>
      <c r="AL439" s="174">
        <v>-25012.842018450519</v>
      </c>
      <c r="AM439" s="174">
        <v>-30263.286131653778</v>
      </c>
      <c r="AN439" s="174">
        <v>-29002.011061542813</v>
      </c>
      <c r="AO439" s="174">
        <v>-34837.230297978305</v>
      </c>
      <c r="AP439" s="174">
        <v>-33151.496918809346</v>
      </c>
      <c r="AQ439" s="174">
        <v>-32680.562990657567</v>
      </c>
      <c r="AR439" s="174">
        <v>-27432.60322700761</v>
      </c>
      <c r="AS439" s="174">
        <v>-29915.902789832409</v>
      </c>
      <c r="AT439" s="174">
        <v>-21023.473467206139</v>
      </c>
      <c r="AU439" s="174">
        <v>-51223.134466371892</v>
      </c>
      <c r="AV439" s="174">
        <v>-29852.969291011512</v>
      </c>
      <c r="AW439" s="174">
        <v>-35199.136834541408</v>
      </c>
      <c r="AX439" s="174">
        <v>-25661.257876630287</v>
      </c>
      <c r="AY439" s="174">
        <v>-30502.779012570652</v>
      </c>
      <c r="AZ439" s="174">
        <v>-30157.936504010602</v>
      </c>
      <c r="BA439" s="174">
        <v>-35481.814169438294</v>
      </c>
      <c r="BB439" s="174">
        <v>-33998.446578349191</v>
      </c>
      <c r="BC439" s="174">
        <v>-33758.840060008326</v>
      </c>
      <c r="BD439" s="174">
        <v>-28034.672397507115</v>
      </c>
      <c r="BE439" s="174">
        <v>-30528.363319690525</v>
      </c>
      <c r="BF439" s="174">
        <v>-20909.06239489952</v>
      </c>
      <c r="BG439" s="174">
        <v>-51819.301159854826</v>
      </c>
      <c r="BH439" s="174">
        <v>-30297.919359492589</v>
      </c>
      <c r="BI439" s="174">
        <v>-35056.509747426004</v>
      </c>
      <c r="BJ439" s="174">
        <v>-25825.797866318637</v>
      </c>
      <c r="BK439" s="174">
        <v>-30934.55831629366</v>
      </c>
      <c r="BL439" s="174">
        <v>-30350.347046622952</v>
      </c>
      <c r="BM439" s="174">
        <v>-35765.383236005284</v>
      </c>
      <c r="BN439" s="174">
        <v>-34142.921973691104</v>
      </c>
      <c r="BO439" s="174">
        <v>-33608.274729250319</v>
      </c>
      <c r="BP439" s="174">
        <v>-28066.916158898763</v>
      </c>
      <c r="BQ439" s="174">
        <v>-31129.001728689156</v>
      </c>
      <c r="BR439" s="174">
        <v>-21166.754087057117</v>
      </c>
      <c r="BS439" s="174">
        <v>-52174.395798066471</v>
      </c>
      <c r="BT439" s="174">
        <v>-30994.890253066027</v>
      </c>
      <c r="BU439" s="174">
        <v>-35927.381677484314</v>
      </c>
      <c r="BV439" s="174">
        <v>-25747.65010936428</v>
      </c>
      <c r="BW439" s="174">
        <v>-31628.833022821775</v>
      </c>
      <c r="BX439" s="174">
        <v>-30975.394146250757</v>
      </c>
      <c r="BY439" s="174">
        <v>-36272.669506842511</v>
      </c>
      <c r="BZ439" s="174">
        <v>-34494.905671621593</v>
      </c>
      <c r="CA439" s="174">
        <v>-34118.170935698647</v>
      </c>
      <c r="CB439" s="174">
        <v>-28425.362266066706</v>
      </c>
      <c r="CC439" s="174">
        <v>-31078.737620411059</v>
      </c>
      <c r="CD439" s="174">
        <v>-21281.842367556506</v>
      </c>
      <c r="CE439" s="174">
        <v>-51845.125501059563</v>
      </c>
      <c r="CF439" s="174">
        <v>-30485.774290367739</v>
      </c>
      <c r="CG439" s="174">
        <v>-36344.360392106828</v>
      </c>
      <c r="CH439" s="174">
        <v>-26087.35564377383</v>
      </c>
      <c r="CI439" s="174">
        <v>-31287.930299043332</v>
      </c>
      <c r="CJ439" s="174">
        <v>-30918.843220775208</v>
      </c>
      <c r="CK439" s="174">
        <v>-36285.092908666986</v>
      </c>
      <c r="CL439" s="174">
        <v>-35004.089735505884</v>
      </c>
      <c r="CM439" s="174">
        <v>-34217.73743500984</v>
      </c>
      <c r="CN439" s="174">
        <v>-28749.980541280893</v>
      </c>
      <c r="CO439" s="174">
        <v>-31096.384372558645</v>
      </c>
    </row>
    <row r="440" spans="1:93" x14ac:dyDescent="0.2">
      <c r="A440" s="118">
        <f t="shared" si="49"/>
        <v>23</v>
      </c>
      <c r="B440" s="234" t="s">
        <v>583</v>
      </c>
      <c r="C440" s="223"/>
      <c r="D440" s="172">
        <f>SUM(H381:H382,H395:H399,H422,H433:H435)</f>
        <v>28502616.789999999</v>
      </c>
      <c r="E440" s="233" t="s">
        <v>10</v>
      </c>
      <c r="F440" s="248">
        <v>0.02</v>
      </c>
      <c r="G440" s="233" t="s">
        <v>375</v>
      </c>
      <c r="H440" s="174">
        <f>ROUND(D440*-F440,2)</f>
        <v>-570052.34</v>
      </c>
      <c r="I440" s="229"/>
      <c r="J440" s="172">
        <f>SUM(N381:N382,N395:N399,N422,N433:N435)</f>
        <v>29662207.210000001</v>
      </c>
      <c r="K440" s="233" t="s">
        <v>10</v>
      </c>
      <c r="L440" s="248">
        <v>0.02</v>
      </c>
      <c r="M440" s="233" t="s">
        <v>375</v>
      </c>
      <c r="N440" s="174">
        <f>ROUND(J440*-L440,2)</f>
        <v>-593244.14</v>
      </c>
      <c r="O440" s="227"/>
      <c r="Q440" s="176"/>
      <c r="U440" s="184" t="s">
        <v>623</v>
      </c>
      <c r="V440" s="179">
        <v>252</v>
      </c>
      <c r="W440" s="180">
        <v>226</v>
      </c>
      <c r="Y440" s="184" t="s">
        <v>623</v>
      </c>
      <c r="Z440" s="181" t="s">
        <v>417</v>
      </c>
      <c r="AB440" s="182">
        <f>SUM(AH440:AS440)</f>
        <v>-78329.50660835045</v>
      </c>
      <c r="AC440" s="182">
        <f>SUM(AT440:BE440)</f>
        <v>-80382.947327447473</v>
      </c>
      <c r="AD440" s="182">
        <f>SUM(BF440:BQ440)</f>
        <v>-80951.666352113825</v>
      </c>
      <c r="AE440" s="182">
        <f>SUM(BR440:CC440)</f>
        <v>-82110.886312003291</v>
      </c>
      <c r="AF440" s="182">
        <f>SUM(CD440:CO440)</f>
        <v>-82202.713360863389</v>
      </c>
      <c r="AH440" s="174">
        <v>0</v>
      </c>
      <c r="AI440" s="174">
        <v>0</v>
      </c>
      <c r="AJ440" s="174">
        <v>-13826.475865151966</v>
      </c>
      <c r="AK440" s="174">
        <v>-6880.4180350335482</v>
      </c>
      <c r="AL440" s="174">
        <v>-6606.4987808806109</v>
      </c>
      <c r="AM440" s="174">
        <v>-7328.8731790302227</v>
      </c>
      <c r="AN440" s="174">
        <v>-8080.6391173987722</v>
      </c>
      <c r="AO440" s="174">
        <v>-7154.1743480388814</v>
      </c>
      <c r="AP440" s="174">
        <v>-7783.9068582213276</v>
      </c>
      <c r="AQ440" s="174">
        <v>-7232.6617380319349</v>
      </c>
      <c r="AR440" s="174">
        <v>-6376.5053239639929</v>
      </c>
      <c r="AS440" s="174">
        <v>-7059.3533625991831</v>
      </c>
      <c r="AT440" s="174">
        <v>0</v>
      </c>
      <c r="AU440" s="174">
        <v>0</v>
      </c>
      <c r="AV440" s="174">
        <v>-14151.003348488644</v>
      </c>
      <c r="AW440" s="174">
        <v>-7155.01986333073</v>
      </c>
      <c r="AX440" s="174">
        <v>-6785.6958882145145</v>
      </c>
      <c r="AY440" s="174">
        <v>-7396.1554802831697</v>
      </c>
      <c r="AZ440" s="174">
        <v>-8412.7838178526508</v>
      </c>
      <c r="BA440" s="174">
        <v>-7282.2116533074168</v>
      </c>
      <c r="BB440" s="174">
        <v>-7989.7092900450498</v>
      </c>
      <c r="BC440" s="174">
        <v>-7477.867053839318</v>
      </c>
      <c r="BD440" s="174">
        <v>-6523.2204228658966</v>
      </c>
      <c r="BE440" s="174">
        <v>-7209.2805092200815</v>
      </c>
      <c r="BF440" s="174">
        <v>0</v>
      </c>
      <c r="BG440" s="174">
        <v>0</v>
      </c>
      <c r="BH440" s="174">
        <v>-14354.864553598884</v>
      </c>
      <c r="BI440" s="174">
        <v>-7124.5484034089641</v>
      </c>
      <c r="BJ440" s="174">
        <v>-6827.1530939600925</v>
      </c>
      <c r="BK440" s="174">
        <v>-7498.4728121074131</v>
      </c>
      <c r="BL440" s="174">
        <v>-8464.1546556417525</v>
      </c>
      <c r="BM440" s="174">
        <v>-7339.5880818244568</v>
      </c>
      <c r="BN440" s="174">
        <v>-8021.6263426554387</v>
      </c>
      <c r="BO440" s="174">
        <v>-7442.7489767207035</v>
      </c>
      <c r="BP440" s="174">
        <v>-6528.9630336384462</v>
      </c>
      <c r="BQ440" s="174">
        <v>-7349.5463985576807</v>
      </c>
      <c r="BR440" s="174">
        <v>0</v>
      </c>
      <c r="BS440" s="174">
        <v>0</v>
      </c>
      <c r="BT440" s="174">
        <v>-14673.337191324303</v>
      </c>
      <c r="BU440" s="174">
        <v>-7298.1673015465603</v>
      </c>
      <c r="BV440" s="174">
        <v>-6803.2242704863393</v>
      </c>
      <c r="BW440" s="174">
        <v>-7662.9991698984186</v>
      </c>
      <c r="BX440" s="174">
        <v>-8634.5788415208735</v>
      </c>
      <c r="BY440" s="174">
        <v>-7441.3574246530516</v>
      </c>
      <c r="BZ440" s="174">
        <v>-8100.8126428479736</v>
      </c>
      <c r="CA440" s="174">
        <v>-7552.4735441277662</v>
      </c>
      <c r="CB440" s="174">
        <v>-6609.3023180155133</v>
      </c>
      <c r="CC440" s="174">
        <v>-7334.6336075824911</v>
      </c>
      <c r="CD440" s="174">
        <v>0</v>
      </c>
      <c r="CE440" s="174">
        <v>0</v>
      </c>
      <c r="CF440" s="174">
        <v>-14441.233065543398</v>
      </c>
      <c r="CG440" s="174">
        <v>-7385.1512460645945</v>
      </c>
      <c r="CH440" s="174">
        <v>-6895.3743303272677</v>
      </c>
      <c r="CI440" s="174">
        <v>-7583.0097552691614</v>
      </c>
      <c r="CJ440" s="174">
        <v>-8621.0672573341963</v>
      </c>
      <c r="CK440" s="174">
        <v>-7448.6068546032457</v>
      </c>
      <c r="CL440" s="174">
        <v>-8223.2838411191915</v>
      </c>
      <c r="CM440" s="174">
        <v>-7576.9012637457272</v>
      </c>
      <c r="CN440" s="174">
        <v>-6687.0432778899603</v>
      </c>
      <c r="CO440" s="174">
        <v>-7341.042468966647</v>
      </c>
    </row>
    <row r="441" spans="1:93" x14ac:dyDescent="0.2">
      <c r="A441" s="118">
        <f t="shared" si="49"/>
        <v>24</v>
      </c>
      <c r="B441" s="234" t="s">
        <v>607</v>
      </c>
      <c r="C441" s="223"/>
      <c r="D441" s="168"/>
      <c r="E441" s="233" t="s">
        <v>618</v>
      </c>
      <c r="F441" s="183">
        <v>0</v>
      </c>
      <c r="G441" s="223"/>
      <c r="H441" s="172">
        <f>SUMIF($AH$8:$CP$8,1,$AH441:$CP441)</f>
        <v>0</v>
      </c>
      <c r="I441" s="229"/>
      <c r="J441" s="174"/>
      <c r="K441" s="233" t="s">
        <v>618</v>
      </c>
      <c r="L441" s="183">
        <v>0</v>
      </c>
      <c r="M441" s="223"/>
      <c r="N441" s="174">
        <f>+J441*L441</f>
        <v>0</v>
      </c>
      <c r="O441" s="227"/>
      <c r="Q441" s="176"/>
      <c r="U441" s="184" t="s">
        <v>623</v>
      </c>
      <c r="V441" s="179">
        <v>252</v>
      </c>
      <c r="W441" s="180">
        <v>226</v>
      </c>
      <c r="Y441" s="184" t="s">
        <v>623</v>
      </c>
      <c r="Z441" s="181" t="s">
        <v>608</v>
      </c>
    </row>
    <row r="442" spans="1:93" x14ac:dyDescent="0.2">
      <c r="A442" s="118">
        <f t="shared" si="49"/>
        <v>25</v>
      </c>
      <c r="B442" s="171" t="s">
        <v>564</v>
      </c>
      <c r="C442" s="223"/>
      <c r="D442" s="168"/>
      <c r="E442" s="223"/>
      <c r="F442" s="166"/>
      <c r="G442" s="223"/>
      <c r="H442" s="1225">
        <f>'MFR E-5 Yr4'!O22*1000</f>
        <v>3517584.1260000002</v>
      </c>
      <c r="I442" s="162"/>
      <c r="J442" s="208"/>
      <c r="K442" s="166"/>
      <c r="L442" s="166"/>
      <c r="M442" s="143"/>
      <c r="N442" s="174">
        <f>H442</f>
        <v>3517584.1260000002</v>
      </c>
      <c r="O442" s="227"/>
      <c r="Q442" s="176"/>
      <c r="U442" s="184"/>
      <c r="V442" s="179"/>
      <c r="W442" s="180"/>
      <c r="Y442" s="184" t="s">
        <v>623</v>
      </c>
      <c r="Z442" s="181" t="s">
        <v>565</v>
      </c>
    </row>
    <row r="443" spans="1:93" x14ac:dyDescent="0.2">
      <c r="A443" s="118">
        <f t="shared" si="49"/>
        <v>26</v>
      </c>
      <c r="B443" s="171" t="s">
        <v>566</v>
      </c>
      <c r="C443" s="223"/>
      <c r="D443" s="168"/>
      <c r="E443" s="223"/>
      <c r="F443" s="166"/>
      <c r="G443" s="223"/>
      <c r="H443" s="1225">
        <f>'MFR E-5 Yr4'!O23*1000</f>
        <v>1494973.2535499954</v>
      </c>
      <c r="I443" s="162"/>
      <c r="J443" s="208"/>
      <c r="K443" s="166"/>
      <c r="L443" s="166"/>
      <c r="M443" s="143"/>
      <c r="N443" s="174">
        <f>H443</f>
        <v>1494973.2535499954</v>
      </c>
      <c r="O443" s="227"/>
      <c r="Q443" s="176"/>
      <c r="U443" s="184"/>
      <c r="V443" s="179"/>
      <c r="W443" s="180"/>
      <c r="Y443" s="184" t="s">
        <v>623</v>
      </c>
      <c r="Z443" s="181" t="s">
        <v>565</v>
      </c>
    </row>
    <row r="444" spans="1:93" x14ac:dyDescent="0.2">
      <c r="A444" s="118">
        <f t="shared" si="49"/>
        <v>27</v>
      </c>
      <c r="B444" s="234"/>
      <c r="C444" s="223" t="s">
        <v>374</v>
      </c>
      <c r="D444" s="249"/>
      <c r="E444" s="223"/>
      <c r="F444" s="183"/>
      <c r="G444" s="223"/>
      <c r="H444" s="206">
        <f>SUM(H439:H443)</f>
        <v>3957576.7595499954</v>
      </c>
      <c r="I444" s="229"/>
      <c r="J444" s="208"/>
      <c r="K444" s="223"/>
      <c r="L444" s="183"/>
      <c r="M444" s="223"/>
      <c r="N444" s="206">
        <f>SUM(N439:N443)</f>
        <v>3913062.9795499956</v>
      </c>
      <c r="O444" s="227"/>
      <c r="Q444" s="176"/>
      <c r="U444" s="184"/>
      <c r="V444" s="179"/>
      <c r="W444" s="180"/>
      <c r="Y444" s="184"/>
      <c r="Z444" s="181"/>
    </row>
    <row r="445" spans="1:93" x14ac:dyDescent="0.2">
      <c r="A445" s="118">
        <f t="shared" si="49"/>
        <v>28</v>
      </c>
      <c r="B445" s="234"/>
      <c r="C445" s="223"/>
      <c r="E445" s="223"/>
      <c r="F445" s="183"/>
      <c r="G445" s="223"/>
      <c r="H445" s="174"/>
      <c r="I445" s="229"/>
      <c r="J445" s="208"/>
      <c r="K445" s="223"/>
      <c r="L445" s="183"/>
      <c r="M445" s="223"/>
      <c r="N445" s="174"/>
      <c r="O445" s="227"/>
      <c r="Q445" s="227"/>
      <c r="U445" s="184"/>
      <c r="V445" s="179"/>
      <c r="W445" s="180"/>
      <c r="Y445" s="184"/>
      <c r="Z445" s="181"/>
    </row>
    <row r="446" spans="1:93" ht="10.8" thickBot="1" x14ac:dyDescent="0.25">
      <c r="A446" s="118">
        <f t="shared" si="49"/>
        <v>29</v>
      </c>
      <c r="B446" s="246" t="s">
        <v>631</v>
      </c>
      <c r="C446" s="223"/>
      <c r="D446" s="168"/>
      <c r="E446" s="225"/>
      <c r="F446" s="183"/>
      <c r="G446" s="223"/>
      <c r="H446" s="210">
        <f>H375+H400+H436+H444</f>
        <v>96639584.599549994</v>
      </c>
      <c r="I446" s="229"/>
      <c r="J446" s="304"/>
      <c r="K446" s="225"/>
      <c r="L446" s="183"/>
      <c r="M446" s="223"/>
      <c r="N446" s="210">
        <f>N375+N400+N436+N444</f>
        <v>100558598.72954999</v>
      </c>
      <c r="O446" s="227"/>
      <c r="Q446" s="939">
        <f>(N446-H446)/H446</f>
        <v>4.0552886751732214E-2</v>
      </c>
      <c r="U446" s="184"/>
      <c r="V446" s="179"/>
      <c r="W446" s="180"/>
      <c r="Y446" s="184" t="s">
        <v>623</v>
      </c>
      <c r="Z446" s="181" t="s">
        <v>121</v>
      </c>
    </row>
    <row r="447" spans="1:93" ht="10.8" thickTop="1" x14ac:dyDescent="0.2">
      <c r="A447" s="118">
        <f t="shared" si="49"/>
        <v>30</v>
      </c>
      <c r="B447" s="223"/>
      <c r="C447" s="223"/>
      <c r="D447" s="168"/>
      <c r="E447" s="225"/>
      <c r="F447" s="183"/>
      <c r="G447" s="223"/>
      <c r="H447" s="223"/>
      <c r="I447" s="229"/>
      <c r="J447" s="223"/>
      <c r="K447" s="225"/>
      <c r="L447" s="223"/>
      <c r="M447" s="223"/>
      <c r="N447" s="174"/>
      <c r="O447" s="227"/>
      <c r="P447" s="262"/>
      <c r="Q447" s="227"/>
      <c r="U447" s="184"/>
      <c r="V447" s="179"/>
      <c r="W447" s="180"/>
      <c r="Y447" s="184"/>
      <c r="Z447" s="181"/>
    </row>
    <row r="448" spans="1:93" x14ac:dyDescent="0.2">
      <c r="A448" s="118">
        <f t="shared" si="49"/>
        <v>31</v>
      </c>
      <c r="B448" s="226"/>
      <c r="C448" s="223"/>
      <c r="D448" s="168"/>
      <c r="E448" s="225"/>
      <c r="F448" s="183"/>
      <c r="G448" s="223"/>
      <c r="H448" s="223"/>
      <c r="I448" s="229"/>
      <c r="J448" s="171" t="s">
        <v>573</v>
      </c>
      <c r="K448" s="166"/>
      <c r="L448" s="166"/>
      <c r="M448" s="143"/>
      <c r="N448" s="174">
        <f>N446-H446</f>
        <v>3919014.1299999952</v>
      </c>
      <c r="Q448" s="227"/>
      <c r="U448" s="184"/>
      <c r="V448" s="179"/>
      <c r="W448" s="180"/>
      <c r="Y448" s="184"/>
      <c r="Z448" s="181"/>
    </row>
    <row r="449" spans="1:93" x14ac:dyDescent="0.2">
      <c r="A449" s="118">
        <f t="shared" si="49"/>
        <v>32</v>
      </c>
      <c r="B449" s="226"/>
      <c r="C449" s="223"/>
      <c r="D449" s="168"/>
      <c r="E449" s="225"/>
      <c r="F449" s="183"/>
      <c r="G449" s="223"/>
      <c r="H449" s="223"/>
      <c r="I449" s="229"/>
      <c r="J449" s="234"/>
      <c r="K449" s="225"/>
      <c r="L449" s="183"/>
      <c r="M449" s="223"/>
      <c r="N449" s="174"/>
      <c r="O449" s="227"/>
      <c r="Q449" s="227"/>
      <c r="U449" s="252"/>
      <c r="V449" s="253"/>
      <c r="W449" s="254"/>
      <c r="X449" s="103"/>
      <c r="Y449" s="252"/>
      <c r="Z449" s="255"/>
    </row>
    <row r="450" spans="1:93" x14ac:dyDescent="0.2">
      <c r="A450" s="215"/>
      <c r="B450" s="215" t="s">
        <v>674</v>
      </c>
      <c r="C450" s="215"/>
      <c r="D450" s="215"/>
      <c r="E450" s="215"/>
      <c r="F450" s="215"/>
      <c r="G450" s="215"/>
      <c r="H450" s="215"/>
      <c r="I450" s="215"/>
      <c r="J450" s="215"/>
      <c r="K450" s="215"/>
      <c r="L450" s="215"/>
      <c r="M450" s="215"/>
      <c r="N450" s="215" t="s">
        <v>675</v>
      </c>
      <c r="O450" s="215"/>
      <c r="P450" s="215"/>
      <c r="Q450" s="215"/>
      <c r="U450" s="316"/>
      <c r="V450" s="245"/>
      <c r="W450" s="245"/>
      <c r="Y450" s="316"/>
      <c r="Z450" s="317"/>
    </row>
    <row r="451" spans="1:93" x14ac:dyDescent="0.2">
      <c r="A451" s="216"/>
      <c r="B451" s="216"/>
      <c r="C451" s="216"/>
      <c r="D451" s="216"/>
      <c r="E451" s="216"/>
      <c r="F451" s="216"/>
      <c r="G451" s="216"/>
      <c r="H451" s="216"/>
      <c r="I451" s="216"/>
      <c r="J451" s="216"/>
      <c r="K451" s="216"/>
      <c r="L451" s="216"/>
      <c r="M451" s="216"/>
      <c r="N451" s="216"/>
      <c r="O451" s="216"/>
      <c r="P451" s="216"/>
      <c r="Q451" s="216"/>
      <c r="R451" s="216"/>
      <c r="S451" s="216"/>
      <c r="T451" s="216"/>
      <c r="U451" s="216"/>
      <c r="V451" s="216"/>
      <c r="W451" s="216"/>
      <c r="X451" s="216"/>
      <c r="Y451" s="216"/>
      <c r="Z451" s="217"/>
      <c r="AA451" s="216"/>
      <c r="AB451" s="216"/>
      <c r="AC451" s="216"/>
      <c r="AD451" s="216"/>
      <c r="AE451" s="216"/>
      <c r="AF451" s="216"/>
      <c r="AG451" s="216"/>
      <c r="AH451" s="216"/>
      <c r="AI451" s="216"/>
      <c r="AJ451" s="216"/>
      <c r="AK451" s="216"/>
      <c r="AL451" s="216"/>
      <c r="AM451" s="216"/>
      <c r="AN451" s="216"/>
      <c r="AO451" s="216"/>
      <c r="AP451" s="216"/>
      <c r="AQ451" s="216"/>
      <c r="AR451" s="216"/>
      <c r="AS451" s="216"/>
      <c r="AT451" s="216"/>
      <c r="AU451" s="216"/>
      <c r="AV451" s="216"/>
      <c r="AW451" s="216"/>
      <c r="AX451" s="216"/>
      <c r="AY451" s="216"/>
      <c r="AZ451" s="216"/>
      <c r="BA451" s="216"/>
      <c r="BB451" s="216"/>
      <c r="BC451" s="216"/>
      <c r="BD451" s="216"/>
      <c r="BE451" s="216"/>
      <c r="BF451" s="216"/>
      <c r="BG451" s="216"/>
      <c r="BH451" s="216"/>
      <c r="BI451" s="216"/>
      <c r="BJ451" s="216"/>
      <c r="BK451" s="216"/>
      <c r="BL451" s="216"/>
      <c r="BM451" s="216"/>
      <c r="BN451" s="216"/>
      <c r="BO451" s="216"/>
      <c r="BP451" s="216"/>
      <c r="BQ451" s="216"/>
      <c r="BR451" s="216"/>
      <c r="BS451" s="216"/>
      <c r="BT451" s="216"/>
      <c r="BU451" s="216"/>
      <c r="BV451" s="216"/>
      <c r="BW451" s="216"/>
      <c r="BX451" s="216"/>
      <c r="BY451" s="216"/>
      <c r="BZ451" s="216"/>
      <c r="CA451" s="216"/>
      <c r="CB451" s="216"/>
      <c r="CC451" s="216"/>
      <c r="CD451" s="216"/>
      <c r="CE451" s="216"/>
      <c r="CF451" s="216"/>
      <c r="CG451" s="216"/>
      <c r="CH451" s="216"/>
      <c r="CI451" s="216"/>
      <c r="CJ451" s="216"/>
      <c r="CK451" s="216"/>
      <c r="CL451" s="216"/>
      <c r="CM451" s="216"/>
      <c r="CN451" s="216"/>
      <c r="CO451" s="216"/>
    </row>
    <row r="452" spans="1:93" x14ac:dyDescent="0.2">
      <c r="A452" s="100" t="s">
        <v>505</v>
      </c>
      <c r="C452" s="102"/>
      <c r="D452" s="103"/>
      <c r="F452" s="268"/>
      <c r="G452" s="104"/>
      <c r="H452" s="269" t="s">
        <v>506</v>
      </c>
      <c r="I452" s="104"/>
      <c r="J452" s="104"/>
      <c r="K452" s="104"/>
      <c r="L452" s="268"/>
      <c r="N452" s="270"/>
      <c r="Q452" s="106" t="s">
        <v>633</v>
      </c>
      <c r="R452" s="105"/>
      <c r="S452" s="105"/>
      <c r="T452" s="114"/>
      <c r="U452" s="114"/>
      <c r="V452" s="114"/>
      <c r="W452" s="114"/>
      <c r="X452" s="114"/>
      <c r="Y452" s="114"/>
      <c r="Z452" s="218"/>
      <c r="AA452" s="114"/>
      <c r="AE452" s="114"/>
    </row>
    <row r="453" spans="1:93" ht="10.8" thickBot="1" x14ac:dyDescent="0.25">
      <c r="A453" s="108"/>
      <c r="B453" s="109"/>
      <c r="C453" s="109"/>
      <c r="D453" s="109"/>
      <c r="E453" s="110" t="s">
        <v>416</v>
      </c>
      <c r="F453" s="271" t="s">
        <v>416</v>
      </c>
      <c r="G453" s="109" t="s">
        <v>416</v>
      </c>
      <c r="H453" s="272" t="s">
        <v>416</v>
      </c>
      <c r="I453" s="109" t="s">
        <v>416</v>
      </c>
      <c r="J453" s="109"/>
      <c r="K453" s="109"/>
      <c r="L453" s="271" t="s">
        <v>416</v>
      </c>
      <c r="M453" s="111"/>
      <c r="N453" s="273"/>
      <c r="O453" s="109"/>
      <c r="P453" s="112"/>
      <c r="Q453" s="109"/>
      <c r="T453" s="114"/>
      <c r="U453" s="114"/>
      <c r="V453" s="114"/>
      <c r="W453" s="114"/>
      <c r="X453" s="114"/>
      <c r="Y453" s="114"/>
      <c r="Z453" s="218"/>
      <c r="AA453" s="114"/>
      <c r="AE453" s="114"/>
    </row>
    <row r="454" spans="1:93" x14ac:dyDescent="0.2">
      <c r="A454" s="113"/>
      <c r="F454" s="197"/>
      <c r="H454" s="203"/>
      <c r="L454" s="197"/>
      <c r="M454" s="105"/>
      <c r="N454" s="270"/>
      <c r="P454" s="114"/>
      <c r="T454" s="114"/>
      <c r="U454" s="114"/>
      <c r="V454" s="114"/>
      <c r="W454" s="114"/>
      <c r="X454" s="114"/>
      <c r="Y454" s="114"/>
      <c r="Z454" s="218"/>
      <c r="AA454" s="114"/>
      <c r="AE454" s="114"/>
    </row>
    <row r="455" spans="1:93" x14ac:dyDescent="0.2">
      <c r="A455" s="100" t="s">
        <v>3</v>
      </c>
      <c r="D455" s="106" t="s">
        <v>4</v>
      </c>
      <c r="E455" s="101" t="s">
        <v>508</v>
      </c>
      <c r="F455" s="197"/>
      <c r="H455" s="203"/>
      <c r="L455" s="197"/>
      <c r="N455" s="203"/>
      <c r="O455" s="100" t="s">
        <v>6</v>
      </c>
      <c r="T455" s="114"/>
      <c r="U455" s="114"/>
      <c r="V455" s="114"/>
      <c r="W455" s="114"/>
      <c r="X455" s="114"/>
      <c r="Y455" s="114"/>
      <c r="Z455" s="218"/>
      <c r="AA455" s="114"/>
      <c r="AE455" s="114"/>
    </row>
    <row r="456" spans="1:93" x14ac:dyDescent="0.2">
      <c r="E456" s="101" t="s">
        <v>509</v>
      </c>
      <c r="F456" s="197"/>
      <c r="H456" s="203"/>
      <c r="L456" s="197"/>
      <c r="N456" s="203"/>
      <c r="T456" s="114"/>
      <c r="U456" s="114"/>
      <c r="V456" s="114"/>
      <c r="W456" s="114"/>
      <c r="X456" s="114"/>
      <c r="Y456" s="114"/>
      <c r="Z456" s="218"/>
      <c r="AA456" s="114"/>
      <c r="AE456" s="114"/>
    </row>
    <row r="457" spans="1:93" x14ac:dyDescent="0.2">
      <c r="A457" s="100" t="s">
        <v>9</v>
      </c>
      <c r="E457" s="101" t="s">
        <v>510</v>
      </c>
      <c r="F457" s="197"/>
      <c r="H457" s="203"/>
      <c r="L457" s="197"/>
      <c r="N457" s="203"/>
      <c r="O457" s="101" t="str">
        <f>O410</f>
        <v>__X__  Projected Test Year Ended 12/31/26</v>
      </c>
      <c r="T457" s="114"/>
      <c r="U457" s="114"/>
      <c r="V457" s="114"/>
      <c r="W457" s="114"/>
      <c r="X457" s="114"/>
      <c r="Y457" s="114"/>
      <c r="Z457" s="218"/>
      <c r="AA457" s="114"/>
      <c r="AE457" s="114"/>
    </row>
    <row r="458" spans="1:93" x14ac:dyDescent="0.2">
      <c r="E458" s="101" t="s">
        <v>512</v>
      </c>
      <c r="F458" s="197"/>
      <c r="H458" s="203"/>
      <c r="L458" s="197"/>
      <c r="N458" s="203"/>
      <c r="T458" s="114"/>
      <c r="U458" s="114"/>
      <c r="V458" s="114"/>
      <c r="W458" s="114"/>
      <c r="X458" s="114"/>
      <c r="Y458" s="114"/>
      <c r="Z458" s="218"/>
      <c r="AA458" s="114"/>
      <c r="AE458" s="114"/>
    </row>
    <row r="459" spans="1:93" x14ac:dyDescent="0.2">
      <c r="A459" s="100" t="s">
        <v>491</v>
      </c>
      <c r="C459" s="119" t="str">
        <f>C412</f>
        <v>20240025-EI</v>
      </c>
      <c r="F459" s="197"/>
      <c r="H459" s="203"/>
      <c r="L459" s="197"/>
      <c r="N459" s="203"/>
      <c r="O459" s="100" t="s">
        <v>493</v>
      </c>
      <c r="T459" s="114"/>
      <c r="U459" s="114"/>
      <c r="V459" s="114"/>
      <c r="W459" s="114"/>
      <c r="X459" s="114"/>
      <c r="Y459" s="114"/>
      <c r="Z459" s="218"/>
      <c r="AA459" s="114"/>
      <c r="AE459" s="114"/>
    </row>
    <row r="460" spans="1:93" ht="10.8" thickBot="1" x14ac:dyDescent="0.25">
      <c r="A460" s="123"/>
      <c r="B460" s="109"/>
      <c r="C460" s="109"/>
      <c r="D460" s="109"/>
      <c r="E460" s="109"/>
      <c r="F460" s="274"/>
      <c r="G460" s="109"/>
      <c r="H460" s="272"/>
      <c r="I460" s="109"/>
      <c r="J460" s="109"/>
      <c r="K460" s="109"/>
      <c r="L460" s="274"/>
      <c r="M460" s="109"/>
      <c r="N460" s="275"/>
      <c r="O460" s="109"/>
      <c r="P460" s="109"/>
      <c r="Q460" s="109"/>
      <c r="T460" s="114"/>
      <c r="U460" s="114"/>
      <c r="V460" s="114"/>
      <c r="W460" s="114"/>
      <c r="X460" s="114"/>
      <c r="Y460" s="114"/>
      <c r="Z460" s="218"/>
      <c r="AA460" s="114"/>
      <c r="AE460" s="114"/>
    </row>
    <row r="461" spans="1:93" ht="15.6" x14ac:dyDescent="0.2">
      <c r="B461" s="1369"/>
      <c r="C461" s="125"/>
      <c r="D461" s="125"/>
      <c r="E461" s="125"/>
      <c r="F461" s="276"/>
      <c r="G461" s="125"/>
      <c r="H461" s="277"/>
      <c r="I461" s="126" t="s">
        <v>634</v>
      </c>
      <c r="J461" s="125"/>
      <c r="K461" s="125"/>
      <c r="L461" s="276"/>
      <c r="M461" s="125"/>
      <c r="N461" s="277"/>
      <c r="U461" s="127" t="s">
        <v>530</v>
      </c>
      <c r="V461" s="128"/>
      <c r="W461" s="129"/>
      <c r="X461" s="114"/>
      <c r="Y461" s="130" t="s">
        <v>531</v>
      </c>
      <c r="Z461" s="131"/>
      <c r="AA461" s="114"/>
    </row>
    <row r="462" spans="1:93" x14ac:dyDescent="0.2">
      <c r="A462" s="101" t="s">
        <v>30</v>
      </c>
      <c r="B462" s="101" t="s">
        <v>532</v>
      </c>
      <c r="C462" s="132"/>
      <c r="D462" s="133" t="s">
        <v>533</v>
      </c>
      <c r="E462" s="134"/>
      <c r="F462" s="278"/>
      <c r="G462" s="133"/>
      <c r="H462" s="279"/>
      <c r="I462" s="135"/>
      <c r="J462" s="136" t="s">
        <v>534</v>
      </c>
      <c r="K462" s="133"/>
      <c r="L462" s="278"/>
      <c r="M462" s="134"/>
      <c r="N462" s="280"/>
      <c r="O462" s="1372"/>
      <c r="Q462" s="118" t="s">
        <v>332</v>
      </c>
      <c r="U462" s="138"/>
      <c r="V462" s="139"/>
      <c r="W462" s="140"/>
      <c r="X462" s="114"/>
      <c r="Y462" s="138"/>
      <c r="Z462" s="141"/>
      <c r="AA462" s="114"/>
    </row>
    <row r="463" spans="1:93" x14ac:dyDescent="0.2">
      <c r="A463" s="101" t="s">
        <v>39</v>
      </c>
      <c r="B463" s="102" t="s">
        <v>535</v>
      </c>
      <c r="C463" s="104"/>
      <c r="D463" s="142" t="s">
        <v>536</v>
      </c>
      <c r="E463" s="143"/>
      <c r="F463" s="281" t="s">
        <v>537</v>
      </c>
      <c r="G463" s="142"/>
      <c r="H463" s="282" t="s">
        <v>538</v>
      </c>
      <c r="I463" s="144"/>
      <c r="J463" s="142" t="s">
        <v>536</v>
      </c>
      <c r="K463" s="143"/>
      <c r="L463" s="281" t="s">
        <v>537</v>
      </c>
      <c r="M463" s="142"/>
      <c r="N463" s="282" t="s">
        <v>538</v>
      </c>
      <c r="O463" s="132"/>
      <c r="Q463" s="145" t="s">
        <v>539</v>
      </c>
      <c r="R463" s="132"/>
      <c r="S463" s="132"/>
      <c r="U463" s="138" t="s">
        <v>128</v>
      </c>
      <c r="V463" s="146" t="s">
        <v>343</v>
      </c>
      <c r="W463" s="147" t="s">
        <v>344</v>
      </c>
      <c r="X463" s="118"/>
      <c r="Y463" s="148" t="s">
        <v>128</v>
      </c>
      <c r="Z463" s="149"/>
      <c r="AA463" s="118"/>
      <c r="AB463" s="118"/>
      <c r="AH463" s="116"/>
      <c r="AI463" s="116"/>
      <c r="AJ463" s="116"/>
      <c r="AK463" s="116"/>
      <c r="AL463" s="116"/>
      <c r="AM463" s="116"/>
      <c r="AN463" s="116"/>
      <c r="AO463" s="116"/>
      <c r="AP463" s="116"/>
      <c r="AQ463" s="116"/>
      <c r="AR463" s="116"/>
      <c r="AS463" s="116"/>
      <c r="AT463" s="116"/>
      <c r="AU463" s="116"/>
      <c r="AV463" s="116"/>
      <c r="AW463" s="116"/>
      <c r="AX463" s="116"/>
      <c r="AY463" s="116"/>
      <c r="AZ463" s="116"/>
      <c r="BA463" s="116"/>
      <c r="BB463" s="116"/>
      <c r="BC463" s="116"/>
      <c r="BD463" s="116"/>
      <c r="BE463" s="116"/>
      <c r="BF463" s="116"/>
      <c r="BG463" s="116"/>
      <c r="BH463" s="116"/>
      <c r="BI463" s="116"/>
      <c r="BJ463" s="116"/>
      <c r="BK463" s="116"/>
      <c r="BL463" s="116"/>
      <c r="BM463" s="116"/>
      <c r="BN463" s="116"/>
      <c r="BO463" s="116"/>
      <c r="BP463" s="116"/>
      <c r="BQ463" s="116"/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</row>
    <row r="464" spans="1:93" ht="10.8" thickBot="1" x14ac:dyDescent="0.25">
      <c r="A464" s="109"/>
      <c r="B464" s="1370" t="s">
        <v>274</v>
      </c>
      <c r="C464" s="150"/>
      <c r="D464" s="220" t="str">
        <f>+$D$13</f>
        <v>Jan '26-Dec '26</v>
      </c>
      <c r="E464" s="221"/>
      <c r="F464" s="152">
        <f>+$L$13</f>
        <v>46023</v>
      </c>
      <c r="G464" s="153"/>
      <c r="H464" s="153"/>
      <c r="I464" s="153"/>
      <c r="J464" s="153"/>
      <c r="K464" s="151"/>
      <c r="L464" s="152">
        <f>+$L$13</f>
        <v>46023</v>
      </c>
      <c r="M464" s="154"/>
      <c r="N464" s="283"/>
      <c r="O464" s="155"/>
      <c r="P464" s="109"/>
      <c r="Q464" s="156"/>
      <c r="R464" s="132"/>
      <c r="S464" s="132"/>
      <c r="U464" s="157" t="s">
        <v>144</v>
      </c>
      <c r="V464" s="158" t="s">
        <v>540</v>
      </c>
      <c r="W464" s="159" t="s">
        <v>540</v>
      </c>
      <c r="X464" s="118"/>
      <c r="Y464" s="160" t="s">
        <v>144</v>
      </c>
      <c r="Z464" s="159" t="s">
        <v>541</v>
      </c>
      <c r="AA464" s="118"/>
      <c r="AB464" s="118"/>
      <c r="AH464" s="116"/>
      <c r="AI464" s="116"/>
      <c r="AJ464" s="116"/>
      <c r="AK464" s="116"/>
      <c r="AL464" s="116"/>
      <c r="AM464" s="116"/>
      <c r="AN464" s="116"/>
      <c r="AO464" s="116"/>
      <c r="AP464" s="116"/>
      <c r="AQ464" s="116"/>
      <c r="AR464" s="116"/>
      <c r="AS464" s="116"/>
      <c r="AT464" s="116"/>
      <c r="AU464" s="116"/>
      <c r="AV464" s="116"/>
      <c r="AW464" s="116"/>
      <c r="AX464" s="116"/>
      <c r="AY464" s="116"/>
      <c r="AZ464" s="116"/>
      <c r="BA464" s="116"/>
      <c r="BB464" s="116"/>
      <c r="BC464" s="116"/>
      <c r="BD464" s="116"/>
      <c r="BE464" s="116"/>
      <c r="BF464" s="116"/>
      <c r="BG464" s="116"/>
      <c r="BH464" s="116"/>
      <c r="BI464" s="116"/>
      <c r="BJ464" s="116"/>
      <c r="BK464" s="116"/>
      <c r="BL464" s="116"/>
      <c r="BM464" s="116"/>
      <c r="BN464" s="116"/>
      <c r="BO464" s="116"/>
      <c r="BP464" s="116"/>
      <c r="BQ464" s="116"/>
      <c r="BR464" s="116"/>
      <c r="BS464" s="116"/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</row>
    <row r="465" spans="1:93" x14ac:dyDescent="0.2">
      <c r="A465" s="118">
        <v>1</v>
      </c>
      <c r="B465" s="222" t="s">
        <v>542</v>
      </c>
      <c r="C465" s="223"/>
      <c r="E465" s="225"/>
      <c r="F465" s="284"/>
      <c r="G465" s="227"/>
      <c r="H465" s="285"/>
      <c r="I465" s="308"/>
      <c r="J465" s="226"/>
      <c r="K465" s="225"/>
      <c r="L465" s="284"/>
      <c r="M465" s="227"/>
      <c r="N465" s="285"/>
      <c r="O465" s="227"/>
      <c r="P465" s="227"/>
      <c r="Q465" s="230"/>
      <c r="R465" s="132"/>
      <c r="S465" s="132"/>
      <c r="T465" s="118"/>
      <c r="U465" s="163"/>
      <c r="V465" s="139"/>
      <c r="W465" s="140"/>
      <c r="X465" s="118"/>
      <c r="Y465" s="163"/>
      <c r="Z465" s="141"/>
      <c r="AA465" s="118"/>
      <c r="AB465" s="118"/>
      <c r="AH465" s="116"/>
      <c r="AI465" s="116"/>
      <c r="AJ465" s="116"/>
      <c r="AK465" s="116"/>
      <c r="AL465" s="116"/>
      <c r="AM465" s="116"/>
      <c r="AN465" s="116"/>
      <c r="AO465" s="116"/>
      <c r="AP465" s="116"/>
      <c r="AQ465" s="116"/>
      <c r="AR465" s="116"/>
      <c r="AS465" s="116"/>
      <c r="AT465" s="116"/>
      <c r="AU465" s="116"/>
      <c r="AV465" s="116"/>
      <c r="AW465" s="116"/>
      <c r="AX465" s="116"/>
      <c r="AY465" s="116"/>
      <c r="AZ465" s="116"/>
      <c r="BA465" s="116"/>
      <c r="BB465" s="116"/>
      <c r="BC465" s="116"/>
      <c r="BD465" s="116"/>
      <c r="BE465" s="116"/>
      <c r="BF465" s="116"/>
      <c r="BG465" s="116"/>
      <c r="BH465" s="116"/>
      <c r="BI465" s="116"/>
      <c r="BJ465" s="116"/>
      <c r="BK465" s="116"/>
      <c r="BL465" s="116"/>
      <c r="BM465" s="116"/>
      <c r="BN465" s="116"/>
      <c r="BO465" s="116"/>
      <c r="BP465" s="116"/>
      <c r="BQ465" s="116"/>
      <c r="BR465" s="116"/>
      <c r="BS465" s="116"/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</row>
    <row r="466" spans="1:93" x14ac:dyDescent="0.2">
      <c r="A466" s="118">
        <f t="shared" ref="A466:A484" si="54">+A465+1</f>
        <v>2</v>
      </c>
      <c r="B466" s="228" t="s">
        <v>543</v>
      </c>
      <c r="C466" s="223"/>
      <c r="D466" s="168"/>
      <c r="E466" s="225"/>
      <c r="F466" s="183"/>
      <c r="G466" s="223"/>
      <c r="H466" s="174"/>
      <c r="I466" s="308"/>
      <c r="J466" s="168"/>
      <c r="K466" s="225"/>
      <c r="L466" s="310"/>
      <c r="M466" s="223"/>
      <c r="N466" s="174"/>
      <c r="O466" s="227"/>
      <c r="P466" s="227"/>
      <c r="Q466" s="227"/>
      <c r="R466" s="227"/>
      <c r="S466" s="227"/>
      <c r="T466" s="227"/>
      <c r="U466" s="163"/>
      <c r="V466" s="139"/>
      <c r="W466" s="140"/>
      <c r="X466" s="227"/>
      <c r="Y466" s="163"/>
      <c r="Z466" s="141"/>
      <c r="AA466" s="227"/>
      <c r="AB466" s="118"/>
      <c r="AH466" s="116"/>
      <c r="AI466" s="116"/>
      <c r="AJ466" s="116"/>
      <c r="AK466" s="116"/>
      <c r="AL466" s="116"/>
      <c r="AM466" s="116"/>
      <c r="AN466" s="116"/>
      <c r="AO466" s="116"/>
      <c r="AP466" s="116"/>
      <c r="AQ466" s="116"/>
      <c r="AR466" s="116"/>
      <c r="AS466" s="116"/>
      <c r="AT466" s="116"/>
      <c r="AU466" s="116"/>
      <c r="AV466" s="116"/>
      <c r="AW466" s="116"/>
      <c r="AX466" s="116"/>
      <c r="AY466" s="116"/>
      <c r="AZ466" s="116"/>
      <c r="BA466" s="116"/>
      <c r="BB466" s="116"/>
      <c r="BC466" s="116"/>
      <c r="BD466" s="116"/>
      <c r="BE466" s="116"/>
      <c r="BF466" s="116"/>
      <c r="BG466" s="116"/>
      <c r="BH466" s="116"/>
      <c r="BI466" s="116"/>
      <c r="BJ466" s="116"/>
      <c r="BK466" s="116"/>
      <c r="BL466" s="116"/>
      <c r="BM466" s="116"/>
      <c r="BN466" s="116"/>
      <c r="BO466" s="116"/>
      <c r="BP466" s="116"/>
      <c r="BQ466" s="116"/>
      <c r="BR466" s="116"/>
      <c r="BS466" s="116"/>
      <c r="BT466" s="116"/>
      <c r="BU466" s="116"/>
      <c r="BV466" s="116"/>
      <c r="BW466" s="116"/>
      <c r="BX466" s="116"/>
      <c r="BY466" s="116"/>
      <c r="BZ466" s="116"/>
      <c r="CA466" s="116"/>
      <c r="CB466" s="116"/>
      <c r="CC466" s="116"/>
      <c r="CD466" s="116"/>
      <c r="CE466" s="116"/>
      <c r="CF466" s="116"/>
      <c r="CG466" s="116"/>
      <c r="CH466" s="116"/>
      <c r="CI466" s="116"/>
      <c r="CJ466" s="116"/>
      <c r="CK466" s="116"/>
      <c r="CL466" s="116"/>
      <c r="CM466" s="116"/>
      <c r="CN466" s="116"/>
      <c r="CO466" s="116"/>
    </row>
    <row r="467" spans="1:93" x14ac:dyDescent="0.2">
      <c r="A467" s="118">
        <f t="shared" si="54"/>
        <v>3</v>
      </c>
      <c r="B467" s="232" t="s">
        <v>578</v>
      </c>
      <c r="C467" s="223"/>
      <c r="D467" s="172">
        <f>SUMIF($AH$6:$CP$6,1,$AH467:$CP467)</f>
        <v>770753.79050977225</v>
      </c>
      <c r="E467" s="225" t="s">
        <v>545</v>
      </c>
      <c r="F467" s="183">
        <v>2.1800000000000002</v>
      </c>
      <c r="G467" s="233" t="s">
        <v>375</v>
      </c>
      <c r="H467" s="174">
        <f>ROUND(D467*F467,2)</f>
        <v>1680243.26</v>
      </c>
      <c r="I467" s="308"/>
      <c r="J467" s="172">
        <f>SUMIF($AH$6:$CP$6,1,$AH467:$CP467)</f>
        <v>770753.79050977225</v>
      </c>
      <c r="K467" s="225" t="s">
        <v>545</v>
      </c>
      <c r="L467" s="173">
        <f>'Exhibit MJC-3 - E-13c cal yr'!L528</f>
        <v>2.27</v>
      </c>
      <c r="M467" s="233" t="s">
        <v>375</v>
      </c>
      <c r="N467" s="174">
        <f>ROUND(J467*L467,2)</f>
        <v>1749611.1</v>
      </c>
      <c r="O467" s="227"/>
      <c r="P467" s="227"/>
      <c r="Q467" s="939"/>
      <c r="R467" s="227"/>
      <c r="S467" s="227"/>
      <c r="T467" s="227"/>
      <c r="U467" s="184" t="s">
        <v>125</v>
      </c>
      <c r="V467" s="179">
        <v>259</v>
      </c>
      <c r="W467" s="180">
        <v>233</v>
      </c>
      <c r="X467" s="227"/>
      <c r="Y467" s="184"/>
      <c r="Z467" s="181"/>
      <c r="AA467" s="227"/>
      <c r="AB467" s="182">
        <f>SUM(AH467:AS467)</f>
        <v>737906.96182837524</v>
      </c>
      <c r="AC467" s="182">
        <f>SUM(AT467:BE467)</f>
        <v>748873.78475215437</v>
      </c>
      <c r="AD467" s="182">
        <f>SUM(BF467:BQ467)</f>
        <v>759803.02462192834</v>
      </c>
      <c r="AE467" s="182">
        <f>SUM(BR467:CC467)</f>
        <v>770753.79050977225</v>
      </c>
      <c r="AF467" s="182">
        <f>SUM(CD467:CO467)</f>
        <v>781558.19376215769</v>
      </c>
      <c r="AH467" s="168">
        <v>60795.900529200095</v>
      </c>
      <c r="AI467" s="168">
        <v>61574.789556824311</v>
      </c>
      <c r="AJ467" s="168">
        <v>61783.903624732753</v>
      </c>
      <c r="AK467" s="168">
        <v>61429.608130941982</v>
      </c>
      <c r="AL467" s="168">
        <v>61892.158052995626</v>
      </c>
      <c r="AM467" s="168">
        <v>61803.683770418094</v>
      </c>
      <c r="AN467" s="168">
        <v>61250.108077976103</v>
      </c>
      <c r="AO467" s="168">
        <v>61680.275761550758</v>
      </c>
      <c r="AP467" s="168">
        <v>61353.813222624369</v>
      </c>
      <c r="AQ467" s="168">
        <v>61617.299098552045</v>
      </c>
      <c r="AR467" s="168">
        <v>61204.00216523667</v>
      </c>
      <c r="AS467" s="168">
        <v>61521.419837322414</v>
      </c>
      <c r="AT467" s="168">
        <v>61697.368098304229</v>
      </c>
      <c r="AU467" s="168">
        <v>62488.276023850442</v>
      </c>
      <c r="AV467" s="168">
        <v>62698.922887889516</v>
      </c>
      <c r="AW467" s="168">
        <v>62339.16465294268</v>
      </c>
      <c r="AX467" s="168">
        <v>62813.408139624393</v>
      </c>
      <c r="AY467" s="168">
        <v>62726.567022155556</v>
      </c>
      <c r="AZ467" s="168">
        <v>62164.908647211611</v>
      </c>
      <c r="BA467" s="168">
        <v>62603.945819952954</v>
      </c>
      <c r="BB467" s="168">
        <v>62268.242665854857</v>
      </c>
      <c r="BC467" s="168">
        <v>62534.797993042208</v>
      </c>
      <c r="BD467" s="168">
        <v>62107.503965996351</v>
      </c>
      <c r="BE467" s="168">
        <v>62430.678835329716</v>
      </c>
      <c r="BF467" s="168">
        <v>62612.582232741719</v>
      </c>
      <c r="BG467" s="168">
        <v>63413.102753629566</v>
      </c>
      <c r="BH467" s="168">
        <v>63624.28908681246</v>
      </c>
      <c r="BI467" s="168">
        <v>63253.131267497527</v>
      </c>
      <c r="BJ467" s="168">
        <v>63733.369659126038</v>
      </c>
      <c r="BK467" s="168">
        <v>63642.226990106501</v>
      </c>
      <c r="BL467" s="168">
        <v>63066.619535539234</v>
      </c>
      <c r="BM467" s="168">
        <v>63512.43192785616</v>
      </c>
      <c r="BN467" s="168">
        <v>63169.557083340434</v>
      </c>
      <c r="BO467" s="168">
        <v>63441.121504369105</v>
      </c>
      <c r="BP467" s="168">
        <v>63001.857412825448</v>
      </c>
      <c r="BQ467" s="168">
        <v>63332.735168084211</v>
      </c>
      <c r="BR467" s="168">
        <v>63522.582396834769</v>
      </c>
      <c r="BS467" s="168">
        <v>64334.686144831598</v>
      </c>
      <c r="BT467" s="168">
        <v>64548.490465621246</v>
      </c>
      <c r="BU467" s="168">
        <v>64168.012104677116</v>
      </c>
      <c r="BV467" s="168">
        <v>64656.285555717674</v>
      </c>
      <c r="BW467" s="168">
        <v>64562.775666178735</v>
      </c>
      <c r="BX467" s="168">
        <v>63975.092231946328</v>
      </c>
      <c r="BY467" s="168">
        <v>64427.771860395966</v>
      </c>
      <c r="BZ467" s="168">
        <v>64075.966139916018</v>
      </c>
      <c r="CA467" s="168">
        <v>64350.745064052076</v>
      </c>
      <c r="CB467" s="168">
        <v>63897.539029197891</v>
      </c>
      <c r="CC467" s="168">
        <v>64233.843850402838</v>
      </c>
      <c r="CD467" s="168">
        <v>64429.063901120018</v>
      </c>
      <c r="CE467" s="168">
        <v>65249.942146464266</v>
      </c>
      <c r="CF467" s="168">
        <v>65463.702075479647</v>
      </c>
      <c r="CG467" s="168">
        <v>65071.432155689239</v>
      </c>
      <c r="CH467" s="168">
        <v>65565.080717630277</v>
      </c>
      <c r="CI467" s="168">
        <v>65466.807524866657</v>
      </c>
      <c r="CJ467" s="168">
        <v>64864.922481559988</v>
      </c>
      <c r="CK467" s="168">
        <v>65324.38206883434</v>
      </c>
      <c r="CL467" s="168">
        <v>64966.420793385987</v>
      </c>
      <c r="CM467" s="168">
        <v>65246.837060804552</v>
      </c>
      <c r="CN467" s="168">
        <v>64782.508922936227</v>
      </c>
      <c r="CO467" s="168">
        <v>65127.093913386423</v>
      </c>
    </row>
    <row r="468" spans="1:93" x14ac:dyDescent="0.2">
      <c r="A468" s="118">
        <f t="shared" si="54"/>
        <v>4</v>
      </c>
      <c r="B468" s="234" t="s">
        <v>149</v>
      </c>
      <c r="C468" s="223"/>
      <c r="D468" s="172">
        <f>SUMIF($AH$6:$CP$6,1,$AH468:$CP468)</f>
        <v>13005.372413863875</v>
      </c>
      <c r="E468" s="225" t="s">
        <v>545</v>
      </c>
      <c r="F468" s="183">
        <v>6.29</v>
      </c>
      <c r="G468" s="233" t="s">
        <v>375</v>
      </c>
      <c r="H468" s="187">
        <f>ROUND(D468*F468,2)</f>
        <v>81803.789999999994</v>
      </c>
      <c r="I468" s="308"/>
      <c r="J468" s="172">
        <f>SUMIF($AH$6:$CP$6,1,$AH468:$CP468)</f>
        <v>13005.372413863875</v>
      </c>
      <c r="K468" s="225" t="s">
        <v>545</v>
      </c>
      <c r="L468" s="173">
        <f>'Exhibit MJC-3 - E-13c cal yr'!L529</f>
        <v>6.59</v>
      </c>
      <c r="M468" s="233" t="s">
        <v>375</v>
      </c>
      <c r="N468" s="187">
        <f>ROUND(J468*L468,2)</f>
        <v>85705.4</v>
      </c>
      <c r="O468" s="227"/>
      <c r="P468" s="227"/>
      <c r="Q468" s="939"/>
      <c r="R468" s="227"/>
      <c r="S468" s="227"/>
      <c r="T468" s="227"/>
      <c r="U468" s="184" t="s">
        <v>125</v>
      </c>
      <c r="V468" s="179">
        <v>259</v>
      </c>
      <c r="W468" s="180">
        <v>233</v>
      </c>
      <c r="X468" s="227"/>
      <c r="Y468" s="184"/>
      <c r="Z468" s="181"/>
      <c r="AA468" s="227"/>
      <c r="AB468" s="182">
        <f>SUM(AH468:AS468)</f>
        <v>12451.128964300797</v>
      </c>
      <c r="AC468" s="182">
        <f>SUM(AT468:BE468)</f>
        <v>12636.178480860835</v>
      </c>
      <c r="AD468" s="182">
        <f>SUM(BF468:BQ468)</f>
        <v>12820.593836914873</v>
      </c>
      <c r="AE468" s="182">
        <f>SUM(BR468:CC468)</f>
        <v>13005.372413863875</v>
      </c>
      <c r="AF468" s="182">
        <f>SUM(CD468:CO468)</f>
        <v>13187.681329806926</v>
      </c>
      <c r="AH468" s="168">
        <v>1025.8442285383042</v>
      </c>
      <c r="AI468" s="168">
        <v>1038.9868714912834</v>
      </c>
      <c r="AJ468" s="168">
        <v>1042.5153735416316</v>
      </c>
      <c r="AK468" s="168">
        <v>1036.5371417145066</v>
      </c>
      <c r="AL468" s="168">
        <v>1044.342012829487</v>
      </c>
      <c r="AM468" s="168">
        <v>1042.8491353267902</v>
      </c>
      <c r="AN468" s="168">
        <v>1033.5083339864439</v>
      </c>
      <c r="AO468" s="168">
        <v>1040.7668009498011</v>
      </c>
      <c r="AP468" s="168">
        <v>1035.2582105929439</v>
      </c>
      <c r="AQ468" s="168">
        <v>1039.7041594606962</v>
      </c>
      <c r="AR468" s="168">
        <v>1032.7303623785965</v>
      </c>
      <c r="AS468" s="168">
        <v>1038.0863334903138</v>
      </c>
      <c r="AT468" s="168">
        <v>1041.0552097875379</v>
      </c>
      <c r="AU468" s="168">
        <v>1054.4006545241791</v>
      </c>
      <c r="AV468" s="168">
        <v>1057.9550203260376</v>
      </c>
      <c r="AW468" s="168">
        <v>1051.8846125226023</v>
      </c>
      <c r="AX468" s="168">
        <v>1059.8867958852891</v>
      </c>
      <c r="AY468" s="168">
        <v>1058.4214757176499</v>
      </c>
      <c r="AZ468" s="168">
        <v>1048.9442906224192</v>
      </c>
      <c r="BA468" s="168">
        <v>1056.3524175824625</v>
      </c>
      <c r="BB468" s="168">
        <v>1050.6879050061873</v>
      </c>
      <c r="BC468" s="168">
        <v>1055.1856464920618</v>
      </c>
      <c r="BD468" s="168">
        <v>1047.975668389618</v>
      </c>
      <c r="BE468" s="168">
        <v>1053.4287840047905</v>
      </c>
      <c r="BF468" s="168">
        <v>1056.4981447472469</v>
      </c>
      <c r="BG468" s="168">
        <v>1070.0057883388547</v>
      </c>
      <c r="BH468" s="168">
        <v>1073.5692569141377</v>
      </c>
      <c r="BI468" s="168">
        <v>1067.3064973611608</v>
      </c>
      <c r="BJ468" s="168">
        <v>1075.4098362061543</v>
      </c>
      <c r="BK468" s="168">
        <v>1073.8719334828882</v>
      </c>
      <c r="BL468" s="168">
        <v>1064.1593775369845</v>
      </c>
      <c r="BM468" s="168">
        <v>1071.6818266772768</v>
      </c>
      <c r="BN468" s="168">
        <v>1065.8963020399949</v>
      </c>
      <c r="BO468" s="168">
        <v>1070.4785648498828</v>
      </c>
      <c r="BP468" s="168">
        <v>1063.0666089582558</v>
      </c>
      <c r="BQ468" s="168">
        <v>1068.6496998020355</v>
      </c>
      <c r="BR468" s="168">
        <v>1071.8531013837624</v>
      </c>
      <c r="BS468" s="168">
        <v>1085.5561954345978</v>
      </c>
      <c r="BT468" s="168">
        <v>1089.1638388218894</v>
      </c>
      <c r="BU468" s="168">
        <v>1082.7438084043652</v>
      </c>
      <c r="BV468" s="168">
        <v>1090.9827274324311</v>
      </c>
      <c r="BW468" s="168">
        <v>1089.4048812345827</v>
      </c>
      <c r="BX468" s="168">
        <v>1079.4885603319037</v>
      </c>
      <c r="BY468" s="168">
        <v>1087.1268843007854</v>
      </c>
      <c r="BZ468" s="168">
        <v>1081.1906638520434</v>
      </c>
      <c r="CA468" s="168">
        <v>1085.8271668233838</v>
      </c>
      <c r="CB468" s="168">
        <v>1078.1799604961973</v>
      </c>
      <c r="CC468" s="168">
        <v>1083.8546253479335</v>
      </c>
      <c r="CD468" s="168">
        <v>1087.1486856477227</v>
      </c>
      <c r="CE468" s="168">
        <v>1100.9998368435931</v>
      </c>
      <c r="CF468" s="168">
        <v>1104.6067311829222</v>
      </c>
      <c r="CG468" s="168">
        <v>1097.9877350048346</v>
      </c>
      <c r="CH468" s="168">
        <v>1106.3173513734616</v>
      </c>
      <c r="CI468" s="168">
        <v>1104.6591312181706</v>
      </c>
      <c r="CJ468" s="168">
        <v>1094.503178390017</v>
      </c>
      <c r="CK468" s="168">
        <v>1102.2559045072262</v>
      </c>
      <c r="CL468" s="168">
        <v>1096.2158178358802</v>
      </c>
      <c r="CM468" s="168">
        <v>1100.9474429457248</v>
      </c>
      <c r="CN468" s="168">
        <v>1093.1125669716223</v>
      </c>
      <c r="CO468" s="168">
        <v>1098.9269478857514</v>
      </c>
    </row>
    <row r="469" spans="1:93" x14ac:dyDescent="0.2">
      <c r="A469" s="118">
        <f t="shared" si="54"/>
        <v>5</v>
      </c>
      <c r="B469" s="226"/>
      <c r="C469" s="223" t="s">
        <v>374</v>
      </c>
      <c r="D469" s="204">
        <f>SUM(D467:D468)</f>
        <v>783759.16292363615</v>
      </c>
      <c r="E469" s="237" t="s">
        <v>550</v>
      </c>
      <c r="F469" s="183"/>
      <c r="G469" s="223"/>
      <c r="H469" s="206">
        <f>H467+H468</f>
        <v>1762047.05</v>
      </c>
      <c r="I469" s="308"/>
      <c r="J469" s="204">
        <f>SUM(J467:J468)</f>
        <v>783759.16292363615</v>
      </c>
      <c r="K469" s="237" t="s">
        <v>550</v>
      </c>
      <c r="L469" s="183"/>
      <c r="M469" s="223"/>
      <c r="N469" s="206">
        <f>SUM(N467:N468)</f>
        <v>1835316.5</v>
      </c>
      <c r="O469" s="227"/>
      <c r="P469" s="227"/>
      <c r="Q469" s="939"/>
      <c r="R469" s="227"/>
      <c r="S469" s="227"/>
      <c r="T469" s="227"/>
      <c r="U469" s="178"/>
      <c r="V469" s="179"/>
      <c r="W469" s="180"/>
      <c r="X469" s="227"/>
      <c r="Y469" s="178" t="s">
        <v>125</v>
      </c>
      <c r="Z469" s="181" t="s">
        <v>451</v>
      </c>
      <c r="AA469" s="227"/>
      <c r="AB469" s="204">
        <f>SUM(AB467:AB468)</f>
        <v>750358.09079267608</v>
      </c>
      <c r="AC469" s="204">
        <f>SUM(AC467:AC468)</f>
        <v>761509.96323301527</v>
      </c>
      <c r="AD469" s="204">
        <f>SUM(AD467:AD468)</f>
        <v>772623.61845884321</v>
      </c>
      <c r="AE469" s="204">
        <f>SUM(AE467:AE468)</f>
        <v>783759.16292363615</v>
      </c>
      <c r="AF469" s="204">
        <f>SUM(AF467:AF468)</f>
        <v>794745.87509196461</v>
      </c>
      <c r="AH469" s="204">
        <f t="shared" ref="AH469:CO469" si="55">SUM(AH467:AH468)</f>
        <v>61821.744757738401</v>
      </c>
      <c r="AI469" s="204">
        <f t="shared" si="55"/>
        <v>62613.776428315592</v>
      </c>
      <c r="AJ469" s="204">
        <f t="shared" si="55"/>
        <v>62826.418998274385</v>
      </c>
      <c r="AK469" s="204">
        <f t="shared" si="55"/>
        <v>62466.145272656489</v>
      </c>
      <c r="AL469" s="204">
        <f t="shared" si="55"/>
        <v>62936.500065825116</v>
      </c>
      <c r="AM469" s="204">
        <f t="shared" si="55"/>
        <v>62846.532905744883</v>
      </c>
      <c r="AN469" s="204">
        <f t="shared" si="55"/>
        <v>62283.616411962546</v>
      </c>
      <c r="AO469" s="204">
        <f t="shared" si="55"/>
        <v>62721.042562500559</v>
      </c>
      <c r="AP469" s="204">
        <f t="shared" si="55"/>
        <v>62389.071433217316</v>
      </c>
      <c r="AQ469" s="204">
        <f t="shared" si="55"/>
        <v>62657.003258012744</v>
      </c>
      <c r="AR469" s="204">
        <f t="shared" si="55"/>
        <v>62236.73252761527</v>
      </c>
      <c r="AS469" s="204">
        <f t="shared" si="55"/>
        <v>62559.506170812725</v>
      </c>
      <c r="AT469" s="204">
        <f t="shared" si="55"/>
        <v>62738.423308091769</v>
      </c>
      <c r="AU469" s="204">
        <f t="shared" si="55"/>
        <v>63542.676678374621</v>
      </c>
      <c r="AV469" s="204">
        <f t="shared" si="55"/>
        <v>63756.877908215552</v>
      </c>
      <c r="AW469" s="204">
        <f t="shared" si="55"/>
        <v>63391.049265465284</v>
      </c>
      <c r="AX469" s="204">
        <f t="shared" si="55"/>
        <v>63873.294935509679</v>
      </c>
      <c r="AY469" s="204">
        <f t="shared" si="55"/>
        <v>63784.988497873208</v>
      </c>
      <c r="AZ469" s="204">
        <f t="shared" si="55"/>
        <v>63213.852937834032</v>
      </c>
      <c r="BA469" s="204">
        <f t="shared" si="55"/>
        <v>63660.298237535419</v>
      </c>
      <c r="BB469" s="204">
        <f t="shared" si="55"/>
        <v>63318.930570861048</v>
      </c>
      <c r="BC469" s="204">
        <f t="shared" si="55"/>
        <v>63589.983639534272</v>
      </c>
      <c r="BD469" s="204">
        <f t="shared" si="55"/>
        <v>63155.479634385971</v>
      </c>
      <c r="BE469" s="204">
        <f t="shared" si="55"/>
        <v>63484.107619334507</v>
      </c>
      <c r="BF469" s="204">
        <f t="shared" si="55"/>
        <v>63669.080377488965</v>
      </c>
      <c r="BG469" s="204">
        <f t="shared" si="55"/>
        <v>64483.108541968424</v>
      </c>
      <c r="BH469" s="204">
        <f t="shared" si="55"/>
        <v>64697.858343726599</v>
      </c>
      <c r="BI469" s="204">
        <f t="shared" si="55"/>
        <v>64320.437764858689</v>
      </c>
      <c r="BJ469" s="204">
        <f t="shared" si="55"/>
        <v>64808.779495332194</v>
      </c>
      <c r="BK469" s="204">
        <f t="shared" si="55"/>
        <v>64716.098923589387</v>
      </c>
      <c r="BL469" s="204">
        <f t="shared" si="55"/>
        <v>64130.778913076218</v>
      </c>
      <c r="BM469" s="204">
        <f t="shared" si="55"/>
        <v>64584.113754533435</v>
      </c>
      <c r="BN469" s="204">
        <f t="shared" si="55"/>
        <v>64235.453385380431</v>
      </c>
      <c r="BO469" s="204">
        <f t="shared" si="55"/>
        <v>64511.600069218985</v>
      </c>
      <c r="BP469" s="204">
        <f t="shared" si="55"/>
        <v>64064.924021783707</v>
      </c>
      <c r="BQ469" s="204">
        <f t="shared" si="55"/>
        <v>64401.384867886249</v>
      </c>
      <c r="BR469" s="204">
        <f t="shared" si="55"/>
        <v>64594.435498218532</v>
      </c>
      <c r="BS469" s="204">
        <f t="shared" si="55"/>
        <v>65420.242340266195</v>
      </c>
      <c r="BT469" s="204">
        <f t="shared" si="55"/>
        <v>65637.654304443131</v>
      </c>
      <c r="BU469" s="204">
        <f t="shared" si="55"/>
        <v>65250.755913081484</v>
      </c>
      <c r="BV469" s="204">
        <f t="shared" si="55"/>
        <v>65747.268283150101</v>
      </c>
      <c r="BW469" s="204">
        <f t="shared" si="55"/>
        <v>65652.180547413314</v>
      </c>
      <c r="BX469" s="204">
        <f t="shared" si="55"/>
        <v>65054.580792278233</v>
      </c>
      <c r="BY469" s="204">
        <f t="shared" si="55"/>
        <v>65514.898744696751</v>
      </c>
      <c r="BZ469" s="204">
        <f t="shared" si="55"/>
        <v>65157.156803768063</v>
      </c>
      <c r="CA469" s="204">
        <f t="shared" si="55"/>
        <v>65436.572230875463</v>
      </c>
      <c r="CB469" s="204">
        <f t="shared" si="55"/>
        <v>64975.718989694091</v>
      </c>
      <c r="CC469" s="204">
        <f t="shared" si="55"/>
        <v>65317.698475750774</v>
      </c>
      <c r="CD469" s="204">
        <f t="shared" si="55"/>
        <v>65516.212586767739</v>
      </c>
      <c r="CE469" s="204">
        <f t="shared" si="55"/>
        <v>66350.941983307857</v>
      </c>
      <c r="CF469" s="204">
        <f t="shared" si="55"/>
        <v>66568.308806662564</v>
      </c>
      <c r="CG469" s="204">
        <f t="shared" si="55"/>
        <v>66169.419890694073</v>
      </c>
      <c r="CH469" s="204">
        <f t="shared" si="55"/>
        <v>66671.398069003742</v>
      </c>
      <c r="CI469" s="204">
        <f t="shared" si="55"/>
        <v>66571.466656084827</v>
      </c>
      <c r="CJ469" s="204">
        <f t="shared" si="55"/>
        <v>65959.425659950008</v>
      </c>
      <c r="CK469" s="204">
        <f t="shared" si="55"/>
        <v>66426.637973341567</v>
      </c>
      <c r="CL469" s="204">
        <f t="shared" si="55"/>
        <v>66062.636611221867</v>
      </c>
      <c r="CM469" s="204">
        <f t="shared" si="55"/>
        <v>66347.78450375027</v>
      </c>
      <c r="CN469" s="204">
        <f t="shared" si="55"/>
        <v>65875.621489907848</v>
      </c>
      <c r="CO469" s="204">
        <f t="shared" si="55"/>
        <v>66226.020861272176</v>
      </c>
    </row>
    <row r="470" spans="1:93" x14ac:dyDescent="0.2">
      <c r="A470" s="118">
        <f t="shared" si="54"/>
        <v>6</v>
      </c>
      <c r="B470" s="226"/>
      <c r="C470" s="223"/>
      <c r="D470" s="168"/>
      <c r="E470" s="237"/>
      <c r="F470" s="183"/>
      <c r="G470" s="223"/>
      <c r="H470" s="203"/>
      <c r="I470" s="308"/>
      <c r="J470" s="168"/>
      <c r="K470" s="237"/>
      <c r="L470" s="183"/>
      <c r="M470" s="223"/>
      <c r="N470" s="203"/>
      <c r="O470" s="227"/>
      <c r="P470" s="227"/>
      <c r="Q470" s="176"/>
      <c r="R470" s="227"/>
      <c r="S470" s="227"/>
      <c r="T470" s="227"/>
      <c r="U470" s="178"/>
      <c r="V470" s="179"/>
      <c r="W470" s="180"/>
      <c r="X470" s="227"/>
      <c r="Y470" s="178"/>
      <c r="Z470" s="181"/>
      <c r="AA470" s="227"/>
      <c r="AB470" s="193">
        <f>SUM(AH470:AS470)</f>
        <v>0</v>
      </c>
      <c r="AC470" s="193">
        <f>SUM(AT470:BE470)</f>
        <v>0</v>
      </c>
      <c r="AD470" s="193">
        <f>SUM(BF470:BQ470)</f>
        <v>0</v>
      </c>
      <c r="AE470" s="193">
        <f>SUM(BR470:CC470)</f>
        <v>0</v>
      </c>
      <c r="AF470" s="193">
        <f>SUM(CD470:CO470)</f>
        <v>0</v>
      </c>
      <c r="AH470" s="193">
        <v>0</v>
      </c>
      <c r="AI470" s="193">
        <v>0</v>
      </c>
      <c r="AJ470" s="193">
        <v>0</v>
      </c>
      <c r="AK470" s="193">
        <v>0</v>
      </c>
      <c r="AL470" s="193">
        <v>0</v>
      </c>
      <c r="AM470" s="193">
        <v>0</v>
      </c>
      <c r="AN470" s="193">
        <v>0</v>
      </c>
      <c r="AO470" s="193">
        <v>0</v>
      </c>
      <c r="AP470" s="193">
        <v>0</v>
      </c>
      <c r="AQ470" s="193">
        <v>0</v>
      </c>
      <c r="AR470" s="193">
        <v>0</v>
      </c>
      <c r="AS470" s="193">
        <v>0</v>
      </c>
      <c r="AT470" s="193">
        <v>0</v>
      </c>
      <c r="AU470" s="193">
        <v>0</v>
      </c>
      <c r="AV470" s="193">
        <v>0</v>
      </c>
      <c r="AW470" s="193">
        <v>0</v>
      </c>
      <c r="AX470" s="193">
        <v>0</v>
      </c>
      <c r="AY470" s="193">
        <v>0</v>
      </c>
      <c r="AZ470" s="193">
        <v>0</v>
      </c>
      <c r="BA470" s="193">
        <v>0</v>
      </c>
      <c r="BB470" s="193">
        <v>0</v>
      </c>
      <c r="BC470" s="193">
        <v>0</v>
      </c>
      <c r="BD470" s="193">
        <v>0</v>
      </c>
      <c r="BE470" s="193">
        <v>0</v>
      </c>
      <c r="BF470" s="193">
        <v>0</v>
      </c>
      <c r="BG470" s="193">
        <v>0</v>
      </c>
      <c r="BH470" s="193">
        <v>0</v>
      </c>
      <c r="BI470" s="193">
        <v>0</v>
      </c>
      <c r="BJ470" s="193">
        <v>0</v>
      </c>
      <c r="BK470" s="193">
        <v>0</v>
      </c>
      <c r="BL470" s="193">
        <v>0</v>
      </c>
      <c r="BM470" s="193">
        <v>0</v>
      </c>
      <c r="BN470" s="193">
        <v>0</v>
      </c>
      <c r="BO470" s="193">
        <v>0</v>
      </c>
      <c r="BP470" s="193">
        <v>0</v>
      </c>
      <c r="BQ470" s="193">
        <v>0</v>
      </c>
      <c r="BR470" s="193">
        <v>0</v>
      </c>
      <c r="BS470" s="193">
        <v>0</v>
      </c>
      <c r="BT470" s="193">
        <v>0</v>
      </c>
      <c r="BU470" s="193">
        <v>0</v>
      </c>
      <c r="BV470" s="193">
        <v>0</v>
      </c>
      <c r="BW470" s="193">
        <v>0</v>
      </c>
      <c r="BX470" s="193">
        <v>0</v>
      </c>
      <c r="BY470" s="193">
        <v>0</v>
      </c>
      <c r="BZ470" s="193">
        <v>0</v>
      </c>
      <c r="CA470" s="193">
        <v>0</v>
      </c>
      <c r="CB470" s="193">
        <v>0</v>
      </c>
      <c r="CC470" s="193">
        <v>0</v>
      </c>
      <c r="CD470" s="193">
        <v>0</v>
      </c>
      <c r="CE470" s="193">
        <v>0</v>
      </c>
      <c r="CF470" s="193">
        <v>0</v>
      </c>
      <c r="CG470" s="193">
        <v>0</v>
      </c>
      <c r="CH470" s="193">
        <v>0</v>
      </c>
      <c r="CI470" s="193">
        <v>0</v>
      </c>
      <c r="CJ470" s="193">
        <v>0</v>
      </c>
      <c r="CK470" s="193">
        <v>0</v>
      </c>
      <c r="CL470" s="193">
        <v>0</v>
      </c>
      <c r="CM470" s="193">
        <v>0</v>
      </c>
      <c r="CN470" s="193">
        <v>0</v>
      </c>
      <c r="CO470" s="193">
        <v>0</v>
      </c>
    </row>
    <row r="471" spans="1:93" x14ac:dyDescent="0.2">
      <c r="A471" s="118">
        <f t="shared" si="54"/>
        <v>7</v>
      </c>
      <c r="B471" s="239" t="s">
        <v>635</v>
      </c>
      <c r="C471" s="223"/>
      <c r="D471" s="168"/>
      <c r="E471" s="225"/>
      <c r="F471" s="183"/>
      <c r="G471" s="223"/>
      <c r="H471" s="174"/>
      <c r="I471" s="308"/>
      <c r="J471" s="168"/>
      <c r="K471" s="225"/>
      <c r="L471" s="183"/>
      <c r="M471" s="223"/>
      <c r="N471" s="174"/>
      <c r="O471" s="227"/>
      <c r="P471" s="227"/>
      <c r="Q471" s="176"/>
      <c r="R471" s="227"/>
      <c r="S471" s="227"/>
      <c r="T471" s="227"/>
      <c r="U471" s="178"/>
      <c r="V471" s="179"/>
      <c r="W471" s="180"/>
      <c r="X471" s="227"/>
      <c r="Y471" s="178"/>
      <c r="Z471" s="181"/>
      <c r="AA471" s="227"/>
      <c r="AB471" s="227"/>
      <c r="AC471" s="227"/>
    </row>
    <row r="472" spans="1:93" x14ac:dyDescent="0.2">
      <c r="A472" s="118">
        <f t="shared" si="54"/>
        <v>8</v>
      </c>
      <c r="B472" s="228" t="s">
        <v>543</v>
      </c>
      <c r="C472" s="223"/>
      <c r="D472" s="168"/>
      <c r="E472" s="225"/>
      <c r="F472" s="183"/>
      <c r="G472" s="223"/>
      <c r="H472" s="174"/>
      <c r="I472" s="308"/>
      <c r="J472" s="168"/>
      <c r="K472" s="225"/>
      <c r="L472" s="310"/>
      <c r="M472" s="223"/>
      <c r="N472" s="174"/>
      <c r="O472" s="227"/>
      <c r="P472" s="227"/>
      <c r="Q472" s="176"/>
      <c r="R472" s="230"/>
      <c r="S472" s="230"/>
      <c r="T472" s="227"/>
      <c r="U472" s="184"/>
      <c r="V472" s="179"/>
      <c r="W472" s="180"/>
      <c r="X472" s="227"/>
      <c r="Y472" s="184"/>
      <c r="Z472" s="181"/>
      <c r="AA472" s="227"/>
      <c r="AB472" s="227"/>
      <c r="AC472" s="227"/>
    </row>
    <row r="473" spans="1:93" x14ac:dyDescent="0.2">
      <c r="A473" s="118">
        <f t="shared" si="54"/>
        <v>9</v>
      </c>
      <c r="B473" s="234" t="s">
        <v>149</v>
      </c>
      <c r="C473" s="223"/>
      <c r="D473" s="172">
        <f>SUMIF($AH$6:$CP$6,1,$AH473:$CP473)</f>
        <v>334101.01510327338</v>
      </c>
      <c r="E473" s="225" t="s">
        <v>555</v>
      </c>
      <c r="F473" s="183">
        <v>38.630000000000003</v>
      </c>
      <c r="G473" s="233" t="s">
        <v>375</v>
      </c>
      <c r="H473" s="187">
        <f>ROUND(D473*F473,2)</f>
        <v>12906322.210000001</v>
      </c>
      <c r="I473" s="308"/>
      <c r="J473" s="172">
        <f>SUMIF($AH$6:$CP$6,1,$AH473:$CP473)</f>
        <v>334101.01510327338</v>
      </c>
      <c r="K473" s="225" t="s">
        <v>555</v>
      </c>
      <c r="L473" s="173">
        <f>'Exhibit MJC-3 - E-13c cal yr'!L534</f>
        <v>40.22</v>
      </c>
      <c r="M473" s="233" t="s">
        <v>375</v>
      </c>
      <c r="N473" s="187">
        <f>ROUND(J473*L473,2)</f>
        <v>13437542.83</v>
      </c>
      <c r="O473" s="227"/>
      <c r="P473" s="227"/>
      <c r="Q473" s="939"/>
      <c r="R473" s="230"/>
      <c r="S473" s="259"/>
      <c r="T473" s="227"/>
      <c r="U473" s="184" t="s">
        <v>125</v>
      </c>
      <c r="V473" s="179">
        <v>259</v>
      </c>
      <c r="W473" s="180">
        <v>233</v>
      </c>
      <c r="X473" s="227"/>
      <c r="Y473" s="184" t="s">
        <v>125</v>
      </c>
      <c r="Z473" s="181" t="s">
        <v>141</v>
      </c>
      <c r="AA473" s="227"/>
      <c r="AB473" s="182">
        <f>SUM(AH473:AS473)</f>
        <v>332354.81598162343</v>
      </c>
      <c r="AC473" s="182">
        <f>SUM(AT473:BE473)</f>
        <v>332422.78063432855</v>
      </c>
      <c r="AD473" s="182">
        <f>SUM(BF473:BQ473)</f>
        <v>333499.66776665463</v>
      </c>
      <c r="AE473" s="182">
        <f>SUM(BR473:CC473)</f>
        <v>334101.01510327338</v>
      </c>
      <c r="AF473" s="182">
        <f>SUM(CD473:CO473)</f>
        <v>337305.97524525167</v>
      </c>
      <c r="AH473" s="168">
        <v>34345.651274339769</v>
      </c>
      <c r="AI473" s="168">
        <v>29958.902185970597</v>
      </c>
      <c r="AJ473" s="168">
        <v>23743.66543980423</v>
      </c>
      <c r="AK473" s="168">
        <v>27388.327262132825</v>
      </c>
      <c r="AL473" s="168">
        <v>30694.751927261626</v>
      </c>
      <c r="AM473" s="168">
        <v>27443.462502193506</v>
      </c>
      <c r="AN473" s="168">
        <v>24378.950676322056</v>
      </c>
      <c r="AO473" s="168">
        <v>26939.712896834841</v>
      </c>
      <c r="AP473" s="168">
        <v>25923.782996348058</v>
      </c>
      <c r="AQ473" s="168">
        <v>28557.908821139023</v>
      </c>
      <c r="AR473" s="168">
        <v>28148.665611460419</v>
      </c>
      <c r="AS473" s="168">
        <v>24831.03438781657</v>
      </c>
      <c r="AT473" s="168">
        <v>33285.429390162652</v>
      </c>
      <c r="AU473" s="168">
        <v>29745.869901169124</v>
      </c>
      <c r="AV473" s="168">
        <v>23185.166901094108</v>
      </c>
      <c r="AW473" s="168">
        <v>27314.016957379365</v>
      </c>
      <c r="AX473" s="168">
        <v>30026.885345408133</v>
      </c>
      <c r="AY473" s="168">
        <v>26578.192917354696</v>
      </c>
      <c r="AZ473" s="168">
        <v>24940.550038454363</v>
      </c>
      <c r="BA473" s="168">
        <v>27307.521337452825</v>
      </c>
      <c r="BB473" s="168">
        <v>26312.782815224244</v>
      </c>
      <c r="BC473" s="168">
        <v>29238.063275340606</v>
      </c>
      <c r="BD473" s="168">
        <v>29475.687623904316</v>
      </c>
      <c r="BE473" s="168">
        <v>25012.614131384104</v>
      </c>
      <c r="BF473" s="168">
        <v>33026.394993170325</v>
      </c>
      <c r="BG473" s="168">
        <v>30066.223756790754</v>
      </c>
      <c r="BH473" s="168">
        <v>23476.358458131905</v>
      </c>
      <c r="BI473" s="168">
        <v>27120.144803480332</v>
      </c>
      <c r="BJ473" s="168">
        <v>30135.152978094724</v>
      </c>
      <c r="BK473" s="168">
        <v>26990.488540885719</v>
      </c>
      <c r="BL473" s="168">
        <v>25079.93184668586</v>
      </c>
      <c r="BM473" s="168">
        <v>27520.953635757061</v>
      </c>
      <c r="BN473" s="168">
        <v>26355.527725827735</v>
      </c>
      <c r="BO473" s="168">
        <v>28925.27146878733</v>
      </c>
      <c r="BP473" s="168">
        <v>29363.937038535994</v>
      </c>
      <c r="BQ473" s="168">
        <v>25439.282520506873</v>
      </c>
      <c r="BR473" s="168">
        <v>32940.084430029136</v>
      </c>
      <c r="BS473" s="168">
        <v>29722.478416434937</v>
      </c>
      <c r="BT473" s="168">
        <v>23672.539118981113</v>
      </c>
      <c r="BU473" s="168">
        <v>27454.295147344303</v>
      </c>
      <c r="BV473" s="168">
        <v>29529.704383243465</v>
      </c>
      <c r="BW473" s="168">
        <v>27363.48777176057</v>
      </c>
      <c r="BX473" s="168">
        <v>25430.574488482667</v>
      </c>
      <c r="BY473" s="168">
        <v>27699.758748254153</v>
      </c>
      <c r="BZ473" s="168">
        <v>26423.860321407898</v>
      </c>
      <c r="CA473" s="168">
        <v>29185.532118138282</v>
      </c>
      <c r="CB473" s="168">
        <v>29497.232155176192</v>
      </c>
      <c r="CC473" s="168">
        <v>25181.468004020669</v>
      </c>
      <c r="CD473" s="168">
        <v>33330.037916831941</v>
      </c>
      <c r="CE473" s="168">
        <v>29648.909450721054</v>
      </c>
      <c r="CF473" s="168">
        <v>23287.546669424974</v>
      </c>
      <c r="CG473" s="168">
        <v>28064.471295403007</v>
      </c>
      <c r="CH473" s="168">
        <v>30381.911649636615</v>
      </c>
      <c r="CI473" s="168">
        <v>27249.117838503098</v>
      </c>
      <c r="CJ473" s="168">
        <v>25577.012495731597</v>
      </c>
      <c r="CK473" s="168">
        <v>27956.292858378863</v>
      </c>
      <c r="CL473" s="168">
        <v>27120.128285706123</v>
      </c>
      <c r="CM473" s="168">
        <v>29441.72754562075</v>
      </c>
      <c r="CN473" s="168">
        <v>29941.329642733355</v>
      </c>
      <c r="CO473" s="168">
        <v>25307.489596560219</v>
      </c>
    </row>
    <row r="474" spans="1:93" x14ac:dyDescent="0.2">
      <c r="A474" s="118">
        <f t="shared" si="54"/>
        <v>10</v>
      </c>
      <c r="B474" s="223"/>
      <c r="C474" s="223"/>
      <c r="D474" s="168"/>
      <c r="E474" s="225"/>
      <c r="F474" s="183"/>
      <c r="G474" s="223"/>
      <c r="H474" s="174"/>
      <c r="I474" s="308"/>
      <c r="J474" s="168"/>
      <c r="K474" s="225"/>
      <c r="L474" s="183"/>
      <c r="M474" s="223"/>
      <c r="N474" s="174"/>
      <c r="O474" s="227"/>
      <c r="P474" s="227"/>
      <c r="Q474" s="176"/>
      <c r="R474" s="230"/>
      <c r="S474" s="227"/>
      <c r="T474" s="227"/>
      <c r="U474" s="178"/>
      <c r="V474" s="179"/>
      <c r="W474" s="180"/>
      <c r="X474" s="227"/>
      <c r="Y474" s="178"/>
      <c r="Z474" s="181"/>
      <c r="AA474" s="227"/>
      <c r="AB474" s="193">
        <f>SUM(AH474:AS474)</f>
        <v>0</v>
      </c>
      <c r="AC474" s="193">
        <f>SUM(AT474:BE474)</f>
        <v>0</v>
      </c>
      <c r="AD474" s="193">
        <f>SUM(BF474:BQ474)</f>
        <v>0</v>
      </c>
      <c r="AE474" s="193">
        <f>SUM(BR474:CC474)</f>
        <v>0</v>
      </c>
      <c r="AF474" s="193">
        <f>SUM(CD474:CO474)</f>
        <v>0</v>
      </c>
      <c r="AH474" s="294">
        <v>0</v>
      </c>
      <c r="AI474" s="294">
        <v>0</v>
      </c>
      <c r="AJ474" s="294">
        <v>0</v>
      </c>
      <c r="AK474" s="294">
        <v>0</v>
      </c>
      <c r="AL474" s="294">
        <v>0</v>
      </c>
      <c r="AM474" s="294">
        <v>0</v>
      </c>
      <c r="AN474" s="294">
        <v>0</v>
      </c>
      <c r="AO474" s="294">
        <v>0</v>
      </c>
      <c r="AP474" s="294">
        <v>0</v>
      </c>
      <c r="AQ474" s="294">
        <v>0</v>
      </c>
      <c r="AR474" s="294">
        <v>0</v>
      </c>
      <c r="AS474" s="294">
        <v>0</v>
      </c>
      <c r="AT474" s="294">
        <v>0</v>
      </c>
      <c r="AU474" s="294">
        <v>0</v>
      </c>
      <c r="AV474" s="294">
        <v>0</v>
      </c>
      <c r="AW474" s="294">
        <v>0</v>
      </c>
      <c r="AX474" s="294">
        <v>0</v>
      </c>
      <c r="AY474" s="294">
        <v>0</v>
      </c>
      <c r="AZ474" s="294">
        <v>0</v>
      </c>
      <c r="BA474" s="294">
        <v>0</v>
      </c>
      <c r="BB474" s="294">
        <v>0</v>
      </c>
      <c r="BC474" s="294">
        <v>0</v>
      </c>
      <c r="BD474" s="294">
        <v>0</v>
      </c>
      <c r="BE474" s="294">
        <v>0</v>
      </c>
      <c r="BF474" s="294">
        <v>0</v>
      </c>
      <c r="BG474" s="294">
        <v>0</v>
      </c>
      <c r="BH474" s="294">
        <v>0</v>
      </c>
      <c r="BI474" s="294">
        <v>0</v>
      </c>
      <c r="BJ474" s="294">
        <v>0</v>
      </c>
      <c r="BK474" s="294">
        <v>0</v>
      </c>
      <c r="BL474" s="294">
        <v>0</v>
      </c>
      <c r="BM474" s="294">
        <v>0</v>
      </c>
      <c r="BN474" s="294">
        <v>0</v>
      </c>
      <c r="BO474" s="294">
        <v>0</v>
      </c>
      <c r="BP474" s="294">
        <v>0</v>
      </c>
      <c r="BQ474" s="294">
        <v>0</v>
      </c>
      <c r="BR474" s="294">
        <v>0</v>
      </c>
      <c r="BS474" s="294">
        <v>0</v>
      </c>
      <c r="BT474" s="294">
        <v>0</v>
      </c>
      <c r="BU474" s="294">
        <v>0</v>
      </c>
      <c r="BV474" s="294">
        <v>0</v>
      </c>
      <c r="BW474" s="294">
        <v>0</v>
      </c>
      <c r="BX474" s="294">
        <v>0</v>
      </c>
      <c r="BY474" s="294">
        <v>0</v>
      </c>
      <c r="BZ474" s="294">
        <v>0</v>
      </c>
      <c r="CA474" s="294">
        <v>0</v>
      </c>
      <c r="CB474" s="294">
        <v>0</v>
      </c>
      <c r="CC474" s="294">
        <v>0</v>
      </c>
      <c r="CD474" s="294">
        <v>0</v>
      </c>
      <c r="CE474" s="294">
        <v>0</v>
      </c>
      <c r="CF474" s="294">
        <v>0</v>
      </c>
      <c r="CG474" s="294">
        <v>0</v>
      </c>
      <c r="CH474" s="294">
        <v>0</v>
      </c>
      <c r="CI474" s="294">
        <v>0</v>
      </c>
      <c r="CJ474" s="294">
        <v>0</v>
      </c>
      <c r="CK474" s="294">
        <v>0</v>
      </c>
      <c r="CL474" s="294">
        <v>0</v>
      </c>
      <c r="CM474" s="294">
        <v>0</v>
      </c>
      <c r="CN474" s="294">
        <v>0</v>
      </c>
      <c r="CO474" s="294">
        <v>0</v>
      </c>
    </row>
    <row r="475" spans="1:93" x14ac:dyDescent="0.2">
      <c r="A475" s="118">
        <f t="shared" si="54"/>
        <v>11</v>
      </c>
      <c r="B475" s="246" t="s">
        <v>563</v>
      </c>
      <c r="C475" s="223"/>
      <c r="D475" s="168"/>
      <c r="E475" s="225"/>
      <c r="F475" s="183"/>
      <c r="G475" s="223"/>
      <c r="H475" s="174"/>
      <c r="I475" s="308"/>
      <c r="J475" s="223"/>
      <c r="K475" s="225"/>
      <c r="L475" s="183"/>
      <c r="M475" s="223"/>
      <c r="N475" s="174"/>
      <c r="O475" s="227"/>
      <c r="P475" s="227"/>
      <c r="Q475" s="176"/>
      <c r="R475" s="227"/>
      <c r="S475" s="227"/>
      <c r="T475" s="227"/>
      <c r="U475" s="178"/>
      <c r="V475" s="179"/>
      <c r="W475" s="180"/>
      <c r="X475" s="227"/>
      <c r="Y475" s="178"/>
      <c r="Z475" s="181"/>
      <c r="AA475" s="227"/>
      <c r="AB475" s="227"/>
      <c r="AC475" s="227"/>
    </row>
    <row r="476" spans="1:93" x14ac:dyDescent="0.2">
      <c r="A476" s="118">
        <f t="shared" si="54"/>
        <v>12</v>
      </c>
      <c r="B476" s="223"/>
      <c r="C476" s="223"/>
      <c r="D476" s="168"/>
      <c r="E476" s="225"/>
      <c r="F476" s="183"/>
      <c r="G476" s="223"/>
      <c r="H476" s="174"/>
      <c r="I476" s="308"/>
      <c r="J476" s="223"/>
      <c r="K476" s="225"/>
      <c r="L476" s="183"/>
      <c r="M476" s="223"/>
      <c r="N476" s="174"/>
      <c r="O476" s="227"/>
      <c r="P476" s="227"/>
      <c r="Q476" s="176"/>
      <c r="R476" s="227"/>
      <c r="S476" s="227"/>
      <c r="T476" s="227"/>
      <c r="U476" s="178"/>
      <c r="V476" s="179"/>
      <c r="W476" s="180"/>
      <c r="X476" s="227"/>
      <c r="Y476" s="178"/>
      <c r="Z476" s="181"/>
      <c r="AA476" s="227"/>
      <c r="AB476" s="227"/>
      <c r="AC476" s="227"/>
      <c r="AE476" s="260"/>
      <c r="AF476" s="260"/>
      <c r="AG476" s="260"/>
      <c r="AH476" s="114"/>
      <c r="AI476" s="114"/>
      <c r="AJ476" s="114"/>
      <c r="AK476" s="114"/>
      <c r="AL476" s="114"/>
      <c r="AM476" s="114"/>
      <c r="AN476" s="114"/>
      <c r="AO476" s="114"/>
      <c r="AP476" s="114"/>
      <c r="AQ476" s="114"/>
      <c r="AR476" s="114"/>
      <c r="AS476" s="114"/>
      <c r="AT476" s="114"/>
      <c r="AU476" s="114"/>
      <c r="AV476" s="114"/>
      <c r="AW476" s="114"/>
      <c r="AX476" s="114"/>
      <c r="AY476" s="114"/>
      <c r="AZ476" s="114"/>
      <c r="BA476" s="114"/>
      <c r="BB476" s="114"/>
      <c r="BC476" s="114"/>
      <c r="BD476" s="114"/>
      <c r="BE476" s="114"/>
      <c r="BF476" s="114"/>
      <c r="BG476" s="114"/>
      <c r="BH476" s="114"/>
      <c r="BI476" s="114"/>
      <c r="BJ476" s="114"/>
      <c r="BK476" s="114"/>
      <c r="BL476" s="114"/>
      <c r="BM476" s="114"/>
      <c r="BN476" s="114"/>
      <c r="BO476" s="114"/>
      <c r="BP476" s="114"/>
      <c r="BQ476" s="114"/>
      <c r="BR476" s="114"/>
      <c r="BS476" s="114"/>
      <c r="BT476" s="114"/>
      <c r="BU476" s="114"/>
      <c r="BV476" s="114"/>
      <c r="BW476" s="114"/>
      <c r="BX476" s="114"/>
      <c r="BY476" s="114"/>
      <c r="BZ476" s="114"/>
      <c r="CA476" s="114"/>
      <c r="CB476" s="114"/>
      <c r="CC476" s="114"/>
      <c r="CD476" s="114"/>
      <c r="CE476" s="114"/>
      <c r="CF476" s="114"/>
      <c r="CG476" s="114"/>
      <c r="CH476" s="114"/>
      <c r="CI476" s="114"/>
      <c r="CJ476" s="114"/>
      <c r="CK476" s="114"/>
      <c r="CL476" s="114"/>
      <c r="CM476" s="114"/>
      <c r="CN476" s="114"/>
      <c r="CO476" s="114"/>
    </row>
    <row r="477" spans="1:93" x14ac:dyDescent="0.2">
      <c r="A477" s="118">
        <f t="shared" si="54"/>
        <v>13</v>
      </c>
      <c r="B477" s="171" t="s">
        <v>564</v>
      </c>
      <c r="C477" s="223"/>
      <c r="D477" s="168"/>
      <c r="E477" s="225"/>
      <c r="F477" s="166"/>
      <c r="G477" s="223"/>
      <c r="H477" s="174">
        <f>'MFR E-5 Yr4'!P22*1000</f>
        <v>177868.02600000001</v>
      </c>
      <c r="I477" s="162"/>
      <c r="J477" s="208"/>
      <c r="K477" s="166"/>
      <c r="L477" s="166"/>
      <c r="M477" s="143"/>
      <c r="N477" s="174">
        <f>H477</f>
        <v>177868.02600000001</v>
      </c>
      <c r="O477" s="227"/>
      <c r="P477" s="227"/>
      <c r="Q477" s="176"/>
      <c r="R477" s="227"/>
      <c r="S477" s="227"/>
      <c r="T477" s="227"/>
      <c r="U477" s="178"/>
      <c r="V477" s="179"/>
      <c r="W477" s="180"/>
      <c r="X477" s="227"/>
      <c r="Y477" s="178" t="s">
        <v>125</v>
      </c>
      <c r="Z477" s="181" t="s">
        <v>565</v>
      </c>
      <c r="AA477" s="227"/>
      <c r="AB477" s="227"/>
      <c r="AC477" s="227"/>
      <c r="AE477" s="114"/>
      <c r="AF477" s="114"/>
      <c r="AG477" s="114"/>
      <c r="AH477" s="114"/>
      <c r="AI477" s="114"/>
      <c r="AJ477" s="114"/>
      <c r="AK477" s="114"/>
      <c r="AL477" s="114"/>
      <c r="AM477" s="114"/>
      <c r="AN477" s="114"/>
      <c r="AO477" s="114"/>
      <c r="AP477" s="114"/>
      <c r="AQ477" s="114"/>
      <c r="AR477" s="114"/>
      <c r="AS477" s="114"/>
      <c r="AT477" s="114"/>
      <c r="AU477" s="114"/>
      <c r="AV477" s="114"/>
      <c r="AW477" s="114"/>
      <c r="AX477" s="114"/>
      <c r="AY477" s="114"/>
      <c r="AZ477" s="114"/>
      <c r="BA477" s="114"/>
      <c r="BB477" s="114"/>
      <c r="BC477" s="114"/>
      <c r="BD477" s="114"/>
      <c r="BE477" s="114"/>
      <c r="BF477" s="114"/>
      <c r="BG477" s="114"/>
      <c r="BH477" s="114"/>
      <c r="BI477" s="114"/>
      <c r="BJ477" s="114"/>
      <c r="BK477" s="114"/>
      <c r="BL477" s="114"/>
      <c r="BM477" s="114"/>
      <c r="BN477" s="114"/>
      <c r="BO477" s="114"/>
      <c r="BP477" s="114"/>
      <c r="BQ477" s="114"/>
      <c r="BR477" s="114"/>
      <c r="BS477" s="114"/>
      <c r="BT477" s="114"/>
      <c r="BU477" s="114"/>
      <c r="BV477" s="114"/>
      <c r="BW477" s="114"/>
      <c r="BX477" s="114"/>
      <c r="BY477" s="114"/>
      <c r="BZ477" s="114"/>
      <c r="CA477" s="114"/>
      <c r="CB477" s="114"/>
      <c r="CC477" s="114"/>
      <c r="CD477" s="114"/>
      <c r="CE477" s="114"/>
      <c r="CF477" s="114"/>
      <c r="CG477" s="114"/>
      <c r="CH477" s="114"/>
      <c r="CI477" s="114"/>
      <c r="CJ477" s="114"/>
      <c r="CK477" s="114"/>
      <c r="CL477" s="114"/>
      <c r="CM477" s="114"/>
      <c r="CN477" s="114"/>
      <c r="CO477" s="114"/>
    </row>
    <row r="478" spans="1:93" x14ac:dyDescent="0.2">
      <c r="A478" s="118">
        <f t="shared" si="54"/>
        <v>14</v>
      </c>
      <c r="B478" s="171" t="s">
        <v>566</v>
      </c>
      <c r="C478" s="223"/>
      <c r="D478" s="168"/>
      <c r="E478" s="225"/>
      <c r="F478" s="166"/>
      <c r="G478" s="223"/>
      <c r="H478" s="174">
        <f>'MFR E-5 Yr4'!P23*1000</f>
        <v>75593.911049999762</v>
      </c>
      <c r="I478" s="162"/>
      <c r="J478" s="208"/>
      <c r="K478" s="166"/>
      <c r="L478" s="166"/>
      <c r="M478" s="143"/>
      <c r="N478" s="174">
        <f>H478</f>
        <v>75593.911049999762</v>
      </c>
      <c r="O478" s="227"/>
      <c r="P478" s="227"/>
      <c r="Q478" s="176"/>
      <c r="R478" s="227"/>
      <c r="S478" s="227"/>
      <c r="T478" s="227"/>
      <c r="U478" s="178"/>
      <c r="V478" s="179"/>
      <c r="W478" s="180"/>
      <c r="X478" s="227"/>
      <c r="Y478" s="178" t="s">
        <v>125</v>
      </c>
      <c r="Z478" s="181" t="s">
        <v>565</v>
      </c>
      <c r="AA478" s="227"/>
      <c r="AB478" s="227"/>
      <c r="AC478" s="227"/>
      <c r="AE478" s="114"/>
      <c r="AF478" s="114"/>
      <c r="AG478" s="114"/>
      <c r="AH478" s="114"/>
      <c r="AI478" s="114"/>
      <c r="AJ478" s="114"/>
      <c r="AK478" s="114"/>
      <c r="AL478" s="114"/>
      <c r="AM478" s="114"/>
      <c r="AN478" s="114"/>
      <c r="AO478" s="114"/>
      <c r="AP478" s="114"/>
      <c r="AQ478" s="114"/>
      <c r="AR478" s="114"/>
      <c r="AS478" s="114"/>
      <c r="AT478" s="114"/>
      <c r="AU478" s="114"/>
      <c r="AV478" s="114"/>
      <c r="AW478" s="114"/>
      <c r="AX478" s="114"/>
      <c r="AY478" s="114"/>
      <c r="AZ478" s="114"/>
      <c r="BA478" s="114"/>
      <c r="BB478" s="114"/>
      <c r="BC478" s="114"/>
      <c r="BD478" s="114"/>
      <c r="BE478" s="114"/>
      <c r="BF478" s="114"/>
      <c r="BG478" s="114"/>
      <c r="BH478" s="114"/>
      <c r="BI478" s="114"/>
      <c r="BJ478" s="114"/>
      <c r="BK478" s="114"/>
      <c r="BL478" s="114"/>
      <c r="BM478" s="114"/>
      <c r="BN478" s="114"/>
      <c r="BO478" s="114"/>
      <c r="BP478" s="114"/>
      <c r="BQ478" s="114"/>
      <c r="BR478" s="114"/>
      <c r="BS478" s="114"/>
      <c r="BT478" s="114"/>
      <c r="BU478" s="114"/>
      <c r="BV478" s="114"/>
      <c r="BW478" s="114"/>
      <c r="BX478" s="114"/>
      <c r="BY478" s="114"/>
      <c r="BZ478" s="114"/>
      <c r="CA478" s="114"/>
      <c r="CB478" s="114"/>
      <c r="CC478" s="114"/>
      <c r="CD478" s="114"/>
      <c r="CE478" s="114"/>
      <c r="CF478" s="114"/>
      <c r="CG478" s="114"/>
      <c r="CH478" s="114"/>
      <c r="CI478" s="114"/>
      <c r="CJ478" s="114"/>
      <c r="CK478" s="114"/>
      <c r="CL478" s="114"/>
      <c r="CM478" s="114"/>
      <c r="CN478" s="114"/>
      <c r="CO478" s="114"/>
    </row>
    <row r="479" spans="1:93" x14ac:dyDescent="0.2">
      <c r="A479" s="118">
        <f>+A477+1</f>
        <v>14</v>
      </c>
      <c r="B479" s="223"/>
      <c r="C479" s="223"/>
      <c r="D479" s="168"/>
      <c r="E479" s="225"/>
      <c r="F479" s="183"/>
      <c r="G479" s="223"/>
      <c r="H479" s="174"/>
      <c r="I479" s="308"/>
      <c r="J479" s="223"/>
      <c r="K479" s="225"/>
      <c r="L479" s="183"/>
      <c r="M479" s="223"/>
      <c r="N479" s="174"/>
      <c r="O479" s="227"/>
      <c r="P479" s="227"/>
      <c r="Q479" s="176"/>
      <c r="R479" s="227"/>
      <c r="S479" s="227"/>
      <c r="T479" s="227"/>
      <c r="U479" s="184"/>
      <c r="V479" s="179"/>
      <c r="W479" s="180"/>
      <c r="X479" s="227"/>
      <c r="Y479" s="184"/>
      <c r="Z479" s="181"/>
      <c r="AA479" s="227"/>
      <c r="AB479" s="227"/>
      <c r="AC479" s="227"/>
      <c r="AE479" s="114"/>
      <c r="AF479" s="114"/>
      <c r="AG479" s="114"/>
      <c r="AH479" s="114"/>
      <c r="AI479" s="114"/>
      <c r="AJ479" s="114"/>
      <c r="AK479" s="114"/>
      <c r="AL479" s="114"/>
      <c r="AM479" s="114"/>
      <c r="AN479" s="114"/>
      <c r="AO479" s="114"/>
      <c r="AP479" s="114"/>
      <c r="AQ479" s="114"/>
      <c r="AR479" s="114"/>
      <c r="AS479" s="114"/>
      <c r="AT479" s="114"/>
      <c r="AU479" s="114"/>
      <c r="AV479" s="114"/>
      <c r="AW479" s="114"/>
      <c r="AX479" s="114"/>
      <c r="AY479" s="114"/>
      <c r="AZ479" s="114"/>
      <c r="BA479" s="114"/>
      <c r="BB479" s="114"/>
      <c r="BC479" s="114"/>
      <c r="BD479" s="114"/>
      <c r="BE479" s="114"/>
      <c r="BF479" s="114"/>
      <c r="BG479" s="114"/>
      <c r="BH479" s="114"/>
      <c r="BI479" s="114"/>
      <c r="BJ479" s="114"/>
      <c r="BK479" s="114"/>
      <c r="BL479" s="114"/>
      <c r="BM479" s="114"/>
      <c r="BN479" s="114"/>
      <c r="BO479" s="114"/>
      <c r="BP479" s="114"/>
      <c r="BQ479" s="114"/>
      <c r="BR479" s="114"/>
      <c r="BS479" s="114"/>
      <c r="BT479" s="114"/>
      <c r="BU479" s="114"/>
      <c r="BV479" s="114"/>
      <c r="BW479" s="114"/>
      <c r="BX479" s="114"/>
      <c r="BY479" s="114"/>
      <c r="BZ479" s="114"/>
      <c r="CA479" s="114"/>
      <c r="CB479" s="114"/>
      <c r="CC479" s="114"/>
      <c r="CD479" s="114"/>
      <c r="CE479" s="114"/>
      <c r="CF479" s="114"/>
      <c r="CG479" s="114"/>
      <c r="CH479" s="114"/>
      <c r="CI479" s="114"/>
      <c r="CJ479" s="114"/>
      <c r="CK479" s="114"/>
      <c r="CL479" s="114"/>
      <c r="CM479" s="114"/>
      <c r="CN479" s="114"/>
      <c r="CO479" s="114"/>
    </row>
    <row r="480" spans="1:93" ht="10.8" thickBot="1" x14ac:dyDescent="0.25">
      <c r="A480" s="118">
        <f t="shared" si="54"/>
        <v>15</v>
      </c>
      <c r="B480" s="246" t="s">
        <v>636</v>
      </c>
      <c r="C480" s="223"/>
      <c r="D480" s="168"/>
      <c r="E480" s="225"/>
      <c r="F480" s="183"/>
      <c r="G480" s="223"/>
      <c r="H480" s="210">
        <f>H469+H473+H477+H478</f>
        <v>14921831.197050001</v>
      </c>
      <c r="I480" s="308"/>
      <c r="J480" s="223"/>
      <c r="K480" s="225"/>
      <c r="L480" s="183"/>
      <c r="M480" s="223"/>
      <c r="N480" s="210">
        <f>N469+N473+N477+N478</f>
        <v>15526321.26705</v>
      </c>
      <c r="O480" s="227"/>
      <c r="P480" s="227"/>
      <c r="Q480" s="939">
        <f>(N480-H480)/H480</f>
        <v>4.0510448216268806E-2</v>
      </c>
      <c r="R480" s="227"/>
      <c r="S480" s="227"/>
      <c r="T480" s="227"/>
      <c r="U480" s="184"/>
      <c r="V480" s="179"/>
      <c r="W480" s="180"/>
      <c r="X480" s="227"/>
      <c r="Y480" s="184" t="s">
        <v>125</v>
      </c>
      <c r="Z480" s="181" t="s">
        <v>121</v>
      </c>
      <c r="AA480" s="227"/>
      <c r="AB480" s="227"/>
      <c r="AC480" s="227"/>
      <c r="AE480" s="114"/>
      <c r="AF480" s="114"/>
      <c r="AG480" s="238"/>
      <c r="AH480" s="114"/>
      <c r="AI480" s="114"/>
      <c r="AJ480" s="114"/>
      <c r="AK480" s="114"/>
      <c r="AL480" s="114"/>
      <c r="AM480" s="114"/>
      <c r="AN480" s="114"/>
      <c r="AO480" s="114"/>
      <c r="AP480" s="114"/>
      <c r="AQ480" s="114"/>
      <c r="AR480" s="114"/>
      <c r="AS480" s="114"/>
      <c r="AT480" s="114"/>
      <c r="AU480" s="114"/>
      <c r="AV480" s="114"/>
      <c r="AW480" s="114"/>
      <c r="AX480" s="114"/>
      <c r="AY480" s="114"/>
      <c r="AZ480" s="114"/>
      <c r="BA480" s="114"/>
      <c r="BB480" s="114"/>
      <c r="BC480" s="114"/>
      <c r="BD480" s="114"/>
      <c r="BE480" s="114"/>
      <c r="BF480" s="114"/>
      <c r="BG480" s="114"/>
      <c r="BH480" s="114"/>
      <c r="BI480" s="114"/>
      <c r="BJ480" s="114"/>
      <c r="BK480" s="114"/>
      <c r="BL480" s="114"/>
      <c r="BM480" s="114"/>
      <c r="BN480" s="114"/>
      <c r="BO480" s="114"/>
      <c r="BP480" s="114"/>
      <c r="BQ480" s="114"/>
      <c r="BR480" s="114"/>
      <c r="BS480" s="114"/>
      <c r="BT480" s="114"/>
      <c r="BU480" s="114"/>
      <c r="BV480" s="114"/>
      <c r="BW480" s="114"/>
      <c r="BX480" s="114"/>
      <c r="BY480" s="114"/>
      <c r="BZ480" s="114"/>
      <c r="CA480" s="114"/>
      <c r="CB480" s="114"/>
      <c r="CC480" s="114"/>
      <c r="CD480" s="114"/>
      <c r="CE480" s="114"/>
      <c r="CF480" s="114"/>
      <c r="CG480" s="114"/>
      <c r="CH480" s="114"/>
      <c r="CI480" s="114"/>
      <c r="CJ480" s="114"/>
      <c r="CK480" s="114"/>
      <c r="CL480" s="114"/>
      <c r="CM480" s="114"/>
      <c r="CN480" s="114"/>
      <c r="CO480" s="114"/>
    </row>
    <row r="481" spans="1:93" ht="10.8" thickTop="1" x14ac:dyDescent="0.2">
      <c r="A481" s="118">
        <f t="shared" si="54"/>
        <v>16</v>
      </c>
      <c r="B481" s="223"/>
      <c r="C481" s="223"/>
      <c r="D481" s="168"/>
      <c r="E481" s="225"/>
      <c r="F481" s="183"/>
      <c r="G481" s="223"/>
      <c r="H481" s="174"/>
      <c r="I481" s="308"/>
      <c r="J481" s="143"/>
      <c r="K481" s="166"/>
      <c r="L481" s="166"/>
      <c r="M481" s="143"/>
      <c r="N481" s="174"/>
      <c r="O481" s="227"/>
      <c r="P481" s="227"/>
      <c r="Q481" s="176"/>
      <c r="R481" s="227"/>
      <c r="S481" s="227"/>
      <c r="T481" s="227"/>
      <c r="U481" s="184"/>
      <c r="V481" s="179"/>
      <c r="W481" s="180"/>
      <c r="X481" s="227"/>
      <c r="Y481" s="184"/>
      <c r="Z481" s="181"/>
      <c r="AA481" s="227"/>
      <c r="AB481" s="227"/>
      <c r="AC481" s="227"/>
      <c r="AE481" s="114"/>
      <c r="AF481" s="114"/>
      <c r="AG481" s="241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4"/>
      <c r="BJ481" s="114"/>
      <c r="BK481" s="114"/>
      <c r="BL481" s="114"/>
      <c r="BM481" s="114"/>
      <c r="BN481" s="114"/>
      <c r="BO481" s="114"/>
      <c r="BP481" s="114"/>
      <c r="BQ481" s="114"/>
      <c r="BR481" s="114"/>
      <c r="BS481" s="114"/>
      <c r="BT481" s="114"/>
      <c r="BU481" s="114"/>
      <c r="BV481" s="114"/>
      <c r="BW481" s="114"/>
      <c r="BX481" s="114"/>
      <c r="BY481" s="114"/>
      <c r="BZ481" s="114"/>
      <c r="CA481" s="114"/>
      <c r="CB481" s="114"/>
      <c r="CC481" s="114"/>
      <c r="CD481" s="114"/>
      <c r="CE481" s="114"/>
      <c r="CF481" s="114"/>
      <c r="CG481" s="114"/>
      <c r="CH481" s="114"/>
      <c r="CI481" s="114"/>
      <c r="CJ481" s="114"/>
      <c r="CK481" s="114"/>
      <c r="CL481" s="114"/>
      <c r="CM481" s="114"/>
      <c r="CN481" s="114"/>
      <c r="CO481" s="114"/>
    </row>
    <row r="482" spans="1:93" x14ac:dyDescent="0.2">
      <c r="A482" s="118">
        <f t="shared" si="54"/>
        <v>17</v>
      </c>
      <c r="B482" s="226"/>
      <c r="C482" s="223"/>
      <c r="D482" s="168"/>
      <c r="E482" s="225"/>
      <c r="F482" s="183"/>
      <c r="G482" s="223"/>
      <c r="H482" s="174"/>
      <c r="I482" s="308"/>
      <c r="J482" s="171" t="s">
        <v>573</v>
      </c>
      <c r="K482" s="166"/>
      <c r="L482" s="166"/>
      <c r="M482" s="143"/>
      <c r="N482" s="174">
        <f>N480-H480</f>
        <v>604490.06999999844</v>
      </c>
      <c r="O482" s="227"/>
      <c r="P482" s="227"/>
      <c r="Q482" s="176"/>
      <c r="R482" s="227"/>
      <c r="S482" s="227"/>
      <c r="T482" s="227"/>
      <c r="U482" s="178"/>
      <c r="V482" s="179"/>
      <c r="W482" s="180"/>
      <c r="X482" s="227"/>
      <c r="Y482" s="178"/>
      <c r="Z482" s="181"/>
      <c r="AA482" s="227"/>
      <c r="AB482" s="227"/>
      <c r="AC482" s="227"/>
      <c r="AE482" s="114"/>
      <c r="AF482" s="114"/>
      <c r="AG482" s="241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4"/>
      <c r="BJ482" s="114"/>
      <c r="BK482" s="114"/>
      <c r="BL482" s="114"/>
      <c r="BM482" s="114"/>
      <c r="BN482" s="114"/>
      <c r="BO482" s="114"/>
      <c r="BP482" s="114"/>
      <c r="BQ482" s="114"/>
      <c r="BR482" s="114"/>
      <c r="BS482" s="114"/>
      <c r="BT482" s="114"/>
      <c r="BU482" s="114"/>
      <c r="BV482" s="114"/>
      <c r="BW482" s="114"/>
      <c r="BX482" s="114"/>
      <c r="BY482" s="114"/>
      <c r="BZ482" s="114"/>
      <c r="CA482" s="114"/>
      <c r="CB482" s="114"/>
      <c r="CC482" s="114"/>
      <c r="CD482" s="114"/>
      <c r="CE482" s="114"/>
      <c r="CF482" s="114"/>
      <c r="CG482" s="114"/>
      <c r="CH482" s="114"/>
      <c r="CI482" s="114"/>
      <c r="CJ482" s="114"/>
      <c r="CK482" s="114"/>
      <c r="CL482" s="114"/>
      <c r="CM482" s="114"/>
      <c r="CN482" s="114"/>
      <c r="CO482" s="114"/>
    </row>
    <row r="483" spans="1:93" x14ac:dyDescent="0.2">
      <c r="A483" s="118">
        <f t="shared" si="54"/>
        <v>18</v>
      </c>
      <c r="B483" s="223"/>
      <c r="C483" s="223"/>
      <c r="D483" s="168"/>
      <c r="E483" s="225"/>
      <c r="F483" s="183"/>
      <c r="G483" s="223"/>
      <c r="H483" s="174"/>
      <c r="I483" s="308"/>
      <c r="J483" s="171"/>
      <c r="K483" s="166"/>
      <c r="L483" s="166"/>
      <c r="M483" s="143"/>
      <c r="N483" s="212"/>
      <c r="O483" s="227"/>
      <c r="P483" s="227"/>
      <c r="Q483" s="176"/>
      <c r="R483" s="227"/>
      <c r="S483" s="227"/>
      <c r="T483" s="227"/>
      <c r="U483" s="178"/>
      <c r="V483" s="179"/>
      <c r="W483" s="180"/>
      <c r="X483" s="227"/>
      <c r="Y483" s="178"/>
      <c r="Z483" s="181"/>
      <c r="AA483" s="227"/>
      <c r="AB483" s="227"/>
      <c r="AC483" s="227"/>
      <c r="AE483" s="114"/>
      <c r="AF483" s="114"/>
      <c r="AG483" s="241"/>
      <c r="AH483" s="114"/>
      <c r="AI483" s="114"/>
      <c r="AJ483" s="114"/>
      <c r="AK483" s="114"/>
      <c r="AL483" s="114"/>
      <c r="AM483" s="114"/>
      <c r="AN483" s="114"/>
      <c r="AO483" s="114"/>
      <c r="AP483" s="114"/>
      <c r="AQ483" s="114"/>
      <c r="AR483" s="114"/>
      <c r="AS483" s="114"/>
      <c r="AT483" s="114"/>
      <c r="AU483" s="114"/>
      <c r="AV483" s="114"/>
      <c r="AW483" s="114"/>
      <c r="AX483" s="114"/>
      <c r="AY483" s="114"/>
      <c r="AZ483" s="114"/>
      <c r="BA483" s="114"/>
      <c r="BB483" s="114"/>
      <c r="BC483" s="114"/>
      <c r="BD483" s="114"/>
      <c r="BE483" s="114"/>
      <c r="BF483" s="114"/>
      <c r="BG483" s="114"/>
      <c r="BH483" s="114"/>
      <c r="BI483" s="114"/>
      <c r="BJ483" s="114"/>
      <c r="BK483" s="114"/>
      <c r="BL483" s="114"/>
      <c r="BM483" s="114"/>
      <c r="BN483" s="114"/>
      <c r="BO483" s="114"/>
      <c r="BP483" s="114"/>
      <c r="BQ483" s="114"/>
      <c r="BR483" s="114"/>
      <c r="BS483" s="114"/>
      <c r="BT483" s="114"/>
      <c r="BU483" s="114"/>
      <c r="BV483" s="114"/>
      <c r="BW483" s="114"/>
      <c r="BX483" s="114"/>
      <c r="BY483" s="114"/>
      <c r="BZ483" s="114"/>
      <c r="CA483" s="114"/>
      <c r="CB483" s="114"/>
      <c r="CC483" s="114"/>
      <c r="CD483" s="114"/>
      <c r="CE483" s="114"/>
      <c r="CF483" s="114"/>
      <c r="CG483" s="114"/>
      <c r="CH483" s="114"/>
      <c r="CI483" s="114"/>
      <c r="CJ483" s="114"/>
      <c r="CK483" s="114"/>
      <c r="CL483" s="114"/>
      <c r="CM483" s="114"/>
      <c r="CN483" s="114"/>
      <c r="CO483" s="114"/>
    </row>
    <row r="484" spans="1:93" x14ac:dyDescent="0.2">
      <c r="A484" s="118">
        <f t="shared" si="54"/>
        <v>19</v>
      </c>
      <c r="B484" s="243"/>
      <c r="C484" s="223"/>
      <c r="D484" s="168"/>
      <c r="E484" s="225"/>
      <c r="F484" s="183"/>
      <c r="G484" s="233"/>
      <c r="H484" s="174"/>
      <c r="I484" s="308"/>
      <c r="J484" s="168"/>
      <c r="K484" s="225"/>
      <c r="L484" s="183"/>
      <c r="M484" s="233"/>
      <c r="N484" s="174"/>
      <c r="O484" s="227"/>
      <c r="P484" s="227"/>
      <c r="Q484" s="227"/>
      <c r="U484" s="252"/>
      <c r="V484" s="253"/>
      <c r="W484" s="254"/>
      <c r="X484" s="103"/>
      <c r="Y484" s="252"/>
      <c r="Z484" s="255"/>
    </row>
    <row r="485" spans="1:93" x14ac:dyDescent="0.2">
      <c r="A485" s="215"/>
      <c r="B485" s="215" t="s">
        <v>674</v>
      </c>
      <c r="C485" s="215"/>
      <c r="D485" s="215"/>
      <c r="E485" s="215"/>
      <c r="F485" s="215"/>
      <c r="G485" s="215"/>
      <c r="H485" s="215"/>
      <c r="I485" s="215"/>
      <c r="J485" s="215"/>
      <c r="K485" s="215"/>
      <c r="L485" s="215"/>
      <c r="M485" s="215"/>
      <c r="N485" s="215" t="s">
        <v>675</v>
      </c>
      <c r="O485" s="215"/>
      <c r="P485" s="215"/>
      <c r="Q485" s="215"/>
      <c r="Y485" s="101"/>
    </row>
    <row r="486" spans="1:93" x14ac:dyDescent="0.2">
      <c r="A486" s="216"/>
      <c r="B486" s="216"/>
      <c r="C486" s="216"/>
      <c r="D486" s="216"/>
      <c r="E486" s="216"/>
      <c r="F486" s="216"/>
      <c r="G486" s="216"/>
      <c r="H486" s="216"/>
      <c r="I486" s="216"/>
      <c r="J486" s="216"/>
      <c r="K486" s="216"/>
      <c r="L486" s="216"/>
      <c r="M486" s="216"/>
      <c r="N486" s="216"/>
      <c r="O486" s="216"/>
      <c r="P486" s="216"/>
      <c r="Q486" s="216"/>
      <c r="R486" s="216"/>
      <c r="S486" s="216"/>
      <c r="T486" s="216"/>
      <c r="U486" s="216"/>
      <c r="V486" s="216"/>
      <c r="W486" s="216"/>
      <c r="X486" s="216"/>
      <c r="Y486" s="216"/>
      <c r="Z486" s="217"/>
      <c r="AA486" s="216"/>
      <c r="AB486" s="216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  <c r="AO486" s="216"/>
      <c r="AP486" s="216"/>
      <c r="AQ486" s="216"/>
      <c r="AR486" s="216"/>
      <c r="AS486" s="216"/>
      <c r="AT486" s="216"/>
      <c r="AU486" s="216"/>
      <c r="AV486" s="216"/>
      <c r="AW486" s="216"/>
      <c r="AX486" s="216"/>
      <c r="AY486" s="216"/>
      <c r="AZ486" s="216"/>
      <c r="BA486" s="216"/>
      <c r="BB486" s="216"/>
      <c r="BC486" s="216"/>
      <c r="BD486" s="216"/>
      <c r="BE486" s="216"/>
      <c r="BF486" s="216"/>
      <c r="BG486" s="216"/>
      <c r="BH486" s="216"/>
      <c r="BI486" s="216"/>
      <c r="BJ486" s="216"/>
      <c r="BK486" s="216"/>
      <c r="BL486" s="216"/>
      <c r="BM486" s="216"/>
      <c r="BN486" s="216"/>
      <c r="BO486" s="216"/>
      <c r="BP486" s="216"/>
      <c r="BQ486" s="216"/>
      <c r="BR486" s="216"/>
      <c r="BS486" s="216"/>
      <c r="BT486" s="216"/>
      <c r="BU486" s="216"/>
      <c r="BV486" s="216"/>
      <c r="BW486" s="216"/>
      <c r="BX486" s="216"/>
      <c r="BY486" s="216"/>
      <c r="BZ486" s="216"/>
      <c r="CA486" s="216"/>
      <c r="CB486" s="216"/>
      <c r="CC486" s="216"/>
      <c r="CD486" s="216"/>
      <c r="CE486" s="216"/>
      <c r="CF486" s="216"/>
      <c r="CG486" s="216"/>
      <c r="CH486" s="216"/>
      <c r="CI486" s="216"/>
      <c r="CJ486" s="216"/>
      <c r="CK486" s="216"/>
      <c r="CL486" s="216"/>
      <c r="CM486" s="216"/>
      <c r="CN486" s="216"/>
      <c r="CO486" s="216"/>
    </row>
    <row r="487" spans="1:93" x14ac:dyDescent="0.2">
      <c r="A487" s="100" t="s">
        <v>505</v>
      </c>
      <c r="C487" s="102"/>
      <c r="D487" s="103"/>
      <c r="F487" s="268"/>
      <c r="G487" s="104"/>
      <c r="H487" s="269" t="s">
        <v>506</v>
      </c>
      <c r="I487" s="104"/>
      <c r="J487" s="104"/>
      <c r="K487" s="104"/>
      <c r="L487" s="268"/>
      <c r="N487" s="270"/>
      <c r="Q487" s="106" t="s">
        <v>638</v>
      </c>
      <c r="R487" s="322"/>
      <c r="S487" s="322"/>
      <c r="U487" s="114"/>
      <c r="V487" s="114"/>
      <c r="W487" s="114"/>
      <c r="Y487" s="114"/>
      <c r="Z487" s="218"/>
      <c r="AC487" s="114"/>
    </row>
    <row r="488" spans="1:93" ht="10.8" thickBot="1" x14ac:dyDescent="0.25">
      <c r="A488" s="108"/>
      <c r="B488" s="109"/>
      <c r="C488" s="109"/>
      <c r="D488" s="109"/>
      <c r="E488" s="110" t="s">
        <v>416</v>
      </c>
      <c r="F488" s="271" t="s">
        <v>416</v>
      </c>
      <c r="G488" s="109" t="s">
        <v>416</v>
      </c>
      <c r="H488" s="272" t="s">
        <v>416</v>
      </c>
      <c r="I488" s="109" t="s">
        <v>416</v>
      </c>
      <c r="J488" s="109"/>
      <c r="K488" s="109"/>
      <c r="L488" s="271" t="s">
        <v>416</v>
      </c>
      <c r="M488" s="111"/>
      <c r="N488" s="273"/>
      <c r="O488" s="109"/>
      <c r="P488" s="112"/>
      <c r="Q488" s="109"/>
      <c r="U488" s="114"/>
      <c r="V488" s="114"/>
      <c r="W488" s="114"/>
      <c r="Y488" s="114"/>
      <c r="Z488" s="218"/>
      <c r="AC488" s="114"/>
    </row>
    <row r="489" spans="1:93" x14ac:dyDescent="0.2">
      <c r="A489" s="113"/>
      <c r="F489" s="197"/>
      <c r="H489" s="203"/>
      <c r="L489" s="197"/>
      <c r="M489" s="105"/>
      <c r="N489" s="270"/>
      <c r="P489" s="114"/>
      <c r="U489" s="114"/>
      <c r="V489" s="114"/>
      <c r="W489" s="114"/>
      <c r="Y489" s="114"/>
      <c r="Z489" s="218"/>
      <c r="AC489" s="114"/>
    </row>
    <row r="490" spans="1:93" x14ac:dyDescent="0.2">
      <c r="A490" s="100" t="s">
        <v>3</v>
      </c>
      <c r="D490" s="106" t="s">
        <v>4</v>
      </c>
      <c r="E490" s="101" t="s">
        <v>508</v>
      </c>
      <c r="F490" s="197"/>
      <c r="H490" s="203"/>
      <c r="L490" s="197"/>
      <c r="N490" s="203"/>
      <c r="O490" s="100" t="s">
        <v>6</v>
      </c>
      <c r="U490" s="114"/>
      <c r="V490" s="114"/>
      <c r="W490" s="114"/>
      <c r="Y490" s="114"/>
      <c r="Z490" s="218"/>
      <c r="AC490" s="114"/>
    </row>
    <row r="491" spans="1:93" x14ac:dyDescent="0.2">
      <c r="E491" s="101" t="s">
        <v>509</v>
      </c>
      <c r="F491" s="197"/>
      <c r="H491" s="203"/>
      <c r="L491" s="197"/>
      <c r="N491" s="203"/>
      <c r="U491" s="114"/>
      <c r="V491" s="114"/>
      <c r="W491" s="114"/>
      <c r="Y491" s="114"/>
      <c r="Z491" s="218"/>
      <c r="AC491" s="114"/>
    </row>
    <row r="492" spans="1:93" x14ac:dyDescent="0.2">
      <c r="A492" s="100" t="s">
        <v>9</v>
      </c>
      <c r="E492" s="101" t="s">
        <v>510</v>
      </c>
      <c r="F492" s="197"/>
      <c r="H492" s="203"/>
      <c r="L492" s="197"/>
      <c r="N492" s="203"/>
      <c r="O492" s="101" t="str">
        <f>O457</f>
        <v>__X__  Projected Test Year Ended 12/31/26</v>
      </c>
      <c r="U492" s="114"/>
      <c r="V492" s="114"/>
      <c r="W492" s="114"/>
      <c r="Y492" s="114"/>
      <c r="Z492" s="218"/>
      <c r="AC492" s="114"/>
    </row>
    <row r="493" spans="1:93" x14ac:dyDescent="0.2">
      <c r="E493" s="101" t="s">
        <v>512</v>
      </c>
      <c r="F493" s="197"/>
      <c r="H493" s="203"/>
      <c r="L493" s="197"/>
      <c r="N493" s="203"/>
      <c r="U493" s="114"/>
      <c r="V493" s="114"/>
      <c r="W493" s="114"/>
      <c r="Y493" s="114"/>
      <c r="Z493" s="218"/>
      <c r="AC493" s="114"/>
    </row>
    <row r="494" spans="1:93" x14ac:dyDescent="0.2">
      <c r="A494" s="100" t="s">
        <v>491</v>
      </c>
      <c r="C494" s="119" t="str">
        <f>C412</f>
        <v>20240025-EI</v>
      </c>
      <c r="F494" s="197"/>
      <c r="H494" s="203"/>
      <c r="L494" s="197"/>
      <c r="N494" s="203"/>
      <c r="O494" s="100" t="s">
        <v>493</v>
      </c>
      <c r="U494" s="114"/>
      <c r="V494" s="114"/>
      <c r="W494" s="114"/>
      <c r="Y494" s="114"/>
      <c r="Z494" s="218"/>
      <c r="AC494" s="114"/>
    </row>
    <row r="495" spans="1:93" ht="10.8" thickBot="1" x14ac:dyDescent="0.25">
      <c r="A495" s="123"/>
      <c r="B495" s="109"/>
      <c r="C495" s="109"/>
      <c r="D495" s="109"/>
      <c r="E495" s="109"/>
      <c r="F495" s="274"/>
      <c r="G495" s="109"/>
      <c r="H495" s="272"/>
      <c r="I495" s="109"/>
      <c r="J495" s="109"/>
      <c r="K495" s="109"/>
      <c r="L495" s="274"/>
      <c r="M495" s="109"/>
      <c r="N495" s="275"/>
      <c r="O495" s="109"/>
      <c r="P495" s="109"/>
      <c r="Q495" s="109"/>
      <c r="U495" s="114"/>
      <c r="V495" s="114"/>
      <c r="W495" s="114"/>
      <c r="Y495" s="114"/>
      <c r="Z495" s="218"/>
      <c r="AC495" s="114"/>
    </row>
    <row r="496" spans="1:93" ht="15.6" x14ac:dyDescent="0.2">
      <c r="B496" s="1369"/>
      <c r="C496" s="125"/>
      <c r="D496" s="125"/>
      <c r="E496" s="125"/>
      <c r="F496" s="276"/>
      <c r="G496" s="125"/>
      <c r="H496" s="277"/>
      <c r="I496" s="126" t="s">
        <v>639</v>
      </c>
      <c r="J496" s="125"/>
      <c r="K496" s="125"/>
      <c r="L496" s="276"/>
      <c r="M496" s="125"/>
      <c r="N496" s="277"/>
      <c r="U496" s="127" t="s">
        <v>530</v>
      </c>
      <c r="V496" s="128"/>
      <c r="W496" s="129"/>
      <c r="Y496" s="130" t="s">
        <v>531</v>
      </c>
      <c r="Z496" s="131"/>
    </row>
    <row r="497" spans="1:93" x14ac:dyDescent="0.2">
      <c r="A497" s="101" t="s">
        <v>30</v>
      </c>
      <c r="B497" s="101" t="s">
        <v>532</v>
      </c>
      <c r="C497" s="132"/>
      <c r="D497" s="133" t="s">
        <v>533</v>
      </c>
      <c r="E497" s="134"/>
      <c r="F497" s="278"/>
      <c r="G497" s="133"/>
      <c r="H497" s="279"/>
      <c r="I497" s="135"/>
      <c r="J497" s="136" t="s">
        <v>534</v>
      </c>
      <c r="K497" s="133"/>
      <c r="L497" s="278"/>
      <c r="M497" s="134"/>
      <c r="N497" s="280"/>
      <c r="O497" s="1372"/>
      <c r="Q497" s="118" t="s">
        <v>332</v>
      </c>
      <c r="U497" s="138"/>
      <c r="V497" s="139"/>
      <c r="W497" s="140"/>
      <c r="Y497" s="138"/>
      <c r="Z497" s="141"/>
    </row>
    <row r="498" spans="1:93" x14ac:dyDescent="0.2">
      <c r="A498" s="101" t="s">
        <v>39</v>
      </c>
      <c r="B498" s="102" t="s">
        <v>535</v>
      </c>
      <c r="C498" s="104"/>
      <c r="D498" s="142" t="s">
        <v>536</v>
      </c>
      <c r="E498" s="143"/>
      <c r="F498" s="281" t="s">
        <v>537</v>
      </c>
      <c r="G498" s="142"/>
      <c r="H498" s="282" t="s">
        <v>538</v>
      </c>
      <c r="I498" s="144"/>
      <c r="J498" s="142" t="s">
        <v>536</v>
      </c>
      <c r="K498" s="143"/>
      <c r="L498" s="281" t="s">
        <v>537</v>
      </c>
      <c r="M498" s="142"/>
      <c r="N498" s="282" t="s">
        <v>538</v>
      </c>
      <c r="O498" s="132"/>
      <c r="Q498" s="145" t="s">
        <v>539</v>
      </c>
      <c r="R498" s="132"/>
      <c r="S498" s="132"/>
      <c r="U498" s="138" t="s">
        <v>128</v>
      </c>
      <c r="V498" s="146" t="s">
        <v>343</v>
      </c>
      <c r="W498" s="147" t="s">
        <v>344</v>
      </c>
      <c r="Y498" s="148" t="s">
        <v>128</v>
      </c>
      <c r="Z498" s="149"/>
      <c r="AH498" s="116"/>
      <c r="AI498" s="116"/>
      <c r="AJ498" s="116"/>
      <c r="AK498" s="116"/>
      <c r="AL498" s="116"/>
      <c r="AM498" s="116"/>
      <c r="AN498" s="116"/>
      <c r="AO498" s="116"/>
      <c r="AP498" s="116"/>
      <c r="AQ498" s="116"/>
      <c r="AR498" s="116"/>
      <c r="AS498" s="116"/>
      <c r="AT498" s="116"/>
      <c r="AU498" s="116"/>
      <c r="AV498" s="116"/>
      <c r="AW498" s="116"/>
      <c r="AX498" s="116"/>
      <c r="AY498" s="116"/>
      <c r="AZ498" s="116"/>
      <c r="BA498" s="116"/>
      <c r="BB498" s="116"/>
      <c r="BC498" s="116"/>
      <c r="BD498" s="116"/>
      <c r="BE498" s="116"/>
      <c r="BF498" s="116"/>
      <c r="BG498" s="116"/>
      <c r="BH498" s="116"/>
      <c r="BI498" s="116"/>
      <c r="BJ498" s="116"/>
      <c r="BK498" s="116"/>
      <c r="BL498" s="116"/>
      <c r="BM498" s="116"/>
      <c r="BN498" s="116"/>
      <c r="BO498" s="116"/>
      <c r="BP498" s="116"/>
      <c r="BQ498" s="116"/>
      <c r="BR498" s="116"/>
      <c r="BS498" s="116"/>
      <c r="BT498" s="116"/>
      <c r="BU498" s="116"/>
      <c r="BV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I498" s="116"/>
      <c r="CJ498" s="116"/>
      <c r="CK498" s="116"/>
      <c r="CL498" s="116"/>
      <c r="CM498" s="116"/>
      <c r="CN498" s="116"/>
      <c r="CO498" s="116"/>
    </row>
    <row r="499" spans="1:93" ht="10.8" thickBot="1" x14ac:dyDescent="0.25">
      <c r="A499" s="109"/>
      <c r="B499" s="1370" t="s">
        <v>138</v>
      </c>
      <c r="C499" s="150"/>
      <c r="D499" s="220" t="str">
        <f>+$D$13</f>
        <v>Jan '26-Dec '26</v>
      </c>
      <c r="E499" s="221"/>
      <c r="F499" s="152">
        <f>+$L$13</f>
        <v>46023</v>
      </c>
      <c r="G499" s="153"/>
      <c r="H499" s="153"/>
      <c r="I499" s="153"/>
      <c r="J499" s="153"/>
      <c r="K499" s="151"/>
      <c r="L499" s="152">
        <f>+$L$13</f>
        <v>46023</v>
      </c>
      <c r="M499" s="154"/>
      <c r="N499" s="283"/>
      <c r="O499" s="155"/>
      <c r="P499" s="109"/>
      <c r="Q499" s="156"/>
      <c r="R499" s="132"/>
      <c r="S499" s="132"/>
      <c r="U499" s="157" t="s">
        <v>144</v>
      </c>
      <c r="V499" s="158" t="s">
        <v>540</v>
      </c>
      <c r="W499" s="159" t="s">
        <v>540</v>
      </c>
      <c r="Y499" s="160" t="s">
        <v>144</v>
      </c>
      <c r="Z499" s="159" t="s">
        <v>541</v>
      </c>
      <c r="AH499" s="116"/>
      <c r="AI499" s="116"/>
      <c r="AJ499" s="116"/>
      <c r="AK499" s="116"/>
      <c r="AL499" s="116"/>
      <c r="AM499" s="116"/>
      <c r="AN499" s="116"/>
      <c r="AO499" s="116"/>
      <c r="AP499" s="116"/>
      <c r="AQ499" s="116"/>
      <c r="AR499" s="116"/>
      <c r="AS499" s="116"/>
      <c r="AT499" s="116"/>
      <c r="AU499" s="116"/>
      <c r="AV499" s="116"/>
      <c r="AW499" s="116"/>
      <c r="AX499" s="116"/>
      <c r="AY499" s="116"/>
      <c r="AZ499" s="116"/>
      <c r="BA499" s="116"/>
      <c r="BB499" s="116"/>
      <c r="BC499" s="116"/>
      <c r="BD499" s="116"/>
      <c r="BE499" s="116"/>
      <c r="BF499" s="116"/>
      <c r="BG499" s="116"/>
      <c r="BH499" s="116"/>
      <c r="BI499" s="116"/>
      <c r="BJ499" s="116"/>
      <c r="BK499" s="116"/>
      <c r="BL499" s="116"/>
      <c r="BM499" s="116"/>
      <c r="BN499" s="116"/>
      <c r="BO499" s="116"/>
      <c r="BP499" s="116"/>
      <c r="BQ499" s="116"/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6"/>
      <c r="CB499" s="116"/>
      <c r="CC499" s="116"/>
      <c r="CD499" s="116"/>
      <c r="CE499" s="116"/>
      <c r="CF499" s="116"/>
      <c r="CG499" s="116"/>
      <c r="CH499" s="116"/>
      <c r="CI499" s="116"/>
      <c r="CJ499" s="116"/>
      <c r="CK499" s="116"/>
      <c r="CL499" s="116"/>
      <c r="CM499" s="116"/>
      <c r="CN499" s="116"/>
      <c r="CO499" s="116"/>
    </row>
    <row r="500" spans="1:93" x14ac:dyDescent="0.2">
      <c r="A500" s="118">
        <v>1</v>
      </c>
      <c r="F500" s="197"/>
      <c r="H500" s="203"/>
      <c r="I500" s="323"/>
      <c r="L500" s="197"/>
      <c r="N500" s="203"/>
      <c r="O500" s="227"/>
      <c r="P500" s="227"/>
      <c r="Q500" s="230"/>
      <c r="R500" s="132"/>
      <c r="S500" s="132"/>
      <c r="U500" s="163"/>
      <c r="V500" s="139"/>
      <c r="W500" s="140"/>
      <c r="Y500" s="163"/>
      <c r="Z500" s="141"/>
      <c r="AH500" s="116"/>
      <c r="AI500" s="116"/>
      <c r="AJ500" s="116"/>
      <c r="AK500" s="116"/>
      <c r="AL500" s="116"/>
      <c r="AM500" s="116"/>
      <c r="AN500" s="116"/>
      <c r="AO500" s="116"/>
      <c r="AP500" s="116"/>
      <c r="AQ500" s="116"/>
      <c r="AR500" s="116"/>
      <c r="AS500" s="116"/>
      <c r="AT500" s="116"/>
      <c r="AU500" s="116"/>
      <c r="AV500" s="116"/>
      <c r="AW500" s="116"/>
      <c r="AX500" s="116"/>
      <c r="AY500" s="116"/>
      <c r="AZ500" s="116"/>
      <c r="BA500" s="116"/>
      <c r="BB500" s="116"/>
      <c r="BC500" s="116"/>
      <c r="BD500" s="116"/>
      <c r="BE500" s="116"/>
      <c r="BF500" s="116"/>
      <c r="BG500" s="116"/>
      <c r="BH500" s="116"/>
      <c r="BI500" s="116"/>
      <c r="BJ500" s="116"/>
      <c r="BK500" s="116"/>
      <c r="BL500" s="116"/>
      <c r="BM500" s="116"/>
      <c r="BN500" s="116"/>
      <c r="BO500" s="116"/>
      <c r="BP500" s="116"/>
      <c r="BQ500" s="116"/>
      <c r="BR500" s="116"/>
      <c r="BS500" s="116"/>
      <c r="BT500" s="116"/>
      <c r="BU500" s="116"/>
      <c r="BV500" s="116"/>
      <c r="BW500" s="116"/>
      <c r="BX500" s="116"/>
      <c r="BY500" s="116"/>
      <c r="BZ500" s="116"/>
      <c r="CA500" s="116"/>
      <c r="CB500" s="116"/>
      <c r="CC500" s="116"/>
      <c r="CD500" s="116"/>
      <c r="CE500" s="116"/>
      <c r="CF500" s="116"/>
      <c r="CG500" s="116"/>
      <c r="CH500" s="116"/>
      <c r="CI500" s="116"/>
      <c r="CJ500" s="116"/>
      <c r="CK500" s="116"/>
      <c r="CL500" s="116"/>
      <c r="CM500" s="116"/>
      <c r="CN500" s="116"/>
      <c r="CO500" s="116"/>
    </row>
    <row r="501" spans="1:93" x14ac:dyDescent="0.2">
      <c r="A501" s="118">
        <f t="shared" ref="A501:A536" si="56">+A500+1</f>
        <v>2</v>
      </c>
      <c r="B501" s="222" t="s">
        <v>542</v>
      </c>
      <c r="C501" s="223"/>
      <c r="D501" s="226"/>
      <c r="E501" s="225"/>
      <c r="F501" s="284"/>
      <c r="G501" s="227"/>
      <c r="H501" s="285"/>
      <c r="I501" s="308"/>
      <c r="J501" s="226"/>
      <c r="K501" s="225"/>
      <c r="L501" s="310"/>
      <c r="M501" s="227"/>
      <c r="N501" s="285"/>
      <c r="O501" s="227"/>
      <c r="P501" s="227"/>
      <c r="Q501" s="227"/>
      <c r="R501" s="227"/>
      <c r="S501" s="227"/>
      <c r="T501" s="227"/>
      <c r="U501" s="163"/>
      <c r="V501" s="139"/>
      <c r="W501" s="140"/>
      <c r="X501" s="227"/>
      <c r="Y501" s="163"/>
      <c r="Z501" s="141"/>
      <c r="AA501" s="227"/>
      <c r="AH501" s="116"/>
      <c r="AI501" s="116"/>
      <c r="AJ501" s="116"/>
      <c r="AK501" s="116"/>
      <c r="AL501" s="116"/>
      <c r="AM501" s="116"/>
      <c r="AN501" s="116"/>
      <c r="AO501" s="116"/>
      <c r="AP501" s="116"/>
      <c r="AQ501" s="116"/>
      <c r="AR501" s="116"/>
      <c r="AS501" s="116"/>
      <c r="AT501" s="116"/>
      <c r="AU501" s="116"/>
      <c r="AV501" s="116"/>
      <c r="AW501" s="116"/>
      <c r="AX501" s="116"/>
      <c r="AY501" s="116"/>
      <c r="AZ501" s="116"/>
      <c r="BA501" s="116"/>
      <c r="BB501" s="116"/>
      <c r="BC501" s="116"/>
      <c r="BD501" s="116"/>
      <c r="BE501" s="116"/>
      <c r="BF501" s="116"/>
      <c r="BG501" s="116"/>
      <c r="BH501" s="116"/>
      <c r="BI501" s="116"/>
      <c r="BJ501" s="116"/>
      <c r="BK501" s="116"/>
      <c r="BL501" s="116"/>
      <c r="BM501" s="116"/>
      <c r="BN501" s="116"/>
      <c r="BO501" s="116"/>
      <c r="BP501" s="116"/>
      <c r="BQ501" s="116"/>
      <c r="BR501" s="116"/>
      <c r="BS501" s="116"/>
      <c r="BT501" s="116"/>
      <c r="BU501" s="116"/>
      <c r="BV501" s="116"/>
      <c r="BW501" s="116"/>
      <c r="BX501" s="116"/>
      <c r="BY501" s="116"/>
      <c r="BZ501" s="116"/>
      <c r="CA501" s="116"/>
      <c r="CB501" s="116"/>
      <c r="CC501" s="116"/>
      <c r="CD501" s="116"/>
      <c r="CE501" s="116"/>
      <c r="CF501" s="116"/>
      <c r="CG501" s="116"/>
      <c r="CH501" s="116"/>
      <c r="CI501" s="116"/>
      <c r="CJ501" s="116"/>
      <c r="CK501" s="116"/>
      <c r="CL501" s="116"/>
      <c r="CM501" s="116"/>
      <c r="CN501" s="116"/>
      <c r="CO501" s="116"/>
    </row>
    <row r="502" spans="1:93" x14ac:dyDescent="0.2">
      <c r="A502" s="118">
        <f t="shared" si="56"/>
        <v>3</v>
      </c>
      <c r="B502" s="234" t="s">
        <v>148</v>
      </c>
      <c r="C502" s="223"/>
      <c r="D502" s="172">
        <f>SUMIF($AH$6:$CP$6,1,$AH502:$CP502)</f>
        <v>50.961722892793311</v>
      </c>
      <c r="E502" s="233" t="s">
        <v>545</v>
      </c>
      <c r="F502" s="183">
        <v>432.09</v>
      </c>
      <c r="G502" s="233" t="s">
        <v>375</v>
      </c>
      <c r="H502" s="174">
        <f>ROUND(D502*F502,2)</f>
        <v>22020.05</v>
      </c>
      <c r="I502" s="308"/>
      <c r="J502" s="172">
        <f>SUMIF($AH$6:$CP$6,1,$AH502:$CP502)</f>
        <v>50.961722892793311</v>
      </c>
      <c r="K502" s="233" t="s">
        <v>545</v>
      </c>
      <c r="L502" s="173">
        <f>'Exhibit MJC-3 - E-13c cal yr'!L589</f>
        <v>440.95</v>
      </c>
      <c r="M502" s="233" t="s">
        <v>375</v>
      </c>
      <c r="N502" s="174">
        <f>ROUND(J502*L502,2)</f>
        <v>22471.57</v>
      </c>
      <c r="O502" s="227"/>
      <c r="P502" s="262"/>
      <c r="Q502" s="262"/>
      <c r="R502" s="311"/>
      <c r="S502" s="227"/>
      <c r="T502" s="227"/>
      <c r="U502" s="184" t="s">
        <v>138</v>
      </c>
      <c r="V502" s="179">
        <v>256</v>
      </c>
      <c r="W502" s="180">
        <v>230</v>
      </c>
      <c r="X502" s="227"/>
      <c r="Y502" s="184"/>
      <c r="Z502" s="181"/>
      <c r="AA502" s="227"/>
      <c r="AB502" s="182">
        <f>SUM(AH502:AS502)</f>
        <v>50.412232916970453</v>
      </c>
      <c r="AC502" s="182">
        <f>SUM(AT502:BE502)</f>
        <v>50.638594769349368</v>
      </c>
      <c r="AD502" s="182">
        <f>SUM(BF502:BQ502)</f>
        <v>50.763897535735651</v>
      </c>
      <c r="AE502" s="182">
        <f>SUM(BR502:CC502)</f>
        <v>50.961722892793311</v>
      </c>
      <c r="AF502" s="182">
        <f>SUM(CD502:CO502)</f>
        <v>51.233591326929087</v>
      </c>
      <c r="AH502" s="168">
        <v>5.1847972297730083</v>
      </c>
      <c r="AI502" s="168">
        <v>3.6060930375009992</v>
      </c>
      <c r="AJ502" s="168">
        <v>1.3043970136661396</v>
      </c>
      <c r="AK502" s="168">
        <v>4.5262708290770268</v>
      </c>
      <c r="AL502" s="168">
        <v>4.4253463731842366</v>
      </c>
      <c r="AM502" s="168">
        <v>4.0147431362022603</v>
      </c>
      <c r="AN502" s="168">
        <v>4.6220983526615829</v>
      </c>
      <c r="AO502" s="168">
        <v>4.4694884734779965</v>
      </c>
      <c r="AP502" s="168">
        <v>4.5345286246373497</v>
      </c>
      <c r="AQ502" s="168">
        <v>4.4959003296916569</v>
      </c>
      <c r="AR502" s="168">
        <v>4.7284856730810088</v>
      </c>
      <c r="AS502" s="168">
        <v>4.5000838440171886</v>
      </c>
      <c r="AT502" s="168">
        <v>5.1975836681532552</v>
      </c>
      <c r="AU502" s="168">
        <v>3.6267412122533291</v>
      </c>
      <c r="AV502" s="168">
        <v>1.3129196201605153</v>
      </c>
      <c r="AW502" s="168">
        <v>4.5552395763332338</v>
      </c>
      <c r="AX502" s="168">
        <v>4.4509101401772853</v>
      </c>
      <c r="AY502" s="168">
        <v>4.0370319766140188</v>
      </c>
      <c r="AZ502" s="168">
        <v>4.6442280514964853</v>
      </c>
      <c r="BA502" s="168">
        <v>4.4895522910695682</v>
      </c>
      <c r="BB502" s="168">
        <v>4.5529638685387441</v>
      </c>
      <c r="BC502" s="168">
        <v>4.5126300675263558</v>
      </c>
      <c r="BD502" s="168">
        <v>4.7439647953726167</v>
      </c>
      <c r="BE502" s="168">
        <v>4.5148295016539608</v>
      </c>
      <c r="BF502" s="168">
        <v>5.204722221991096</v>
      </c>
      <c r="BG502" s="168">
        <v>3.6371835868262998</v>
      </c>
      <c r="BH502" s="168">
        <v>1.3129069996595857</v>
      </c>
      <c r="BI502" s="168">
        <v>4.5685470804909745</v>
      </c>
      <c r="BJ502" s="168">
        <v>4.4639875030093288</v>
      </c>
      <c r="BK502" s="168">
        <v>4.0486787196639513</v>
      </c>
      <c r="BL502" s="168">
        <v>4.656493337218965</v>
      </c>
      <c r="BM502" s="168">
        <v>4.5016699727256224</v>
      </c>
      <c r="BN502" s="168">
        <v>4.5645520534774127</v>
      </c>
      <c r="BO502" s="168">
        <v>4.523843096689828</v>
      </c>
      <c r="BP502" s="168">
        <v>4.7547730596629885</v>
      </c>
      <c r="BQ502" s="168">
        <v>4.526539904319602</v>
      </c>
      <c r="BR502" s="168">
        <v>5.2095296265142235</v>
      </c>
      <c r="BS502" s="168">
        <v>3.6470229209183538</v>
      </c>
      <c r="BT502" s="168">
        <v>1.3136483200370848</v>
      </c>
      <c r="BU502" s="168">
        <v>4.5848823926827</v>
      </c>
      <c r="BV502" s="168">
        <v>4.4812798386377022</v>
      </c>
      <c r="BW502" s="168">
        <v>4.0659347518788369</v>
      </c>
      <c r="BX502" s="168">
        <v>4.6757069543328074</v>
      </c>
      <c r="BY502" s="168">
        <v>4.5216161531814247</v>
      </c>
      <c r="BZ502" s="168">
        <v>4.5859235319135898</v>
      </c>
      <c r="CA502" s="168">
        <v>4.5463522402250511</v>
      </c>
      <c r="CB502" s="168">
        <v>4.7791500807819869</v>
      </c>
      <c r="CC502" s="168">
        <v>4.550676081689554</v>
      </c>
      <c r="CD502" s="168">
        <v>5.2333373115476318</v>
      </c>
      <c r="CE502" s="168">
        <v>3.6615270272715144</v>
      </c>
      <c r="CF502" s="168">
        <v>1.318997815025799</v>
      </c>
      <c r="CG502" s="168">
        <v>4.6096760852399568</v>
      </c>
      <c r="CH502" s="168">
        <v>4.5058429091415881</v>
      </c>
      <c r="CI502" s="168">
        <v>4.090329761001831</v>
      </c>
      <c r="CJ502" s="168">
        <v>4.7018757389771979</v>
      </c>
      <c r="CK502" s="168">
        <v>4.5471910973985308</v>
      </c>
      <c r="CL502" s="168">
        <v>4.6116569247459012</v>
      </c>
      <c r="CM502" s="168">
        <v>4.5715633277818579</v>
      </c>
      <c r="CN502" s="168">
        <v>4.8053209229614628</v>
      </c>
      <c r="CO502" s="168">
        <v>4.5762724058358133</v>
      </c>
    </row>
    <row r="503" spans="1:93" x14ac:dyDescent="0.2">
      <c r="A503" s="118">
        <f t="shared" si="56"/>
        <v>4</v>
      </c>
      <c r="B503" s="234" t="s">
        <v>216</v>
      </c>
      <c r="C503" s="223"/>
      <c r="D503" s="172">
        <f>SUMIF($AH$6:$CP$6,1,$AH503:$CP503)</f>
        <v>3.8461677654938358</v>
      </c>
      <c r="E503" s="233" t="s">
        <v>545</v>
      </c>
      <c r="F503" s="183">
        <v>1488.73</v>
      </c>
      <c r="G503" s="233" t="s">
        <v>375</v>
      </c>
      <c r="H503" s="174">
        <f>ROUND(D503*F503,2)</f>
        <v>5725.91</v>
      </c>
      <c r="I503" s="308"/>
      <c r="J503" s="172">
        <f>SUMIF($AH$6:$CP$6,1,$AH503:$CP503)</f>
        <v>3.8461677654938358</v>
      </c>
      <c r="K503" s="233" t="s">
        <v>545</v>
      </c>
      <c r="L503" s="173">
        <f>'Exhibit MJC-3 - E-13c cal yr'!L590</f>
        <v>1519.27</v>
      </c>
      <c r="M503" s="233" t="s">
        <v>375</v>
      </c>
      <c r="N503" s="174">
        <f>ROUND(J503*L503,2)</f>
        <v>5843.37</v>
      </c>
      <c r="O503" s="227"/>
      <c r="P503" s="262"/>
      <c r="Q503" s="262"/>
      <c r="R503" s="311"/>
      <c r="S503" s="227"/>
      <c r="T503" s="227"/>
      <c r="U503" s="184" t="s">
        <v>138</v>
      </c>
      <c r="V503" s="179">
        <v>256</v>
      </c>
      <c r="W503" s="180">
        <v>230</v>
      </c>
      <c r="X503" s="227"/>
      <c r="Y503" s="184"/>
      <c r="Z503" s="181"/>
      <c r="AA503" s="227"/>
      <c r="AB503" s="182">
        <f>SUM(AH503:AS503)</f>
        <v>3.8046968239222982</v>
      </c>
      <c r="AC503" s="182">
        <f>SUM(AT503:BE503)</f>
        <v>3.8217807373093868</v>
      </c>
      <c r="AD503" s="182">
        <f>SUM(BF503:BQ503)</f>
        <v>3.8312375498668425</v>
      </c>
      <c r="AE503" s="182">
        <f>SUM(BR503:CC503)</f>
        <v>3.8461677654938358</v>
      </c>
      <c r="AF503" s="182">
        <f>SUM(CD503:CO503)</f>
        <v>3.866686137881441</v>
      </c>
      <c r="AH503" s="168">
        <v>0.39130545130362326</v>
      </c>
      <c r="AI503" s="168">
        <v>0.27215796509441503</v>
      </c>
      <c r="AJ503" s="168">
        <v>9.8445057635180355E-2</v>
      </c>
      <c r="AK503" s="168">
        <v>0.34160534559071898</v>
      </c>
      <c r="AL503" s="168">
        <v>0.33398840552333858</v>
      </c>
      <c r="AM503" s="168">
        <v>0.30299948197752913</v>
      </c>
      <c r="AN503" s="168">
        <v>0.34883761152162884</v>
      </c>
      <c r="AO503" s="168">
        <v>0.33731988479079222</v>
      </c>
      <c r="AP503" s="168">
        <v>0.34222857544432833</v>
      </c>
      <c r="AQ503" s="168">
        <v>0.33931323242955902</v>
      </c>
      <c r="AR503" s="168">
        <v>0.35686684325139684</v>
      </c>
      <c r="AS503" s="168">
        <v>0.33962896935978787</v>
      </c>
      <c r="AT503" s="168">
        <v>0.39227046552100037</v>
      </c>
      <c r="AU503" s="168">
        <v>0.27371631790591161</v>
      </c>
      <c r="AV503" s="168">
        <v>9.9088273219661543E-2</v>
      </c>
      <c r="AW503" s="168">
        <v>0.34379166613835732</v>
      </c>
      <c r="AX503" s="168">
        <v>0.33591774642847433</v>
      </c>
      <c r="AY503" s="168">
        <v>0.30468165861237873</v>
      </c>
      <c r="AZ503" s="168">
        <v>0.3505077774714328</v>
      </c>
      <c r="BA503" s="168">
        <v>0.33883413517506172</v>
      </c>
      <c r="BB503" s="168">
        <v>0.34361991460669772</v>
      </c>
      <c r="BC503" s="168">
        <v>0.34057585415293251</v>
      </c>
      <c r="BD503" s="168">
        <v>0.35803507889604658</v>
      </c>
      <c r="BE503" s="168">
        <v>0.34074184918143102</v>
      </c>
      <c r="BF503" s="168">
        <v>0.39280922430121479</v>
      </c>
      <c r="BG503" s="168">
        <v>0.2745044216472679</v>
      </c>
      <c r="BH503" s="168">
        <v>9.9087320729025347E-2</v>
      </c>
      <c r="BI503" s="168">
        <v>0.34479600607479055</v>
      </c>
      <c r="BJ503" s="168">
        <v>0.33690471720825127</v>
      </c>
      <c r="BK503" s="168">
        <v>0.30556065808784544</v>
      </c>
      <c r="BL503" s="168">
        <v>0.35143345941275206</v>
      </c>
      <c r="BM503" s="168">
        <v>0.33974867718683943</v>
      </c>
      <c r="BN503" s="168">
        <v>0.34449449460206893</v>
      </c>
      <c r="BO503" s="168">
        <v>0.34142212050489268</v>
      </c>
      <c r="BP503" s="168">
        <v>0.35885079695569733</v>
      </c>
      <c r="BQ503" s="168">
        <v>0.34162565315619642</v>
      </c>
      <c r="BR503" s="168">
        <v>0.39317204728409239</v>
      </c>
      <c r="BS503" s="168">
        <v>0.27524701289949838</v>
      </c>
      <c r="BT503" s="168">
        <v>9.9143269436761106E-2</v>
      </c>
      <c r="BU503" s="168">
        <v>0.34602885982510945</v>
      </c>
      <c r="BV503" s="168">
        <v>0.33820979914246813</v>
      </c>
      <c r="BW503" s="168">
        <v>0.30686300014179901</v>
      </c>
      <c r="BX503" s="168">
        <v>0.35288354372323077</v>
      </c>
      <c r="BY503" s="168">
        <v>0.34125404929671127</v>
      </c>
      <c r="BZ503" s="168">
        <v>0.34610743637083702</v>
      </c>
      <c r="CA503" s="168">
        <v>0.34312092379056991</v>
      </c>
      <c r="CB503" s="168">
        <v>0.36069057213448957</v>
      </c>
      <c r="CC503" s="168">
        <v>0.34344725144826821</v>
      </c>
      <c r="CD503" s="168">
        <v>0.39496885370170809</v>
      </c>
      <c r="CE503" s="168">
        <v>0.27634166243558594</v>
      </c>
      <c r="CF503" s="168">
        <v>9.9547004907607484E-2</v>
      </c>
      <c r="CG503" s="168">
        <v>0.34790008190490246</v>
      </c>
      <c r="CH503" s="168">
        <v>0.3400636157842708</v>
      </c>
      <c r="CI503" s="168">
        <v>0.30870413290579857</v>
      </c>
      <c r="CJ503" s="168">
        <v>0.3548585463379017</v>
      </c>
      <c r="CK503" s="168">
        <v>0.34318423376592688</v>
      </c>
      <c r="CL503" s="168">
        <v>0.3480495792261058</v>
      </c>
      <c r="CM503" s="168">
        <v>0.34502364737976288</v>
      </c>
      <c r="CN503" s="168">
        <v>0.36266573003482738</v>
      </c>
      <c r="CO503" s="168">
        <v>0.34537904949704257</v>
      </c>
    </row>
    <row r="504" spans="1:93" x14ac:dyDescent="0.2">
      <c r="A504" s="118">
        <f t="shared" si="56"/>
        <v>5</v>
      </c>
      <c r="B504" s="234" t="s">
        <v>640</v>
      </c>
      <c r="C504" s="223"/>
      <c r="D504" s="172">
        <f>SUMIF($AH$6:$CP$6,1,$AH504:$CP504)</f>
        <v>51.92326483416678</v>
      </c>
      <c r="E504" s="233" t="s">
        <v>545</v>
      </c>
      <c r="F504" s="183">
        <v>145.94</v>
      </c>
      <c r="G504" s="233" t="s">
        <v>375</v>
      </c>
      <c r="H504" s="187">
        <f>ROUND(D504*F504,2)</f>
        <v>7577.68</v>
      </c>
      <c r="I504" s="308"/>
      <c r="J504" s="172">
        <f>SUMIF($AH$6:$CP$6,1,$AH504:$CP504)</f>
        <v>51.92326483416678</v>
      </c>
      <c r="K504" s="233" t="s">
        <v>545</v>
      </c>
      <c r="L504" s="173">
        <f>'Exhibit MJC-3 - E-13c cal yr'!L591</f>
        <v>146.87</v>
      </c>
      <c r="M504" s="233" t="s">
        <v>375</v>
      </c>
      <c r="N504" s="187">
        <f>ROUND(J504*L504,2)</f>
        <v>7625.97</v>
      </c>
      <c r="O504" s="227"/>
      <c r="P504" s="262"/>
      <c r="Q504" s="262"/>
      <c r="R504" s="311"/>
      <c r="S504" s="227"/>
      <c r="T504" s="227"/>
      <c r="U504" s="184" t="s">
        <v>138</v>
      </c>
      <c r="V504" s="179">
        <v>256</v>
      </c>
      <c r="W504" s="180">
        <v>230</v>
      </c>
      <c r="X504" s="227"/>
      <c r="Y504" s="184"/>
      <c r="Z504" s="181"/>
      <c r="AA504" s="227"/>
      <c r="AB504" s="182">
        <f>SUM(AH504:AS504)</f>
        <v>51.363407122951031</v>
      </c>
      <c r="AC504" s="182">
        <f>SUM(AT504:BE504)</f>
        <v>51.594039953676713</v>
      </c>
      <c r="AD504" s="182">
        <f>SUM(BF504:BQ504)</f>
        <v>51.721706923202362</v>
      </c>
      <c r="AE504" s="182">
        <f>SUM(BR504:CC504)</f>
        <v>51.92326483416678</v>
      </c>
      <c r="AF504" s="182">
        <f>SUM(CD504:CO504)</f>
        <v>52.200262861399452</v>
      </c>
      <c r="AH504" s="168">
        <v>5.282623592598914</v>
      </c>
      <c r="AI504" s="168">
        <v>3.6741325287746029</v>
      </c>
      <c r="AJ504" s="168">
        <v>1.3290082780749348</v>
      </c>
      <c r="AK504" s="168">
        <v>4.6116721654747064</v>
      </c>
      <c r="AL504" s="168">
        <v>4.5088434745650714</v>
      </c>
      <c r="AM504" s="168">
        <v>4.0904930066966427</v>
      </c>
      <c r="AN504" s="168">
        <v>4.7093077555419898</v>
      </c>
      <c r="AO504" s="168">
        <v>4.5538184446756951</v>
      </c>
      <c r="AP504" s="168">
        <v>4.6200857684984324</v>
      </c>
      <c r="AQ504" s="168">
        <v>4.580728637799047</v>
      </c>
      <c r="AR504" s="168">
        <v>4.8177023838938577</v>
      </c>
      <c r="AS504" s="168">
        <v>4.584991086357137</v>
      </c>
      <c r="AT504" s="168">
        <v>5.2956512845335055</v>
      </c>
      <c r="AU504" s="168">
        <v>3.695170291729807</v>
      </c>
      <c r="AV504" s="168">
        <v>1.3376916884654309</v>
      </c>
      <c r="AW504" s="168">
        <v>4.6411874928678243</v>
      </c>
      <c r="AX504" s="168">
        <v>4.534889576784404</v>
      </c>
      <c r="AY504" s="168">
        <v>4.1132023912671132</v>
      </c>
      <c r="AZ504" s="168">
        <v>4.7318549958643432</v>
      </c>
      <c r="BA504" s="168">
        <v>4.5742608248633339</v>
      </c>
      <c r="BB504" s="168">
        <v>4.6388688471904196</v>
      </c>
      <c r="BC504" s="168">
        <v>4.5977740310645894</v>
      </c>
      <c r="BD504" s="168">
        <v>4.8334735650966287</v>
      </c>
      <c r="BE504" s="168">
        <v>4.6000149639493193</v>
      </c>
      <c r="BF504" s="168">
        <v>5.3029245280663995</v>
      </c>
      <c r="BG504" s="168">
        <v>3.705809692238117</v>
      </c>
      <c r="BH504" s="168">
        <v>1.3376788298418423</v>
      </c>
      <c r="BI504" s="168">
        <v>4.6547460820096731</v>
      </c>
      <c r="BJ504" s="168">
        <v>4.5482136823113919</v>
      </c>
      <c r="BK504" s="168">
        <v>4.1250688841859136</v>
      </c>
      <c r="BL504" s="168">
        <v>4.7443517020721533</v>
      </c>
      <c r="BM504" s="168">
        <v>4.5866071420223333</v>
      </c>
      <c r="BN504" s="168">
        <v>4.6506756771279303</v>
      </c>
      <c r="BO504" s="168">
        <v>4.6091986268160516</v>
      </c>
      <c r="BP504" s="168">
        <v>4.8444857589019135</v>
      </c>
      <c r="BQ504" s="168">
        <v>4.6119463176086519</v>
      </c>
      <c r="BR504" s="168">
        <v>5.3078226383352476</v>
      </c>
      <c r="BS504" s="168">
        <v>3.7158346741432289</v>
      </c>
      <c r="BT504" s="168">
        <v>1.3384341373962751</v>
      </c>
      <c r="BU504" s="168">
        <v>4.6713896076389778</v>
      </c>
      <c r="BV504" s="168">
        <v>4.5658322884233202</v>
      </c>
      <c r="BW504" s="168">
        <v>4.1426505019142867</v>
      </c>
      <c r="BX504" s="168">
        <v>4.7639278402636158</v>
      </c>
      <c r="BY504" s="168">
        <v>4.6069296655056027</v>
      </c>
      <c r="BZ504" s="168">
        <v>4.6724503910062998</v>
      </c>
      <c r="CA504" s="168">
        <v>4.6321324711726941</v>
      </c>
      <c r="CB504" s="168">
        <v>4.8693227238156096</v>
      </c>
      <c r="CC504" s="168">
        <v>4.6365378945516209</v>
      </c>
      <c r="CD504" s="168">
        <v>5.332079524973059</v>
      </c>
      <c r="CE504" s="168">
        <v>3.7306124428804108</v>
      </c>
      <c r="CF504" s="168">
        <v>1.343884566252701</v>
      </c>
      <c r="CG504" s="168">
        <v>4.6966511057161835</v>
      </c>
      <c r="CH504" s="168">
        <v>4.5908588130876566</v>
      </c>
      <c r="CI504" s="168">
        <v>4.1675057942282807</v>
      </c>
      <c r="CJ504" s="168">
        <v>4.7905903755616732</v>
      </c>
      <c r="CK504" s="168">
        <v>4.6329871558400129</v>
      </c>
      <c r="CL504" s="168">
        <v>4.6986693195524287</v>
      </c>
      <c r="CM504" s="168">
        <v>4.6578192396267992</v>
      </c>
      <c r="CN504" s="168">
        <v>4.8959873554701696</v>
      </c>
      <c r="CO504" s="168">
        <v>4.6626171682100743</v>
      </c>
    </row>
    <row r="505" spans="1:93" x14ac:dyDescent="0.2">
      <c r="A505" s="118">
        <f t="shared" si="56"/>
        <v>6</v>
      </c>
      <c r="B505" s="234"/>
      <c r="C505" s="225" t="s">
        <v>121</v>
      </c>
      <c r="D505" s="204">
        <f>SUM(D502:D504)</f>
        <v>106.73115549245392</v>
      </c>
      <c r="E505" s="233" t="s">
        <v>641</v>
      </c>
      <c r="F505" s="183"/>
      <c r="G505" s="233"/>
      <c r="H505" s="206">
        <f>SUM(H502:H504)</f>
        <v>35323.64</v>
      </c>
      <c r="I505" s="308"/>
      <c r="J505" s="204">
        <f>SUM(J502:J504)</f>
        <v>106.73115549245392</v>
      </c>
      <c r="K505" s="233" t="s">
        <v>641</v>
      </c>
      <c r="L505" s="183"/>
      <c r="M505" s="233"/>
      <c r="N505" s="206">
        <f>SUM(N502:N504)</f>
        <v>35940.909999999996</v>
      </c>
      <c r="O505" s="227"/>
      <c r="P505" s="262"/>
      <c r="Q505" s="939"/>
      <c r="R505" s="311"/>
      <c r="S505" s="227"/>
      <c r="T505" s="227"/>
      <c r="U505" s="178"/>
      <c r="V505" s="179"/>
      <c r="W505" s="180"/>
      <c r="X505" s="227"/>
      <c r="Y505" s="178" t="s">
        <v>138</v>
      </c>
      <c r="Z505" s="181" t="s">
        <v>451</v>
      </c>
      <c r="AA505" s="227"/>
      <c r="AB505" s="204">
        <f>SUM(AB502:AB504)</f>
        <v>105.58033686384378</v>
      </c>
      <c r="AC505" s="204">
        <f>SUM(AC502:AC504)</f>
        <v>106.05441546033546</v>
      </c>
      <c r="AD505" s="204">
        <f>SUM(AD502:AD504)</f>
        <v>106.31684200880485</v>
      </c>
      <c r="AE505" s="204">
        <f>SUM(AE502:AE504)</f>
        <v>106.73115549245392</v>
      </c>
      <c r="AF505" s="204">
        <f>SUM(AF502:AF504)</f>
        <v>107.30054032620998</v>
      </c>
      <c r="AH505" s="204">
        <f t="shared" ref="AH505:CO505" si="57">SUM(AH502:AH504)</f>
        <v>10.858726273675545</v>
      </c>
      <c r="AI505" s="204">
        <f t="shared" si="57"/>
        <v>7.5523835313700172</v>
      </c>
      <c r="AJ505" s="204">
        <f t="shared" si="57"/>
        <v>2.7318503493762547</v>
      </c>
      <c r="AK505" s="204">
        <f t="shared" si="57"/>
        <v>9.4795483401424523</v>
      </c>
      <c r="AL505" s="204">
        <f t="shared" si="57"/>
        <v>9.2681782532726462</v>
      </c>
      <c r="AM505" s="204">
        <f t="shared" si="57"/>
        <v>8.4082356248764327</v>
      </c>
      <c r="AN505" s="204">
        <f t="shared" si="57"/>
        <v>9.6802437197252011</v>
      </c>
      <c r="AO505" s="204">
        <f t="shared" si="57"/>
        <v>9.3606268029444841</v>
      </c>
      <c r="AP505" s="204">
        <f t="shared" si="57"/>
        <v>9.4968429685801112</v>
      </c>
      <c r="AQ505" s="204">
        <f t="shared" si="57"/>
        <v>9.4159421999202628</v>
      </c>
      <c r="AR505" s="204">
        <f t="shared" si="57"/>
        <v>9.9030549002262624</v>
      </c>
      <c r="AS505" s="204">
        <f t="shared" si="57"/>
        <v>9.4247038997341139</v>
      </c>
      <c r="AT505" s="204">
        <f t="shared" si="57"/>
        <v>10.88550541820776</v>
      </c>
      <c r="AU505" s="204">
        <f t="shared" si="57"/>
        <v>7.5956278218890478</v>
      </c>
      <c r="AV505" s="204">
        <f t="shared" si="57"/>
        <v>2.7496995818456078</v>
      </c>
      <c r="AW505" s="204">
        <f t="shared" si="57"/>
        <v>9.5402187353394154</v>
      </c>
      <c r="AX505" s="204">
        <f t="shared" si="57"/>
        <v>9.3217174633901632</v>
      </c>
      <c r="AY505" s="204">
        <f t="shared" si="57"/>
        <v>8.4549160264935104</v>
      </c>
      <c r="AZ505" s="204">
        <f t="shared" si="57"/>
        <v>9.726590824832261</v>
      </c>
      <c r="BA505" s="204">
        <f t="shared" si="57"/>
        <v>9.4026472511079646</v>
      </c>
      <c r="BB505" s="204">
        <f t="shared" si="57"/>
        <v>9.5354526303358611</v>
      </c>
      <c r="BC505" s="204">
        <f t="shared" si="57"/>
        <v>9.4509799527438787</v>
      </c>
      <c r="BD505" s="204">
        <f t="shared" si="57"/>
        <v>9.9354734393652926</v>
      </c>
      <c r="BE505" s="204">
        <f t="shared" si="57"/>
        <v>9.4555863147847106</v>
      </c>
      <c r="BF505" s="204">
        <f t="shared" si="57"/>
        <v>10.90045597435871</v>
      </c>
      <c r="BG505" s="204">
        <f t="shared" si="57"/>
        <v>7.6174977007116844</v>
      </c>
      <c r="BH505" s="204">
        <f t="shared" si="57"/>
        <v>2.7496731502304534</v>
      </c>
      <c r="BI505" s="204">
        <f t="shared" si="57"/>
        <v>9.5680891685754386</v>
      </c>
      <c r="BJ505" s="204">
        <f t="shared" si="57"/>
        <v>9.3491059025289722</v>
      </c>
      <c r="BK505" s="204">
        <f t="shared" si="57"/>
        <v>8.4793082619377103</v>
      </c>
      <c r="BL505" s="204">
        <f t="shared" si="57"/>
        <v>9.7522784987038698</v>
      </c>
      <c r="BM505" s="204">
        <f t="shared" si="57"/>
        <v>9.428025791934795</v>
      </c>
      <c r="BN505" s="204">
        <f t="shared" si="57"/>
        <v>9.5597222252074125</v>
      </c>
      <c r="BO505" s="204">
        <f t="shared" si="57"/>
        <v>9.4744638440107725</v>
      </c>
      <c r="BP505" s="204">
        <f t="shared" si="57"/>
        <v>9.9581096155205984</v>
      </c>
      <c r="BQ505" s="204">
        <f t="shared" si="57"/>
        <v>9.4801118750844502</v>
      </c>
      <c r="BR505" s="204">
        <f t="shared" si="57"/>
        <v>10.910524312133564</v>
      </c>
      <c r="BS505" s="204">
        <f t="shared" si="57"/>
        <v>7.6381046079610808</v>
      </c>
      <c r="BT505" s="204">
        <f t="shared" si="57"/>
        <v>2.7512257268701212</v>
      </c>
      <c r="BU505" s="204">
        <f t="shared" si="57"/>
        <v>9.6023008601467872</v>
      </c>
      <c r="BV505" s="204">
        <f t="shared" si="57"/>
        <v>9.3853219262034902</v>
      </c>
      <c r="BW505" s="204">
        <f t="shared" si="57"/>
        <v>8.5154482539349239</v>
      </c>
      <c r="BX505" s="204">
        <f t="shared" si="57"/>
        <v>9.7925183383196543</v>
      </c>
      <c r="BY505" s="204">
        <f t="shared" si="57"/>
        <v>9.4697998679837383</v>
      </c>
      <c r="BZ505" s="204">
        <f t="shared" si="57"/>
        <v>9.6044813592907268</v>
      </c>
      <c r="CA505" s="204">
        <f t="shared" si="57"/>
        <v>9.5216056351883154</v>
      </c>
      <c r="CB505" s="204">
        <f t="shared" si="57"/>
        <v>10.009163376732086</v>
      </c>
      <c r="CC505" s="204">
        <f t="shared" si="57"/>
        <v>9.5306612276894427</v>
      </c>
      <c r="CD505" s="204">
        <f t="shared" si="57"/>
        <v>10.960385690222399</v>
      </c>
      <c r="CE505" s="204">
        <f t="shared" si="57"/>
        <v>7.6684811325875106</v>
      </c>
      <c r="CF505" s="204">
        <f t="shared" si="57"/>
        <v>2.7624293861861076</v>
      </c>
      <c r="CG505" s="204">
        <f t="shared" si="57"/>
        <v>9.6542272728610428</v>
      </c>
      <c r="CH505" s="204">
        <f t="shared" si="57"/>
        <v>9.4367653380135152</v>
      </c>
      <c r="CI505" s="204">
        <f t="shared" si="57"/>
        <v>8.5665396881359115</v>
      </c>
      <c r="CJ505" s="204">
        <f t="shared" si="57"/>
        <v>9.8473246608767724</v>
      </c>
      <c r="CK505" s="204">
        <f t="shared" si="57"/>
        <v>9.5233624870044693</v>
      </c>
      <c r="CL505" s="204">
        <f t="shared" si="57"/>
        <v>9.6583758235244357</v>
      </c>
      <c r="CM505" s="204">
        <f t="shared" si="57"/>
        <v>9.5744062147884197</v>
      </c>
      <c r="CN505" s="204">
        <f t="shared" si="57"/>
        <v>10.06397400846646</v>
      </c>
      <c r="CO505" s="204">
        <f t="shared" si="57"/>
        <v>9.5842686235429291</v>
      </c>
    </row>
    <row r="506" spans="1:93" x14ac:dyDescent="0.2">
      <c r="A506" s="118">
        <f t="shared" si="56"/>
        <v>7</v>
      </c>
      <c r="B506" s="227"/>
      <c r="C506" s="263"/>
      <c r="D506" s="227"/>
      <c r="E506" s="230"/>
      <c r="F506" s="197"/>
      <c r="G506" s="230"/>
      <c r="H506" s="203"/>
      <c r="I506" s="308"/>
      <c r="J506" s="227"/>
      <c r="K506" s="230"/>
      <c r="L506" s="197"/>
      <c r="M506" s="230"/>
      <c r="N506" s="203"/>
      <c r="O506" s="227"/>
      <c r="P506" s="262"/>
      <c r="Q506" s="262"/>
      <c r="R506" s="311"/>
      <c r="S506" s="227"/>
      <c r="T506" s="227"/>
      <c r="U506" s="178"/>
      <c r="V506" s="179"/>
      <c r="W506" s="180"/>
      <c r="X506" s="227"/>
      <c r="Y506" s="178"/>
      <c r="Z506" s="181"/>
      <c r="AA506" s="227"/>
      <c r="AB506" s="193">
        <f>SUM(AH506:AS506)</f>
        <v>-16.128778607833333</v>
      </c>
      <c r="AC506" s="193">
        <f>SUM(AT506:BE506)</f>
        <v>-16.359922817328183</v>
      </c>
      <c r="AD506" s="193">
        <f>SUM(BF506:BQ506)</f>
        <v>-16.820741724638729</v>
      </c>
      <c r="AE506" s="193">
        <f>SUM(BR506:CC506)</f>
        <v>-17.127900643270703</v>
      </c>
      <c r="AF506" s="193">
        <f>SUM(CD506:CO506)</f>
        <v>-17.265107410353998</v>
      </c>
      <c r="AH506" s="193">
        <v>-3.5862264819370528</v>
      </c>
      <c r="AI506" s="193">
        <v>0.1311071435713238</v>
      </c>
      <c r="AJ506" s="193">
        <v>5.0873896376890047</v>
      </c>
      <c r="AK506" s="193">
        <v>-1.3986061645630166</v>
      </c>
      <c r="AL506" s="193">
        <v>-1.6349179314553162</v>
      </c>
      <c r="AM506" s="193">
        <v>-0.55358546288112098</v>
      </c>
      <c r="AN506" s="193">
        <v>-2.3134288602457609</v>
      </c>
      <c r="AO506" s="193">
        <v>-2.7406500755324696</v>
      </c>
      <c r="AP506" s="193">
        <v>-1.8363592594042135</v>
      </c>
      <c r="AQ506" s="193">
        <v>-1.9408095280674678</v>
      </c>
      <c r="AR506" s="193">
        <v>-3.606022704845139</v>
      </c>
      <c r="AS506" s="193">
        <v>-1.7366689201621037</v>
      </c>
      <c r="AT506" s="193">
        <v>-3.6112458440027098</v>
      </c>
      <c r="AU506" s="193">
        <v>0.15661000657502644</v>
      </c>
      <c r="AV506" s="193">
        <v>5.1290372461180365</v>
      </c>
      <c r="AW506" s="193">
        <v>-1.4106622641725384</v>
      </c>
      <c r="AX506" s="193">
        <v>-1.652790545521519</v>
      </c>
      <c r="AY506" s="193">
        <v>-0.57235017379771591</v>
      </c>
      <c r="AZ506" s="193">
        <v>-2.340296127426762</v>
      </c>
      <c r="BA506" s="193">
        <v>-2.7813763585182976</v>
      </c>
      <c r="BB506" s="193">
        <v>-1.8680168042861514</v>
      </c>
      <c r="BC506" s="193">
        <v>-1.9748644024766726</v>
      </c>
      <c r="BD506" s="193">
        <v>-3.6603523811980363</v>
      </c>
      <c r="BE506" s="193">
        <v>-1.7736151686208412</v>
      </c>
      <c r="BF506" s="193">
        <v>-3.6367491520409194</v>
      </c>
      <c r="BG506" s="193">
        <v>0.12598222690677918</v>
      </c>
      <c r="BH506" s="193">
        <v>5.1206676283820638</v>
      </c>
      <c r="BI506" s="193">
        <v>-1.4546575999935474</v>
      </c>
      <c r="BJ506" s="193">
        <v>-1.6928849173650109</v>
      </c>
      <c r="BK506" s="193">
        <v>-0.61019023464244082</v>
      </c>
      <c r="BL506" s="193">
        <v>-2.3792172412507115</v>
      </c>
      <c r="BM506" s="193">
        <v>-2.834325165139906</v>
      </c>
      <c r="BN506" s="193">
        <v>-1.9093628762587986</v>
      </c>
      <c r="BO506" s="193">
        <v>-2.0163258013427745</v>
      </c>
      <c r="BP506" s="193">
        <v>-3.7197350732445873</v>
      </c>
      <c r="BQ506" s="193">
        <v>-1.8139435186488768</v>
      </c>
      <c r="BR506" s="193">
        <v>-3.6616497660835243</v>
      </c>
      <c r="BS506" s="193">
        <v>9.7761527659142367E-2</v>
      </c>
      <c r="BT506" s="193">
        <v>5.1176699284255323</v>
      </c>
      <c r="BU506" s="193">
        <v>-1.4902519423336873</v>
      </c>
      <c r="BV506" s="193">
        <v>-1.7231618418738481</v>
      </c>
      <c r="BW506" s="193">
        <v>-0.63622370452290422</v>
      </c>
      <c r="BX506" s="193">
        <v>-2.4067392366770619</v>
      </c>
      <c r="BY506" s="193">
        <v>-2.8712056551833101</v>
      </c>
      <c r="BZ506" s="193">
        <v>-1.931841600022727</v>
      </c>
      <c r="CA506" s="193">
        <v>-2.0361177086559721</v>
      </c>
      <c r="CB506" s="193">
        <v>-3.7563723885025579</v>
      </c>
      <c r="CC506" s="193">
        <v>-1.8297682554997818</v>
      </c>
      <c r="CD506" s="193">
        <v>-3.6817996105223738</v>
      </c>
      <c r="CE506" s="193">
        <v>0.10330435712146979</v>
      </c>
      <c r="CF506" s="193">
        <v>5.1429630273041642</v>
      </c>
      <c r="CG506" s="193">
        <v>-1.5053382066949297</v>
      </c>
      <c r="CH506" s="193">
        <v>-1.7371402154011486</v>
      </c>
      <c r="CI506" s="193">
        <v>-0.64665079309981532</v>
      </c>
      <c r="CJ506" s="193">
        <v>-2.4220303470595512</v>
      </c>
      <c r="CK506" s="193">
        <v>-2.8949900993192408</v>
      </c>
      <c r="CL506" s="193">
        <v>-1.9444779501491993</v>
      </c>
      <c r="CM506" s="193">
        <v>-2.0491750901585615</v>
      </c>
      <c r="CN506" s="193">
        <v>-3.7884412071234213</v>
      </c>
      <c r="CO506" s="193">
        <v>-1.8413312752513935</v>
      </c>
    </row>
    <row r="507" spans="1:93" x14ac:dyDescent="0.2">
      <c r="A507" s="118">
        <f t="shared" si="56"/>
        <v>8</v>
      </c>
      <c r="B507" s="239" t="s">
        <v>594</v>
      </c>
      <c r="C507" s="225"/>
      <c r="D507" s="173"/>
      <c r="E507" s="233"/>
      <c r="F507" s="183"/>
      <c r="G507" s="233"/>
      <c r="H507" s="174"/>
      <c r="I507" s="308"/>
      <c r="J507" s="173"/>
      <c r="K507" s="233"/>
      <c r="L507" s="183"/>
      <c r="M507" s="233"/>
      <c r="N507" s="174"/>
      <c r="O507" s="227"/>
      <c r="P507" s="262"/>
      <c r="Q507" s="262"/>
      <c r="R507" s="311"/>
      <c r="S507" s="230"/>
      <c r="T507" s="227"/>
      <c r="U507" s="184"/>
      <c r="V507" s="179"/>
      <c r="W507" s="180"/>
      <c r="X507" s="227"/>
      <c r="Y507" s="184"/>
      <c r="Z507" s="181"/>
      <c r="AA507" s="227"/>
    </row>
    <row r="508" spans="1:93" x14ac:dyDescent="0.2">
      <c r="A508" s="118">
        <f t="shared" si="56"/>
        <v>9</v>
      </c>
      <c r="B508" s="228" t="s">
        <v>642</v>
      </c>
      <c r="C508" s="225"/>
      <c r="D508" s="168"/>
      <c r="E508" s="233"/>
      <c r="F508" s="183"/>
      <c r="G508" s="233"/>
      <c r="H508" s="174"/>
      <c r="I508" s="308"/>
      <c r="J508" s="168"/>
      <c r="K508" s="233"/>
      <c r="L508" s="310"/>
      <c r="M508" s="233"/>
      <c r="N508" s="174"/>
      <c r="O508" s="227"/>
      <c r="P508" s="262"/>
      <c r="Q508" s="262"/>
      <c r="R508" s="311"/>
      <c r="S508" s="259"/>
      <c r="T508" s="227"/>
      <c r="U508" s="184"/>
      <c r="V508" s="179"/>
      <c r="W508" s="180"/>
      <c r="X508" s="227"/>
      <c r="Y508" s="184"/>
      <c r="Z508" s="181"/>
      <c r="AA508" s="227"/>
    </row>
    <row r="509" spans="1:93" x14ac:dyDescent="0.2">
      <c r="A509" s="118">
        <f t="shared" si="56"/>
        <v>10</v>
      </c>
      <c r="B509" s="227" t="s">
        <v>643</v>
      </c>
      <c r="C509" s="263"/>
      <c r="D509" s="172">
        <f>SUMIF($AH$6:$CP$6,1,$AH509:$CP509)</f>
        <v>253660.31999999995</v>
      </c>
      <c r="E509" s="233" t="s">
        <v>596</v>
      </c>
      <c r="F509" s="183">
        <v>3.43</v>
      </c>
      <c r="G509" s="233" t="s">
        <v>375</v>
      </c>
      <c r="H509" s="174">
        <f>ROUND(D509*F509,2)</f>
        <v>870054.9</v>
      </c>
      <c r="I509" s="308"/>
      <c r="J509" s="172">
        <f>SUMIF($AH$6:$CP$6,1,$AH509:$CP509)</f>
        <v>253660.31999999995</v>
      </c>
      <c r="K509" s="233" t="s">
        <v>596</v>
      </c>
      <c r="L509" s="173">
        <f>'Exhibit MJC-3 - E-13c cal yr'!L596</f>
        <v>3.53</v>
      </c>
      <c r="M509" s="233" t="s">
        <v>375</v>
      </c>
      <c r="N509" s="174">
        <f>ROUND(J509*L509,2)</f>
        <v>895420.93</v>
      </c>
      <c r="O509" s="227"/>
      <c r="P509" s="262"/>
      <c r="Q509" s="939"/>
      <c r="R509" s="311"/>
      <c r="S509" s="227"/>
      <c r="T509" s="286"/>
      <c r="U509" s="184" t="s">
        <v>138</v>
      </c>
      <c r="V509" s="179">
        <v>256</v>
      </c>
      <c r="W509" s="180">
        <v>230</v>
      </c>
      <c r="X509" s="286"/>
      <c r="Y509" s="184"/>
      <c r="Z509" s="181"/>
      <c r="AA509" s="286"/>
      <c r="AB509" s="182">
        <f>SUM(AH509:AS509)</f>
        <v>253660.31999999995</v>
      </c>
      <c r="AC509" s="182">
        <f>SUM(AT509:BE509)</f>
        <v>253660.31999999995</v>
      </c>
      <c r="AD509" s="182">
        <f>SUM(BF509:BQ509)</f>
        <v>253660.31999999995</v>
      </c>
      <c r="AE509" s="182">
        <f>SUM(BR509:CC509)</f>
        <v>253660.31999999995</v>
      </c>
      <c r="AF509" s="182">
        <f>SUM(CD509:CO509)</f>
        <v>253660.31999999995</v>
      </c>
      <c r="AH509" s="174">
        <v>21138.36</v>
      </c>
      <c r="AI509" s="174">
        <v>21138.36</v>
      </c>
      <c r="AJ509" s="174">
        <v>21138.36</v>
      </c>
      <c r="AK509" s="174">
        <v>21138.36</v>
      </c>
      <c r="AL509" s="174">
        <v>21138.36</v>
      </c>
      <c r="AM509" s="174">
        <v>21138.36</v>
      </c>
      <c r="AN509" s="174">
        <v>21138.36</v>
      </c>
      <c r="AO509" s="174">
        <v>21138.36</v>
      </c>
      <c r="AP509" s="174">
        <v>21138.36</v>
      </c>
      <c r="AQ509" s="174">
        <v>21138.36</v>
      </c>
      <c r="AR509" s="174">
        <v>21138.36</v>
      </c>
      <c r="AS509" s="174">
        <v>21138.36</v>
      </c>
      <c r="AT509" s="174">
        <v>21138.36</v>
      </c>
      <c r="AU509" s="174">
        <v>21138.36</v>
      </c>
      <c r="AV509" s="174">
        <v>21138.36</v>
      </c>
      <c r="AW509" s="174">
        <v>21138.36</v>
      </c>
      <c r="AX509" s="174">
        <v>21138.36</v>
      </c>
      <c r="AY509" s="174">
        <v>21138.36</v>
      </c>
      <c r="AZ509" s="174">
        <v>21138.36</v>
      </c>
      <c r="BA509" s="174">
        <v>21138.36</v>
      </c>
      <c r="BB509" s="174">
        <v>21138.36</v>
      </c>
      <c r="BC509" s="174">
        <v>21138.36</v>
      </c>
      <c r="BD509" s="174">
        <v>21138.36</v>
      </c>
      <c r="BE509" s="174">
        <v>21138.36</v>
      </c>
      <c r="BF509" s="174">
        <v>21138.36</v>
      </c>
      <c r="BG509" s="174">
        <v>21138.36</v>
      </c>
      <c r="BH509" s="174">
        <v>21138.36</v>
      </c>
      <c r="BI509" s="174">
        <v>21138.36</v>
      </c>
      <c r="BJ509" s="174">
        <v>21138.36</v>
      </c>
      <c r="BK509" s="174">
        <v>21138.36</v>
      </c>
      <c r="BL509" s="174">
        <v>21138.36</v>
      </c>
      <c r="BM509" s="174">
        <v>21138.36</v>
      </c>
      <c r="BN509" s="174">
        <v>21138.36</v>
      </c>
      <c r="BO509" s="174">
        <v>21138.36</v>
      </c>
      <c r="BP509" s="174">
        <v>21138.36</v>
      </c>
      <c r="BQ509" s="174">
        <v>21138.36</v>
      </c>
      <c r="BR509" s="174">
        <v>21138.36</v>
      </c>
      <c r="BS509" s="174">
        <v>21138.36</v>
      </c>
      <c r="BT509" s="174">
        <v>21138.36</v>
      </c>
      <c r="BU509" s="174">
        <v>21138.36</v>
      </c>
      <c r="BV509" s="174">
        <v>21138.36</v>
      </c>
      <c r="BW509" s="174">
        <v>21138.36</v>
      </c>
      <c r="BX509" s="174">
        <v>21138.36</v>
      </c>
      <c r="BY509" s="174">
        <v>21138.36</v>
      </c>
      <c r="BZ509" s="174">
        <v>21138.36</v>
      </c>
      <c r="CA509" s="174">
        <v>21138.36</v>
      </c>
      <c r="CB509" s="174">
        <v>21138.36</v>
      </c>
      <c r="CC509" s="174">
        <v>21138.36</v>
      </c>
      <c r="CD509" s="174">
        <v>21138.36</v>
      </c>
      <c r="CE509" s="174">
        <v>21138.36</v>
      </c>
      <c r="CF509" s="174">
        <v>21138.36</v>
      </c>
      <c r="CG509" s="174">
        <v>21138.36</v>
      </c>
      <c r="CH509" s="174">
        <v>21138.36</v>
      </c>
      <c r="CI509" s="174">
        <v>21138.36</v>
      </c>
      <c r="CJ509" s="174">
        <v>21138.36</v>
      </c>
      <c r="CK509" s="174">
        <v>21138.36</v>
      </c>
      <c r="CL509" s="174">
        <v>21138.36</v>
      </c>
      <c r="CM509" s="174">
        <v>21138.36</v>
      </c>
      <c r="CN509" s="174">
        <v>21138.36</v>
      </c>
      <c r="CO509" s="174">
        <v>21138.36</v>
      </c>
    </row>
    <row r="510" spans="1:93" x14ac:dyDescent="0.2">
      <c r="A510" s="118">
        <f t="shared" si="56"/>
        <v>11</v>
      </c>
      <c r="B510" s="227" t="s">
        <v>644</v>
      </c>
      <c r="C510" s="263"/>
      <c r="D510" s="172">
        <f>SUMIF($AH$6:$CP$6,1,$AH510:$CP510)</f>
        <v>272832</v>
      </c>
      <c r="E510" s="233" t="s">
        <v>596</v>
      </c>
      <c r="F510" s="183">
        <v>0</v>
      </c>
      <c r="G510" s="233" t="s">
        <v>375</v>
      </c>
      <c r="H510" s="174">
        <f>ROUND(D518*F510,2)</f>
        <v>0</v>
      </c>
      <c r="I510" s="308"/>
      <c r="J510" s="172">
        <f>SUMIF($AH$6:$CP$6,1,$AH510:$CP510)</f>
        <v>272832</v>
      </c>
      <c r="K510" s="233" t="s">
        <v>596</v>
      </c>
      <c r="L510" s="173">
        <f>'Exhibit MJC-3 - E-13c cal yr'!L597</f>
        <v>0</v>
      </c>
      <c r="M510" s="233" t="s">
        <v>375</v>
      </c>
      <c r="N510" s="174">
        <f>ROUND(J510*L510,2)</f>
        <v>0</v>
      </c>
      <c r="O510" s="227"/>
      <c r="P510" s="262"/>
      <c r="Q510" s="262"/>
      <c r="R510" s="311"/>
      <c r="S510" s="227"/>
      <c r="T510" s="227"/>
      <c r="U510" s="184" t="s">
        <v>138</v>
      </c>
      <c r="V510" s="179">
        <v>256</v>
      </c>
      <c r="W510" s="180">
        <v>230</v>
      </c>
      <c r="X510" s="227"/>
      <c r="Y510" s="184"/>
      <c r="Z510" s="181"/>
      <c r="AA510" s="227"/>
      <c r="AB510" s="182">
        <f>SUM(AH510:AS510)</f>
        <v>272832</v>
      </c>
      <c r="AC510" s="182">
        <f>SUM(AT510:BE510)</f>
        <v>272832</v>
      </c>
      <c r="AD510" s="182">
        <f>SUM(BF510:BQ510)</f>
        <v>272832</v>
      </c>
      <c r="AE510" s="182">
        <f>SUM(BR510:CC510)</f>
        <v>272832</v>
      </c>
      <c r="AF510" s="182">
        <f>SUM(CD510:CO510)</f>
        <v>272832</v>
      </c>
      <c r="AH510" s="174">
        <v>22736</v>
      </c>
      <c r="AI510" s="174">
        <v>22736</v>
      </c>
      <c r="AJ510" s="174">
        <v>22736</v>
      </c>
      <c r="AK510" s="174">
        <v>22736</v>
      </c>
      <c r="AL510" s="174">
        <v>22736</v>
      </c>
      <c r="AM510" s="174">
        <v>22736</v>
      </c>
      <c r="AN510" s="174">
        <v>22736</v>
      </c>
      <c r="AO510" s="174">
        <v>22736</v>
      </c>
      <c r="AP510" s="174">
        <v>22736</v>
      </c>
      <c r="AQ510" s="174">
        <v>22736</v>
      </c>
      <c r="AR510" s="174">
        <v>22736</v>
      </c>
      <c r="AS510" s="174">
        <v>22736</v>
      </c>
      <c r="AT510" s="174">
        <v>22736</v>
      </c>
      <c r="AU510" s="174">
        <v>22736</v>
      </c>
      <c r="AV510" s="174">
        <v>22736</v>
      </c>
      <c r="AW510" s="174">
        <v>22736</v>
      </c>
      <c r="AX510" s="174">
        <v>22736</v>
      </c>
      <c r="AY510" s="174">
        <v>22736</v>
      </c>
      <c r="AZ510" s="174">
        <v>22736</v>
      </c>
      <c r="BA510" s="174">
        <v>22736</v>
      </c>
      <c r="BB510" s="174">
        <v>22736</v>
      </c>
      <c r="BC510" s="174">
        <v>22736</v>
      </c>
      <c r="BD510" s="174">
        <v>22736</v>
      </c>
      <c r="BE510" s="174">
        <v>22736</v>
      </c>
      <c r="BF510" s="174">
        <v>22736</v>
      </c>
      <c r="BG510" s="174">
        <v>22736</v>
      </c>
      <c r="BH510" s="174">
        <v>22736</v>
      </c>
      <c r="BI510" s="174">
        <v>22736</v>
      </c>
      <c r="BJ510" s="174">
        <v>22736</v>
      </c>
      <c r="BK510" s="174">
        <v>22736</v>
      </c>
      <c r="BL510" s="174">
        <v>22736</v>
      </c>
      <c r="BM510" s="174">
        <v>22736</v>
      </c>
      <c r="BN510" s="174">
        <v>22736</v>
      </c>
      <c r="BO510" s="174">
        <v>22736</v>
      </c>
      <c r="BP510" s="174">
        <v>22736</v>
      </c>
      <c r="BQ510" s="174">
        <v>22736</v>
      </c>
      <c r="BR510" s="174">
        <v>22736</v>
      </c>
      <c r="BS510" s="174">
        <v>22736</v>
      </c>
      <c r="BT510" s="174">
        <v>22736</v>
      </c>
      <c r="BU510" s="174">
        <v>22736</v>
      </c>
      <c r="BV510" s="174">
        <v>22736</v>
      </c>
      <c r="BW510" s="174">
        <v>22736</v>
      </c>
      <c r="BX510" s="174">
        <v>22736</v>
      </c>
      <c r="BY510" s="174">
        <v>22736</v>
      </c>
      <c r="BZ510" s="174">
        <v>22736</v>
      </c>
      <c r="CA510" s="174">
        <v>22736</v>
      </c>
      <c r="CB510" s="174">
        <v>22736</v>
      </c>
      <c r="CC510" s="174">
        <v>22736</v>
      </c>
      <c r="CD510" s="174">
        <v>22736</v>
      </c>
      <c r="CE510" s="174">
        <v>22736</v>
      </c>
      <c r="CF510" s="174">
        <v>22736</v>
      </c>
      <c r="CG510" s="174">
        <v>22736</v>
      </c>
      <c r="CH510" s="174">
        <v>22736</v>
      </c>
      <c r="CI510" s="174">
        <v>22736</v>
      </c>
      <c r="CJ510" s="174">
        <v>22736</v>
      </c>
      <c r="CK510" s="174">
        <v>22736</v>
      </c>
      <c r="CL510" s="174">
        <v>22736</v>
      </c>
      <c r="CM510" s="174">
        <v>22736</v>
      </c>
      <c r="CN510" s="174">
        <v>22736</v>
      </c>
      <c r="CO510" s="174">
        <v>22736</v>
      </c>
    </row>
    <row r="511" spans="1:93" x14ac:dyDescent="0.2">
      <c r="A511" s="118">
        <f t="shared" si="56"/>
        <v>12</v>
      </c>
      <c r="B511" s="227"/>
      <c r="C511" s="263"/>
      <c r="D511" s="227"/>
      <c r="E511" s="230"/>
      <c r="F511" s="197"/>
      <c r="G511" s="230"/>
      <c r="H511" s="203"/>
      <c r="I511" s="308"/>
      <c r="J511" s="227"/>
      <c r="K511" s="230"/>
      <c r="L511" s="197"/>
      <c r="M511" s="230"/>
      <c r="N511" s="203"/>
      <c r="O511" s="227"/>
      <c r="P511" s="262"/>
      <c r="Q511" s="262"/>
      <c r="R511" s="311"/>
      <c r="S511" s="227"/>
      <c r="T511" s="227"/>
      <c r="U511" s="184"/>
      <c r="V511" s="179"/>
      <c r="W511" s="180"/>
      <c r="X511" s="227"/>
      <c r="Y511" s="184"/>
      <c r="Z511" s="181"/>
      <c r="AA511" s="227"/>
      <c r="AC511" s="260"/>
      <c r="AD511" s="260"/>
      <c r="AE511" s="260"/>
      <c r="AF511" s="114"/>
    </row>
    <row r="512" spans="1:93" x14ac:dyDescent="0.2">
      <c r="A512" s="118">
        <f t="shared" si="56"/>
        <v>13</v>
      </c>
      <c r="B512" s="227" t="s">
        <v>645</v>
      </c>
      <c r="C512" s="263"/>
      <c r="D512" s="227"/>
      <c r="E512" s="230"/>
      <c r="F512" s="197"/>
      <c r="G512" s="230"/>
      <c r="H512" s="203"/>
      <c r="I512" s="308"/>
      <c r="J512" s="227"/>
      <c r="K512" s="230"/>
      <c r="L512" s="197"/>
      <c r="M512" s="230"/>
      <c r="N512" s="203"/>
      <c r="O512" s="227"/>
      <c r="P512" s="262"/>
      <c r="Q512" s="262"/>
      <c r="R512" s="311"/>
      <c r="S512" s="227"/>
      <c r="T512" s="227"/>
      <c r="U512" s="184"/>
      <c r="V512" s="179"/>
      <c r="W512" s="180"/>
      <c r="X512" s="227"/>
      <c r="Y512" s="184"/>
      <c r="Z512" s="181"/>
      <c r="AA512" s="227"/>
      <c r="AC512" s="114"/>
      <c r="AD512" s="114"/>
      <c r="AE512" s="114"/>
      <c r="AF512" s="114"/>
    </row>
    <row r="513" spans="1:94" x14ac:dyDescent="0.2">
      <c r="A513" s="118">
        <f t="shared" si="56"/>
        <v>14</v>
      </c>
      <c r="B513" s="227" t="s">
        <v>643</v>
      </c>
      <c r="C513" s="263"/>
      <c r="D513" s="227"/>
      <c r="E513" s="230"/>
      <c r="F513" s="197"/>
      <c r="G513" s="230"/>
      <c r="H513" s="203"/>
      <c r="I513" s="308"/>
      <c r="J513" s="227"/>
      <c r="K513" s="230"/>
      <c r="L513" s="1277"/>
      <c r="M513" s="230"/>
      <c r="N513" s="203"/>
      <c r="O513" s="227"/>
      <c r="P513" s="262"/>
      <c r="Q513" s="262"/>
      <c r="R513" s="311"/>
      <c r="S513" s="227"/>
      <c r="T513" s="227"/>
      <c r="U513" s="184"/>
      <c r="V513" s="179"/>
      <c r="W513" s="180"/>
      <c r="X513" s="227"/>
      <c r="Y513" s="184"/>
      <c r="Z513" s="181"/>
      <c r="AA513" s="227"/>
      <c r="AB513" s="107" t="s">
        <v>646</v>
      </c>
      <c r="AC513" s="114"/>
      <c r="AD513" s="114"/>
      <c r="AE513" s="114"/>
      <c r="AF513" s="114"/>
      <c r="AH513" s="101">
        <v>1</v>
      </c>
      <c r="AI513" s="101">
        <v>1.2</v>
      </c>
      <c r="AJ513" s="101">
        <v>0.8</v>
      </c>
      <c r="AK513" s="101">
        <v>0.8</v>
      </c>
      <c r="AL513" s="101">
        <v>0.8</v>
      </c>
      <c r="AM513" s="101">
        <v>1</v>
      </c>
      <c r="AN513" s="101">
        <v>1.2</v>
      </c>
      <c r="AO513" s="101">
        <v>1.2</v>
      </c>
      <c r="AP513" s="101">
        <v>1</v>
      </c>
      <c r="AQ513" s="101">
        <v>0.8</v>
      </c>
      <c r="AR513" s="101">
        <v>1</v>
      </c>
      <c r="AS513" s="101">
        <v>1</v>
      </c>
      <c r="AT513" s="101">
        <v>1</v>
      </c>
      <c r="AU513" s="101">
        <v>1.2</v>
      </c>
      <c r="AV513" s="101">
        <v>0.8</v>
      </c>
      <c r="AW513" s="101">
        <v>0.8</v>
      </c>
      <c r="AX513" s="101">
        <v>0.8</v>
      </c>
      <c r="AY513" s="101">
        <v>1</v>
      </c>
      <c r="AZ513" s="101">
        <v>1.2</v>
      </c>
      <c r="BA513" s="101">
        <v>1.2</v>
      </c>
      <c r="BB513" s="101">
        <v>1</v>
      </c>
      <c r="BC513" s="101">
        <v>0.8</v>
      </c>
      <c r="BD513" s="101">
        <v>1</v>
      </c>
      <c r="BE513" s="101">
        <v>1</v>
      </c>
      <c r="BF513" s="101">
        <v>1</v>
      </c>
      <c r="BG513" s="101">
        <v>1.2</v>
      </c>
      <c r="BH513" s="101">
        <v>0.8</v>
      </c>
      <c r="BI513" s="101">
        <v>0.8</v>
      </c>
      <c r="BJ513" s="101">
        <v>0.8</v>
      </c>
      <c r="BK513" s="101">
        <v>1</v>
      </c>
      <c r="BL513" s="101">
        <v>1.2</v>
      </c>
      <c r="BM513" s="101">
        <v>1.2</v>
      </c>
      <c r="BN513" s="101">
        <v>1</v>
      </c>
      <c r="BO513" s="101">
        <v>0.8</v>
      </c>
      <c r="BP513" s="101">
        <v>1</v>
      </c>
      <c r="BQ513" s="101">
        <v>1</v>
      </c>
      <c r="BR513" s="101">
        <v>1</v>
      </c>
      <c r="BS513" s="101">
        <v>1.2</v>
      </c>
      <c r="BT513" s="101">
        <v>0.8</v>
      </c>
      <c r="BU513" s="101">
        <v>0.8</v>
      </c>
      <c r="BV513" s="101">
        <v>0.8</v>
      </c>
      <c r="BW513" s="101">
        <v>1</v>
      </c>
      <c r="BX513" s="101">
        <v>1.2</v>
      </c>
      <c r="BY513" s="101">
        <v>1.2</v>
      </c>
      <c r="BZ513" s="101">
        <v>1</v>
      </c>
      <c r="CA513" s="101">
        <v>0.8</v>
      </c>
      <c r="CB513" s="101">
        <v>1</v>
      </c>
      <c r="CC513" s="101">
        <v>1</v>
      </c>
      <c r="CD513" s="101">
        <v>1</v>
      </c>
      <c r="CE513" s="101">
        <v>1.2</v>
      </c>
      <c r="CF513" s="101">
        <v>0.8</v>
      </c>
      <c r="CG513" s="101">
        <v>0.8</v>
      </c>
      <c r="CH513" s="101">
        <v>0.8</v>
      </c>
      <c r="CI513" s="101">
        <v>1</v>
      </c>
      <c r="CJ513" s="101">
        <v>1.2</v>
      </c>
      <c r="CK513" s="101">
        <v>1.2</v>
      </c>
      <c r="CL513" s="101">
        <v>1</v>
      </c>
      <c r="CM513" s="101">
        <v>0.8</v>
      </c>
      <c r="CN513" s="101">
        <v>1</v>
      </c>
      <c r="CO513" s="101">
        <v>1</v>
      </c>
    </row>
    <row r="514" spans="1:94" x14ac:dyDescent="0.2">
      <c r="A514" s="118">
        <f t="shared" si="56"/>
        <v>15</v>
      </c>
      <c r="B514" s="227" t="s">
        <v>647</v>
      </c>
      <c r="C514" s="263"/>
      <c r="D514" s="172">
        <f>SUMIF($AH$6:$CP$6,1,$AH514:$CP514)</f>
        <v>58299.72</v>
      </c>
      <c r="E514" s="233" t="s">
        <v>596</v>
      </c>
      <c r="F514" s="201">
        <v>1.9570000000000001</v>
      </c>
      <c r="G514" s="233" t="s">
        <v>375</v>
      </c>
      <c r="H514" s="174">
        <f>ROUND(D514*F514,2)</f>
        <v>114092.55</v>
      </c>
      <c r="I514" s="308"/>
      <c r="J514" s="172">
        <f>SUMIF($AH$6:$CP$6,1,$AH514:$CP514)</f>
        <v>58299.72</v>
      </c>
      <c r="K514" s="233" t="s">
        <v>596</v>
      </c>
      <c r="L514" s="201">
        <f>'Exhibit MJC-3 - E-13c cal yr'!L601</f>
        <v>2.0059999999999998</v>
      </c>
      <c r="M514" s="233" t="s">
        <v>375</v>
      </c>
      <c r="N514" s="174">
        <f>ROUND(J514*L514,2)</f>
        <v>116949.24</v>
      </c>
      <c r="O514" s="227"/>
      <c r="P514" s="262"/>
      <c r="Q514" s="939"/>
      <c r="R514" s="311"/>
      <c r="S514" s="227"/>
      <c r="T514" s="227"/>
      <c r="U514" s="184" t="s">
        <v>138</v>
      </c>
      <c r="V514" s="179">
        <v>256</v>
      </c>
      <c r="W514" s="180">
        <v>230</v>
      </c>
      <c r="X514" s="227"/>
      <c r="Y514" s="184"/>
      <c r="Z514" s="181"/>
      <c r="AA514" s="227"/>
      <c r="AB514" s="182">
        <f>SUM(AH514:AS514)</f>
        <v>58299.72</v>
      </c>
      <c r="AC514" s="182">
        <f>SUM(AT514:BE514)</f>
        <v>58299.72</v>
      </c>
      <c r="AD514" s="182">
        <f>SUM(BF514:BQ514)</f>
        <v>58299.72</v>
      </c>
      <c r="AE514" s="182">
        <f>SUM(BR514:CC514)</f>
        <v>58299.72</v>
      </c>
      <c r="AF514" s="182">
        <f>SUM(CD514:CO514)</f>
        <v>58299.72</v>
      </c>
      <c r="AH514" s="174">
        <v>4026</v>
      </c>
      <c r="AI514" s="174">
        <v>11792.36</v>
      </c>
      <c r="AJ514" s="174">
        <v>21138.36</v>
      </c>
      <c r="AK514" s="174">
        <v>180</v>
      </c>
      <c r="AL514" s="174">
        <v>8903</v>
      </c>
      <c r="AM514" s="174">
        <v>5680</v>
      </c>
      <c r="AN514" s="174">
        <v>180</v>
      </c>
      <c r="AO514" s="174">
        <v>5680</v>
      </c>
      <c r="AP514" s="174">
        <v>180</v>
      </c>
      <c r="AQ514" s="174">
        <v>180</v>
      </c>
      <c r="AR514" s="174">
        <v>180</v>
      </c>
      <c r="AS514" s="174">
        <v>180</v>
      </c>
      <c r="AT514" s="174">
        <v>4026</v>
      </c>
      <c r="AU514" s="174">
        <v>11792.36</v>
      </c>
      <c r="AV514" s="174">
        <v>21138.36</v>
      </c>
      <c r="AW514" s="174">
        <v>180</v>
      </c>
      <c r="AX514" s="174">
        <v>8903</v>
      </c>
      <c r="AY514" s="174">
        <v>5680</v>
      </c>
      <c r="AZ514" s="174">
        <v>180</v>
      </c>
      <c r="BA514" s="174">
        <v>5680</v>
      </c>
      <c r="BB514" s="174">
        <v>180</v>
      </c>
      <c r="BC514" s="174">
        <v>180</v>
      </c>
      <c r="BD514" s="174">
        <v>180</v>
      </c>
      <c r="BE514" s="174">
        <v>180</v>
      </c>
      <c r="BF514" s="174">
        <v>4026</v>
      </c>
      <c r="BG514" s="174">
        <v>11792.36</v>
      </c>
      <c r="BH514" s="174">
        <v>21138.36</v>
      </c>
      <c r="BI514" s="174">
        <v>180</v>
      </c>
      <c r="BJ514" s="174">
        <v>8903</v>
      </c>
      <c r="BK514" s="174">
        <v>5680</v>
      </c>
      <c r="BL514" s="174">
        <v>180</v>
      </c>
      <c r="BM514" s="174">
        <v>5680</v>
      </c>
      <c r="BN514" s="174">
        <v>180</v>
      </c>
      <c r="BO514" s="174">
        <v>180</v>
      </c>
      <c r="BP514" s="174">
        <v>180</v>
      </c>
      <c r="BQ514" s="174">
        <v>180</v>
      </c>
      <c r="BR514" s="174">
        <v>4026</v>
      </c>
      <c r="BS514" s="174">
        <v>11792.36</v>
      </c>
      <c r="BT514" s="174">
        <v>21138.36</v>
      </c>
      <c r="BU514" s="174">
        <v>180</v>
      </c>
      <c r="BV514" s="174">
        <v>8903</v>
      </c>
      <c r="BW514" s="174">
        <v>5680</v>
      </c>
      <c r="BX514" s="174">
        <v>180</v>
      </c>
      <c r="BY514" s="174">
        <v>5680</v>
      </c>
      <c r="BZ514" s="174">
        <v>180</v>
      </c>
      <c r="CA514" s="174">
        <v>180</v>
      </c>
      <c r="CB514" s="174">
        <v>180</v>
      </c>
      <c r="CC514" s="174">
        <v>180</v>
      </c>
      <c r="CD514" s="174">
        <v>4026</v>
      </c>
      <c r="CE514" s="174">
        <v>11792.36</v>
      </c>
      <c r="CF514" s="174">
        <v>21138.36</v>
      </c>
      <c r="CG514" s="174">
        <v>180</v>
      </c>
      <c r="CH514" s="174">
        <v>8903</v>
      </c>
      <c r="CI514" s="174">
        <v>5680</v>
      </c>
      <c r="CJ514" s="174">
        <v>180</v>
      </c>
      <c r="CK514" s="174">
        <v>5680</v>
      </c>
      <c r="CL514" s="174">
        <v>180</v>
      </c>
      <c r="CM514" s="174">
        <v>180</v>
      </c>
      <c r="CN514" s="174">
        <v>180</v>
      </c>
      <c r="CO514" s="174">
        <v>180</v>
      </c>
    </row>
    <row r="515" spans="1:94" x14ac:dyDescent="0.2">
      <c r="A515" s="118">
        <f t="shared" si="56"/>
        <v>16</v>
      </c>
      <c r="B515" s="227" t="s">
        <v>648</v>
      </c>
      <c r="C515" s="263"/>
      <c r="D515" s="172">
        <f>+J515</f>
        <v>2074939.8402319269</v>
      </c>
      <c r="E515" s="233" t="s">
        <v>596</v>
      </c>
      <c r="F515" s="201">
        <v>0.93100000000000005</v>
      </c>
      <c r="G515" s="233" t="s">
        <v>375</v>
      </c>
      <c r="H515" s="174">
        <f>ROUND(D515*F515,2)</f>
        <v>1931768.99</v>
      </c>
      <c r="I515" s="308"/>
      <c r="J515" s="172">
        <f>'E-13c - prior to updates'!J600</f>
        <v>2074939.8402319269</v>
      </c>
      <c r="K515" s="233" t="s">
        <v>596</v>
      </c>
      <c r="L515" s="201">
        <f>'Exhibit MJC-3 - E-13c cal yr'!L602</f>
        <v>0.95499999999999996</v>
      </c>
      <c r="M515" s="233" t="s">
        <v>375</v>
      </c>
      <c r="N515" s="174">
        <f>ROUND(J515*L515,2)</f>
        <v>1981567.55</v>
      </c>
      <c r="O515" s="227"/>
      <c r="P515" s="262"/>
      <c r="Q515" s="939"/>
      <c r="R515" s="311"/>
      <c r="S515" s="227"/>
      <c r="T515" s="227"/>
      <c r="U515" s="184" t="s">
        <v>138</v>
      </c>
      <c r="V515" s="179">
        <v>256</v>
      </c>
      <c r="W515" s="180">
        <v>230</v>
      </c>
      <c r="X515" s="227"/>
      <c r="Y515" s="184"/>
      <c r="Z515" s="181"/>
      <c r="AA515" s="227"/>
      <c r="AB515" s="182">
        <f>SUM(AH515:AS515)</f>
        <v>2054783.1768634322</v>
      </c>
      <c r="AC515" s="182">
        <f>SUM(AT515:BE515)</f>
        <v>2055992.0023070029</v>
      </c>
      <c r="AD515" s="182">
        <f>SUM(BF515:BQ515)</f>
        <v>2066720.8692792414</v>
      </c>
      <c r="AE515" s="182">
        <f>SUM(BR515:CC515)</f>
        <v>2082866.9833992913</v>
      </c>
      <c r="AF515" s="182">
        <f>SUM(CD515:CO515)</f>
        <v>2103488.4405091479</v>
      </c>
      <c r="AH515" s="174">
        <v>504467.83762824856</v>
      </c>
      <c r="AI515" s="174">
        <v>231336.79781188798</v>
      </c>
      <c r="AJ515" s="174">
        <v>0</v>
      </c>
      <c r="AK515" s="174">
        <v>276842.49583513755</v>
      </c>
      <c r="AL515" s="174">
        <v>71049.018427721327</v>
      </c>
      <c r="AM515" s="174">
        <v>56169.867815307181</v>
      </c>
      <c r="AN515" s="174">
        <v>137519.38422355172</v>
      </c>
      <c r="AO515" s="174">
        <v>103340.7911719523</v>
      </c>
      <c r="AP515" s="174">
        <v>265365.68643678253</v>
      </c>
      <c r="AQ515" s="174">
        <v>163406.75670072544</v>
      </c>
      <c r="AR515" s="174">
        <v>97468.129472857137</v>
      </c>
      <c r="AS515" s="174">
        <v>147816.41133926035</v>
      </c>
      <c r="AT515" s="174">
        <v>504764.61519799643</v>
      </c>
      <c r="AU515" s="174">
        <v>231472.89285606492</v>
      </c>
      <c r="AV515" s="174">
        <v>0</v>
      </c>
      <c r="AW515" s="174">
        <v>277005.36180396349</v>
      </c>
      <c r="AX515" s="174">
        <v>71090.816444263051</v>
      </c>
      <c r="AY515" s="174">
        <v>56202.912452883407</v>
      </c>
      <c r="AZ515" s="174">
        <v>137600.28664308946</v>
      </c>
      <c r="BA515" s="174">
        <v>103401.58638340526</v>
      </c>
      <c r="BB515" s="174">
        <v>265521.80061818485</v>
      </c>
      <c r="BC515" s="174">
        <v>163502.88861740427</v>
      </c>
      <c r="BD515" s="174">
        <v>97525.46980743391</v>
      </c>
      <c r="BE515" s="174">
        <v>147903.37148231399</v>
      </c>
      <c r="BF515" s="174">
        <v>507398.64898931253</v>
      </c>
      <c r="BG515" s="174">
        <v>232680.79729944075</v>
      </c>
      <c r="BH515" s="174">
        <v>0</v>
      </c>
      <c r="BI515" s="174">
        <v>278450.87018826499</v>
      </c>
      <c r="BJ515" s="174">
        <v>71461.792552984509</v>
      </c>
      <c r="BK515" s="174">
        <v>56496.198404619936</v>
      </c>
      <c r="BL515" s="174">
        <v>138318.33183445159</v>
      </c>
      <c r="BM515" s="174">
        <v>103941.17110152726</v>
      </c>
      <c r="BN515" s="174">
        <v>266907.38386649772</v>
      </c>
      <c r="BO515" s="174">
        <v>164356.10241375392</v>
      </c>
      <c r="BP515" s="174">
        <v>98034.390946618747</v>
      </c>
      <c r="BQ515" s="174">
        <v>148675.18168176941</v>
      </c>
      <c r="BR515" s="174">
        <v>511362.66590747418</v>
      </c>
      <c r="BS515" s="174">
        <v>234498.59996577335</v>
      </c>
      <c r="BT515" s="174">
        <v>0</v>
      </c>
      <c r="BU515" s="174">
        <v>280626.24838941253</v>
      </c>
      <c r="BV515" s="174">
        <v>72020.08287410863</v>
      </c>
      <c r="BW515" s="174">
        <v>56937.571054574408</v>
      </c>
      <c r="BX515" s="174">
        <v>139398.93425342889</v>
      </c>
      <c r="BY515" s="174">
        <v>104753.20432542468</v>
      </c>
      <c r="BZ515" s="174">
        <v>268992.57937763387</v>
      </c>
      <c r="CA515" s="174">
        <v>165640.12311792598</v>
      </c>
      <c r="CB515" s="174">
        <v>98800.277858316549</v>
      </c>
      <c r="CC515" s="174">
        <v>149836.69627521816</v>
      </c>
      <c r="CD515" s="174">
        <v>516425.41997032997</v>
      </c>
      <c r="CE515" s="174">
        <v>236820.25701831526</v>
      </c>
      <c r="CF515" s="174">
        <v>0</v>
      </c>
      <c r="CG515" s="174">
        <v>283404.59294582671</v>
      </c>
      <c r="CH515" s="174">
        <v>72733.1188297763</v>
      </c>
      <c r="CI515" s="174">
        <v>57501.282366338113</v>
      </c>
      <c r="CJ515" s="174">
        <v>140779.05557983994</v>
      </c>
      <c r="CK515" s="174">
        <v>105790.31506141197</v>
      </c>
      <c r="CL515" s="174">
        <v>271655.74461224367</v>
      </c>
      <c r="CM515" s="174">
        <v>167280.04574465711</v>
      </c>
      <c r="CN515" s="174">
        <v>99778.451552813407</v>
      </c>
      <c r="CO515" s="174">
        <v>151320.15682759552</v>
      </c>
    </row>
    <row r="516" spans="1:94" x14ac:dyDescent="0.2">
      <c r="A516" s="118">
        <f t="shared" si="56"/>
        <v>17</v>
      </c>
      <c r="B516" s="227" t="s">
        <v>644</v>
      </c>
      <c r="C516" s="263"/>
      <c r="D516" s="172"/>
      <c r="E516" s="230"/>
      <c r="F516" s="197"/>
      <c r="G516" s="230"/>
      <c r="H516" s="203"/>
      <c r="I516" s="308"/>
      <c r="J516" s="172"/>
      <c r="K516" s="230"/>
      <c r="L516" s="197"/>
      <c r="M516" s="230"/>
      <c r="N516" s="203"/>
      <c r="O516" s="227"/>
      <c r="P516" s="262"/>
      <c r="Q516" s="262"/>
      <c r="R516" s="311"/>
      <c r="S516" s="227"/>
      <c r="T516" s="227"/>
      <c r="U516" s="184" t="s">
        <v>138</v>
      </c>
      <c r="V516" s="179">
        <v>256</v>
      </c>
      <c r="W516" s="180">
        <v>230</v>
      </c>
      <c r="X516" s="227"/>
      <c r="Y516" s="184"/>
      <c r="Z516" s="181"/>
      <c r="AA516" s="227"/>
      <c r="AB516" s="182">
        <f>SUM(AH516:AS516)</f>
        <v>0</v>
      </c>
      <c r="AC516" s="182">
        <f>SUM(AT516:BE516)</f>
        <v>0</v>
      </c>
      <c r="AD516" s="182">
        <f>SUM(BF516:BQ516)</f>
        <v>0</v>
      </c>
      <c r="AE516" s="182">
        <f>SUM(BR516:CC516)</f>
        <v>0</v>
      </c>
      <c r="AF516" s="182">
        <f>SUM(CD516:CO516)</f>
        <v>0</v>
      </c>
    </row>
    <row r="517" spans="1:94" x14ac:dyDescent="0.2">
      <c r="A517" s="118">
        <f t="shared" si="56"/>
        <v>18</v>
      </c>
      <c r="B517" s="227" t="s">
        <v>647</v>
      </c>
      <c r="C517" s="263"/>
      <c r="D517" s="172">
        <f>SUMIF($AH$6:$CP$6,1,$AH517:$CP517)</f>
        <v>253432</v>
      </c>
      <c r="E517" s="233" t="s">
        <v>596</v>
      </c>
      <c r="F517" s="201">
        <v>1.9570000000000001</v>
      </c>
      <c r="G517" s="233" t="s">
        <v>375</v>
      </c>
      <c r="H517" s="174">
        <f>ROUND(D517*F517,2)</f>
        <v>495966.42</v>
      </c>
      <c r="I517" s="308"/>
      <c r="J517" s="172">
        <f>SUMIF($AH$6:$CP$6,1,$AH517:$CP517)</f>
        <v>253432</v>
      </c>
      <c r="K517" s="233" t="s">
        <v>596</v>
      </c>
      <c r="L517" s="201">
        <f>L514</f>
        <v>2.0059999999999998</v>
      </c>
      <c r="M517" s="233" t="s">
        <v>375</v>
      </c>
      <c r="N517" s="174">
        <f>ROUND(J517*L517,2)</f>
        <v>508384.59</v>
      </c>
      <c r="O517" s="227"/>
      <c r="P517" s="262"/>
      <c r="Q517" s="262"/>
      <c r="R517" s="311"/>
      <c r="S517" s="227"/>
      <c r="T517" s="227"/>
      <c r="U517" s="184" t="s">
        <v>138</v>
      </c>
      <c r="V517" s="179">
        <v>256</v>
      </c>
      <c r="W517" s="180">
        <v>230</v>
      </c>
      <c r="X517" s="227"/>
      <c r="Y517" s="184"/>
      <c r="Z517" s="181"/>
      <c r="AA517" s="227"/>
      <c r="AB517" s="182">
        <f>SUM(AH517:AS517)</f>
        <v>253432</v>
      </c>
      <c r="AC517" s="182">
        <f>SUM(AT517:BE517)</f>
        <v>253432</v>
      </c>
      <c r="AD517" s="182">
        <f>SUM(BF517:BQ517)</f>
        <v>253432</v>
      </c>
      <c r="AE517" s="182">
        <f>SUM(BR517:CC517)</f>
        <v>253432</v>
      </c>
      <c r="AF517" s="182">
        <f>SUM(CD517:CO517)</f>
        <v>253432</v>
      </c>
      <c r="AH517" s="174">
        <v>22736</v>
      </c>
      <c r="AI517" s="174">
        <v>19136</v>
      </c>
      <c r="AJ517" s="174">
        <v>19136</v>
      </c>
      <c r="AK517" s="174">
        <v>22736</v>
      </c>
      <c r="AL517" s="174">
        <v>22736</v>
      </c>
      <c r="AM517" s="174">
        <v>19136</v>
      </c>
      <c r="AN517" s="174">
        <v>22736</v>
      </c>
      <c r="AO517" s="174">
        <v>14136</v>
      </c>
      <c r="AP517" s="174">
        <v>22736</v>
      </c>
      <c r="AQ517" s="174">
        <v>22736</v>
      </c>
      <c r="AR517" s="174">
        <v>22736</v>
      </c>
      <c r="AS517" s="174">
        <v>22736</v>
      </c>
      <c r="AT517" s="174">
        <v>22736</v>
      </c>
      <c r="AU517" s="174">
        <v>19136</v>
      </c>
      <c r="AV517" s="174">
        <v>19136</v>
      </c>
      <c r="AW517" s="174">
        <v>22736</v>
      </c>
      <c r="AX517" s="174">
        <v>22736</v>
      </c>
      <c r="AY517" s="174">
        <v>19136</v>
      </c>
      <c r="AZ517" s="174">
        <v>22736</v>
      </c>
      <c r="BA517" s="174">
        <v>14136</v>
      </c>
      <c r="BB517" s="174">
        <v>22736</v>
      </c>
      <c r="BC517" s="174">
        <v>22736</v>
      </c>
      <c r="BD517" s="174">
        <v>22736</v>
      </c>
      <c r="BE517" s="174">
        <v>22736</v>
      </c>
      <c r="BF517" s="174">
        <v>22736</v>
      </c>
      <c r="BG517" s="174">
        <v>19136</v>
      </c>
      <c r="BH517" s="174">
        <v>19136</v>
      </c>
      <c r="BI517" s="174">
        <v>22736</v>
      </c>
      <c r="BJ517" s="174">
        <v>22736</v>
      </c>
      <c r="BK517" s="174">
        <v>19136</v>
      </c>
      <c r="BL517" s="174">
        <v>22736</v>
      </c>
      <c r="BM517" s="174">
        <v>14136</v>
      </c>
      <c r="BN517" s="174">
        <v>22736</v>
      </c>
      <c r="BO517" s="174">
        <v>22736</v>
      </c>
      <c r="BP517" s="174">
        <v>22736</v>
      </c>
      <c r="BQ517" s="174">
        <v>22736</v>
      </c>
      <c r="BR517" s="174">
        <v>22736</v>
      </c>
      <c r="BS517" s="174">
        <v>19136</v>
      </c>
      <c r="BT517" s="174">
        <v>19136</v>
      </c>
      <c r="BU517" s="174">
        <v>22736</v>
      </c>
      <c r="BV517" s="174">
        <v>22736</v>
      </c>
      <c r="BW517" s="174">
        <v>19136</v>
      </c>
      <c r="BX517" s="174">
        <v>22736</v>
      </c>
      <c r="BY517" s="174">
        <v>14136</v>
      </c>
      <c r="BZ517" s="174">
        <v>22736</v>
      </c>
      <c r="CA517" s="174">
        <v>22736</v>
      </c>
      <c r="CB517" s="174">
        <v>22736</v>
      </c>
      <c r="CC517" s="174">
        <v>22736</v>
      </c>
      <c r="CD517" s="174">
        <v>22736</v>
      </c>
      <c r="CE517" s="174">
        <v>19136</v>
      </c>
      <c r="CF517" s="174">
        <v>19136</v>
      </c>
      <c r="CG517" s="174">
        <v>22736</v>
      </c>
      <c r="CH517" s="174">
        <v>22736</v>
      </c>
      <c r="CI517" s="174">
        <v>19136</v>
      </c>
      <c r="CJ517" s="174">
        <v>22736</v>
      </c>
      <c r="CK517" s="174">
        <v>14136</v>
      </c>
      <c r="CL517" s="174">
        <v>22736</v>
      </c>
      <c r="CM517" s="174">
        <v>22736</v>
      </c>
      <c r="CN517" s="174">
        <v>22736</v>
      </c>
      <c r="CO517" s="174">
        <v>22736</v>
      </c>
    </row>
    <row r="518" spans="1:94" x14ac:dyDescent="0.2">
      <c r="A518" s="118">
        <f t="shared" si="56"/>
        <v>19</v>
      </c>
      <c r="B518" s="227" t="s">
        <v>648</v>
      </c>
      <c r="C518" s="263"/>
      <c r="D518" s="172">
        <f>+J518</f>
        <v>146796.72451314615</v>
      </c>
      <c r="E518" s="233" t="s">
        <v>596</v>
      </c>
      <c r="F518" s="201">
        <v>0.93100000000000005</v>
      </c>
      <c r="G518" s="233" t="s">
        <v>375</v>
      </c>
      <c r="H518" s="174">
        <f>ROUND(D518*F518,2)</f>
        <v>136667.75</v>
      </c>
      <c r="I518" s="308"/>
      <c r="J518" s="172">
        <f>'E-13c - prior to updates'!J603</f>
        <v>146796.72451314615</v>
      </c>
      <c r="K518" s="233" t="s">
        <v>596</v>
      </c>
      <c r="L518" s="201">
        <f>L515</f>
        <v>0.95499999999999996</v>
      </c>
      <c r="M518" s="233" t="s">
        <v>375</v>
      </c>
      <c r="N518" s="174">
        <f>ROUND(J518*L518,2)</f>
        <v>140190.87</v>
      </c>
      <c r="O518" s="227"/>
      <c r="P518" s="262"/>
      <c r="Q518" s="262"/>
      <c r="R518" s="311"/>
      <c r="S518" s="227"/>
      <c r="T518" s="227"/>
      <c r="U518" s="184" t="s">
        <v>138</v>
      </c>
      <c r="V518" s="179">
        <v>256</v>
      </c>
      <c r="W518" s="180">
        <v>230</v>
      </c>
      <c r="X518" s="227"/>
      <c r="Y518" s="184"/>
      <c r="Z518" s="181"/>
      <c r="AA518" s="227"/>
      <c r="AB518" s="182">
        <f>SUM(AH518:AS518)</f>
        <v>148993.00333598437</v>
      </c>
      <c r="AC518" s="182">
        <f>SUM(AT518:BE518)</f>
        <v>149080.65566610589</v>
      </c>
      <c r="AD518" s="182">
        <f>SUM(BF518:BQ518)</f>
        <v>149858.60933566344</v>
      </c>
      <c r="AE518" s="182">
        <f>SUM(BR518:CC518)</f>
        <v>151029.36937596317</v>
      </c>
      <c r="AF518" s="182">
        <f>SUM(CD518:CO518)</f>
        <v>152524.63800700757</v>
      </c>
      <c r="AH518" s="174">
        <v>0</v>
      </c>
      <c r="AI518" s="174">
        <v>40047.025283689974</v>
      </c>
      <c r="AJ518" s="174">
        <v>79661.959073392121</v>
      </c>
      <c r="AK518" s="174">
        <v>0</v>
      </c>
      <c r="AL518" s="174">
        <v>0</v>
      </c>
      <c r="AM518" s="174">
        <v>10546.960557793776</v>
      </c>
      <c r="AN518" s="174">
        <v>0</v>
      </c>
      <c r="AO518" s="174">
        <v>18737.058421108501</v>
      </c>
      <c r="AP518" s="174">
        <v>0</v>
      </c>
      <c r="AQ518" s="174">
        <v>0</v>
      </c>
      <c r="AR518" s="174">
        <v>0</v>
      </c>
      <c r="AS518" s="174">
        <v>0</v>
      </c>
      <c r="AT518" s="174">
        <v>0</v>
      </c>
      <c r="AU518" s="174">
        <v>40070.584880462688</v>
      </c>
      <c r="AV518" s="174">
        <v>79708.824068247501</v>
      </c>
      <c r="AW518" s="174">
        <v>0</v>
      </c>
      <c r="AX518" s="174">
        <v>0</v>
      </c>
      <c r="AY518" s="174">
        <v>10553.165316728033</v>
      </c>
      <c r="AZ518" s="174">
        <v>0</v>
      </c>
      <c r="BA518" s="174">
        <v>18748.081400667677</v>
      </c>
      <c r="BB518" s="174">
        <v>0</v>
      </c>
      <c r="BC518" s="174">
        <v>0</v>
      </c>
      <c r="BD518" s="174">
        <v>0</v>
      </c>
      <c r="BE518" s="174">
        <v>0</v>
      </c>
      <c r="BF518" s="174">
        <v>0</v>
      </c>
      <c r="BG518" s="174">
        <v>40279.68684885549</v>
      </c>
      <c r="BH518" s="174">
        <v>80124.771877860665</v>
      </c>
      <c r="BI518" s="174">
        <v>0</v>
      </c>
      <c r="BJ518" s="174">
        <v>0</v>
      </c>
      <c r="BK518" s="174">
        <v>10608.235329983027</v>
      </c>
      <c r="BL518" s="174">
        <v>0</v>
      </c>
      <c r="BM518" s="174">
        <v>18845.915278964261</v>
      </c>
      <c r="BN518" s="174">
        <v>0</v>
      </c>
      <c r="BO518" s="174">
        <v>0</v>
      </c>
      <c r="BP518" s="174">
        <v>0</v>
      </c>
      <c r="BQ518" s="174">
        <v>0</v>
      </c>
      <c r="BR518" s="174">
        <v>0</v>
      </c>
      <c r="BS518" s="174">
        <v>40594.369121749129</v>
      </c>
      <c r="BT518" s="174">
        <v>80750.741126932058</v>
      </c>
      <c r="BU518" s="174">
        <v>0</v>
      </c>
      <c r="BV518" s="174">
        <v>0</v>
      </c>
      <c r="BW518" s="174">
        <v>10691.111436184048</v>
      </c>
      <c r="BX518" s="174">
        <v>0</v>
      </c>
      <c r="BY518" s="174">
        <v>18993.147691097918</v>
      </c>
      <c r="BZ518" s="174">
        <v>0</v>
      </c>
      <c r="CA518" s="174">
        <v>0</v>
      </c>
      <c r="CB518" s="174">
        <v>0</v>
      </c>
      <c r="CC518" s="174">
        <v>0</v>
      </c>
      <c r="CD518" s="174">
        <v>0</v>
      </c>
      <c r="CE518" s="174">
        <v>40996.274307446416</v>
      </c>
      <c r="CF518" s="174">
        <v>81550.215101031208</v>
      </c>
      <c r="CG518" s="174">
        <v>0</v>
      </c>
      <c r="CH518" s="174">
        <v>0</v>
      </c>
      <c r="CI518" s="174">
        <v>10796.958951985638</v>
      </c>
      <c r="CJ518" s="174">
        <v>0</v>
      </c>
      <c r="CK518" s="174">
        <v>19181.189646544321</v>
      </c>
      <c r="CL518" s="174">
        <v>0</v>
      </c>
      <c r="CM518" s="174">
        <v>0</v>
      </c>
      <c r="CN518" s="174">
        <v>0</v>
      </c>
      <c r="CO518" s="174">
        <v>0</v>
      </c>
    </row>
    <row r="519" spans="1:94" x14ac:dyDescent="0.2">
      <c r="A519" s="118">
        <f t="shared" si="56"/>
        <v>20</v>
      </c>
      <c r="B519" s="227"/>
      <c r="C519" s="225" t="s">
        <v>121</v>
      </c>
      <c r="D519" s="227"/>
      <c r="E519" s="325"/>
      <c r="F519" s="326"/>
      <c r="G519" s="230"/>
      <c r="H519" s="300">
        <f>SUM(H509:H518)</f>
        <v>3548550.61</v>
      </c>
      <c r="I519" s="308"/>
      <c r="J519" s="227"/>
      <c r="K519" s="230"/>
      <c r="L519" s="326"/>
      <c r="M519" s="230"/>
      <c r="N519" s="300">
        <f>SUM(N509:N518)</f>
        <v>3642513.18</v>
      </c>
      <c r="O519" s="227"/>
      <c r="P519" s="262"/>
      <c r="Q519" s="939"/>
      <c r="R519" s="311"/>
      <c r="S519" s="227"/>
      <c r="T519" s="227"/>
      <c r="U519" s="178"/>
      <c r="V519" s="179"/>
      <c r="W519" s="180"/>
      <c r="X519" s="227"/>
      <c r="Y519" s="178" t="s">
        <v>138</v>
      </c>
      <c r="Z519" s="181" t="s">
        <v>146</v>
      </c>
      <c r="AA519" s="227"/>
      <c r="AB519" s="324">
        <f>SUM(AB509:AB510)</f>
        <v>526492.31999999995</v>
      </c>
      <c r="AC519" s="324">
        <f>SUM(AC509:AC510)</f>
        <v>526492.31999999995</v>
      </c>
      <c r="AD519" s="324">
        <f>SUM(AD509:AD510)</f>
        <v>526492.31999999995</v>
      </c>
      <c r="AE519" s="324">
        <f>SUM(AE509:AE510)</f>
        <v>526492.31999999995</v>
      </c>
      <c r="AF519" s="324">
        <f>SUM(AF509:AF510)</f>
        <v>526492.31999999995</v>
      </c>
      <c r="AH519" s="854"/>
      <c r="AI519" s="854"/>
      <c r="AJ519" s="854"/>
      <c r="AK519" s="854"/>
      <c r="AL519" s="854"/>
      <c r="AM519" s="854"/>
      <c r="AN519" s="854"/>
      <c r="AO519" s="854"/>
      <c r="AP519" s="854"/>
      <c r="AQ519" s="854"/>
      <c r="AR519" s="854"/>
      <c r="AS519" s="854"/>
      <c r="AT519" s="854"/>
      <c r="AU519" s="854"/>
      <c r="AV519" s="854"/>
      <c r="AW519" s="854"/>
      <c r="AX519" s="854"/>
      <c r="AY519" s="854"/>
      <c r="AZ519" s="854"/>
      <c r="BA519" s="854"/>
      <c r="BB519" s="854"/>
      <c r="BC519" s="854"/>
      <c r="BD519" s="854"/>
      <c r="BE519" s="854"/>
      <c r="BF519" s="854"/>
      <c r="BG519" s="854"/>
      <c r="BH519" s="854"/>
      <c r="BI519" s="854"/>
      <c r="BJ519" s="854"/>
      <c r="BK519" s="854"/>
      <c r="BL519" s="854"/>
      <c r="BM519" s="854"/>
      <c r="BN519" s="854"/>
      <c r="BO519" s="854"/>
      <c r="BP519" s="854"/>
      <c r="BQ519" s="854"/>
      <c r="BR519" s="854"/>
      <c r="BS519" s="854"/>
      <c r="BT519" s="854"/>
      <c r="BU519" s="854"/>
      <c r="BV519" s="854"/>
      <c r="BW519" s="854"/>
      <c r="BX519" s="854"/>
      <c r="BY519" s="854"/>
      <c r="BZ519" s="854"/>
      <c r="CA519" s="854"/>
      <c r="CB519" s="854"/>
      <c r="CC519" s="854"/>
      <c r="CD519" s="854"/>
      <c r="CE519" s="854"/>
      <c r="CF519" s="854"/>
      <c r="CG519" s="854"/>
      <c r="CH519" s="854"/>
      <c r="CI519" s="854"/>
      <c r="CJ519" s="854"/>
      <c r="CK519" s="854"/>
      <c r="CL519" s="854"/>
      <c r="CM519" s="854"/>
      <c r="CN519" s="854"/>
      <c r="CO519" s="854"/>
    </row>
    <row r="520" spans="1:94" x14ac:dyDescent="0.2">
      <c r="A520" s="118">
        <f t="shared" si="56"/>
        <v>21</v>
      </c>
      <c r="B520" s="227"/>
      <c r="C520" s="263"/>
      <c r="D520" s="227"/>
      <c r="E520" s="230"/>
      <c r="F520" s="197"/>
      <c r="G520" s="230"/>
      <c r="H520" s="203"/>
      <c r="I520" s="308"/>
      <c r="J520" s="227"/>
      <c r="K520" s="230"/>
      <c r="L520" s="197"/>
      <c r="M520" s="230"/>
      <c r="N520" s="203"/>
      <c r="O520" s="227"/>
      <c r="P520" s="262"/>
      <c r="Q520" s="262"/>
      <c r="R520" s="311"/>
      <c r="T520" s="264"/>
      <c r="U520" s="184"/>
      <c r="V520" s="179"/>
      <c r="W520" s="180"/>
      <c r="X520" s="264"/>
      <c r="Y520" s="184"/>
      <c r="Z520" s="181"/>
      <c r="AA520" s="264"/>
      <c r="AC520" s="114"/>
      <c r="AD520" s="114"/>
      <c r="AE520" s="114"/>
      <c r="AF520" s="114"/>
    </row>
    <row r="521" spans="1:94" x14ac:dyDescent="0.2">
      <c r="A521" s="118">
        <f t="shared" si="56"/>
        <v>22</v>
      </c>
      <c r="B521" s="286" t="s">
        <v>551</v>
      </c>
      <c r="C521" s="263"/>
      <c r="D521" s="227"/>
      <c r="E521" s="230"/>
      <c r="F521" s="197"/>
      <c r="G521" s="230"/>
      <c r="H521" s="203"/>
      <c r="I521" s="308"/>
      <c r="J521" s="227"/>
      <c r="K521" s="230"/>
      <c r="L521" s="197"/>
      <c r="M521" s="230"/>
      <c r="N521" s="203"/>
      <c r="O521" s="227"/>
      <c r="P521" s="262"/>
      <c r="Q521" s="262"/>
      <c r="R521" s="311"/>
      <c r="T521" s="264"/>
      <c r="U521" s="184"/>
      <c r="V521" s="179"/>
      <c r="W521" s="180"/>
      <c r="X521" s="264"/>
      <c r="Y521" s="184"/>
      <c r="Z521" s="181"/>
      <c r="AA521" s="264"/>
      <c r="AC521" s="114"/>
      <c r="AD521" s="114"/>
      <c r="AE521" s="114"/>
      <c r="AF521" s="114"/>
    </row>
    <row r="522" spans="1:94" x14ac:dyDescent="0.2">
      <c r="A522" s="118">
        <f t="shared" si="56"/>
        <v>23</v>
      </c>
      <c r="B522" s="228" t="s">
        <v>543</v>
      </c>
      <c r="C522" s="225"/>
      <c r="D522" s="168"/>
      <c r="E522" s="233"/>
      <c r="F522" s="183"/>
      <c r="G522" s="233"/>
      <c r="H522" s="174"/>
      <c r="I522" s="308"/>
      <c r="J522" s="168"/>
      <c r="K522" s="233"/>
      <c r="L522" s="310"/>
      <c r="M522" s="233"/>
      <c r="N522" s="174"/>
      <c r="O522" s="227"/>
      <c r="P522" s="262"/>
      <c r="Q522" s="262"/>
      <c r="R522" s="311"/>
      <c r="T522" s="264"/>
      <c r="U522" s="178"/>
      <c r="V522" s="179"/>
      <c r="W522" s="180"/>
      <c r="X522" s="264"/>
      <c r="Y522" s="178"/>
      <c r="Z522" s="181"/>
      <c r="AA522" s="264"/>
      <c r="AB522" s="264"/>
      <c r="AC522" s="242"/>
      <c r="AH522" s="168"/>
      <c r="AT522" s="168"/>
      <c r="BF522" s="168"/>
      <c r="BR522" s="168"/>
      <c r="CD522" s="168"/>
    </row>
    <row r="523" spans="1:94" x14ac:dyDescent="0.2">
      <c r="A523" s="118">
        <f t="shared" si="56"/>
        <v>24</v>
      </c>
      <c r="B523" s="234" t="s">
        <v>148</v>
      </c>
      <c r="C523" s="225"/>
      <c r="D523" s="172">
        <f>SUMIF($AH$6:$CP$6,1,$AH523:$CP523)</f>
        <v>59446.679428360243</v>
      </c>
      <c r="E523" s="233" t="s">
        <v>555</v>
      </c>
      <c r="F523" s="183">
        <v>14.4</v>
      </c>
      <c r="G523" s="233" t="s">
        <v>375</v>
      </c>
      <c r="H523" s="174">
        <f>ROUND(D523*F523,2)</f>
        <v>856032.18</v>
      </c>
      <c r="I523" s="308"/>
      <c r="J523" s="172">
        <f>SUMIF($AH$6:$CP$6,1,$AH523:$CP523)</f>
        <v>59446.679428360243</v>
      </c>
      <c r="K523" s="233" t="s">
        <v>555</v>
      </c>
      <c r="L523" s="173">
        <f>'Exhibit MJC-3 - E-13c cal yr'!L610</f>
        <v>14.65</v>
      </c>
      <c r="M523" s="233" t="s">
        <v>375</v>
      </c>
      <c r="N523" s="174">
        <f>ROUND(J523*L523,2)</f>
        <v>870893.85</v>
      </c>
      <c r="O523" s="227"/>
      <c r="P523" s="262"/>
      <c r="Q523" s="262"/>
      <c r="R523" s="311"/>
      <c r="T523" s="264"/>
      <c r="U523" s="184" t="s">
        <v>138</v>
      </c>
      <c r="V523" s="179">
        <v>256</v>
      </c>
      <c r="W523" s="180">
        <v>230</v>
      </c>
      <c r="X523" s="264"/>
      <c r="Y523" s="184"/>
      <c r="Z523" s="181"/>
      <c r="AA523" s="264"/>
      <c r="AB523" s="182">
        <f>SUM(AH523:AS523)</f>
        <v>58642.703817743866</v>
      </c>
      <c r="AC523" s="182">
        <f>SUM(AT523:BE523)</f>
        <v>58687.68079517669</v>
      </c>
      <c r="AD523" s="182">
        <f>SUM(BF523:BQ523)</f>
        <v>58990.137275477646</v>
      </c>
      <c r="AE523" s="182">
        <f>SUM(BR523:CC523)</f>
        <v>59446.679428360243</v>
      </c>
      <c r="AF523" s="182">
        <f>SUM(CD523:CO523)</f>
        <v>60055.502803415962</v>
      </c>
      <c r="AH523" s="168">
        <v>11888.276153381106</v>
      </c>
      <c r="AI523" s="168">
        <v>7753.8874030391435</v>
      </c>
      <c r="AJ523" s="168">
        <v>0</v>
      </c>
      <c r="AK523" s="168">
        <v>6896.6012273244623</v>
      </c>
      <c r="AL523" s="168">
        <v>2374.2942838392282</v>
      </c>
      <c r="AM523" s="168">
        <v>1358.4048422617432</v>
      </c>
      <c r="AN523" s="168">
        <v>4311.1515285027808</v>
      </c>
      <c r="AO523" s="168">
        <v>2907.3349098469066</v>
      </c>
      <c r="AP523" s="168">
        <v>7974.302241828992</v>
      </c>
      <c r="AQ523" s="168">
        <v>5653.6216013001595</v>
      </c>
      <c r="AR523" s="168">
        <v>3447.2907131745601</v>
      </c>
      <c r="AS523" s="168">
        <v>4077.5389132447867</v>
      </c>
      <c r="AT523" s="168">
        <v>11915.461083149046</v>
      </c>
      <c r="AU523" s="168">
        <v>7632.0891699213444</v>
      </c>
      <c r="AV523" s="168">
        <v>0</v>
      </c>
      <c r="AW523" s="168">
        <v>6876.6141769384985</v>
      </c>
      <c r="AX523" s="168">
        <v>2294.9684092344241</v>
      </c>
      <c r="AY523" s="168">
        <v>1314.5262787664726</v>
      </c>
      <c r="AZ523" s="168">
        <v>4353.3112961773741</v>
      </c>
      <c r="BA523" s="168">
        <v>2917.6931973065034</v>
      </c>
      <c r="BB523" s="168">
        <v>7989.1014888477275</v>
      </c>
      <c r="BC523" s="168">
        <v>5713.8249126594128</v>
      </c>
      <c r="BD523" s="168">
        <v>3572.6925175954348</v>
      </c>
      <c r="BE523" s="168">
        <v>4107.3982645804426</v>
      </c>
      <c r="BF523" s="168">
        <v>11940.005723384424</v>
      </c>
      <c r="BG523" s="168">
        <v>7749.6997704750111</v>
      </c>
      <c r="BH523" s="168">
        <v>0</v>
      </c>
      <c r="BI523" s="168">
        <v>6889.8827977334267</v>
      </c>
      <c r="BJ523" s="168">
        <v>2312.4154052208091</v>
      </c>
      <c r="BK523" s="168">
        <v>1335.6396559233917</v>
      </c>
      <c r="BL523" s="168">
        <v>4383.8290938024566</v>
      </c>
      <c r="BM523" s="168">
        <v>2942.0896459956934</v>
      </c>
      <c r="BN523" s="168">
        <v>8017.1212361577036</v>
      </c>
      <c r="BO523" s="168">
        <v>5688.5732377000377</v>
      </c>
      <c r="BP523" s="168">
        <v>3572.9334880728152</v>
      </c>
      <c r="BQ523" s="168">
        <v>4157.9472210118756</v>
      </c>
      <c r="BR523" s="168">
        <v>12032.921996206296</v>
      </c>
      <c r="BS523" s="168">
        <v>7730.8668488618214</v>
      </c>
      <c r="BT523" s="168">
        <v>0</v>
      </c>
      <c r="BU523" s="168">
        <v>7001.5853429596573</v>
      </c>
      <c r="BV523" s="168">
        <v>2291.7136478913162</v>
      </c>
      <c r="BW523" s="168">
        <v>1355.7398200944394</v>
      </c>
      <c r="BX523" s="168">
        <v>4451.184013834958</v>
      </c>
      <c r="BY523" s="168">
        <v>2974.4823914982871</v>
      </c>
      <c r="BZ523" s="168">
        <v>8081.0352484604837</v>
      </c>
      <c r="CA523" s="168">
        <v>5756.9030468855799</v>
      </c>
      <c r="CB523" s="168">
        <v>3606.6584716804368</v>
      </c>
      <c r="CC523" s="168">
        <v>4163.5885999869724</v>
      </c>
      <c r="CD523" s="168">
        <v>12140.963228654256</v>
      </c>
      <c r="CE523" s="168">
        <v>7808.3228782300102</v>
      </c>
      <c r="CF523" s="168">
        <v>0</v>
      </c>
      <c r="CG523" s="168">
        <v>7110.5253997745567</v>
      </c>
      <c r="CH523" s="168">
        <v>2348.1810545397229</v>
      </c>
      <c r="CI523" s="168">
        <v>1352.9129124897108</v>
      </c>
      <c r="CJ523" s="168">
        <v>4474.14400622024</v>
      </c>
      <c r="CK523" s="168">
        <v>2989.9561505872944</v>
      </c>
      <c r="CL523" s="168">
        <v>8218.8973880891681</v>
      </c>
      <c r="CM523" s="168">
        <v>5791.6723989079574</v>
      </c>
      <c r="CN523" s="168">
        <v>3644.2241928543654</v>
      </c>
      <c r="CO523" s="168">
        <v>4175.7031930686844</v>
      </c>
      <c r="CP523" s="266"/>
    </row>
    <row r="524" spans="1:94" x14ac:dyDescent="0.2">
      <c r="A524" s="118">
        <f t="shared" si="56"/>
        <v>25</v>
      </c>
      <c r="B524" s="234" t="s">
        <v>216</v>
      </c>
      <c r="C524" s="225"/>
      <c r="D524" s="172">
        <f>SUMIF($AH$6:$CP$6,1,$AH524:$CP524)</f>
        <v>5731.9040561084093</v>
      </c>
      <c r="E524" s="233" t="s">
        <v>555</v>
      </c>
      <c r="F524" s="183">
        <v>14.4</v>
      </c>
      <c r="G524" s="233" t="s">
        <v>375</v>
      </c>
      <c r="H524" s="187">
        <f>ROUND(D524*F524,2)</f>
        <v>82539.42</v>
      </c>
      <c r="I524" s="308"/>
      <c r="J524" s="172">
        <f>SUMIF($AH$6:$CP$6,1,$AH524:$CP524)</f>
        <v>5731.9040561084093</v>
      </c>
      <c r="K524" s="233" t="s">
        <v>555</v>
      </c>
      <c r="L524" s="183">
        <f>L523</f>
        <v>14.65</v>
      </c>
      <c r="M524" s="233" t="s">
        <v>375</v>
      </c>
      <c r="N524" s="187">
        <f>ROUND(J524*L524,2)</f>
        <v>83972.39</v>
      </c>
      <c r="O524" s="227"/>
      <c r="P524" s="262"/>
      <c r="Q524" s="262"/>
      <c r="R524" s="311"/>
      <c r="T524" s="264"/>
      <c r="U524" s="184" t="s">
        <v>138</v>
      </c>
      <c r="V524" s="179">
        <v>256</v>
      </c>
      <c r="W524" s="180">
        <v>230</v>
      </c>
      <c r="X524" s="264"/>
      <c r="Y524" s="184"/>
      <c r="Z524" s="181"/>
      <c r="AA524" s="264"/>
      <c r="AB524" s="182">
        <f>SUM(AH524:AS524)</f>
        <v>5657.0608350623897</v>
      </c>
      <c r="AC524" s="182">
        <f>SUM(AT524:BE524)</f>
        <v>5649.9112996697459</v>
      </c>
      <c r="AD524" s="182">
        <f>SUM(BF524:BQ524)</f>
        <v>5683.1903018634566</v>
      </c>
      <c r="AE524" s="182">
        <f>SUM(BR524:CC524)</f>
        <v>5731.9040561084093</v>
      </c>
      <c r="AF524" s="182">
        <f>SUM(CD524:CO524)</f>
        <v>5768.3822651282117</v>
      </c>
      <c r="AH524" s="168">
        <v>1143.5230736456767</v>
      </c>
      <c r="AI524" s="168">
        <v>433.44172641466491</v>
      </c>
      <c r="AJ524" s="168">
        <v>324.24377449344365</v>
      </c>
      <c r="AK524" s="168">
        <v>370.04828216331038</v>
      </c>
      <c r="AL524" s="168">
        <v>279.02691145795717</v>
      </c>
      <c r="AM524" s="168">
        <v>420.04459452974521</v>
      </c>
      <c r="AN524" s="168">
        <v>363.13349412076514</v>
      </c>
      <c r="AO524" s="168">
        <v>559.147472582099</v>
      </c>
      <c r="AP524" s="168">
        <v>377.78570734843419</v>
      </c>
      <c r="AQ524" s="168">
        <v>586.25134965298832</v>
      </c>
      <c r="AR524" s="168">
        <v>420.59475212273264</v>
      </c>
      <c r="AS524" s="168">
        <v>379.81969653057251</v>
      </c>
      <c r="AT524" s="168">
        <v>1146.1379686938737</v>
      </c>
      <c r="AU524" s="168">
        <v>426.63321428484699</v>
      </c>
      <c r="AV524" s="168">
        <v>314.68223710408779</v>
      </c>
      <c r="AW524" s="168">
        <v>368.97584468040458</v>
      </c>
      <c r="AX524" s="168">
        <v>269.70453977878651</v>
      </c>
      <c r="AY524" s="168">
        <v>406.47650875847313</v>
      </c>
      <c r="AZ524" s="168">
        <v>366.68466221257916</v>
      </c>
      <c r="BA524" s="168">
        <v>561.13960986002189</v>
      </c>
      <c r="BB524" s="168">
        <v>378.48682750084953</v>
      </c>
      <c r="BC524" s="168">
        <v>592.49412199024994</v>
      </c>
      <c r="BD524" s="168">
        <v>435.89469205659736</v>
      </c>
      <c r="BE524" s="168">
        <v>382.60107274897467</v>
      </c>
      <c r="BF524" s="168">
        <v>1148.4988965593916</v>
      </c>
      <c r="BG524" s="168">
        <v>433.20763806725404</v>
      </c>
      <c r="BH524" s="168">
        <v>319.02538513319104</v>
      </c>
      <c r="BI524" s="168">
        <v>369.68779396817638</v>
      </c>
      <c r="BJ524" s="168">
        <v>271.75490962444377</v>
      </c>
      <c r="BK524" s="168">
        <v>413.00516624784541</v>
      </c>
      <c r="BL524" s="168">
        <v>369.25521312251567</v>
      </c>
      <c r="BM524" s="168">
        <v>565.83160890641216</v>
      </c>
      <c r="BN524" s="168">
        <v>379.81427405807904</v>
      </c>
      <c r="BO524" s="168">
        <v>589.8756537640553</v>
      </c>
      <c r="BP524" s="168">
        <v>435.9240922223031</v>
      </c>
      <c r="BQ524" s="168">
        <v>387.30967018978873</v>
      </c>
      <c r="BR524" s="168">
        <v>1157.4364330464414</v>
      </c>
      <c r="BS524" s="168">
        <v>432.1548791563813</v>
      </c>
      <c r="BT524" s="168">
        <v>323.42145512233685</v>
      </c>
      <c r="BU524" s="168">
        <v>375.68137451774686</v>
      </c>
      <c r="BV524" s="168">
        <v>269.32204043517879</v>
      </c>
      <c r="BW524" s="168">
        <v>419.220519025263</v>
      </c>
      <c r="BX524" s="168">
        <v>374.92859929229405</v>
      </c>
      <c r="BY524" s="168">
        <v>572.06148002185409</v>
      </c>
      <c r="BZ524" s="168">
        <v>382.8422255471292</v>
      </c>
      <c r="CA524" s="168">
        <v>596.96110193896379</v>
      </c>
      <c r="CB524" s="168">
        <v>440.03878758773351</v>
      </c>
      <c r="CC524" s="168">
        <v>387.83516041708617</v>
      </c>
      <c r="CD524" s="168">
        <v>1167.8288264107412</v>
      </c>
      <c r="CE524" s="168">
        <v>436.48466541010157</v>
      </c>
      <c r="CF524" s="168">
        <v>312.8118750707938</v>
      </c>
      <c r="CG524" s="168">
        <v>381.52672928806555</v>
      </c>
      <c r="CH524" s="168">
        <v>275.95808643098854</v>
      </c>
      <c r="CI524" s="168">
        <v>418.34638546679872</v>
      </c>
      <c r="CJ524" s="168">
        <v>376.86254714931806</v>
      </c>
      <c r="CK524" s="168">
        <v>575.03744032716952</v>
      </c>
      <c r="CL524" s="168">
        <v>389.37349867382295</v>
      </c>
      <c r="CM524" s="168">
        <v>600.56650410188729</v>
      </c>
      <c r="CN524" s="168">
        <v>444.62208110721463</v>
      </c>
      <c r="CO524" s="168">
        <v>388.96362569130861</v>
      </c>
    </row>
    <row r="525" spans="1:94" x14ac:dyDescent="0.2">
      <c r="A525" s="118">
        <f t="shared" si="56"/>
        <v>26</v>
      </c>
      <c r="B525" s="227"/>
      <c r="C525" s="225" t="s">
        <v>121</v>
      </c>
      <c r="D525" s="309">
        <f>SUM(D523:D524)</f>
        <v>65178.583484468654</v>
      </c>
      <c r="E525" s="233" t="s">
        <v>649</v>
      </c>
      <c r="F525" s="197"/>
      <c r="G525" s="230"/>
      <c r="H525" s="300">
        <f>SUM(H523:H524)</f>
        <v>938571.60000000009</v>
      </c>
      <c r="I525" s="308"/>
      <c r="J525" s="309">
        <f>SUM(J523:J524)</f>
        <v>65178.583484468654</v>
      </c>
      <c r="K525" s="233" t="s">
        <v>649</v>
      </c>
      <c r="L525" s="197"/>
      <c r="M525" s="230"/>
      <c r="N525" s="300">
        <f>SUM(N523:N524)</f>
        <v>954866.24</v>
      </c>
      <c r="O525" s="227"/>
      <c r="P525" s="262"/>
      <c r="Q525" s="939"/>
      <c r="T525" s="264"/>
      <c r="U525" s="178"/>
      <c r="V525" s="179"/>
      <c r="W525" s="180"/>
      <c r="X525" s="264"/>
      <c r="Y525" s="178" t="s">
        <v>138</v>
      </c>
      <c r="Z525" s="181" t="s">
        <v>141</v>
      </c>
      <c r="AA525" s="264"/>
      <c r="AB525" s="309">
        <f>SUM(AB523:AB524)</f>
        <v>64299.764652806254</v>
      </c>
      <c r="AC525" s="309">
        <f>SUM(AC523:AC524)</f>
        <v>64337.592094846434</v>
      </c>
      <c r="AD525" s="309">
        <f>SUM(AD523:AD524)</f>
        <v>64673.327577341101</v>
      </c>
      <c r="AE525" s="309">
        <f>SUM(AE523:AE524)</f>
        <v>65178.583484468654</v>
      </c>
      <c r="AF525" s="309">
        <f>SUM(AF523:AF524)</f>
        <v>65823.885068544172</v>
      </c>
      <c r="AH525" s="1206">
        <f t="shared" ref="AH525:CO525" si="58">SUM(AH523:AH524)</f>
        <v>13031.799227026782</v>
      </c>
      <c r="AI525" s="1206">
        <f t="shared" si="58"/>
        <v>8187.3291294538085</v>
      </c>
      <c r="AJ525" s="1206">
        <f t="shared" si="58"/>
        <v>324.24377449344365</v>
      </c>
      <c r="AK525" s="1206">
        <f t="shared" si="58"/>
        <v>7266.6495094877728</v>
      </c>
      <c r="AL525" s="1206">
        <f t="shared" si="58"/>
        <v>2653.3211952971856</v>
      </c>
      <c r="AM525" s="1206">
        <f t="shared" si="58"/>
        <v>1778.4494367914883</v>
      </c>
      <c r="AN525" s="1206">
        <f t="shared" si="58"/>
        <v>4674.285022623546</v>
      </c>
      <c r="AO525" s="1206">
        <f t="shared" si="58"/>
        <v>3466.4823824290056</v>
      </c>
      <c r="AP525" s="1206">
        <f t="shared" si="58"/>
        <v>8352.0879491774267</v>
      </c>
      <c r="AQ525" s="1206">
        <f t="shared" si="58"/>
        <v>6239.8729509531477</v>
      </c>
      <c r="AR525" s="1206">
        <f t="shared" si="58"/>
        <v>3867.8854652972927</v>
      </c>
      <c r="AS525" s="1206">
        <f t="shared" si="58"/>
        <v>4457.3586097753596</v>
      </c>
      <c r="AT525" s="1206">
        <f t="shared" si="58"/>
        <v>13061.599051842921</v>
      </c>
      <c r="AU525" s="1206">
        <f t="shared" si="58"/>
        <v>8058.7223842061912</v>
      </c>
      <c r="AV525" s="1206">
        <f t="shared" si="58"/>
        <v>314.68223710408779</v>
      </c>
      <c r="AW525" s="1206">
        <f t="shared" si="58"/>
        <v>7245.5900216189029</v>
      </c>
      <c r="AX525" s="1206">
        <f t="shared" si="58"/>
        <v>2564.6729490132107</v>
      </c>
      <c r="AY525" s="1206">
        <f t="shared" si="58"/>
        <v>1721.0027875249457</v>
      </c>
      <c r="AZ525" s="1206">
        <f t="shared" si="58"/>
        <v>4719.9959583899536</v>
      </c>
      <c r="BA525" s="1206">
        <f t="shared" si="58"/>
        <v>3478.8328071665255</v>
      </c>
      <c r="BB525" s="1206">
        <f t="shared" si="58"/>
        <v>8367.5883163485778</v>
      </c>
      <c r="BC525" s="1206">
        <f t="shared" si="58"/>
        <v>6306.3190346496631</v>
      </c>
      <c r="BD525" s="1206">
        <f t="shared" si="58"/>
        <v>4008.587209652032</v>
      </c>
      <c r="BE525" s="1206">
        <f t="shared" si="58"/>
        <v>4489.9993373294174</v>
      </c>
      <c r="BF525" s="1206">
        <f t="shared" si="58"/>
        <v>13088.504619943815</v>
      </c>
      <c r="BG525" s="1206">
        <f t="shared" si="58"/>
        <v>8182.9074085422653</v>
      </c>
      <c r="BH525" s="1206">
        <f t="shared" si="58"/>
        <v>319.02538513319104</v>
      </c>
      <c r="BI525" s="1206">
        <f t="shared" si="58"/>
        <v>7259.570591701603</v>
      </c>
      <c r="BJ525" s="1206">
        <f t="shared" si="58"/>
        <v>2584.170314845253</v>
      </c>
      <c r="BK525" s="1206">
        <f t="shared" si="58"/>
        <v>1748.6448221712371</v>
      </c>
      <c r="BL525" s="1206">
        <f t="shared" si="58"/>
        <v>4753.0843069249722</v>
      </c>
      <c r="BM525" s="1206">
        <f t="shared" si="58"/>
        <v>3507.9212549021058</v>
      </c>
      <c r="BN525" s="1206">
        <f t="shared" si="58"/>
        <v>8396.9355102157824</v>
      </c>
      <c r="BO525" s="1206">
        <f t="shared" si="58"/>
        <v>6278.4488914640933</v>
      </c>
      <c r="BP525" s="1206">
        <f t="shared" si="58"/>
        <v>4008.8575802951182</v>
      </c>
      <c r="BQ525" s="1206">
        <f t="shared" si="58"/>
        <v>4545.2568912016641</v>
      </c>
      <c r="BR525" s="1206">
        <f t="shared" si="58"/>
        <v>13190.358429252738</v>
      </c>
      <c r="BS525" s="1206">
        <f t="shared" si="58"/>
        <v>8163.0217280182023</v>
      </c>
      <c r="BT525" s="1206">
        <f t="shared" si="58"/>
        <v>323.42145512233685</v>
      </c>
      <c r="BU525" s="1206">
        <f t="shared" si="58"/>
        <v>7377.2667174774042</v>
      </c>
      <c r="BV525" s="1206">
        <f t="shared" si="58"/>
        <v>2561.0356883264949</v>
      </c>
      <c r="BW525" s="1206">
        <f t="shared" si="58"/>
        <v>1774.9603391197024</v>
      </c>
      <c r="BX525" s="1206">
        <f t="shared" si="58"/>
        <v>4826.1126131272522</v>
      </c>
      <c r="BY525" s="1206">
        <f t="shared" si="58"/>
        <v>3546.5438715201412</v>
      </c>
      <c r="BZ525" s="1206">
        <f t="shared" si="58"/>
        <v>8463.8774740076133</v>
      </c>
      <c r="CA525" s="1206">
        <f t="shared" si="58"/>
        <v>6353.8641488245439</v>
      </c>
      <c r="CB525" s="1206">
        <f t="shared" si="58"/>
        <v>4046.6972592681705</v>
      </c>
      <c r="CC525" s="1206">
        <f t="shared" si="58"/>
        <v>4551.4237604040591</v>
      </c>
      <c r="CD525" s="1206">
        <f t="shared" si="58"/>
        <v>13308.792055064998</v>
      </c>
      <c r="CE525" s="1206">
        <f t="shared" si="58"/>
        <v>8244.8075436401123</v>
      </c>
      <c r="CF525" s="1206">
        <f t="shared" si="58"/>
        <v>312.8118750707938</v>
      </c>
      <c r="CG525" s="1206">
        <f t="shared" si="58"/>
        <v>7492.052129062622</v>
      </c>
      <c r="CH525" s="1206">
        <f t="shared" si="58"/>
        <v>2624.1391409707117</v>
      </c>
      <c r="CI525" s="1206">
        <f t="shared" si="58"/>
        <v>1771.2592979565095</v>
      </c>
      <c r="CJ525" s="1206">
        <f t="shared" si="58"/>
        <v>4851.0065533695579</v>
      </c>
      <c r="CK525" s="1206">
        <f t="shared" si="58"/>
        <v>3564.9935909144638</v>
      </c>
      <c r="CL525" s="1206">
        <f t="shared" si="58"/>
        <v>8608.2708867629917</v>
      </c>
      <c r="CM525" s="1206">
        <f t="shared" si="58"/>
        <v>6392.2389030098448</v>
      </c>
      <c r="CN525" s="1206">
        <f t="shared" si="58"/>
        <v>4088.8462739615798</v>
      </c>
      <c r="CO525" s="1206">
        <f t="shared" si="58"/>
        <v>4564.6668187599935</v>
      </c>
    </row>
    <row r="526" spans="1:94" x14ac:dyDescent="0.2">
      <c r="A526" s="118">
        <f t="shared" si="56"/>
        <v>27</v>
      </c>
      <c r="B526" s="246" t="s">
        <v>563</v>
      </c>
      <c r="C526" s="225"/>
      <c r="D526" s="247"/>
      <c r="E526" s="230"/>
      <c r="F526" s="197"/>
      <c r="G526" s="230"/>
      <c r="H526" s="203"/>
      <c r="I526" s="308"/>
      <c r="J526" s="247"/>
      <c r="K526" s="230"/>
      <c r="L526" s="197"/>
      <c r="M526" s="230"/>
      <c r="N526" s="203"/>
      <c r="O526" s="227"/>
      <c r="Q526" s="176"/>
      <c r="T526" s="264"/>
      <c r="U526" s="178"/>
      <c r="V526" s="179"/>
      <c r="W526" s="180"/>
      <c r="X526" s="264"/>
      <c r="Y526" s="178"/>
      <c r="Z526" s="181"/>
      <c r="AA526" s="264"/>
      <c r="AB526" s="193">
        <f>SUM(AH526:AS526)</f>
        <v>897039.45655294578</v>
      </c>
      <c r="AC526" s="193">
        <f>SUM(AT526:BE526)</f>
        <v>895746.14413557388</v>
      </c>
      <c r="AD526" s="193">
        <f>SUM(BF526:BQ526)</f>
        <v>901728.10122106131</v>
      </c>
      <c r="AE526" s="193">
        <f>SUM(BR526:CC526)</f>
        <v>913944.22720888746</v>
      </c>
      <c r="AF526" s="193">
        <f>SUM(CD526:CO526)</f>
        <v>915157.05938494357</v>
      </c>
      <c r="AH526" s="1207">
        <v>59956.691271816497</v>
      </c>
      <c r="AI526" s="1207">
        <v>18043.643723005996</v>
      </c>
      <c r="AJ526" s="1207">
        <v>93629.180495636654</v>
      </c>
      <c r="AK526" s="1207">
        <v>82112.239012774022</v>
      </c>
      <c r="AL526" s="1207">
        <v>97537.626581723947</v>
      </c>
      <c r="AM526" s="1207">
        <v>87050.520375453227</v>
      </c>
      <c r="AN526" s="1207">
        <v>80409.486520371152</v>
      </c>
      <c r="AO526" s="1207">
        <v>78771.551896169389</v>
      </c>
      <c r="AP526" s="1207">
        <v>76069.781787941349</v>
      </c>
      <c r="AQ526" s="1207">
        <v>65444.397415082763</v>
      </c>
      <c r="AR526" s="1207">
        <v>51876.045304020437</v>
      </c>
      <c r="AS526" s="1207">
        <v>106138.29216895033</v>
      </c>
      <c r="AT526" s="1207">
        <v>62649.919076627091</v>
      </c>
      <c r="AU526" s="1207">
        <v>18486.921108467643</v>
      </c>
      <c r="AV526" s="1207">
        <v>92868.97293094499</v>
      </c>
      <c r="AW526" s="1207">
        <v>82883.396107591499</v>
      </c>
      <c r="AX526" s="1207">
        <v>97223.375565008129</v>
      </c>
      <c r="AY526" s="1207">
        <v>85203.628819715959</v>
      </c>
      <c r="AZ526" s="1207">
        <v>81182.907861890955</v>
      </c>
      <c r="BA526" s="1207">
        <v>77690.739467601379</v>
      </c>
      <c r="BB526" s="1207">
        <v>75662.411653022573</v>
      </c>
      <c r="BC526" s="1207">
        <v>65566.696159170067</v>
      </c>
      <c r="BD526" s="1207">
        <v>51290.216535786705</v>
      </c>
      <c r="BE526" s="1207">
        <v>105036.95884974686</v>
      </c>
      <c r="BF526" s="1207">
        <v>62181.327791991025</v>
      </c>
      <c r="BG526" s="1207">
        <v>18673.740442643008</v>
      </c>
      <c r="BH526" s="1207">
        <v>94264.287661759197</v>
      </c>
      <c r="BI526" s="1207">
        <v>82518.225336227624</v>
      </c>
      <c r="BJ526" s="1207">
        <v>97851.590212040071</v>
      </c>
      <c r="BK526" s="1207">
        <v>86412.012852289641</v>
      </c>
      <c r="BL526" s="1207">
        <v>81703.637813410023</v>
      </c>
      <c r="BM526" s="1207">
        <v>78332.53725083622</v>
      </c>
      <c r="BN526" s="1207">
        <v>75998.851665244511</v>
      </c>
      <c r="BO526" s="1207">
        <v>65281.570239116758</v>
      </c>
      <c r="BP526" s="1207">
        <v>51358.694554889749</v>
      </c>
      <c r="BQ526" s="1207">
        <v>107151.62540061331</v>
      </c>
      <c r="BR526" s="1207">
        <v>62996.04280221177</v>
      </c>
      <c r="BS526" s="1207">
        <v>18876.548372514277</v>
      </c>
      <c r="BT526" s="1207">
        <v>96444.487557049084</v>
      </c>
      <c r="BU526" s="1207">
        <v>84642.19181105966</v>
      </c>
      <c r="BV526" s="1207">
        <v>97581.704289200643</v>
      </c>
      <c r="BW526" s="1207">
        <v>88374.065870030667</v>
      </c>
      <c r="BX526" s="1207">
        <v>83419.734215117613</v>
      </c>
      <c r="BY526" s="1207">
        <v>79478.661637883895</v>
      </c>
      <c r="BZ526" s="1207">
        <v>76813.679607995116</v>
      </c>
      <c r="CA526" s="1207">
        <v>66301.282748639962</v>
      </c>
      <c r="CB526" s="1207">
        <v>52034.59675435449</v>
      </c>
      <c r="CC526" s="1207">
        <v>106981.23154283033</v>
      </c>
      <c r="CD526" s="1207">
        <v>63247.458824060741</v>
      </c>
      <c r="CE526" s="1207">
        <v>18609.604988550396</v>
      </c>
      <c r="CF526" s="1207">
        <v>94831.16546722826</v>
      </c>
      <c r="CG526" s="1207">
        <v>85572.010505654078</v>
      </c>
      <c r="CH526" s="1207">
        <v>98814.634602857477</v>
      </c>
      <c r="CI526" s="1207">
        <v>87383.871920701218</v>
      </c>
      <c r="CJ526" s="1207">
        <v>83210.960228256023</v>
      </c>
      <c r="CK526" s="1207">
        <v>79491.377507574129</v>
      </c>
      <c r="CL526" s="1207">
        <v>77910.814501067216</v>
      </c>
      <c r="CM526" s="1207">
        <v>66459.448843646634</v>
      </c>
      <c r="CN526" s="1207">
        <v>52620.274228985385</v>
      </c>
      <c r="CO526" s="1207">
        <v>107005.43776636198</v>
      </c>
    </row>
    <row r="527" spans="1:94" x14ac:dyDescent="0.2">
      <c r="A527" s="118">
        <f t="shared" si="56"/>
        <v>28</v>
      </c>
      <c r="B527" s="232" t="s">
        <v>601</v>
      </c>
      <c r="C527" s="263"/>
      <c r="D527" s="103">
        <f>+D509</f>
        <v>253660.31999999995</v>
      </c>
      <c r="E527" s="233" t="s">
        <v>596</v>
      </c>
      <c r="F527" s="183">
        <v>-1.3</v>
      </c>
      <c r="G527" s="230"/>
      <c r="H527" s="203">
        <f>+D527*F527</f>
        <v>-329758.41599999997</v>
      </c>
      <c r="I527" s="308"/>
      <c r="J527" s="103">
        <f>+J509</f>
        <v>253660.31999999995</v>
      </c>
      <c r="K527" s="233" t="s">
        <v>596</v>
      </c>
      <c r="L527" s="173">
        <f>'Exhibit MJC-3 - E-13c cal yr'!L614</f>
        <v>-1.34</v>
      </c>
      <c r="M527" s="230"/>
      <c r="N527" s="203">
        <f>ROUND(+J527*L527,2)</f>
        <v>-339904.83</v>
      </c>
      <c r="O527" s="227"/>
      <c r="Q527" s="227"/>
      <c r="T527" s="264"/>
      <c r="U527" s="184" t="s">
        <v>138</v>
      </c>
      <c r="V527" s="179">
        <v>256</v>
      </c>
      <c r="W527" s="180">
        <v>230</v>
      </c>
      <c r="X527" s="264"/>
      <c r="Y527" s="184" t="s">
        <v>138</v>
      </c>
      <c r="Z527" s="181" t="s">
        <v>146</v>
      </c>
      <c r="AA527" s="264"/>
      <c r="AB527" s="264"/>
      <c r="AD527" s="245"/>
    </row>
    <row r="528" spans="1:94" x14ac:dyDescent="0.2">
      <c r="A528" s="118">
        <f t="shared" si="56"/>
        <v>29</v>
      </c>
      <c r="B528" s="234" t="s">
        <v>582</v>
      </c>
      <c r="C528" s="263"/>
      <c r="D528" s="172">
        <f>SUM(H509,H514:H515,H523,H527,H529)</f>
        <v>4078877.6071999995</v>
      </c>
      <c r="E528" s="233" t="s">
        <v>10</v>
      </c>
      <c r="F528" s="249">
        <v>0.01</v>
      </c>
      <c r="G528" s="233" t="s">
        <v>375</v>
      </c>
      <c r="H528" s="174">
        <f>-F528*D528</f>
        <v>-40788.776071999993</v>
      </c>
      <c r="I528" s="308"/>
      <c r="J528" s="185">
        <f>SUM(N509,N514:N515,N523,N527,N529)</f>
        <v>4194589.9800000004</v>
      </c>
      <c r="K528" s="233" t="s">
        <v>10</v>
      </c>
      <c r="L528" s="249">
        <v>0.01</v>
      </c>
      <c r="M528" s="233" t="s">
        <v>375</v>
      </c>
      <c r="N528" s="174">
        <f>-ROUND(L528*J528,2)</f>
        <v>-41945.9</v>
      </c>
      <c r="O528" s="227"/>
      <c r="Q528" s="227"/>
      <c r="T528" s="264"/>
      <c r="U528" s="184" t="s">
        <v>138</v>
      </c>
      <c r="V528" s="179">
        <v>256</v>
      </c>
      <c r="W528" s="180">
        <v>230</v>
      </c>
      <c r="X528" s="264"/>
      <c r="Y528" s="184" t="s">
        <v>138</v>
      </c>
      <c r="Z528" s="181" t="s">
        <v>417</v>
      </c>
      <c r="AA528" s="264"/>
      <c r="AB528" s="182">
        <f>SUM(AH528:AS528)</f>
        <v>-30020.056616603648</v>
      </c>
      <c r="AC528" s="182">
        <f>SUM(AT528:BE528)</f>
        <v>-30922.657185651657</v>
      </c>
      <c r="AD528" s="182">
        <f>SUM(BF528:BQ528)</f>
        <v>-31041.525562292583</v>
      </c>
      <c r="AE528" s="182">
        <f>SUM(BR528:CC528)</f>
        <v>-31220.598569890724</v>
      </c>
      <c r="AF528" s="182">
        <f>SUM(CD528:CO528)</f>
        <v>-31452.791537557321</v>
      </c>
      <c r="AH528" s="174">
        <v>-5773.9177685776149</v>
      </c>
      <c r="AI528" s="174">
        <v>-3739.3812377094478</v>
      </c>
      <c r="AJ528" s="174">
        <v>-893.09571000000017</v>
      </c>
      <c r="AK528" s="174">
        <v>-3056.8030218033859</v>
      </c>
      <c r="AL528" s="174">
        <v>-1426.0419526994724</v>
      </c>
      <c r="AM528" s="174">
        <v>-1239.8519648897941</v>
      </c>
      <c r="AN528" s="174">
        <v>-2317.1451783614111</v>
      </c>
      <c r="AO528" s="174">
        <v>-1923.8369664417746</v>
      </c>
      <c r="AP528" s="174">
        <v>-3509.2738687729325</v>
      </c>
      <c r="AQ528" s="174">
        <v>-2250.8511745238793</v>
      </c>
      <c r="AR528" s="174">
        <v>-1725.2571494502834</v>
      </c>
      <c r="AS528" s="174">
        <v>-2164.6006233736525</v>
      </c>
      <c r="AT528" s="174">
        <v>-5950.7870274517754</v>
      </c>
      <c r="AU528" s="174">
        <v>-3834.834600312206</v>
      </c>
      <c r="AV528" s="174">
        <v>-919.51865999999995</v>
      </c>
      <c r="AW528" s="174">
        <v>-3145.4445815981881</v>
      </c>
      <c r="AX528" s="174">
        <v>-1457.6580161132831</v>
      </c>
      <c r="AY528" s="174">
        <v>-1270.7118419265005</v>
      </c>
      <c r="AZ528" s="174">
        <v>-2392.0214090561626</v>
      </c>
      <c r="BA528" s="174">
        <v>-1982.61848859733</v>
      </c>
      <c r="BB528" s="174">
        <v>-3616.23402009655</v>
      </c>
      <c r="BC528" s="174">
        <v>-2326.0564915907862</v>
      </c>
      <c r="BD528" s="174">
        <v>-1793.5589937786151</v>
      </c>
      <c r="BE528" s="174">
        <v>-2233.2130551302612</v>
      </c>
      <c r="BF528" s="174">
        <v>-5973.3124780783401</v>
      </c>
      <c r="BG528" s="174">
        <v>-3861.325823697824</v>
      </c>
      <c r="BH528" s="174">
        <v>-919.51865999999995</v>
      </c>
      <c r="BI528" s="174">
        <v>-3155.6713577510677</v>
      </c>
      <c r="BJ528" s="174">
        <v>-1462.1838720359033</v>
      </c>
      <c r="BK528" s="174">
        <v>-1275.7086477817065</v>
      </c>
      <c r="BL528" s="174">
        <v>-2402.4349781886349</v>
      </c>
      <c r="BM528" s="174">
        <v>-1990.6420548639769</v>
      </c>
      <c r="BN528" s="174">
        <v>-3630.1287957625213</v>
      </c>
      <c r="BO528" s="174">
        <v>-2327.6133576615985</v>
      </c>
      <c r="BP528" s="174">
        <v>-1797.3016562859098</v>
      </c>
      <c r="BQ528" s="174">
        <v>-2245.6838801851072</v>
      </c>
      <c r="BR528" s="174">
        <v>-6014.7910247518194</v>
      </c>
      <c r="BS528" s="174">
        <v>-3874.6779838364755</v>
      </c>
      <c r="BT528" s="174">
        <v>-919.51865999999995</v>
      </c>
      <c r="BU528" s="174">
        <v>-3183.4826880437918</v>
      </c>
      <c r="BV528" s="174">
        <v>-1462.6368032462856</v>
      </c>
      <c r="BW528" s="174">
        <v>-1281.6478166286345</v>
      </c>
      <c r="BX528" s="174">
        <v>-2421.0079443222494</v>
      </c>
      <c r="BY528" s="174">
        <v>-2002.1316992476832</v>
      </c>
      <c r="BZ528" s="174">
        <v>-3653.9838283045001</v>
      </c>
      <c r="CA528" s="174">
        <v>-2344.3536225720518</v>
      </c>
      <c r="CB528" s="174">
        <v>-1807.4513346526587</v>
      </c>
      <c r="CC528" s="174">
        <v>-2254.9151642845763</v>
      </c>
      <c r="CD528" s="174">
        <v>-6066.3272847434928</v>
      </c>
      <c r="CE528" s="174">
        <v>-3905.4753861085646</v>
      </c>
      <c r="CF528" s="174">
        <v>-919.51865999999995</v>
      </c>
      <c r="CG528" s="174">
        <v>-3214.4364771895362</v>
      </c>
      <c r="CH528" s="174">
        <v>-1474.4409157999341</v>
      </c>
      <c r="CI528" s="174">
        <v>-1285.3745088017117</v>
      </c>
      <c r="CJ528" s="174">
        <v>-2436.1900286546602</v>
      </c>
      <c r="CK528" s="174">
        <v>-2013.2994909467513</v>
      </c>
      <c r="CL528" s="174">
        <v>-3692.0648365705297</v>
      </c>
      <c r="CM528" s="174">
        <v>-2358.625421594978</v>
      </c>
      <c r="CN528" s="174">
        <v>-1819.6686195324908</v>
      </c>
      <c r="CO528" s="174">
        <v>-2267.3699076146713</v>
      </c>
    </row>
    <row r="529" spans="1:93" x14ac:dyDescent="0.2">
      <c r="A529" s="118">
        <f>+A527+1</f>
        <v>29</v>
      </c>
      <c r="B529" s="234" t="s">
        <v>650</v>
      </c>
      <c r="C529" s="263"/>
      <c r="D529" s="172">
        <f>SUMIF($AH$6:$CP$6,1,$AH529:$CP529)</f>
        <v>253660.31999999995</v>
      </c>
      <c r="E529" s="233" t="s">
        <v>10</v>
      </c>
      <c r="F529" s="173">
        <v>2.5099999999999998</v>
      </c>
      <c r="G529" s="233" t="s">
        <v>375</v>
      </c>
      <c r="H529" s="174">
        <f>F529*D529</f>
        <v>636687.40319999983</v>
      </c>
      <c r="I529" s="308"/>
      <c r="J529" s="172">
        <f>SUMIF($AH$6:$CP$6,1,$AH529:$CP529)</f>
        <v>253660.31999999995</v>
      </c>
      <c r="K529" s="233" t="s">
        <v>10</v>
      </c>
      <c r="L529" s="173">
        <f>'Exhibit MJC-3 - E-13c cal yr'!L616</f>
        <v>2.64</v>
      </c>
      <c r="M529" s="233" t="s">
        <v>375</v>
      </c>
      <c r="N529" s="329">
        <f>ROUND(L529*J529,2)</f>
        <v>669663.24</v>
      </c>
      <c r="O529" s="227"/>
      <c r="Q529" s="262"/>
      <c r="T529" s="264"/>
      <c r="U529" s="184" t="s">
        <v>138</v>
      </c>
      <c r="V529" s="179">
        <v>256</v>
      </c>
      <c r="W529" s="180">
        <v>230</v>
      </c>
      <c r="X529" s="264"/>
      <c r="Y529" s="184" t="s">
        <v>138</v>
      </c>
      <c r="Z529" s="181" t="s">
        <v>146</v>
      </c>
      <c r="AA529" s="264"/>
      <c r="AB529" s="182">
        <f>SUM(AH529:AS529)</f>
        <v>253660.31999999995</v>
      </c>
      <c r="AC529" s="182">
        <f>SUM(AT529:BE529)</f>
        <v>253660.31999999995</v>
      </c>
      <c r="AD529" s="182">
        <f>SUM(BF529:BQ529)</f>
        <v>253660.31999999995</v>
      </c>
      <c r="AE529" s="182">
        <f>SUM(BR529:CC529)</f>
        <v>253660.31999999995</v>
      </c>
      <c r="AF529" s="182">
        <f>SUM(CD529:CO529)</f>
        <v>253660.31999999995</v>
      </c>
      <c r="AH529" s="174">
        <v>21138.36</v>
      </c>
      <c r="AI529" s="174">
        <v>21138.36</v>
      </c>
      <c r="AJ529" s="174">
        <v>21138.36</v>
      </c>
      <c r="AK529" s="174">
        <v>21138.36</v>
      </c>
      <c r="AL529" s="174">
        <v>21138.36</v>
      </c>
      <c r="AM529" s="174">
        <v>21138.36</v>
      </c>
      <c r="AN529" s="174">
        <v>21138.36</v>
      </c>
      <c r="AO529" s="174">
        <v>21138.36</v>
      </c>
      <c r="AP529" s="174">
        <v>21138.36</v>
      </c>
      <c r="AQ529" s="174">
        <v>21138.36</v>
      </c>
      <c r="AR529" s="174">
        <v>21138.36</v>
      </c>
      <c r="AS529" s="174">
        <v>21138.36</v>
      </c>
      <c r="AT529" s="174">
        <v>21138.36</v>
      </c>
      <c r="AU529" s="174">
        <v>21138.36</v>
      </c>
      <c r="AV529" s="174">
        <v>21138.36</v>
      </c>
      <c r="AW529" s="174">
        <v>21138.36</v>
      </c>
      <c r="AX529" s="174">
        <v>21138.36</v>
      </c>
      <c r="AY529" s="174">
        <v>21138.36</v>
      </c>
      <c r="AZ529" s="174">
        <v>21138.36</v>
      </c>
      <c r="BA529" s="174">
        <v>21138.36</v>
      </c>
      <c r="BB529" s="174">
        <v>21138.36</v>
      </c>
      <c r="BC529" s="174">
        <v>21138.36</v>
      </c>
      <c r="BD529" s="174">
        <v>21138.36</v>
      </c>
      <c r="BE529" s="174">
        <v>21138.36</v>
      </c>
      <c r="BF529" s="174">
        <v>21138.36</v>
      </c>
      <c r="BG529" s="174">
        <v>21138.36</v>
      </c>
      <c r="BH529" s="174">
        <v>21138.36</v>
      </c>
      <c r="BI529" s="174">
        <v>21138.36</v>
      </c>
      <c r="BJ529" s="174">
        <v>21138.36</v>
      </c>
      <c r="BK529" s="174">
        <v>21138.36</v>
      </c>
      <c r="BL529" s="174">
        <v>21138.36</v>
      </c>
      <c r="BM529" s="174">
        <v>21138.36</v>
      </c>
      <c r="BN529" s="174">
        <v>21138.36</v>
      </c>
      <c r="BO529" s="174">
        <v>21138.36</v>
      </c>
      <c r="BP529" s="174">
        <v>21138.36</v>
      </c>
      <c r="BQ529" s="174">
        <v>21138.36</v>
      </c>
      <c r="BR529" s="174">
        <v>21138.36</v>
      </c>
      <c r="BS529" s="174">
        <v>21138.36</v>
      </c>
      <c r="BT529" s="174">
        <v>21138.36</v>
      </c>
      <c r="BU529" s="174">
        <v>21138.36</v>
      </c>
      <c r="BV529" s="174">
        <v>21138.36</v>
      </c>
      <c r="BW529" s="174">
        <v>21138.36</v>
      </c>
      <c r="BX529" s="174">
        <v>21138.36</v>
      </c>
      <c r="BY529" s="174">
        <v>21138.36</v>
      </c>
      <c r="BZ529" s="174">
        <v>21138.36</v>
      </c>
      <c r="CA529" s="174">
        <v>21138.36</v>
      </c>
      <c r="CB529" s="174">
        <v>21138.36</v>
      </c>
      <c r="CC529" s="174">
        <v>21138.36</v>
      </c>
      <c r="CD529" s="174">
        <v>21138.36</v>
      </c>
      <c r="CE529" s="174">
        <v>21138.36</v>
      </c>
      <c r="CF529" s="174">
        <v>21138.36</v>
      </c>
      <c r="CG529" s="174">
        <v>21138.36</v>
      </c>
      <c r="CH529" s="174">
        <v>21138.36</v>
      </c>
      <c r="CI529" s="174">
        <v>21138.36</v>
      </c>
      <c r="CJ529" s="174">
        <v>21138.36</v>
      </c>
      <c r="CK529" s="174">
        <v>21138.36</v>
      </c>
      <c r="CL529" s="174">
        <v>21138.36</v>
      </c>
      <c r="CM529" s="174">
        <v>21138.36</v>
      </c>
      <c r="CN529" s="174">
        <v>21138.36</v>
      </c>
      <c r="CO529" s="174">
        <v>21138.36</v>
      </c>
    </row>
    <row r="530" spans="1:93" x14ac:dyDescent="0.2">
      <c r="A530" s="118">
        <f>+A528+1</f>
        <v>30</v>
      </c>
      <c r="B530" s="234" t="s">
        <v>583</v>
      </c>
      <c r="C530" s="263"/>
      <c r="D530" s="172">
        <f>SUM(H510,H517:H518,H524)</f>
        <v>715173.59</v>
      </c>
      <c r="E530" s="233" t="s">
        <v>10</v>
      </c>
      <c r="F530" s="249">
        <v>0.02</v>
      </c>
      <c r="G530" s="233" t="s">
        <v>375</v>
      </c>
      <c r="H530" s="174">
        <f>-F530*D530</f>
        <v>-14303.471799999999</v>
      </c>
      <c r="I530" s="308"/>
      <c r="J530" s="172">
        <f>SUM(N510,N517:N518,N524)</f>
        <v>732547.85</v>
      </c>
      <c r="K530" s="233" t="s">
        <v>10</v>
      </c>
      <c r="L530" s="249">
        <v>0.02</v>
      </c>
      <c r="M530" s="233" t="s">
        <v>375</v>
      </c>
      <c r="N530" s="174">
        <f>-L530*J530</f>
        <v>-14650.957</v>
      </c>
      <c r="O530" s="227"/>
      <c r="Q530" s="227"/>
      <c r="T530" s="264"/>
      <c r="U530" s="184" t="s">
        <v>138</v>
      </c>
      <c r="V530" s="179">
        <v>256</v>
      </c>
      <c r="W530" s="180">
        <v>230</v>
      </c>
      <c r="X530" s="264"/>
      <c r="Y530" s="184" t="s">
        <v>138</v>
      </c>
      <c r="Z530" s="181" t="s">
        <v>417</v>
      </c>
      <c r="AA530" s="264"/>
      <c r="AB530" s="182">
        <f>SUM(AH530:AS530)</f>
        <v>0</v>
      </c>
      <c r="AC530" s="182">
        <f>SUM(AT530:BE530)</f>
        <v>0</v>
      </c>
      <c r="AD530" s="182">
        <f>SUM(BF530:BQ530)</f>
        <v>0</v>
      </c>
      <c r="AE530" s="182">
        <f>SUM(BR530:CC530)</f>
        <v>0</v>
      </c>
      <c r="AF530" s="182">
        <f>SUM(CD530:CO530)</f>
        <v>0</v>
      </c>
      <c r="AH530" s="174">
        <v>0</v>
      </c>
      <c r="AI530" s="174">
        <v>0</v>
      </c>
      <c r="AJ530" s="174">
        <v>0</v>
      </c>
      <c r="AK530" s="174">
        <v>0</v>
      </c>
      <c r="AL530" s="174">
        <v>0</v>
      </c>
      <c r="AM530" s="174">
        <v>0</v>
      </c>
      <c r="AN530" s="174">
        <v>0</v>
      </c>
      <c r="AO530" s="174">
        <v>0</v>
      </c>
      <c r="AP530" s="174">
        <v>0</v>
      </c>
      <c r="AQ530" s="174">
        <v>0</v>
      </c>
      <c r="AR530" s="174">
        <v>0</v>
      </c>
      <c r="AS530" s="174">
        <v>0</v>
      </c>
      <c r="AT530" s="174">
        <v>0</v>
      </c>
      <c r="AU530" s="174">
        <v>0</v>
      </c>
      <c r="AV530" s="174">
        <v>0</v>
      </c>
      <c r="AW530" s="174">
        <v>0</v>
      </c>
      <c r="AX530" s="174">
        <v>0</v>
      </c>
      <c r="AY530" s="174">
        <v>0</v>
      </c>
      <c r="AZ530" s="174">
        <v>0</v>
      </c>
      <c r="BA530" s="174">
        <v>0</v>
      </c>
      <c r="BB530" s="174">
        <v>0</v>
      </c>
      <c r="BC530" s="174">
        <v>0</v>
      </c>
      <c r="BD530" s="174">
        <v>0</v>
      </c>
      <c r="BE530" s="174">
        <v>0</v>
      </c>
      <c r="BF530" s="174">
        <v>0</v>
      </c>
      <c r="BG530" s="174">
        <v>0</v>
      </c>
      <c r="BH530" s="174">
        <v>0</v>
      </c>
      <c r="BI530" s="174">
        <v>0</v>
      </c>
      <c r="BJ530" s="174">
        <v>0</v>
      </c>
      <c r="BK530" s="174">
        <v>0</v>
      </c>
      <c r="BL530" s="174">
        <v>0</v>
      </c>
      <c r="BM530" s="174">
        <v>0</v>
      </c>
      <c r="BN530" s="174">
        <v>0</v>
      </c>
      <c r="BO530" s="174">
        <v>0</v>
      </c>
      <c r="BP530" s="174">
        <v>0</v>
      </c>
      <c r="BQ530" s="174">
        <v>0</v>
      </c>
      <c r="BR530" s="174">
        <v>0</v>
      </c>
      <c r="BS530" s="174">
        <v>0</v>
      </c>
      <c r="BT530" s="174">
        <v>0</v>
      </c>
      <c r="BU530" s="174">
        <v>0</v>
      </c>
      <c r="BV530" s="174">
        <v>0</v>
      </c>
      <c r="BW530" s="174">
        <v>0</v>
      </c>
      <c r="BX530" s="174">
        <v>0</v>
      </c>
      <c r="BY530" s="174">
        <v>0</v>
      </c>
      <c r="BZ530" s="174">
        <v>0</v>
      </c>
      <c r="CA530" s="174">
        <v>0</v>
      </c>
      <c r="CB530" s="174">
        <v>0</v>
      </c>
      <c r="CC530" s="174">
        <v>0</v>
      </c>
      <c r="CD530" s="174">
        <v>0</v>
      </c>
      <c r="CE530" s="174">
        <v>0</v>
      </c>
      <c r="CF530" s="174">
        <v>0</v>
      </c>
      <c r="CG530" s="174">
        <v>0</v>
      </c>
      <c r="CH530" s="174">
        <v>0</v>
      </c>
      <c r="CI530" s="174">
        <v>0</v>
      </c>
      <c r="CJ530" s="174">
        <v>0</v>
      </c>
      <c r="CK530" s="174">
        <v>0</v>
      </c>
      <c r="CL530" s="174">
        <v>0</v>
      </c>
      <c r="CM530" s="174">
        <v>0</v>
      </c>
      <c r="CN530" s="174">
        <v>0</v>
      </c>
      <c r="CO530" s="174">
        <v>0</v>
      </c>
    </row>
    <row r="531" spans="1:93" x14ac:dyDescent="0.2">
      <c r="A531" s="118">
        <f t="shared" si="56"/>
        <v>31</v>
      </c>
      <c r="B531" s="223"/>
      <c r="C531" s="263" t="s">
        <v>121</v>
      </c>
      <c r="E531" s="227"/>
      <c r="F531" s="203"/>
      <c r="G531" s="227"/>
      <c r="H531" s="300">
        <f>SUM(H527:H530)</f>
        <v>251836.73932799988</v>
      </c>
      <c r="I531" s="308"/>
      <c r="K531" s="227"/>
      <c r="L531" s="203"/>
      <c r="M531" s="227"/>
      <c r="N531" s="300">
        <f>SUM(N527:N530)</f>
        <v>273161.55299999996</v>
      </c>
      <c r="O531" s="227"/>
      <c r="Q531" s="176"/>
      <c r="T531" s="264"/>
      <c r="U531" s="184"/>
      <c r="V531" s="179"/>
      <c r="W531" s="180"/>
      <c r="X531" s="264"/>
      <c r="Y531" s="184"/>
      <c r="Z531" s="181"/>
      <c r="AA531" s="264"/>
      <c r="AB531" s="264"/>
      <c r="AD531" s="245"/>
    </row>
    <row r="532" spans="1:93" x14ac:dyDescent="0.2">
      <c r="A532" s="118">
        <f t="shared" si="56"/>
        <v>32</v>
      </c>
      <c r="B532" s="223"/>
      <c r="C532" s="263"/>
      <c r="E532" s="227"/>
      <c r="F532" s="197"/>
      <c r="G532" s="227"/>
      <c r="H532" s="203"/>
      <c r="I532" s="308"/>
      <c r="K532" s="227"/>
      <c r="L532" s="197"/>
      <c r="M532" s="227"/>
      <c r="N532" s="203"/>
      <c r="O532" s="227"/>
      <c r="Q532" s="227"/>
      <c r="U532" s="184"/>
      <c r="V532" s="179"/>
      <c r="W532" s="180"/>
      <c r="Y532" s="184"/>
      <c r="Z532" s="181"/>
    </row>
    <row r="533" spans="1:93" ht="10.8" thickBot="1" x14ac:dyDescent="0.25">
      <c r="A533" s="118">
        <f t="shared" si="56"/>
        <v>33</v>
      </c>
      <c r="B533" s="246" t="s">
        <v>651</v>
      </c>
      <c r="C533" s="227"/>
      <c r="D533" s="227"/>
      <c r="E533" s="227"/>
      <c r="F533" s="197"/>
      <c r="G533" s="227"/>
      <c r="H533" s="330">
        <f>H531+H525+H519+H505</f>
        <v>4774282.5893279994</v>
      </c>
      <c r="I533" s="308"/>
      <c r="J533" s="227"/>
      <c r="K533" s="227"/>
      <c r="L533" s="197"/>
      <c r="M533" s="227"/>
      <c r="N533" s="330">
        <f>N531+N525+N519+N505</f>
        <v>4906481.8830000004</v>
      </c>
      <c r="O533" s="227"/>
      <c r="P533" s="227"/>
      <c r="Q533" s="939">
        <f>(N533-H533)/H533</f>
        <v>2.7689876164328303E-2</v>
      </c>
      <c r="U533" s="184"/>
      <c r="V533" s="179"/>
      <c r="W533" s="180"/>
      <c r="Y533" s="184" t="s">
        <v>138</v>
      </c>
      <c r="Z533" s="181" t="s">
        <v>121</v>
      </c>
    </row>
    <row r="534" spans="1:93" ht="10.8" thickTop="1" x14ac:dyDescent="0.2">
      <c r="A534" s="118">
        <f t="shared" si="56"/>
        <v>34</v>
      </c>
      <c r="B534" s="227"/>
      <c r="C534" s="227"/>
      <c r="D534" s="227"/>
      <c r="E534" s="227"/>
      <c r="F534" s="197"/>
      <c r="G534" s="227"/>
      <c r="H534" s="203"/>
      <c r="I534" s="308"/>
      <c r="J534" s="227"/>
      <c r="K534" s="227"/>
      <c r="L534" s="197"/>
      <c r="M534" s="227"/>
      <c r="N534" s="203"/>
      <c r="O534" s="227"/>
      <c r="P534" s="227"/>
      <c r="Q534" s="227"/>
      <c r="U534" s="178"/>
      <c r="V534" s="179"/>
      <c r="W534" s="180"/>
      <c r="Y534" s="178"/>
      <c r="Z534" s="181"/>
    </row>
    <row r="535" spans="1:93" x14ac:dyDescent="0.2">
      <c r="A535" s="118">
        <f t="shared" si="56"/>
        <v>35</v>
      </c>
      <c r="B535" s="227"/>
      <c r="C535" s="227"/>
      <c r="E535" s="227"/>
      <c r="F535" s="197"/>
      <c r="G535" s="227"/>
      <c r="H535" s="1152"/>
      <c r="I535" s="308"/>
      <c r="J535" s="234" t="s">
        <v>573</v>
      </c>
      <c r="K535" s="225"/>
      <c r="L535" s="197"/>
      <c r="M535" s="223"/>
      <c r="N535" s="174">
        <f>N533-H533</f>
        <v>132199.29367200099</v>
      </c>
      <c r="O535" s="227"/>
      <c r="P535" s="928"/>
      <c r="Q535" s="227"/>
      <c r="U535" s="178"/>
      <c r="V535" s="179"/>
      <c r="W535" s="180"/>
      <c r="Y535" s="178"/>
      <c r="Z535" s="181"/>
    </row>
    <row r="536" spans="1:93" x14ac:dyDescent="0.2">
      <c r="A536" s="118">
        <f t="shared" si="56"/>
        <v>36</v>
      </c>
      <c r="B536" s="243"/>
      <c r="C536" s="223"/>
      <c r="D536" s="168"/>
      <c r="E536" s="233"/>
      <c r="F536" s="205"/>
      <c r="G536" s="233"/>
      <c r="H536" s="174"/>
      <c r="I536" s="308"/>
      <c r="J536" s="168"/>
      <c r="K536" s="233"/>
      <c r="L536" s="205"/>
      <c r="M536" s="233"/>
      <c r="N536" s="174"/>
      <c r="O536" s="227"/>
      <c r="P536" s="227"/>
      <c r="Q536" s="227"/>
      <c r="U536" s="252"/>
      <c r="V536" s="253"/>
      <c r="W536" s="254"/>
      <c r="X536" s="103"/>
      <c r="Y536" s="252"/>
      <c r="Z536" s="255"/>
    </row>
    <row r="537" spans="1:93" x14ac:dyDescent="0.2">
      <c r="A537" s="215"/>
      <c r="B537" s="215" t="s">
        <v>674</v>
      </c>
      <c r="C537" s="215"/>
      <c r="D537" s="215"/>
      <c r="E537" s="215"/>
      <c r="F537" s="215"/>
      <c r="G537" s="215"/>
      <c r="H537" s="215"/>
      <c r="I537" s="215"/>
      <c r="J537" s="215"/>
      <c r="K537" s="215"/>
      <c r="L537" s="215"/>
      <c r="M537" s="215"/>
      <c r="N537" s="215" t="s">
        <v>675</v>
      </c>
      <c r="O537" s="215"/>
      <c r="P537" s="215"/>
      <c r="Q537" s="215"/>
      <c r="Y537" s="101"/>
    </row>
    <row r="538" spans="1:93" x14ac:dyDescent="0.2">
      <c r="A538" s="216"/>
      <c r="B538" s="216"/>
      <c r="C538" s="216"/>
      <c r="D538" s="216"/>
      <c r="E538" s="216"/>
      <c r="F538" s="216"/>
      <c r="G538" s="216"/>
      <c r="H538" s="216"/>
      <c r="I538" s="216"/>
      <c r="J538" s="216"/>
      <c r="K538" s="216"/>
      <c r="L538" s="216"/>
      <c r="M538" s="216"/>
      <c r="N538" s="216"/>
      <c r="O538" s="216"/>
      <c r="P538" s="216"/>
      <c r="Q538" s="216"/>
      <c r="R538" s="216"/>
      <c r="S538" s="216"/>
      <c r="T538" s="216"/>
      <c r="U538" s="216"/>
      <c r="V538" s="216"/>
      <c r="W538" s="216"/>
      <c r="X538" s="216"/>
      <c r="Y538" s="216"/>
      <c r="Z538" s="217"/>
      <c r="AA538" s="216"/>
      <c r="AB538" s="216"/>
      <c r="AC538" s="216"/>
      <c r="AD538" s="216"/>
      <c r="AE538" s="216"/>
      <c r="AF538" s="216"/>
      <c r="AG538" s="216"/>
      <c r="AH538" s="216"/>
      <c r="AI538" s="216"/>
      <c r="AJ538" s="216"/>
      <c r="AK538" s="216"/>
      <c r="AL538" s="216"/>
      <c r="AM538" s="216"/>
      <c r="AN538" s="216"/>
      <c r="AO538" s="216"/>
      <c r="AP538" s="216"/>
      <c r="AQ538" s="216"/>
      <c r="AR538" s="216"/>
      <c r="AS538" s="216"/>
      <c r="AT538" s="216"/>
      <c r="AU538" s="216"/>
      <c r="AV538" s="216"/>
      <c r="AW538" s="216"/>
      <c r="AX538" s="216"/>
      <c r="AY538" s="216"/>
      <c r="AZ538" s="216"/>
      <c r="BA538" s="216"/>
      <c r="BB538" s="216"/>
      <c r="BC538" s="216"/>
      <c r="BD538" s="216"/>
      <c r="BE538" s="216"/>
      <c r="BF538" s="216"/>
      <c r="BG538" s="216"/>
      <c r="BH538" s="216"/>
      <c r="BI538" s="216"/>
      <c r="BJ538" s="216"/>
      <c r="BK538" s="216"/>
      <c r="BL538" s="216"/>
      <c r="BM538" s="216"/>
      <c r="BN538" s="216"/>
      <c r="BO538" s="216"/>
      <c r="BP538" s="216"/>
      <c r="BQ538" s="216"/>
      <c r="BR538" s="216"/>
      <c r="BS538" s="216"/>
      <c r="BT538" s="216"/>
      <c r="BU538" s="216"/>
      <c r="BV538" s="216"/>
      <c r="BW538" s="216"/>
      <c r="BX538" s="216"/>
      <c r="BY538" s="216"/>
      <c r="BZ538" s="216"/>
      <c r="CA538" s="216"/>
      <c r="CB538" s="216"/>
      <c r="CC538" s="216"/>
      <c r="CD538" s="216"/>
      <c r="CE538" s="216"/>
      <c r="CF538" s="216"/>
      <c r="CG538" s="216"/>
      <c r="CH538" s="216"/>
      <c r="CI538" s="216"/>
      <c r="CJ538" s="216"/>
      <c r="CK538" s="216"/>
      <c r="CL538" s="216"/>
      <c r="CM538" s="216"/>
      <c r="CN538" s="216"/>
      <c r="CO538" s="216"/>
    </row>
    <row r="539" spans="1:93" x14ac:dyDescent="0.2">
      <c r="A539" s="100" t="s">
        <v>505</v>
      </c>
      <c r="C539" s="102"/>
      <c r="D539" s="103"/>
      <c r="F539" s="268"/>
      <c r="G539" s="104"/>
      <c r="H539" s="269" t="s">
        <v>506</v>
      </c>
      <c r="I539" s="104"/>
      <c r="J539" s="104"/>
      <c r="K539" s="104"/>
      <c r="L539" s="268"/>
      <c r="N539" s="270"/>
      <c r="Q539" s="106" t="s">
        <v>653</v>
      </c>
      <c r="R539" s="105"/>
      <c r="S539" s="105"/>
      <c r="U539" s="114"/>
      <c r="V539" s="114"/>
      <c r="W539" s="114"/>
      <c r="Y539" s="114"/>
      <c r="Z539" s="218"/>
      <c r="AC539" s="114"/>
    </row>
    <row r="540" spans="1:93" ht="10.8" thickBot="1" x14ac:dyDescent="0.25">
      <c r="A540" s="108"/>
      <c r="B540" s="109"/>
      <c r="C540" s="109"/>
      <c r="D540" s="109"/>
      <c r="E540" s="110" t="s">
        <v>416</v>
      </c>
      <c r="F540" s="271" t="s">
        <v>416</v>
      </c>
      <c r="G540" s="109" t="s">
        <v>416</v>
      </c>
      <c r="H540" s="272" t="s">
        <v>416</v>
      </c>
      <c r="I540" s="109" t="s">
        <v>416</v>
      </c>
      <c r="J540" s="109"/>
      <c r="K540" s="109"/>
      <c r="L540" s="271" t="s">
        <v>416</v>
      </c>
      <c r="M540" s="111"/>
      <c r="N540" s="273"/>
      <c r="O540" s="109"/>
      <c r="P540" s="112"/>
      <c r="Q540" s="109"/>
      <c r="U540" s="114"/>
      <c r="V540" s="114"/>
      <c r="W540" s="114"/>
      <c r="Y540" s="114"/>
      <c r="Z540" s="218"/>
      <c r="AC540" s="114"/>
    </row>
    <row r="541" spans="1:93" x14ac:dyDescent="0.2">
      <c r="A541" s="113"/>
      <c r="F541" s="197"/>
      <c r="H541" s="203"/>
      <c r="L541" s="197"/>
      <c r="M541" s="105"/>
      <c r="N541" s="270"/>
      <c r="P541" s="114"/>
      <c r="U541" s="114"/>
      <c r="V541" s="114"/>
      <c r="W541" s="114"/>
      <c r="Y541" s="114"/>
      <c r="Z541" s="218"/>
      <c r="AC541" s="114"/>
    </row>
    <row r="542" spans="1:93" x14ac:dyDescent="0.2">
      <c r="A542" s="100" t="s">
        <v>3</v>
      </c>
      <c r="D542" s="106" t="s">
        <v>4</v>
      </c>
      <c r="E542" s="101" t="s">
        <v>508</v>
      </c>
      <c r="F542" s="197"/>
      <c r="H542" s="203"/>
      <c r="L542" s="197"/>
      <c r="N542" s="203"/>
      <c r="O542" s="100" t="s">
        <v>6</v>
      </c>
      <c r="U542" s="114"/>
      <c r="V542" s="114"/>
      <c r="W542" s="114"/>
      <c r="Y542" s="114"/>
      <c r="Z542" s="218"/>
      <c r="AC542" s="114"/>
    </row>
    <row r="543" spans="1:93" x14ac:dyDescent="0.2">
      <c r="E543" s="101" t="s">
        <v>509</v>
      </c>
      <c r="F543" s="197"/>
      <c r="H543" s="203"/>
      <c r="L543" s="197"/>
      <c r="N543" s="203"/>
      <c r="U543" s="114"/>
      <c r="V543" s="114"/>
      <c r="W543" s="114"/>
      <c r="Y543" s="114"/>
      <c r="Z543" s="218"/>
      <c r="AC543" s="114"/>
    </row>
    <row r="544" spans="1:93" x14ac:dyDescent="0.2">
      <c r="A544" s="100" t="s">
        <v>9</v>
      </c>
      <c r="E544" s="101" t="s">
        <v>510</v>
      </c>
      <c r="F544" s="197"/>
      <c r="H544" s="203"/>
      <c r="L544" s="197"/>
      <c r="N544" s="203"/>
      <c r="O544" s="101" t="str">
        <f>O492</f>
        <v>__X__  Projected Test Year Ended 12/31/26</v>
      </c>
      <c r="U544" s="114"/>
      <c r="V544" s="114"/>
      <c r="W544" s="114"/>
      <c r="Y544" s="114"/>
      <c r="Z544" s="218"/>
      <c r="AC544" s="114"/>
    </row>
    <row r="545" spans="1:93" x14ac:dyDescent="0.2">
      <c r="E545" s="101" t="s">
        <v>512</v>
      </c>
      <c r="F545" s="197"/>
      <c r="H545" s="203"/>
      <c r="L545" s="197"/>
      <c r="N545" s="203"/>
      <c r="U545" s="114"/>
      <c r="V545" s="114"/>
      <c r="W545" s="114"/>
      <c r="Y545" s="114"/>
      <c r="Z545" s="218"/>
      <c r="AC545" s="114"/>
    </row>
    <row r="546" spans="1:93" x14ac:dyDescent="0.2">
      <c r="A546" s="100" t="s">
        <v>491</v>
      </c>
      <c r="C546" s="119" t="str">
        <f>C494</f>
        <v>20240025-EI</v>
      </c>
      <c r="F546" s="197"/>
      <c r="H546" s="203"/>
      <c r="L546" s="197"/>
      <c r="N546" s="203"/>
      <c r="O546" s="100" t="s">
        <v>493</v>
      </c>
      <c r="U546" s="114"/>
      <c r="V546" s="114"/>
      <c r="W546" s="114"/>
      <c r="Y546" s="114"/>
      <c r="Z546" s="218"/>
      <c r="AC546" s="114"/>
    </row>
    <row r="547" spans="1:93" ht="10.8" thickBot="1" x14ac:dyDescent="0.25">
      <c r="A547" s="123"/>
      <c r="B547" s="109"/>
      <c r="C547" s="109"/>
      <c r="D547" s="109"/>
      <c r="E547" s="109"/>
      <c r="F547" s="274"/>
      <c r="G547" s="109"/>
      <c r="H547" s="272"/>
      <c r="I547" s="109"/>
      <c r="J547" s="109"/>
      <c r="K547" s="109"/>
      <c r="L547" s="274"/>
      <c r="M547" s="109"/>
      <c r="N547" s="275"/>
      <c r="O547" s="109"/>
      <c r="P547" s="109"/>
      <c r="Q547" s="109"/>
      <c r="U547" s="114"/>
      <c r="V547" s="114"/>
      <c r="W547" s="114"/>
      <c r="Y547" s="114"/>
      <c r="Z547" s="218"/>
      <c r="AC547" s="114"/>
    </row>
    <row r="548" spans="1:93" ht="15.6" x14ac:dyDescent="0.2">
      <c r="B548" s="1369"/>
      <c r="C548" s="125"/>
      <c r="D548" s="125"/>
      <c r="E548" s="125"/>
      <c r="F548" s="276"/>
      <c r="G548" s="125"/>
      <c r="H548" s="277"/>
      <c r="I548" s="126" t="s">
        <v>654</v>
      </c>
      <c r="J548" s="125"/>
      <c r="K548" s="125"/>
      <c r="L548" s="276"/>
      <c r="M548" s="125"/>
      <c r="N548" s="277"/>
      <c r="U548" s="127" t="s">
        <v>530</v>
      </c>
      <c r="V548" s="128"/>
      <c r="W548" s="129"/>
      <c r="Y548" s="130" t="s">
        <v>531</v>
      </c>
      <c r="Z548" s="131"/>
    </row>
    <row r="549" spans="1:93" x14ac:dyDescent="0.2">
      <c r="A549" s="101" t="s">
        <v>30</v>
      </c>
      <c r="B549" s="101" t="s">
        <v>532</v>
      </c>
      <c r="C549" s="132"/>
      <c r="D549" s="133" t="s">
        <v>533</v>
      </c>
      <c r="E549" s="134"/>
      <c r="F549" s="278"/>
      <c r="G549" s="133"/>
      <c r="H549" s="279"/>
      <c r="I549" s="135"/>
      <c r="J549" s="136" t="s">
        <v>534</v>
      </c>
      <c r="K549" s="133"/>
      <c r="L549" s="278"/>
      <c r="M549" s="134"/>
      <c r="N549" s="280"/>
      <c r="O549" s="1372"/>
      <c r="Q549" s="118" t="s">
        <v>332</v>
      </c>
      <c r="U549" s="138"/>
      <c r="V549" s="139"/>
      <c r="W549" s="140"/>
      <c r="Y549" s="138"/>
      <c r="Z549" s="141"/>
    </row>
    <row r="550" spans="1:93" x14ac:dyDescent="0.2">
      <c r="A550" s="101" t="s">
        <v>39</v>
      </c>
      <c r="B550" s="102" t="s">
        <v>535</v>
      </c>
      <c r="C550" s="104"/>
      <c r="D550" s="142" t="s">
        <v>536</v>
      </c>
      <c r="E550" s="143"/>
      <c r="F550" s="281" t="s">
        <v>537</v>
      </c>
      <c r="G550" s="142"/>
      <c r="H550" s="282" t="s">
        <v>538</v>
      </c>
      <c r="I550" s="144"/>
      <c r="J550" s="142" t="s">
        <v>536</v>
      </c>
      <c r="K550" s="143"/>
      <c r="L550" s="281" t="s">
        <v>537</v>
      </c>
      <c r="M550" s="142"/>
      <c r="N550" s="282" t="s">
        <v>538</v>
      </c>
      <c r="O550" s="132"/>
      <c r="Q550" s="145" t="s">
        <v>539</v>
      </c>
      <c r="R550" s="132"/>
      <c r="S550" s="132"/>
      <c r="U550" s="138" t="s">
        <v>128</v>
      </c>
      <c r="V550" s="146" t="s">
        <v>343</v>
      </c>
      <c r="W550" s="147" t="s">
        <v>344</v>
      </c>
      <c r="Y550" s="148" t="s">
        <v>128</v>
      </c>
      <c r="Z550" s="149"/>
      <c r="AH550" s="116"/>
      <c r="AI550" s="116"/>
      <c r="AJ550" s="116"/>
      <c r="AK550" s="116"/>
      <c r="AL550" s="116"/>
      <c r="AM550" s="116"/>
      <c r="AN550" s="116"/>
      <c r="AO550" s="116"/>
      <c r="AP550" s="116"/>
      <c r="AQ550" s="116"/>
      <c r="AR550" s="116"/>
      <c r="AS550" s="116"/>
      <c r="AT550" s="116"/>
      <c r="AU550" s="116"/>
      <c r="AV550" s="116"/>
      <c r="AW550" s="116"/>
      <c r="AX550" s="116"/>
      <c r="AY550" s="116"/>
      <c r="AZ550" s="116"/>
      <c r="BA550" s="116"/>
      <c r="BB550" s="116"/>
      <c r="BC550" s="116"/>
      <c r="BD550" s="116"/>
      <c r="BE550" s="116"/>
      <c r="BF550" s="116"/>
      <c r="BG550" s="116"/>
      <c r="BH550" s="116"/>
      <c r="BI550" s="116"/>
      <c r="BJ550" s="116"/>
      <c r="BK550" s="116"/>
      <c r="BL550" s="116"/>
      <c r="BM550" s="116"/>
      <c r="BN550" s="116"/>
      <c r="BO550" s="116"/>
      <c r="BP550" s="116"/>
      <c r="BQ550" s="116"/>
      <c r="BR550" s="116"/>
      <c r="BS550" s="116"/>
      <c r="BT550" s="116"/>
      <c r="BU550" s="116"/>
      <c r="BV550" s="116"/>
      <c r="BW550" s="116"/>
      <c r="BX550" s="116"/>
      <c r="BY550" s="116"/>
      <c r="BZ550" s="116"/>
      <c r="CA550" s="116"/>
      <c r="CB550" s="116"/>
      <c r="CC550" s="116"/>
      <c r="CD550" s="116"/>
      <c r="CE550" s="116"/>
      <c r="CF550" s="116"/>
      <c r="CG550" s="116"/>
      <c r="CH550" s="116"/>
      <c r="CI550" s="116"/>
      <c r="CJ550" s="116"/>
      <c r="CK550" s="116"/>
      <c r="CL550" s="116"/>
      <c r="CM550" s="116"/>
      <c r="CN550" s="116"/>
      <c r="CO550" s="116"/>
    </row>
    <row r="551" spans="1:93" ht="10.8" thickBot="1" x14ac:dyDescent="0.25">
      <c r="A551" s="109"/>
      <c r="B551" s="1370" t="s">
        <v>140</v>
      </c>
      <c r="C551" s="150"/>
      <c r="D551" s="220" t="str">
        <f>+$D$13</f>
        <v>Jan '26-Dec '26</v>
      </c>
      <c r="E551" s="221"/>
      <c r="F551" s="152">
        <f>+$L$13</f>
        <v>46023</v>
      </c>
      <c r="G551" s="153"/>
      <c r="H551" s="153"/>
      <c r="I551" s="153"/>
      <c r="J551" s="153"/>
      <c r="K551" s="151"/>
      <c r="L551" s="152">
        <f>+$L$13</f>
        <v>46023</v>
      </c>
      <c r="M551" s="154"/>
      <c r="N551" s="283"/>
      <c r="O551" s="155"/>
      <c r="P551" s="109"/>
      <c r="Q551" s="156"/>
      <c r="R551" s="132"/>
      <c r="S551" s="132"/>
      <c r="U551" s="157" t="s">
        <v>144</v>
      </c>
      <c r="V551" s="158" t="s">
        <v>540</v>
      </c>
      <c r="W551" s="159" t="s">
        <v>540</v>
      </c>
      <c r="Y551" s="160" t="s">
        <v>144</v>
      </c>
      <c r="Z551" s="159" t="s">
        <v>541</v>
      </c>
      <c r="AH551" s="116"/>
      <c r="AI551" s="116"/>
      <c r="AJ551" s="116"/>
      <c r="AK551" s="116"/>
      <c r="AL551" s="116"/>
      <c r="AM551" s="116"/>
      <c r="AN551" s="116"/>
      <c r="AO551" s="116"/>
      <c r="AP551" s="116"/>
      <c r="AQ551" s="116"/>
      <c r="AR551" s="116"/>
      <c r="AS551" s="116"/>
      <c r="AT551" s="116"/>
      <c r="AU551" s="116"/>
      <c r="AV551" s="116"/>
      <c r="AW551" s="116"/>
      <c r="AX551" s="116"/>
      <c r="AY551" s="116"/>
      <c r="AZ551" s="116"/>
      <c r="BA551" s="116"/>
      <c r="BB551" s="116"/>
      <c r="BC551" s="116"/>
      <c r="BD551" s="116"/>
      <c r="BE551" s="116"/>
      <c r="BF551" s="116"/>
      <c r="BG551" s="116"/>
      <c r="BH551" s="116"/>
      <c r="BI551" s="116"/>
      <c r="BJ551" s="116"/>
      <c r="BK551" s="116"/>
      <c r="BL551" s="116"/>
      <c r="BM551" s="116"/>
      <c r="BN551" s="116"/>
      <c r="BO551" s="116"/>
      <c r="BP551" s="116"/>
      <c r="BQ551" s="116"/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6"/>
      <c r="CB551" s="116"/>
      <c r="CC551" s="116"/>
      <c r="CD551" s="116"/>
      <c r="CE551" s="116"/>
      <c r="CF551" s="116"/>
      <c r="CG551" s="116"/>
      <c r="CH551" s="116"/>
      <c r="CI551" s="116"/>
      <c r="CJ551" s="116"/>
      <c r="CK551" s="116"/>
      <c r="CL551" s="116"/>
      <c r="CM551" s="116"/>
      <c r="CN551" s="116"/>
      <c r="CO551" s="116"/>
    </row>
    <row r="552" spans="1:93" x14ac:dyDescent="0.2">
      <c r="A552" s="118">
        <v>1</v>
      </c>
      <c r="F552" s="197"/>
      <c r="H552" s="203"/>
      <c r="I552" s="308"/>
      <c r="L552" s="197"/>
      <c r="N552" s="203"/>
      <c r="O552" s="227"/>
      <c r="P552" s="227"/>
      <c r="Q552" s="230"/>
      <c r="R552" s="132"/>
      <c r="S552" s="132"/>
      <c r="U552" s="163"/>
      <c r="V552" s="139"/>
      <c r="W552" s="140"/>
      <c r="Y552" s="163"/>
      <c r="Z552" s="141"/>
      <c r="AH552" s="116"/>
      <c r="AI552" s="116"/>
      <c r="AJ552" s="116"/>
      <c r="AK552" s="116"/>
      <c r="AL552" s="116"/>
      <c r="AM552" s="116"/>
      <c r="AN552" s="116"/>
      <c r="AO552" s="116"/>
      <c r="AP552" s="116"/>
      <c r="AQ552" s="116"/>
      <c r="AR552" s="116"/>
      <c r="AS552" s="116"/>
      <c r="AT552" s="116"/>
      <c r="AU552" s="116"/>
      <c r="AV552" s="116"/>
      <c r="AW552" s="116"/>
      <c r="AX552" s="116"/>
      <c r="AY552" s="116"/>
      <c r="AZ552" s="116"/>
      <c r="BA552" s="116"/>
      <c r="BB552" s="116"/>
      <c r="BC552" s="116"/>
      <c r="BD552" s="116"/>
      <c r="BE552" s="116"/>
      <c r="BF552" s="116"/>
      <c r="BG552" s="116"/>
      <c r="BH552" s="116"/>
      <c r="BI552" s="116"/>
      <c r="BJ552" s="116"/>
      <c r="BK552" s="116"/>
      <c r="BL552" s="116"/>
      <c r="BM552" s="116"/>
      <c r="BN552" s="116"/>
      <c r="BO552" s="116"/>
      <c r="BP552" s="116"/>
      <c r="BQ552" s="116"/>
      <c r="BR552" s="116"/>
      <c r="BS552" s="116"/>
      <c r="BT552" s="116"/>
      <c r="BU552" s="116"/>
      <c r="BV552" s="116"/>
      <c r="BW552" s="116"/>
      <c r="BX552" s="116"/>
      <c r="BY552" s="116"/>
      <c r="BZ552" s="116"/>
      <c r="CA552" s="116"/>
      <c r="CB552" s="116"/>
      <c r="CC552" s="116"/>
      <c r="CD552" s="116"/>
      <c r="CE552" s="116"/>
      <c r="CF552" s="116"/>
      <c r="CG552" s="116"/>
      <c r="CH552" s="116"/>
      <c r="CI552" s="116"/>
      <c r="CJ552" s="116"/>
      <c r="CK552" s="116"/>
      <c r="CL552" s="116"/>
      <c r="CM552" s="116"/>
      <c r="CN552" s="116"/>
      <c r="CO552" s="116"/>
    </row>
    <row r="553" spans="1:93" x14ac:dyDescent="0.2">
      <c r="A553" s="118">
        <f t="shared" ref="A553:A587" si="59">+A552+1</f>
        <v>2</v>
      </c>
      <c r="B553" s="222" t="s">
        <v>542</v>
      </c>
      <c r="C553" s="225"/>
      <c r="D553" s="226"/>
      <c r="E553" s="225"/>
      <c r="F553" s="284"/>
      <c r="G553" s="227"/>
      <c r="H553" s="285"/>
      <c r="I553" s="308"/>
      <c r="J553" s="226"/>
      <c r="K553" s="225"/>
      <c r="L553" s="310"/>
      <c r="M553" s="227"/>
      <c r="N553" s="285"/>
      <c r="O553" s="227"/>
      <c r="P553" s="227"/>
      <c r="Q553" s="227"/>
      <c r="R553" s="227"/>
      <c r="S553" s="227"/>
      <c r="T553" s="227"/>
      <c r="U553" s="163"/>
      <c r="V553" s="139"/>
      <c r="W553" s="140"/>
      <c r="X553" s="227"/>
      <c r="Y553" s="163"/>
      <c r="Z553" s="141"/>
      <c r="AA553" s="227"/>
      <c r="AH553" s="116"/>
      <c r="AI553" s="116"/>
      <c r="AJ553" s="116"/>
      <c r="AK553" s="116"/>
      <c r="AL553" s="116"/>
      <c r="AM553" s="116"/>
      <c r="AN553" s="116"/>
      <c r="AO553" s="116"/>
      <c r="AP553" s="116"/>
      <c r="AQ553" s="116"/>
      <c r="AR553" s="116"/>
      <c r="AS553" s="116"/>
      <c r="AT553" s="116"/>
      <c r="AU553" s="116"/>
      <c r="AV553" s="116"/>
      <c r="AW553" s="116"/>
      <c r="AX553" s="116"/>
      <c r="AY553" s="116"/>
      <c r="AZ553" s="116"/>
      <c r="BA553" s="116"/>
      <c r="BB553" s="116"/>
      <c r="BC553" s="116"/>
      <c r="BD553" s="116"/>
      <c r="BE553" s="116"/>
      <c r="BF553" s="116"/>
      <c r="BG553" s="116"/>
      <c r="BH553" s="116"/>
      <c r="BI553" s="116"/>
      <c r="BJ553" s="116"/>
      <c r="BK553" s="116"/>
      <c r="BL553" s="116"/>
      <c r="BM553" s="116"/>
      <c r="BN553" s="116"/>
      <c r="BO553" s="116"/>
      <c r="BP553" s="116"/>
      <c r="BQ553" s="116"/>
      <c r="BR553" s="116"/>
      <c r="BS553" s="116"/>
      <c r="BT553" s="116"/>
      <c r="BU553" s="116"/>
      <c r="BV553" s="116"/>
      <c r="BW553" s="116"/>
      <c r="BX553" s="116"/>
      <c r="BY553" s="116"/>
      <c r="BZ553" s="116"/>
      <c r="CA553" s="116"/>
      <c r="CB553" s="116"/>
      <c r="CC553" s="116"/>
      <c r="CD553" s="116"/>
      <c r="CE553" s="116"/>
      <c r="CF553" s="116"/>
      <c r="CG553" s="116"/>
      <c r="CH553" s="116"/>
      <c r="CI553" s="116"/>
      <c r="CJ553" s="116"/>
      <c r="CK553" s="116"/>
      <c r="CL553" s="116"/>
      <c r="CM553" s="116"/>
      <c r="CN553" s="116"/>
      <c r="CO553" s="116"/>
    </row>
    <row r="554" spans="1:93" x14ac:dyDescent="0.2">
      <c r="A554" s="118">
        <f t="shared" si="59"/>
        <v>3</v>
      </c>
      <c r="B554" s="234" t="s">
        <v>148</v>
      </c>
      <c r="C554" s="225"/>
      <c r="D554" s="172">
        <f>SUMIF($AH$6:$CP$6,1,$AH554:$CP554)</f>
        <v>21.138365549049947</v>
      </c>
      <c r="E554" s="233" t="s">
        <v>545</v>
      </c>
      <c r="F554" s="183">
        <v>665.44</v>
      </c>
      <c r="G554" s="233" t="s">
        <v>375</v>
      </c>
      <c r="H554" s="174">
        <f>ROUND(D554*F554,2)</f>
        <v>14066.31</v>
      </c>
      <c r="I554" s="308"/>
      <c r="J554" s="172">
        <f>SUMIF($AH$6:$CP$6,1,$AH554:$CP554)</f>
        <v>21.138365549049947</v>
      </c>
      <c r="K554" s="233" t="s">
        <v>545</v>
      </c>
      <c r="L554" s="173">
        <f>'Exhibit MJC-3 - E-13c cal yr'!L650</f>
        <v>684.44</v>
      </c>
      <c r="M554" s="233" t="s">
        <v>375</v>
      </c>
      <c r="N554" s="174">
        <f>ROUND(J554*L554,2)</f>
        <v>14467.94</v>
      </c>
      <c r="O554" s="227"/>
      <c r="P554" s="262"/>
      <c r="Q554" s="939"/>
      <c r="R554" s="227"/>
      <c r="S554" s="227"/>
      <c r="T554" s="227"/>
      <c r="U554" s="184" t="s">
        <v>140</v>
      </c>
      <c r="V554" s="179">
        <v>257</v>
      </c>
      <c r="W554" s="180">
        <v>231</v>
      </c>
      <c r="X554" s="227"/>
      <c r="Y554" s="184"/>
      <c r="Z554" s="181"/>
      <c r="AA554" s="227"/>
      <c r="AB554" s="182">
        <f>SUM(AH554:AS554)</f>
        <v>21.614491421088225</v>
      </c>
      <c r="AC554" s="182">
        <f>SUM(AT554:BE554)</f>
        <v>21.543771166469419</v>
      </c>
      <c r="AD554" s="182">
        <f>SUM(BF554:BQ554)</f>
        <v>21.287282548950024</v>
      </c>
      <c r="AE554" s="182">
        <f>SUM(BR554:CC554)</f>
        <v>21.138365549049947</v>
      </c>
      <c r="AF554" s="182">
        <f>SUM(CD554:CO554)</f>
        <v>21.149842857734786</v>
      </c>
      <c r="AH554" s="168">
        <v>3.2640286161412924</v>
      </c>
      <c r="AI554" s="168">
        <v>1.1599502527490877</v>
      </c>
      <c r="AJ554" s="168">
        <v>1.1431830251674604</v>
      </c>
      <c r="AK554" s="168">
        <v>1.8165774897600169</v>
      </c>
      <c r="AL554" s="168">
        <v>1.718769152440446</v>
      </c>
      <c r="AM554" s="168">
        <v>1.8263725146794578</v>
      </c>
      <c r="AN554" s="168">
        <v>1.9191263261319378</v>
      </c>
      <c r="AO554" s="168">
        <v>1.8206991403956994</v>
      </c>
      <c r="AP554" s="168">
        <v>1.8659031003607569</v>
      </c>
      <c r="AQ554" s="168">
        <v>1.8421811694976649</v>
      </c>
      <c r="AR554" s="168">
        <v>1.9871536267508132</v>
      </c>
      <c r="AS554" s="168">
        <v>1.2505470070135902</v>
      </c>
      <c r="AT554" s="168">
        <v>3.2228505879036176</v>
      </c>
      <c r="AU554" s="168">
        <v>1.1673399174863106</v>
      </c>
      <c r="AV554" s="168">
        <v>1.147150117155582</v>
      </c>
      <c r="AW554" s="168">
        <v>1.8160827436429183</v>
      </c>
      <c r="AX554" s="168">
        <v>1.7120650354986462</v>
      </c>
      <c r="AY554" s="168">
        <v>1.8271576265162941</v>
      </c>
      <c r="AZ554" s="168">
        <v>1.9169980885242244</v>
      </c>
      <c r="BA554" s="168">
        <v>1.8166699171121332</v>
      </c>
      <c r="BB554" s="168">
        <v>1.8592524953695253</v>
      </c>
      <c r="BC554" s="168">
        <v>1.8335246148916431</v>
      </c>
      <c r="BD554" s="168">
        <v>1.975409285145183</v>
      </c>
      <c r="BE554" s="168">
        <v>1.2492707372233416</v>
      </c>
      <c r="BF554" s="168">
        <v>3.1678844822759133</v>
      </c>
      <c r="BG554" s="168">
        <v>1.1471482181823451</v>
      </c>
      <c r="BH554" s="168">
        <v>1.1267306419613285</v>
      </c>
      <c r="BI554" s="168">
        <v>1.7825395030275808</v>
      </c>
      <c r="BJ554" s="168">
        <v>1.6794668040971019</v>
      </c>
      <c r="BK554" s="168">
        <v>1.8133198345370389</v>
      </c>
      <c r="BL554" s="168">
        <v>1.9018038424692301</v>
      </c>
      <c r="BM554" s="168">
        <v>1.8023536545889345</v>
      </c>
      <c r="BN554" s="168">
        <v>1.8438452455550105</v>
      </c>
      <c r="BO554" s="168">
        <v>1.8179605514779431</v>
      </c>
      <c r="BP554" s="168">
        <v>1.9579517627138965</v>
      </c>
      <c r="BQ554" s="168">
        <v>1.2462780080637046</v>
      </c>
      <c r="BR554" s="168">
        <v>3.1087476735688977</v>
      </c>
      <c r="BS554" s="168">
        <v>1.1273780430396649</v>
      </c>
      <c r="BT554" s="168">
        <v>1.1088077565430425</v>
      </c>
      <c r="BU554" s="168">
        <v>1.756409962377327</v>
      </c>
      <c r="BV554" s="168">
        <v>1.6567351481831074</v>
      </c>
      <c r="BW554" s="168">
        <v>1.8078812800493216</v>
      </c>
      <c r="BX554" s="168">
        <v>1.897108193034889</v>
      </c>
      <c r="BY554" s="168">
        <v>1.799789958957148</v>
      </c>
      <c r="BZ554" s="168">
        <v>1.8430473320077652</v>
      </c>
      <c r="CA554" s="168">
        <v>1.8192251706742266</v>
      </c>
      <c r="CB554" s="168">
        <v>1.9606570664496947</v>
      </c>
      <c r="CC554" s="168">
        <v>1.2525779641648638</v>
      </c>
      <c r="CD554" s="168">
        <v>3.0963542613566197</v>
      </c>
      <c r="CE554" s="168">
        <v>1.1229939256348647</v>
      </c>
      <c r="CF554" s="168">
        <v>1.1045473813739233</v>
      </c>
      <c r="CG554" s="168">
        <v>1.7498973511547944</v>
      </c>
      <c r="CH554" s="168">
        <v>1.6511471496844055</v>
      </c>
      <c r="CI554" s="168">
        <v>1.8134920222861735</v>
      </c>
      <c r="CJ554" s="168">
        <v>1.9034594197011612</v>
      </c>
      <c r="CK554" s="168">
        <v>1.8063221297165057</v>
      </c>
      <c r="CL554" s="168">
        <v>1.8494451300090495</v>
      </c>
      <c r="CM554" s="168">
        <v>1.8252071733513322</v>
      </c>
      <c r="CN554" s="168">
        <v>1.9667151715666153</v>
      </c>
      <c r="CO554" s="168">
        <v>1.2602617418993418</v>
      </c>
    </row>
    <row r="555" spans="1:93" x14ac:dyDescent="0.2">
      <c r="A555" s="118">
        <f t="shared" si="59"/>
        <v>4</v>
      </c>
      <c r="B555" s="234" t="s">
        <v>216</v>
      </c>
      <c r="C555" s="225"/>
      <c r="D555" s="172">
        <f>SUMIF($AH$6:$CP$6,1,$AH555:$CP555)</f>
        <v>9.688417543314559</v>
      </c>
      <c r="E555" s="233" t="s">
        <v>545</v>
      </c>
      <c r="F555" s="183">
        <v>1539.64</v>
      </c>
      <c r="G555" s="233" t="s">
        <v>375</v>
      </c>
      <c r="H555" s="174">
        <f>ROUND(D555*F555,2)</f>
        <v>14916.68</v>
      </c>
      <c r="I555" s="308"/>
      <c r="J555" s="172">
        <f>SUMIF($AH$6:$CP$6,1,$AH555:$CP555)</f>
        <v>9.688417543314559</v>
      </c>
      <c r="K555" s="233" t="s">
        <v>545</v>
      </c>
      <c r="L555" s="173">
        <f>'Exhibit MJC-3 - E-13c cal yr'!L651</f>
        <v>1583.59</v>
      </c>
      <c r="M555" s="233" t="s">
        <v>375</v>
      </c>
      <c r="N555" s="174">
        <f>ROUND(J555*L555,2)</f>
        <v>15342.48</v>
      </c>
      <c r="O555" s="227"/>
      <c r="P555" s="262"/>
      <c r="Q555" s="939"/>
      <c r="R555" s="227"/>
      <c r="S555" s="227"/>
      <c r="T555" s="227"/>
      <c r="U555" s="184" t="s">
        <v>140</v>
      </c>
      <c r="V555" s="179">
        <v>257</v>
      </c>
      <c r="W555" s="180">
        <v>231</v>
      </c>
      <c r="X555" s="227"/>
      <c r="Y555" s="184"/>
      <c r="Z555" s="181"/>
      <c r="AA555" s="227"/>
      <c r="AB555" s="182">
        <f>SUM(AH555:AS555)</f>
        <v>9.9066419013321028</v>
      </c>
      <c r="AC555" s="182">
        <f>SUM(AT555:BE555)</f>
        <v>9.8742284512984835</v>
      </c>
      <c r="AD555" s="182">
        <f>SUM(BF555:BQ555)</f>
        <v>9.7566711682687632</v>
      </c>
      <c r="AE555" s="182">
        <f>SUM(BR555:CC555)</f>
        <v>9.688417543314559</v>
      </c>
      <c r="AF555" s="182">
        <f>SUM(CD555:CO555)</f>
        <v>9.6936779764617746</v>
      </c>
      <c r="AH555" s="168">
        <v>1.4960131157314258</v>
      </c>
      <c r="AI555" s="168">
        <v>0.5316438658433319</v>
      </c>
      <c r="AJ555" s="168">
        <v>0.52395888653508604</v>
      </c>
      <c r="AK555" s="168">
        <v>0.83259801614000772</v>
      </c>
      <c r="AL555" s="168">
        <v>0.78776919486853769</v>
      </c>
      <c r="AM555" s="168">
        <v>0.83708740256141811</v>
      </c>
      <c r="AN555" s="168">
        <v>0.87959956614380475</v>
      </c>
      <c r="AO555" s="168">
        <v>0.83448710601469545</v>
      </c>
      <c r="AP555" s="168">
        <v>0.85520558766534682</v>
      </c>
      <c r="AQ555" s="168">
        <v>0.84433303601976295</v>
      </c>
      <c r="AR555" s="168">
        <v>0.91077874559412275</v>
      </c>
      <c r="AS555" s="168">
        <v>0.5731673782145621</v>
      </c>
      <c r="AT555" s="168">
        <v>1.4771398527891577</v>
      </c>
      <c r="AU555" s="168">
        <v>0.53503079551455901</v>
      </c>
      <c r="AV555" s="168">
        <v>0.52577713702964168</v>
      </c>
      <c r="AW555" s="168">
        <v>0.83237125750300422</v>
      </c>
      <c r="AX555" s="168">
        <v>0.78469647460354608</v>
      </c>
      <c r="AY555" s="168">
        <v>0.83744724548663463</v>
      </c>
      <c r="AZ555" s="168">
        <v>0.87862412390693612</v>
      </c>
      <c r="BA555" s="168">
        <v>0.8326403786763944</v>
      </c>
      <c r="BB555" s="168">
        <v>0.8521573937110325</v>
      </c>
      <c r="BC555" s="168">
        <v>0.8403654484920029</v>
      </c>
      <c r="BD555" s="168">
        <v>0.90539592235820887</v>
      </c>
      <c r="BE555" s="168">
        <v>0.57258242122736491</v>
      </c>
      <c r="BF555" s="168">
        <v>1.4519470543764601</v>
      </c>
      <c r="BG555" s="168">
        <v>0.52577626666690813</v>
      </c>
      <c r="BH555" s="168">
        <v>0.51641821089894213</v>
      </c>
      <c r="BI555" s="168">
        <v>0.81699727222097451</v>
      </c>
      <c r="BJ555" s="168">
        <v>0.76975561854450503</v>
      </c>
      <c r="BK555" s="168">
        <v>0.83110492416280946</v>
      </c>
      <c r="BL555" s="168">
        <v>0.87166009446506376</v>
      </c>
      <c r="BM555" s="168">
        <v>0.82607875835326161</v>
      </c>
      <c r="BN555" s="168">
        <v>0.8450957375460465</v>
      </c>
      <c r="BO555" s="168">
        <v>0.83323191942739061</v>
      </c>
      <c r="BP555" s="168">
        <v>0.8973945579105358</v>
      </c>
      <c r="BQ555" s="168">
        <v>0.5712107536958646</v>
      </c>
      <c r="BR555" s="168">
        <v>1.4248426837190782</v>
      </c>
      <c r="BS555" s="168">
        <v>0.51671493639317978</v>
      </c>
      <c r="BT555" s="168">
        <v>0.50820355508222781</v>
      </c>
      <c r="BU555" s="168">
        <v>0.8050212327562748</v>
      </c>
      <c r="BV555" s="168">
        <v>0.75933694291725762</v>
      </c>
      <c r="BW555" s="168">
        <v>0.82861225335593902</v>
      </c>
      <c r="BX555" s="168">
        <v>0.86950792180765746</v>
      </c>
      <c r="BY555" s="168">
        <v>0.82490373118869287</v>
      </c>
      <c r="BZ555" s="168">
        <v>0.84473002717022572</v>
      </c>
      <c r="CA555" s="168">
        <v>0.83381153655902052</v>
      </c>
      <c r="CB555" s="168">
        <v>0.8986344887894433</v>
      </c>
      <c r="CC555" s="168">
        <v>0.57409823357556256</v>
      </c>
      <c r="CD555" s="168">
        <v>1.4191623697884506</v>
      </c>
      <c r="CE555" s="168">
        <v>0.514705549249313</v>
      </c>
      <c r="CF555" s="168">
        <v>0.50625088312971478</v>
      </c>
      <c r="CG555" s="168">
        <v>0.80203628594594745</v>
      </c>
      <c r="CH555" s="168">
        <v>0.75677577693868581</v>
      </c>
      <c r="CI555" s="168">
        <v>0.83118384354782948</v>
      </c>
      <c r="CJ555" s="168">
        <v>0.87241890069636552</v>
      </c>
      <c r="CK555" s="168">
        <v>0.82789764278673172</v>
      </c>
      <c r="CL555" s="168">
        <v>0.84766235125414768</v>
      </c>
      <c r="CM555" s="168">
        <v>0.83655328778602722</v>
      </c>
      <c r="CN555" s="168">
        <v>0.90141112030136528</v>
      </c>
      <c r="CO555" s="168">
        <v>0.57761996503719826</v>
      </c>
    </row>
    <row r="556" spans="1:93" x14ac:dyDescent="0.2">
      <c r="A556" s="118">
        <f t="shared" si="59"/>
        <v>5</v>
      </c>
      <c r="B556" s="234"/>
      <c r="C556" s="225" t="s">
        <v>121</v>
      </c>
      <c r="D556" s="204">
        <f>SUM(D554:D555)</f>
        <v>30.826783092364508</v>
      </c>
      <c r="E556" s="233" t="s">
        <v>581</v>
      </c>
      <c r="F556" s="183"/>
      <c r="G556" s="233"/>
      <c r="H556" s="206">
        <f>SUM(H554:H555)</f>
        <v>28982.989999999998</v>
      </c>
      <c r="I556" s="308"/>
      <c r="J556" s="204">
        <f>SUM(J554:J555)</f>
        <v>30.826783092364508</v>
      </c>
      <c r="K556" s="233" t="s">
        <v>581</v>
      </c>
      <c r="L556" s="183"/>
      <c r="M556" s="233"/>
      <c r="N556" s="206">
        <f>SUM(N554:N555)</f>
        <v>29810.42</v>
      </c>
      <c r="O556" s="227"/>
      <c r="P556" s="262"/>
      <c r="Q556" s="939"/>
      <c r="R556" s="227"/>
      <c r="S556" s="227"/>
      <c r="T556" s="227"/>
      <c r="U556" s="178"/>
      <c r="V556" s="179"/>
      <c r="W556" s="180"/>
      <c r="X556" s="227"/>
      <c r="Y556" s="184" t="s">
        <v>140</v>
      </c>
      <c r="Z556" s="181" t="s">
        <v>451</v>
      </c>
      <c r="AA556" s="227"/>
      <c r="AB556" s="204">
        <f>SUM(AB554:AB555)</f>
        <v>31.521133322420326</v>
      </c>
      <c r="AC556" s="204">
        <f>SUM(AC554:AC555)</f>
        <v>31.417999617767904</v>
      </c>
      <c r="AD556" s="204">
        <f>SUM(AD554:AD555)</f>
        <v>31.043953717218788</v>
      </c>
      <c r="AE556" s="204">
        <f>SUM(AE554:AE555)</f>
        <v>30.826783092364508</v>
      </c>
      <c r="AF556" s="204">
        <f>SUM(AF554:AF555)</f>
        <v>30.843520834196561</v>
      </c>
      <c r="AH556" s="204">
        <f t="shared" ref="AH556:BM556" si="60">SUM(AH554:AH555)</f>
        <v>4.7600417318727182</v>
      </c>
      <c r="AI556" s="204">
        <f t="shared" si="60"/>
        <v>1.6915941185924197</v>
      </c>
      <c r="AJ556" s="204">
        <f t="shared" si="60"/>
        <v>1.6671419117025463</v>
      </c>
      <c r="AK556" s="204">
        <f t="shared" si="60"/>
        <v>2.6491755059000246</v>
      </c>
      <c r="AL556" s="204">
        <f t="shared" si="60"/>
        <v>2.5065383473089837</v>
      </c>
      <c r="AM556" s="204">
        <f t="shared" si="60"/>
        <v>2.6634599172408757</v>
      </c>
      <c r="AN556" s="204">
        <f t="shared" si="60"/>
        <v>2.7987258922757423</v>
      </c>
      <c r="AO556" s="204">
        <f t="shared" si="60"/>
        <v>2.6551862464103948</v>
      </c>
      <c r="AP556" s="204">
        <f t="shared" si="60"/>
        <v>2.7211086880261037</v>
      </c>
      <c r="AQ556" s="204">
        <f t="shared" si="60"/>
        <v>2.6865142055174278</v>
      </c>
      <c r="AR556" s="204">
        <f t="shared" si="60"/>
        <v>2.8979323723449362</v>
      </c>
      <c r="AS556" s="204">
        <f t="shared" si="60"/>
        <v>1.8237143852281523</v>
      </c>
      <c r="AT556" s="204">
        <f t="shared" si="60"/>
        <v>4.6999904406927753</v>
      </c>
      <c r="AU556" s="204">
        <f t="shared" si="60"/>
        <v>1.7023707130008696</v>
      </c>
      <c r="AV556" s="204">
        <f t="shared" si="60"/>
        <v>1.6729272541852236</v>
      </c>
      <c r="AW556" s="204">
        <f t="shared" si="60"/>
        <v>2.6484540011459226</v>
      </c>
      <c r="AX556" s="204">
        <f t="shared" si="60"/>
        <v>2.4967615101021923</v>
      </c>
      <c r="AY556" s="204">
        <f t="shared" si="60"/>
        <v>2.6646048720029287</v>
      </c>
      <c r="AZ556" s="204">
        <f t="shared" si="60"/>
        <v>2.7956222124311605</v>
      </c>
      <c r="BA556" s="204">
        <f t="shared" si="60"/>
        <v>2.6493102957885277</v>
      </c>
      <c r="BB556" s="204">
        <f t="shared" si="60"/>
        <v>2.7114098890805578</v>
      </c>
      <c r="BC556" s="204">
        <f t="shared" si="60"/>
        <v>2.673890063383646</v>
      </c>
      <c r="BD556" s="204">
        <f t="shared" si="60"/>
        <v>2.8808052075033919</v>
      </c>
      <c r="BE556" s="204">
        <f t="shared" si="60"/>
        <v>1.8218531584507065</v>
      </c>
      <c r="BF556" s="204">
        <f t="shared" si="60"/>
        <v>4.6198315366523737</v>
      </c>
      <c r="BG556" s="204">
        <f t="shared" si="60"/>
        <v>1.6729244848492533</v>
      </c>
      <c r="BH556" s="204">
        <f t="shared" si="60"/>
        <v>1.6431488528602707</v>
      </c>
      <c r="BI556" s="204">
        <f t="shared" si="60"/>
        <v>2.5995367752485552</v>
      </c>
      <c r="BJ556" s="204">
        <f t="shared" si="60"/>
        <v>2.4492224226416068</v>
      </c>
      <c r="BK556" s="204">
        <f t="shared" si="60"/>
        <v>2.6444247586998486</v>
      </c>
      <c r="BL556" s="204">
        <f t="shared" si="60"/>
        <v>2.7734639369342937</v>
      </c>
      <c r="BM556" s="204">
        <f t="shared" si="60"/>
        <v>2.6284324129421961</v>
      </c>
      <c r="BN556" s="204">
        <f t="shared" ref="BN556:CO556" si="61">SUM(BN554:BN555)</f>
        <v>2.6889409831010571</v>
      </c>
      <c r="BO556" s="204">
        <f t="shared" si="61"/>
        <v>2.6511924709053338</v>
      </c>
      <c r="BP556" s="204">
        <f t="shared" si="61"/>
        <v>2.8553463206244323</v>
      </c>
      <c r="BQ556" s="204">
        <f t="shared" si="61"/>
        <v>1.8174887617595692</v>
      </c>
      <c r="BR556" s="204">
        <f t="shared" si="61"/>
        <v>4.5335903572879754</v>
      </c>
      <c r="BS556" s="204">
        <f t="shared" si="61"/>
        <v>1.6440929794328447</v>
      </c>
      <c r="BT556" s="204">
        <f t="shared" si="61"/>
        <v>1.6170113116252702</v>
      </c>
      <c r="BU556" s="204">
        <f t="shared" si="61"/>
        <v>2.561431195133602</v>
      </c>
      <c r="BV556" s="204">
        <f t="shared" si="61"/>
        <v>2.4160720911003652</v>
      </c>
      <c r="BW556" s="204">
        <f t="shared" si="61"/>
        <v>2.6364935334052606</v>
      </c>
      <c r="BX556" s="204">
        <f t="shared" si="61"/>
        <v>2.7666161148425465</v>
      </c>
      <c r="BY556" s="204">
        <f t="shared" si="61"/>
        <v>2.6246936901458406</v>
      </c>
      <c r="BZ556" s="204">
        <f t="shared" si="61"/>
        <v>2.687777359177991</v>
      </c>
      <c r="CA556" s="204">
        <f t="shared" si="61"/>
        <v>2.6530367072332472</v>
      </c>
      <c r="CB556" s="204">
        <f t="shared" si="61"/>
        <v>2.859291555239138</v>
      </c>
      <c r="CC556" s="204">
        <f t="shared" si="61"/>
        <v>1.8266761977404262</v>
      </c>
      <c r="CD556" s="204">
        <f t="shared" si="61"/>
        <v>4.5155166311450703</v>
      </c>
      <c r="CE556" s="204">
        <f t="shared" si="61"/>
        <v>1.6376994748841778</v>
      </c>
      <c r="CF556" s="204">
        <f t="shared" si="61"/>
        <v>1.6107982645036381</v>
      </c>
      <c r="CG556" s="204">
        <f t="shared" si="61"/>
        <v>2.5519336371007419</v>
      </c>
      <c r="CH556" s="204">
        <f t="shared" si="61"/>
        <v>2.4079229266230913</v>
      </c>
      <c r="CI556" s="204">
        <f t="shared" si="61"/>
        <v>2.644675865834003</v>
      </c>
      <c r="CJ556" s="204">
        <f t="shared" si="61"/>
        <v>2.7758783203975268</v>
      </c>
      <c r="CK556" s="204">
        <f t="shared" si="61"/>
        <v>2.6342197725032372</v>
      </c>
      <c r="CL556" s="204">
        <f t="shared" si="61"/>
        <v>2.6971074812631972</v>
      </c>
      <c r="CM556" s="204">
        <f t="shared" si="61"/>
        <v>2.6617604611373595</v>
      </c>
      <c r="CN556" s="204">
        <f t="shared" si="61"/>
        <v>2.8681262918679806</v>
      </c>
      <c r="CO556" s="204">
        <f t="shared" si="61"/>
        <v>1.8378817069365401</v>
      </c>
    </row>
    <row r="557" spans="1:93" x14ac:dyDescent="0.2">
      <c r="A557" s="118">
        <f t="shared" si="59"/>
        <v>6</v>
      </c>
      <c r="B557" s="227"/>
      <c r="C557" s="263"/>
      <c r="D557" s="227"/>
      <c r="E557" s="230"/>
      <c r="F557" s="197"/>
      <c r="G557" s="230"/>
      <c r="H557" s="203"/>
      <c r="I557" s="308"/>
      <c r="J557" s="227"/>
      <c r="K557" s="230"/>
      <c r="L557" s="197"/>
      <c r="M557" s="230"/>
      <c r="N557" s="203"/>
      <c r="O557" s="227"/>
      <c r="P557" s="262"/>
      <c r="Q557" s="331"/>
      <c r="R557" s="227"/>
      <c r="S557" s="227"/>
      <c r="T557" s="227"/>
      <c r="U557" s="178"/>
      <c r="V557" s="179"/>
      <c r="W557" s="180"/>
      <c r="X557" s="227"/>
      <c r="Y557" s="178"/>
      <c r="Z557" s="181"/>
      <c r="AA557" s="227"/>
      <c r="AB557" s="193">
        <f>SUM(AH557:AS557)</f>
        <v>0</v>
      </c>
      <c r="AC557" s="193">
        <f>SUM(AT557:BE557)</f>
        <v>0</v>
      </c>
      <c r="AD557" s="193">
        <f>SUM(BF557:BQ557)</f>
        <v>0</v>
      </c>
      <c r="AE557" s="193">
        <f>SUM(BR557:CC557)</f>
        <v>0</v>
      </c>
      <c r="AF557" s="193">
        <f>SUM(CD557:CO557)</f>
        <v>0</v>
      </c>
      <c r="AH557" s="193">
        <v>0</v>
      </c>
      <c r="AI557" s="193">
        <v>0</v>
      </c>
      <c r="AJ557" s="193">
        <v>0</v>
      </c>
      <c r="AK557" s="193">
        <v>0</v>
      </c>
      <c r="AL557" s="193">
        <v>0</v>
      </c>
      <c r="AM557" s="193">
        <v>0</v>
      </c>
      <c r="AN557" s="193">
        <v>0</v>
      </c>
      <c r="AO557" s="193">
        <v>0</v>
      </c>
      <c r="AP557" s="193">
        <v>0</v>
      </c>
      <c r="AQ557" s="193">
        <v>0</v>
      </c>
      <c r="AR557" s="193">
        <v>0</v>
      </c>
      <c r="AS557" s="193">
        <v>0</v>
      </c>
      <c r="AT557" s="193">
        <v>0</v>
      </c>
      <c r="AU557" s="193">
        <v>0</v>
      </c>
      <c r="AV557" s="193">
        <v>0</v>
      </c>
      <c r="AW557" s="193">
        <v>0</v>
      </c>
      <c r="AX557" s="193">
        <v>0</v>
      </c>
      <c r="AY557" s="193">
        <v>0</v>
      </c>
      <c r="AZ557" s="193">
        <v>0</v>
      </c>
      <c r="BA557" s="193">
        <v>0</v>
      </c>
      <c r="BB557" s="193">
        <v>0</v>
      </c>
      <c r="BC557" s="193">
        <v>0</v>
      </c>
      <c r="BD557" s="193">
        <v>0</v>
      </c>
      <c r="BE557" s="193">
        <v>0</v>
      </c>
      <c r="BF557" s="193">
        <v>0</v>
      </c>
      <c r="BG557" s="193">
        <v>0</v>
      </c>
      <c r="BH557" s="193">
        <v>0</v>
      </c>
      <c r="BI557" s="193">
        <v>0</v>
      </c>
      <c r="BJ557" s="193">
        <v>0</v>
      </c>
      <c r="BK557" s="193">
        <v>0</v>
      </c>
      <c r="BL557" s="193">
        <v>0</v>
      </c>
      <c r="BM557" s="193">
        <v>0</v>
      </c>
      <c r="BN557" s="193">
        <v>0</v>
      </c>
      <c r="BO557" s="193">
        <v>0</v>
      </c>
      <c r="BP557" s="193">
        <v>0</v>
      </c>
      <c r="BQ557" s="193">
        <v>0</v>
      </c>
      <c r="BR557" s="193">
        <v>0</v>
      </c>
      <c r="BS557" s="193">
        <v>0</v>
      </c>
      <c r="BT557" s="193">
        <v>0</v>
      </c>
      <c r="BU557" s="193">
        <v>0</v>
      </c>
      <c r="BV557" s="193">
        <v>0</v>
      </c>
      <c r="BW557" s="193">
        <v>0</v>
      </c>
      <c r="BX557" s="193">
        <v>0</v>
      </c>
      <c r="BY557" s="193">
        <v>0</v>
      </c>
      <c r="BZ557" s="193">
        <v>0</v>
      </c>
      <c r="CA557" s="193">
        <v>0</v>
      </c>
      <c r="CB557" s="193">
        <v>0</v>
      </c>
      <c r="CC557" s="193">
        <v>0</v>
      </c>
      <c r="CD557" s="193">
        <v>0</v>
      </c>
      <c r="CE557" s="193">
        <v>0</v>
      </c>
      <c r="CF557" s="193">
        <v>0</v>
      </c>
      <c r="CG557" s="193">
        <v>0</v>
      </c>
      <c r="CH557" s="193">
        <v>0</v>
      </c>
      <c r="CI557" s="193">
        <v>0</v>
      </c>
      <c r="CJ557" s="193">
        <v>0</v>
      </c>
      <c r="CK557" s="193">
        <v>0</v>
      </c>
      <c r="CL557" s="193">
        <v>0</v>
      </c>
      <c r="CM557" s="193">
        <v>0</v>
      </c>
      <c r="CN557" s="193">
        <v>0</v>
      </c>
      <c r="CO557" s="193">
        <v>0</v>
      </c>
    </row>
    <row r="558" spans="1:93" x14ac:dyDescent="0.2">
      <c r="A558" s="118">
        <f t="shared" si="59"/>
        <v>7</v>
      </c>
      <c r="B558" s="239" t="s">
        <v>594</v>
      </c>
      <c r="C558" s="225"/>
      <c r="D558" s="168"/>
      <c r="E558" s="233"/>
      <c r="F558" s="183"/>
      <c r="G558" s="233"/>
      <c r="H558" s="174"/>
      <c r="I558" s="308"/>
      <c r="J558" s="168"/>
      <c r="K558" s="233"/>
      <c r="L558" s="183"/>
      <c r="M558" s="233"/>
      <c r="N558" s="174"/>
      <c r="O558" s="227"/>
      <c r="P558" s="262"/>
      <c r="Q558" s="331"/>
      <c r="R558" s="230"/>
      <c r="S558" s="230"/>
      <c r="T558" s="227"/>
      <c r="U558" s="184"/>
      <c r="V558" s="179"/>
      <c r="W558" s="180"/>
      <c r="X558" s="227"/>
      <c r="Y558" s="184"/>
      <c r="Z558" s="181"/>
      <c r="AA558" s="227"/>
    </row>
    <row r="559" spans="1:93" x14ac:dyDescent="0.2">
      <c r="A559" s="118">
        <f t="shared" si="59"/>
        <v>8</v>
      </c>
      <c r="B559" s="228" t="s">
        <v>642</v>
      </c>
      <c r="C559" s="225"/>
      <c r="D559" s="168"/>
      <c r="E559" s="233"/>
      <c r="F559" s="183"/>
      <c r="G559" s="233"/>
      <c r="H559" s="174"/>
      <c r="I559" s="308"/>
      <c r="J559" s="168"/>
      <c r="K559" s="233"/>
      <c r="L559" s="310"/>
      <c r="M559" s="233"/>
      <c r="N559" s="174"/>
      <c r="O559" s="227"/>
      <c r="P559" s="262"/>
      <c r="Q559" s="331"/>
      <c r="R559" s="259"/>
      <c r="S559" s="259"/>
      <c r="T559" s="227"/>
      <c r="U559" s="184"/>
      <c r="V559" s="179"/>
      <c r="W559" s="180"/>
      <c r="X559" s="227"/>
      <c r="Y559" s="184"/>
      <c r="Z559" s="181"/>
      <c r="AA559" s="227"/>
    </row>
    <row r="560" spans="1:93" x14ac:dyDescent="0.2">
      <c r="A560" s="118">
        <f t="shared" si="59"/>
        <v>9</v>
      </c>
      <c r="B560" s="227" t="s">
        <v>643</v>
      </c>
      <c r="C560" s="263"/>
      <c r="D560" s="172">
        <f>SUMIF($AH$6:$CP$6,1,$AH560:$CP560)</f>
        <v>339240</v>
      </c>
      <c r="E560" s="233" t="s">
        <v>596</v>
      </c>
      <c r="F560" s="183">
        <v>3.43</v>
      </c>
      <c r="G560" s="233" t="s">
        <v>375</v>
      </c>
      <c r="H560" s="174">
        <f>ROUND(D560*F560,2)</f>
        <v>1163593.2</v>
      </c>
      <c r="I560" s="308"/>
      <c r="J560" s="172">
        <f>SUMIF($AH$6:$CP$6,1,$AH560:$CP560)</f>
        <v>339240</v>
      </c>
      <c r="K560" s="233" t="s">
        <v>596</v>
      </c>
      <c r="L560" s="173">
        <f>'Exhibit MJC-3 - E-13c cal yr'!L656</f>
        <v>3.57</v>
      </c>
      <c r="M560" s="233" t="s">
        <v>375</v>
      </c>
      <c r="N560" s="174">
        <f>ROUND(J560*L560,2)</f>
        <v>1211086.8</v>
      </c>
      <c r="O560" s="227"/>
      <c r="P560" s="262"/>
      <c r="Q560" s="939"/>
      <c r="R560" s="227"/>
      <c r="S560" s="227"/>
      <c r="T560" s="286"/>
      <c r="U560" s="184" t="s">
        <v>140</v>
      </c>
      <c r="V560" s="179">
        <v>257</v>
      </c>
      <c r="W560" s="180">
        <v>231</v>
      </c>
      <c r="X560" s="286"/>
      <c r="Y560" s="184"/>
      <c r="Z560" s="181"/>
      <c r="AA560" s="286"/>
      <c r="AB560" s="182">
        <f>SUM(AH560:AS560)</f>
        <v>339240</v>
      </c>
      <c r="AC560" s="182">
        <f>SUM(AT560:BE560)</f>
        <v>339240</v>
      </c>
      <c r="AD560" s="182">
        <f>SUM(BF560:BQ560)</f>
        <v>339240</v>
      </c>
      <c r="AE560" s="182">
        <f>SUM(BR560:CC560)</f>
        <v>339240</v>
      </c>
      <c r="AF560" s="182">
        <f>SUM(CD560:CO560)</f>
        <v>339240</v>
      </c>
      <c r="AH560" s="174">
        <v>28270</v>
      </c>
      <c r="AI560" s="174">
        <v>28270</v>
      </c>
      <c r="AJ560" s="174">
        <v>28270</v>
      </c>
      <c r="AK560" s="174">
        <v>28270</v>
      </c>
      <c r="AL560" s="174">
        <v>28270</v>
      </c>
      <c r="AM560" s="174">
        <v>28270</v>
      </c>
      <c r="AN560" s="174">
        <v>28270</v>
      </c>
      <c r="AO560" s="174">
        <v>28270</v>
      </c>
      <c r="AP560" s="174">
        <v>28270</v>
      </c>
      <c r="AQ560" s="174">
        <v>28270</v>
      </c>
      <c r="AR560" s="174">
        <v>28270</v>
      </c>
      <c r="AS560" s="174">
        <v>28270</v>
      </c>
      <c r="AT560" s="174">
        <v>28270</v>
      </c>
      <c r="AU560" s="174">
        <v>28270</v>
      </c>
      <c r="AV560" s="174">
        <v>28270</v>
      </c>
      <c r="AW560" s="174">
        <v>28270</v>
      </c>
      <c r="AX560" s="174">
        <v>28270</v>
      </c>
      <c r="AY560" s="174">
        <v>28270</v>
      </c>
      <c r="AZ560" s="174">
        <v>28270</v>
      </c>
      <c r="BA560" s="174">
        <v>28270</v>
      </c>
      <c r="BB560" s="174">
        <v>28270</v>
      </c>
      <c r="BC560" s="174">
        <v>28270</v>
      </c>
      <c r="BD560" s="174">
        <v>28270</v>
      </c>
      <c r="BE560" s="174">
        <v>28270</v>
      </c>
      <c r="BF560" s="174">
        <v>28270</v>
      </c>
      <c r="BG560" s="174">
        <v>28270</v>
      </c>
      <c r="BH560" s="174">
        <v>28270</v>
      </c>
      <c r="BI560" s="174">
        <v>28270</v>
      </c>
      <c r="BJ560" s="174">
        <v>28270</v>
      </c>
      <c r="BK560" s="174">
        <v>28270</v>
      </c>
      <c r="BL560" s="174">
        <v>28270</v>
      </c>
      <c r="BM560" s="174">
        <v>28270</v>
      </c>
      <c r="BN560" s="174">
        <v>28270</v>
      </c>
      <c r="BO560" s="174">
        <v>28270</v>
      </c>
      <c r="BP560" s="174">
        <v>28270</v>
      </c>
      <c r="BQ560" s="174">
        <v>28270</v>
      </c>
      <c r="BR560" s="174">
        <v>28270</v>
      </c>
      <c r="BS560" s="174">
        <v>28270</v>
      </c>
      <c r="BT560" s="174">
        <v>28270</v>
      </c>
      <c r="BU560" s="174">
        <v>28270</v>
      </c>
      <c r="BV560" s="174">
        <v>28270</v>
      </c>
      <c r="BW560" s="174">
        <v>28270</v>
      </c>
      <c r="BX560" s="174">
        <v>28270</v>
      </c>
      <c r="BY560" s="174">
        <v>28270</v>
      </c>
      <c r="BZ560" s="174">
        <v>28270</v>
      </c>
      <c r="CA560" s="174">
        <v>28270</v>
      </c>
      <c r="CB560" s="174">
        <v>28270</v>
      </c>
      <c r="CC560" s="174">
        <v>28270</v>
      </c>
      <c r="CD560" s="174">
        <v>28270</v>
      </c>
      <c r="CE560" s="174">
        <v>28270</v>
      </c>
      <c r="CF560" s="174">
        <v>28270</v>
      </c>
      <c r="CG560" s="174">
        <v>28270</v>
      </c>
      <c r="CH560" s="174">
        <v>28270</v>
      </c>
      <c r="CI560" s="174">
        <v>28270</v>
      </c>
      <c r="CJ560" s="174">
        <v>28270</v>
      </c>
      <c r="CK560" s="174">
        <v>28270</v>
      </c>
      <c r="CL560" s="174">
        <v>28270</v>
      </c>
      <c r="CM560" s="174">
        <v>28270</v>
      </c>
      <c r="CN560" s="174">
        <v>28270</v>
      </c>
      <c r="CO560" s="174">
        <v>28270</v>
      </c>
    </row>
    <row r="561" spans="1:93" x14ac:dyDescent="0.2">
      <c r="A561" s="118">
        <f t="shared" si="59"/>
        <v>10</v>
      </c>
      <c r="B561" s="227" t="s">
        <v>644</v>
      </c>
      <c r="C561" s="263"/>
      <c r="D561" s="172">
        <f>SUMIF($AH$6:$CP$6,1,$AH561:$CP561)</f>
        <v>120000</v>
      </c>
      <c r="E561" s="233" t="s">
        <v>596</v>
      </c>
      <c r="F561" s="183">
        <v>0</v>
      </c>
      <c r="G561" s="233" t="s">
        <v>375</v>
      </c>
      <c r="H561" s="174">
        <f>ROUND(D561*F561,2)</f>
        <v>0</v>
      </c>
      <c r="I561" s="308"/>
      <c r="J561" s="172">
        <f>SUMIF($AH$6:$CP$6,1,$AH561:$CP561)</f>
        <v>120000</v>
      </c>
      <c r="K561" s="233" t="s">
        <v>596</v>
      </c>
      <c r="L561" s="173">
        <f>'Exhibit MJC-3 - E-13c cal yr'!L657</f>
        <v>0</v>
      </c>
      <c r="M561" s="233" t="s">
        <v>375</v>
      </c>
      <c r="N561" s="174">
        <f>ROUND(J561*L561,2)</f>
        <v>0</v>
      </c>
      <c r="O561" s="227"/>
      <c r="P561" s="262"/>
      <c r="Q561" s="331"/>
      <c r="R561" s="227"/>
      <c r="S561" s="227"/>
      <c r="T561" s="227"/>
      <c r="U561" s="184" t="s">
        <v>140</v>
      </c>
      <c r="V561" s="179">
        <v>257</v>
      </c>
      <c r="W561" s="180">
        <v>231</v>
      </c>
      <c r="X561" s="227"/>
      <c r="Y561" s="184"/>
      <c r="Z561" s="181"/>
      <c r="AA561" s="227"/>
      <c r="AB561" s="182">
        <f>SUM(AH561:AS561)</f>
        <v>120000</v>
      </c>
      <c r="AC561" s="182">
        <f>SUM(AT561:BE561)</f>
        <v>120000</v>
      </c>
      <c r="AD561" s="182">
        <f>SUM(BF561:BQ561)</f>
        <v>120000</v>
      </c>
      <c r="AE561" s="182">
        <f>SUM(BR561:CC561)</f>
        <v>120000</v>
      </c>
      <c r="AF561" s="182">
        <f>SUM(CD561:CO561)</f>
        <v>120000</v>
      </c>
      <c r="AH561" s="174">
        <v>10000</v>
      </c>
      <c r="AI561" s="174">
        <v>10000</v>
      </c>
      <c r="AJ561" s="174">
        <v>10000</v>
      </c>
      <c r="AK561" s="174">
        <v>10000</v>
      </c>
      <c r="AL561" s="174">
        <v>10000</v>
      </c>
      <c r="AM561" s="174">
        <v>10000</v>
      </c>
      <c r="AN561" s="174">
        <v>10000</v>
      </c>
      <c r="AO561" s="174">
        <v>10000</v>
      </c>
      <c r="AP561" s="174">
        <v>10000</v>
      </c>
      <c r="AQ561" s="174">
        <v>10000</v>
      </c>
      <c r="AR561" s="174">
        <v>10000</v>
      </c>
      <c r="AS561" s="174">
        <v>10000</v>
      </c>
      <c r="AT561" s="174">
        <v>10000</v>
      </c>
      <c r="AU561" s="174">
        <v>10000</v>
      </c>
      <c r="AV561" s="174">
        <v>10000</v>
      </c>
      <c r="AW561" s="174">
        <v>10000</v>
      </c>
      <c r="AX561" s="174">
        <v>10000</v>
      </c>
      <c r="AY561" s="174">
        <v>10000</v>
      </c>
      <c r="AZ561" s="174">
        <v>10000</v>
      </c>
      <c r="BA561" s="174">
        <v>10000</v>
      </c>
      <c r="BB561" s="174">
        <v>10000</v>
      </c>
      <c r="BC561" s="174">
        <v>10000</v>
      </c>
      <c r="BD561" s="174">
        <v>10000</v>
      </c>
      <c r="BE561" s="174">
        <v>10000</v>
      </c>
      <c r="BF561" s="174">
        <v>10000</v>
      </c>
      <c r="BG561" s="174">
        <v>10000</v>
      </c>
      <c r="BH561" s="174">
        <v>10000</v>
      </c>
      <c r="BI561" s="174">
        <v>10000</v>
      </c>
      <c r="BJ561" s="174">
        <v>10000</v>
      </c>
      <c r="BK561" s="174">
        <v>10000</v>
      </c>
      <c r="BL561" s="174">
        <v>10000</v>
      </c>
      <c r="BM561" s="174">
        <v>10000</v>
      </c>
      <c r="BN561" s="174">
        <v>10000</v>
      </c>
      <c r="BO561" s="174">
        <v>10000</v>
      </c>
      <c r="BP561" s="174">
        <v>10000</v>
      </c>
      <c r="BQ561" s="174">
        <v>10000</v>
      </c>
      <c r="BR561" s="174">
        <v>10000</v>
      </c>
      <c r="BS561" s="174">
        <v>10000</v>
      </c>
      <c r="BT561" s="174">
        <v>10000</v>
      </c>
      <c r="BU561" s="174">
        <v>10000</v>
      </c>
      <c r="BV561" s="174">
        <v>10000</v>
      </c>
      <c r="BW561" s="174">
        <v>10000</v>
      </c>
      <c r="BX561" s="174">
        <v>10000</v>
      </c>
      <c r="BY561" s="174">
        <v>10000</v>
      </c>
      <c r="BZ561" s="174">
        <v>10000</v>
      </c>
      <c r="CA561" s="174">
        <v>10000</v>
      </c>
      <c r="CB561" s="174">
        <v>10000</v>
      </c>
      <c r="CC561" s="174">
        <v>10000</v>
      </c>
      <c r="CD561" s="174">
        <v>10000</v>
      </c>
      <c r="CE561" s="174">
        <v>10000</v>
      </c>
      <c r="CF561" s="174">
        <v>10000</v>
      </c>
      <c r="CG561" s="174">
        <v>10000</v>
      </c>
      <c r="CH561" s="174">
        <v>10000</v>
      </c>
      <c r="CI561" s="174">
        <v>10000</v>
      </c>
      <c r="CJ561" s="174">
        <v>10000</v>
      </c>
      <c r="CK561" s="174">
        <v>10000</v>
      </c>
      <c r="CL561" s="174">
        <v>10000</v>
      </c>
      <c r="CM561" s="174">
        <v>10000</v>
      </c>
      <c r="CN561" s="174">
        <v>10000</v>
      </c>
      <c r="CO561" s="174">
        <v>10000</v>
      </c>
    </row>
    <row r="562" spans="1:93" x14ac:dyDescent="0.2">
      <c r="A562" s="118">
        <f t="shared" si="59"/>
        <v>11</v>
      </c>
      <c r="B562" s="227"/>
      <c r="C562" s="263"/>
      <c r="D562" s="172"/>
      <c r="E562" s="233"/>
      <c r="F562" s="183"/>
      <c r="G562" s="233"/>
      <c r="H562" s="174"/>
      <c r="I562" s="308"/>
      <c r="J562" s="172"/>
      <c r="K562" s="233"/>
      <c r="L562" s="183"/>
      <c r="M562" s="233"/>
      <c r="N562" s="174"/>
      <c r="O562" s="227"/>
      <c r="P562" s="262"/>
      <c r="Q562" s="331"/>
      <c r="R562" s="227"/>
      <c r="S562" s="227"/>
      <c r="T562" s="227"/>
      <c r="U562" s="184"/>
      <c r="V562" s="179"/>
      <c r="W562" s="180"/>
      <c r="X562" s="227"/>
      <c r="Y562" s="184"/>
      <c r="Z562" s="181"/>
      <c r="AA562" s="227"/>
      <c r="AB562" s="182"/>
      <c r="AC562" s="182"/>
      <c r="AD562" s="182"/>
      <c r="AE562" s="182"/>
      <c r="AF562" s="182"/>
      <c r="AH562" s="174"/>
      <c r="AI562" s="174"/>
      <c r="AJ562" s="174"/>
      <c r="AK562" s="174"/>
      <c r="AL562" s="174"/>
      <c r="AM562" s="174"/>
      <c r="AN562" s="174"/>
      <c r="AO562" s="174"/>
      <c r="AP562" s="174"/>
      <c r="AQ562" s="174"/>
      <c r="AR562" s="174"/>
      <c r="AS562" s="174"/>
      <c r="AT562" s="174"/>
      <c r="AU562" s="174"/>
      <c r="AV562" s="174"/>
      <c r="AW562" s="174"/>
      <c r="AX562" s="174"/>
      <c r="AY562" s="174"/>
      <c r="AZ562" s="174"/>
      <c r="BA562" s="174"/>
      <c r="BB562" s="174"/>
      <c r="BC562" s="174"/>
      <c r="BD562" s="174"/>
      <c r="BE562" s="174"/>
      <c r="BF562" s="174"/>
      <c r="BG562" s="174"/>
      <c r="BH562" s="174"/>
      <c r="BI562" s="174"/>
      <c r="BJ562" s="174"/>
      <c r="BK562" s="174"/>
      <c r="BL562" s="174"/>
      <c r="BM562" s="174"/>
      <c r="BN562" s="174"/>
      <c r="BO562" s="174"/>
      <c r="BP562" s="174"/>
      <c r="BQ562" s="174"/>
      <c r="BR562" s="174"/>
      <c r="BS562" s="174"/>
      <c r="BT562" s="174"/>
      <c r="BU562" s="174"/>
      <c r="BV562" s="174"/>
      <c r="BW562" s="174"/>
      <c r="BX562" s="174"/>
      <c r="BY562" s="174"/>
      <c r="BZ562" s="174"/>
      <c r="CA562" s="174"/>
      <c r="CB562" s="174"/>
      <c r="CC562" s="174"/>
      <c r="CD562" s="174"/>
      <c r="CE562" s="174"/>
      <c r="CF562" s="174"/>
      <c r="CG562" s="174"/>
      <c r="CH562" s="174"/>
      <c r="CI562" s="174"/>
      <c r="CJ562" s="174"/>
      <c r="CK562" s="174"/>
      <c r="CL562" s="174"/>
      <c r="CM562" s="174"/>
      <c r="CN562" s="174"/>
      <c r="CO562" s="174"/>
    </row>
    <row r="563" spans="1:93" x14ac:dyDescent="0.2">
      <c r="A563" s="118">
        <f t="shared" si="59"/>
        <v>12</v>
      </c>
      <c r="B563" s="227" t="s">
        <v>655</v>
      </c>
      <c r="C563" s="263"/>
      <c r="D563" s="227"/>
      <c r="E563" s="230"/>
      <c r="F563" s="197"/>
      <c r="G563" s="230"/>
      <c r="H563" s="203"/>
      <c r="I563" s="308"/>
      <c r="J563" s="227"/>
      <c r="K563" s="230"/>
      <c r="L563" s="197"/>
      <c r="M563" s="230"/>
      <c r="N563" s="203"/>
      <c r="O563" s="227"/>
      <c r="P563" s="262"/>
      <c r="Q563" s="331"/>
      <c r="R563" s="227"/>
      <c r="S563" s="227"/>
      <c r="T563" s="227"/>
      <c r="U563" s="184"/>
      <c r="V563" s="179"/>
      <c r="W563" s="180"/>
      <c r="X563" s="227"/>
      <c r="Y563" s="184"/>
      <c r="Z563" s="181"/>
      <c r="AA563" s="227"/>
      <c r="AC563" s="260"/>
      <c r="AD563" s="260"/>
      <c r="AE563" s="260"/>
      <c r="AF563" s="114"/>
    </row>
    <row r="564" spans="1:93" x14ac:dyDescent="0.2">
      <c r="A564" s="118">
        <f t="shared" si="59"/>
        <v>13</v>
      </c>
      <c r="B564" s="227" t="s">
        <v>656</v>
      </c>
      <c r="C564" s="263"/>
      <c r="D564" s="227"/>
      <c r="E564" s="230"/>
      <c r="F564" s="197"/>
      <c r="G564" s="230"/>
      <c r="H564" s="203"/>
      <c r="I564" s="308"/>
      <c r="J564" s="227"/>
      <c r="K564" s="230"/>
      <c r="L564" s="197"/>
      <c r="M564" s="230"/>
      <c r="N564" s="203"/>
      <c r="O564" s="227"/>
      <c r="P564" s="262"/>
      <c r="Q564" s="331"/>
      <c r="R564" s="227"/>
      <c r="S564" s="227"/>
      <c r="T564" s="227"/>
      <c r="U564" s="184"/>
      <c r="V564" s="179"/>
      <c r="W564" s="180"/>
      <c r="X564" s="227"/>
      <c r="Y564" s="184"/>
      <c r="Z564" s="181"/>
      <c r="AA564" s="227"/>
      <c r="AB564" s="107" t="s">
        <v>646</v>
      </c>
      <c r="AC564" s="114"/>
      <c r="AD564" s="114"/>
      <c r="AE564" s="114"/>
      <c r="AF564" s="114"/>
      <c r="AH564" s="101">
        <v>1</v>
      </c>
      <c r="AI564" s="101">
        <v>1.2</v>
      </c>
      <c r="AJ564" s="101">
        <v>0.8</v>
      </c>
      <c r="AK564" s="101">
        <v>0.8</v>
      </c>
      <c r="AL564" s="101">
        <v>0.8</v>
      </c>
      <c r="AM564" s="101">
        <v>1</v>
      </c>
      <c r="AN564" s="101">
        <v>1.2</v>
      </c>
      <c r="AO564" s="101">
        <v>1.2</v>
      </c>
      <c r="AP564" s="101">
        <v>1</v>
      </c>
      <c r="AQ564" s="101">
        <v>0.8</v>
      </c>
      <c r="AR564" s="101">
        <v>1</v>
      </c>
      <c r="AS564" s="101">
        <v>1</v>
      </c>
      <c r="AT564" s="101">
        <v>1</v>
      </c>
      <c r="AU564" s="101">
        <v>1.2</v>
      </c>
      <c r="AV564" s="101">
        <v>0.8</v>
      </c>
      <c r="AW564" s="101">
        <v>0.8</v>
      </c>
      <c r="AX564" s="101">
        <v>0.8</v>
      </c>
      <c r="AY564" s="101">
        <v>1</v>
      </c>
      <c r="AZ564" s="101">
        <v>1.2</v>
      </c>
      <c r="BA564" s="101">
        <v>1.2</v>
      </c>
      <c r="BB564" s="101">
        <v>1</v>
      </c>
      <c r="BC564" s="101">
        <v>0.8</v>
      </c>
      <c r="BD564" s="101">
        <v>1</v>
      </c>
      <c r="BE564" s="101">
        <v>1</v>
      </c>
      <c r="BF564" s="101">
        <v>1</v>
      </c>
      <c r="BG564" s="101">
        <v>1.2</v>
      </c>
      <c r="BH564" s="101">
        <v>0.8</v>
      </c>
      <c r="BI564" s="101">
        <v>0.8</v>
      </c>
      <c r="BJ564" s="101">
        <v>0.8</v>
      </c>
      <c r="BK564" s="101">
        <v>1</v>
      </c>
      <c r="BL564" s="101">
        <v>1.2</v>
      </c>
      <c r="BM564" s="101">
        <v>1.2</v>
      </c>
      <c r="BN564" s="101">
        <v>1</v>
      </c>
      <c r="BO564" s="101">
        <v>0.8</v>
      </c>
      <c r="BP564" s="101">
        <v>1</v>
      </c>
      <c r="BQ564" s="101">
        <v>1</v>
      </c>
      <c r="BR564" s="101">
        <v>1</v>
      </c>
      <c r="BS564" s="101">
        <v>1.2</v>
      </c>
      <c r="BT564" s="101">
        <v>0.8</v>
      </c>
      <c r="BU564" s="101">
        <v>0.8</v>
      </c>
      <c r="BV564" s="101">
        <v>0.8</v>
      </c>
      <c r="BW564" s="101">
        <v>1</v>
      </c>
      <c r="BX564" s="101">
        <v>1.2</v>
      </c>
      <c r="BY564" s="101">
        <v>1.2</v>
      </c>
      <c r="BZ564" s="101">
        <v>1</v>
      </c>
      <c r="CA564" s="101">
        <v>0.8</v>
      </c>
      <c r="CB564" s="101">
        <v>1</v>
      </c>
      <c r="CC564" s="101">
        <v>1</v>
      </c>
      <c r="CD564" s="101">
        <v>1</v>
      </c>
      <c r="CE564" s="101">
        <v>1.2</v>
      </c>
      <c r="CF564" s="101">
        <v>0.8</v>
      </c>
      <c r="CG564" s="101">
        <v>0.8</v>
      </c>
      <c r="CH564" s="101">
        <v>0.8</v>
      </c>
      <c r="CI564" s="101">
        <v>1</v>
      </c>
      <c r="CJ564" s="101">
        <v>1.2</v>
      </c>
      <c r="CK564" s="101">
        <v>1.2</v>
      </c>
      <c r="CL564" s="101">
        <v>1</v>
      </c>
      <c r="CM564" s="101">
        <v>0.8</v>
      </c>
      <c r="CN564" s="101">
        <v>1</v>
      </c>
      <c r="CO564" s="101">
        <v>1</v>
      </c>
    </row>
    <row r="565" spans="1:93" x14ac:dyDescent="0.2">
      <c r="A565" s="118">
        <f t="shared" si="59"/>
        <v>14</v>
      </c>
      <c r="B565" s="227" t="s">
        <v>643</v>
      </c>
      <c r="C565" s="263"/>
      <c r="D565" s="227"/>
      <c r="E565" s="230"/>
      <c r="F565" s="197"/>
      <c r="G565" s="230"/>
      <c r="H565" s="203"/>
      <c r="I565" s="308"/>
      <c r="J565" s="227"/>
      <c r="K565" s="230"/>
      <c r="L565" s="1277"/>
      <c r="M565" s="230"/>
      <c r="N565" s="203"/>
      <c r="O565" s="227"/>
      <c r="P565" s="262"/>
      <c r="Q565" s="331"/>
      <c r="R565" s="227"/>
      <c r="S565" s="227"/>
      <c r="T565" s="227"/>
      <c r="U565" s="184"/>
      <c r="V565" s="179"/>
      <c r="W565" s="180"/>
      <c r="X565" s="227"/>
      <c r="Y565" s="184"/>
      <c r="Z565" s="181"/>
      <c r="AA565" s="227"/>
      <c r="AC565" s="114"/>
      <c r="AD565" s="114"/>
      <c r="AE565" s="114"/>
      <c r="AF565" s="114"/>
    </row>
    <row r="566" spans="1:93" x14ac:dyDescent="0.2">
      <c r="A566" s="118">
        <f t="shared" si="59"/>
        <v>15</v>
      </c>
      <c r="B566" s="227" t="s">
        <v>647</v>
      </c>
      <c r="C566" s="263"/>
      <c r="D566" s="172">
        <f>SUMIF($AH$6:$CP$6,1,$AH566:$CP566)</f>
        <v>66270</v>
      </c>
      <c r="E566" s="233" t="s">
        <v>596</v>
      </c>
      <c r="F566" s="201">
        <v>1.9570000000000001</v>
      </c>
      <c r="G566" s="233" t="s">
        <v>375</v>
      </c>
      <c r="H566" s="174">
        <f>ROUND(D566*F566,2)</f>
        <v>129690.39</v>
      </c>
      <c r="I566" s="308"/>
      <c r="J566" s="172">
        <f>SUMIF($AH$6:$CP$6,1,$AH566:$CP566)</f>
        <v>66270</v>
      </c>
      <c r="K566" s="233" t="s">
        <v>596</v>
      </c>
      <c r="L566" s="201">
        <f>'Exhibit MJC-3 - E-13c cal yr'!L662</f>
        <v>2.0339999999999998</v>
      </c>
      <c r="M566" s="233" t="s">
        <v>375</v>
      </c>
      <c r="N566" s="174">
        <f>ROUND(J566*L566,2)</f>
        <v>134793.18</v>
      </c>
      <c r="O566" s="227"/>
      <c r="P566" s="262"/>
      <c r="Q566" s="939"/>
      <c r="R566" s="227"/>
      <c r="S566" s="227"/>
      <c r="T566" s="227"/>
      <c r="U566" s="184" t="s">
        <v>140</v>
      </c>
      <c r="V566" s="179">
        <v>257</v>
      </c>
      <c r="W566" s="180">
        <v>231</v>
      </c>
      <c r="X566" s="227"/>
      <c r="Y566" s="184"/>
      <c r="Z566" s="181"/>
      <c r="AA566" s="227"/>
      <c r="AB566" s="182">
        <f>SUM(AH566:AS566)</f>
        <v>66270</v>
      </c>
      <c r="AC566" s="182">
        <f>SUM(AT566:BE566)</f>
        <v>66270</v>
      </c>
      <c r="AD566" s="182">
        <f>SUM(BF566:BQ566)</f>
        <v>66270</v>
      </c>
      <c r="AE566" s="182">
        <f>SUM(BR566:CC566)</f>
        <v>66270</v>
      </c>
      <c r="AF566" s="182">
        <f>SUM(CD566:CO566)</f>
        <v>66270</v>
      </c>
      <c r="AH566" s="174">
        <v>0</v>
      </c>
      <c r="AI566" s="174">
        <v>9500</v>
      </c>
      <c r="AJ566" s="174">
        <v>0</v>
      </c>
      <c r="AK566" s="174">
        <v>9500</v>
      </c>
      <c r="AL566" s="174">
        <v>0</v>
      </c>
      <c r="AM566" s="174">
        <v>9500</v>
      </c>
      <c r="AN566" s="174">
        <v>0</v>
      </c>
      <c r="AO566" s="174">
        <v>0</v>
      </c>
      <c r="AP566" s="174">
        <v>0</v>
      </c>
      <c r="AQ566" s="174">
        <v>9500</v>
      </c>
      <c r="AR566" s="174">
        <v>9500</v>
      </c>
      <c r="AS566" s="174">
        <v>18770</v>
      </c>
      <c r="AT566" s="174">
        <v>0</v>
      </c>
      <c r="AU566" s="174">
        <v>9500</v>
      </c>
      <c r="AV566" s="174">
        <v>0</v>
      </c>
      <c r="AW566" s="174">
        <v>9500</v>
      </c>
      <c r="AX566" s="174">
        <v>0</v>
      </c>
      <c r="AY566" s="174">
        <v>9500</v>
      </c>
      <c r="AZ566" s="174">
        <v>0</v>
      </c>
      <c r="BA566" s="174">
        <v>0</v>
      </c>
      <c r="BB566" s="174">
        <v>0</v>
      </c>
      <c r="BC566" s="174">
        <v>9500</v>
      </c>
      <c r="BD566" s="174">
        <v>9500</v>
      </c>
      <c r="BE566" s="174">
        <v>18770</v>
      </c>
      <c r="BF566" s="174">
        <v>0</v>
      </c>
      <c r="BG566" s="174">
        <v>9500</v>
      </c>
      <c r="BH566" s="174">
        <v>0</v>
      </c>
      <c r="BI566" s="174">
        <v>9500</v>
      </c>
      <c r="BJ566" s="174">
        <v>0</v>
      </c>
      <c r="BK566" s="174">
        <v>9500</v>
      </c>
      <c r="BL566" s="174">
        <v>0</v>
      </c>
      <c r="BM566" s="174">
        <v>0</v>
      </c>
      <c r="BN566" s="174">
        <v>0</v>
      </c>
      <c r="BO566" s="174">
        <v>9500</v>
      </c>
      <c r="BP566" s="174">
        <v>9500</v>
      </c>
      <c r="BQ566" s="174">
        <v>18770</v>
      </c>
      <c r="BR566" s="174">
        <v>0</v>
      </c>
      <c r="BS566" s="174">
        <v>9500</v>
      </c>
      <c r="BT566" s="174">
        <v>0</v>
      </c>
      <c r="BU566" s="174">
        <v>9500</v>
      </c>
      <c r="BV566" s="174">
        <v>0</v>
      </c>
      <c r="BW566" s="174">
        <v>9500</v>
      </c>
      <c r="BX566" s="174">
        <v>0</v>
      </c>
      <c r="BY566" s="174">
        <v>0</v>
      </c>
      <c r="BZ566" s="174">
        <v>0</v>
      </c>
      <c r="CA566" s="174">
        <v>9500</v>
      </c>
      <c r="CB566" s="174">
        <v>9500</v>
      </c>
      <c r="CC566" s="174">
        <v>18770</v>
      </c>
      <c r="CD566" s="174">
        <v>0</v>
      </c>
      <c r="CE566" s="174">
        <v>9500</v>
      </c>
      <c r="CF566" s="174">
        <v>0</v>
      </c>
      <c r="CG566" s="174">
        <v>9500</v>
      </c>
      <c r="CH566" s="174">
        <v>0</v>
      </c>
      <c r="CI566" s="174">
        <v>9500</v>
      </c>
      <c r="CJ566" s="174">
        <v>0</v>
      </c>
      <c r="CK566" s="174">
        <v>0</v>
      </c>
      <c r="CL566" s="174">
        <v>0</v>
      </c>
      <c r="CM566" s="174">
        <v>9500</v>
      </c>
      <c r="CN566" s="174">
        <v>9500</v>
      </c>
      <c r="CO566" s="174">
        <v>18770</v>
      </c>
    </row>
    <row r="567" spans="1:93" x14ac:dyDescent="0.2">
      <c r="A567" s="118">
        <f t="shared" si="59"/>
        <v>16</v>
      </c>
      <c r="B567" s="227" t="s">
        <v>648</v>
      </c>
      <c r="C567" s="263"/>
      <c r="D567" s="172">
        <f>+J567</f>
        <v>2165383.2056423929</v>
      </c>
      <c r="E567" s="233" t="s">
        <v>596</v>
      </c>
      <c r="F567" s="201">
        <v>0.93100000000000005</v>
      </c>
      <c r="G567" s="233" t="s">
        <v>375</v>
      </c>
      <c r="H567" s="174">
        <f>ROUND(D567*F567,2)</f>
        <v>2015971.76</v>
      </c>
      <c r="I567" s="308"/>
      <c r="J567" s="172">
        <f>'E-13c - prior to updates'!J661</f>
        <v>2165383.2056423929</v>
      </c>
      <c r="K567" s="233" t="s">
        <v>596</v>
      </c>
      <c r="L567" s="201">
        <f>'Exhibit MJC-3 - E-13c cal yr'!L663</f>
        <v>0.96799999999999997</v>
      </c>
      <c r="M567" s="233" t="s">
        <v>375</v>
      </c>
      <c r="N567" s="174">
        <f>ROUND(J567*L567,2)</f>
        <v>2096090.94</v>
      </c>
      <c r="O567" s="227"/>
      <c r="P567" s="262"/>
      <c r="Q567" s="939"/>
      <c r="R567" s="227"/>
      <c r="S567" s="227"/>
      <c r="T567" s="227"/>
      <c r="U567" s="184" t="s">
        <v>140</v>
      </c>
      <c r="V567" s="179">
        <v>257</v>
      </c>
      <c r="W567" s="180">
        <v>231</v>
      </c>
      <c r="X567" s="227"/>
      <c r="Y567" s="184"/>
      <c r="Z567" s="181"/>
      <c r="AA567" s="227"/>
      <c r="AB567" s="182">
        <f>SUM(AH567:AS567)</f>
        <v>2155611.5617177049</v>
      </c>
      <c r="AC567" s="182">
        <f>SUM(AT567:BE567)</f>
        <v>2165986.0504672928</v>
      </c>
      <c r="AD567" s="182">
        <f>SUM(BF567:BQ567)</f>
        <v>2175142.1463157851</v>
      </c>
      <c r="AE567" s="182">
        <f>SUM(BR567:CC567)</f>
        <v>2209219.1152746989</v>
      </c>
      <c r="AF567" s="182">
        <f>SUM(CD567:CO567)</f>
        <v>2213764.563422475</v>
      </c>
      <c r="AH567" s="174">
        <v>408209.43327690981</v>
      </c>
      <c r="AI567" s="174">
        <v>144316.42700406109</v>
      </c>
      <c r="AJ567" s="174">
        <v>195160.4248927093</v>
      </c>
      <c r="AK567" s="174">
        <v>146598.99274677126</v>
      </c>
      <c r="AL567" s="174">
        <v>148935.06372425158</v>
      </c>
      <c r="AM567" s="174">
        <v>143964.26527702837</v>
      </c>
      <c r="AN567" s="174">
        <v>172057.35093017775</v>
      </c>
      <c r="AO567" s="174">
        <v>134119.38314785575</v>
      </c>
      <c r="AP567" s="174">
        <v>241223.81112318084</v>
      </c>
      <c r="AQ567" s="174">
        <v>173659.75164300666</v>
      </c>
      <c r="AR567" s="174">
        <v>220641.27959528056</v>
      </c>
      <c r="AS567" s="174">
        <v>26725.378356471534</v>
      </c>
      <c r="AT567" s="174">
        <v>410174.05633248138</v>
      </c>
      <c r="AU567" s="174">
        <v>145010.99052140521</v>
      </c>
      <c r="AV567" s="174">
        <v>196099.68949323907</v>
      </c>
      <c r="AW567" s="174">
        <v>147304.5417556754</v>
      </c>
      <c r="AX567" s="174">
        <v>149651.85573375225</v>
      </c>
      <c r="AY567" s="174">
        <v>144657.13391671458</v>
      </c>
      <c r="AZ567" s="174">
        <v>172885.42546977004</v>
      </c>
      <c r="BA567" s="174">
        <v>134764.87051500479</v>
      </c>
      <c r="BB567" s="174">
        <v>242384.76876465685</v>
      </c>
      <c r="BC567" s="174">
        <v>174495.53818807466</v>
      </c>
      <c r="BD567" s="174">
        <v>221703.17799734327</v>
      </c>
      <c r="BE567" s="174">
        <v>26854.001779175182</v>
      </c>
      <c r="BF567" s="174">
        <v>411907.95160550717</v>
      </c>
      <c r="BG567" s="174">
        <v>145623.98363279316</v>
      </c>
      <c r="BH567" s="174">
        <v>196928.64568733476</v>
      </c>
      <c r="BI567" s="174">
        <v>147927.23020879002</v>
      </c>
      <c r="BJ567" s="174">
        <v>150284.4667954474</v>
      </c>
      <c r="BK567" s="174">
        <v>145268.63119899115</v>
      </c>
      <c r="BL567" s="174">
        <v>173616.24990239606</v>
      </c>
      <c r="BM567" s="174">
        <v>135334.55104049982</v>
      </c>
      <c r="BN567" s="174">
        <v>243409.38209240435</v>
      </c>
      <c r="BO567" s="174">
        <v>175233.16891863249</v>
      </c>
      <c r="BP567" s="174">
        <v>222640.36572633218</v>
      </c>
      <c r="BQ567" s="174">
        <v>26967.519506656707</v>
      </c>
      <c r="BR567" s="174">
        <v>418361.12732304161</v>
      </c>
      <c r="BS567" s="174">
        <v>147905.40877014952</v>
      </c>
      <c r="BT567" s="174">
        <v>200013.83777814812</v>
      </c>
      <c r="BU567" s="174">
        <v>150244.7392693088</v>
      </c>
      <c r="BV567" s="174">
        <v>152638.90561622501</v>
      </c>
      <c r="BW567" s="174">
        <v>147544.48919036737</v>
      </c>
      <c r="BX567" s="174">
        <v>176336.21722439749</v>
      </c>
      <c r="BY567" s="174">
        <v>137454.77628770354</v>
      </c>
      <c r="BZ567" s="174">
        <v>247222.76687367979</v>
      </c>
      <c r="CA567" s="174">
        <v>177978.46778010076</v>
      </c>
      <c r="CB567" s="174">
        <v>226128.37171468016</v>
      </c>
      <c r="CC567" s="174">
        <v>27390.007446897205</v>
      </c>
      <c r="CD567" s="174">
        <v>419221.90152065002</v>
      </c>
      <c r="CE567" s="174">
        <v>148209.7227975323</v>
      </c>
      <c r="CF567" s="174">
        <v>200425.36442218823</v>
      </c>
      <c r="CG567" s="174">
        <v>150553.86644782309</v>
      </c>
      <c r="CH567" s="174">
        <v>152952.9587701266</v>
      </c>
      <c r="CI567" s="174">
        <v>147848.0606290118</v>
      </c>
      <c r="CJ567" s="174">
        <v>176699.0273804506</v>
      </c>
      <c r="CK567" s="174">
        <v>137737.58823422345</v>
      </c>
      <c r="CL567" s="174">
        <v>247731.42545806561</v>
      </c>
      <c r="CM567" s="174">
        <v>178344.65685166977</v>
      </c>
      <c r="CN567" s="174">
        <v>226593.62877373025</v>
      </c>
      <c r="CO567" s="174">
        <v>27446.362137002972</v>
      </c>
    </row>
    <row r="568" spans="1:93" x14ac:dyDescent="0.2">
      <c r="A568" s="118">
        <f t="shared" si="59"/>
        <v>17</v>
      </c>
      <c r="B568" s="227" t="s">
        <v>644</v>
      </c>
      <c r="C568" s="263"/>
      <c r="D568" s="172"/>
      <c r="E568" s="230"/>
      <c r="F568" s="197"/>
      <c r="G568" s="230"/>
      <c r="H568" s="203"/>
      <c r="I568" s="308"/>
      <c r="J568" s="172"/>
      <c r="K568" s="230"/>
      <c r="L568" s="197"/>
      <c r="M568" s="230"/>
      <c r="N568" s="203"/>
      <c r="O568" s="227"/>
      <c r="P568" s="262"/>
      <c r="Q568" s="331"/>
      <c r="R568" s="227"/>
      <c r="S568" s="227"/>
      <c r="T568" s="227"/>
      <c r="U568" s="184" t="s">
        <v>140</v>
      </c>
      <c r="V568" s="179">
        <v>257</v>
      </c>
      <c r="W568" s="180">
        <v>231</v>
      </c>
      <c r="X568" s="227"/>
      <c r="Y568" s="184"/>
      <c r="Z568" s="181"/>
      <c r="AA568" s="227"/>
      <c r="AB568" s="182">
        <f>SUM(AH568:AS568)</f>
        <v>0</v>
      </c>
      <c r="AC568" s="182">
        <f>SUM(AT568:BE568)</f>
        <v>0</v>
      </c>
      <c r="AD568" s="182">
        <f>SUM(BF568:BQ568)</f>
        <v>0</v>
      </c>
      <c r="AE568" s="182">
        <f>SUM(BR568:CC568)</f>
        <v>0</v>
      </c>
      <c r="AF568" s="182">
        <f>SUM(CD568:CO568)</f>
        <v>0</v>
      </c>
    </row>
    <row r="569" spans="1:93" x14ac:dyDescent="0.2">
      <c r="A569" s="118">
        <f t="shared" si="59"/>
        <v>18</v>
      </c>
      <c r="B569" s="227" t="s">
        <v>647</v>
      </c>
      <c r="C569" s="263"/>
      <c r="D569" s="172">
        <f>SUMIF($AH$6:$CP$6,1,$AH569:$CP569)</f>
        <v>110000</v>
      </c>
      <c r="E569" s="233" t="s">
        <v>596</v>
      </c>
      <c r="F569" s="201">
        <v>1.9570000000000001</v>
      </c>
      <c r="G569" s="233" t="s">
        <v>375</v>
      </c>
      <c r="H569" s="174">
        <f>ROUND(D569*F569,2)</f>
        <v>215270</v>
      </c>
      <c r="I569" s="308"/>
      <c r="J569" s="172">
        <f>SUMIF($AH$6:$CP$6,1,$AH569:$CP569)</f>
        <v>110000</v>
      </c>
      <c r="K569" s="233" t="s">
        <v>596</v>
      </c>
      <c r="L569" s="201">
        <f>L566</f>
        <v>2.0339999999999998</v>
      </c>
      <c r="M569" s="233" t="s">
        <v>375</v>
      </c>
      <c r="N569" s="174">
        <f>ROUND(J569*L569,2)</f>
        <v>223740</v>
      </c>
      <c r="O569" s="227"/>
      <c r="P569" s="262"/>
      <c r="Q569" s="331"/>
      <c r="R569" s="227"/>
      <c r="S569" s="227"/>
      <c r="T569" s="227"/>
      <c r="U569" s="184" t="s">
        <v>140</v>
      </c>
      <c r="V569" s="179">
        <v>257</v>
      </c>
      <c r="W569" s="180">
        <v>231</v>
      </c>
      <c r="X569" s="227"/>
      <c r="Y569" s="184"/>
      <c r="Z569" s="181"/>
      <c r="AA569" s="227"/>
      <c r="AB569" s="182">
        <f>SUM(AH569:AS569)</f>
        <v>110000</v>
      </c>
      <c r="AC569" s="182">
        <f>SUM(AT569:BE569)</f>
        <v>110000</v>
      </c>
      <c r="AD569" s="182">
        <f>SUM(BF569:BQ569)</f>
        <v>110000</v>
      </c>
      <c r="AE569" s="182">
        <f>SUM(BR569:CC569)</f>
        <v>110000</v>
      </c>
      <c r="AF569" s="182">
        <f>SUM(CD569:CO569)</f>
        <v>110000</v>
      </c>
      <c r="AH569" s="174">
        <v>10000</v>
      </c>
      <c r="AI569" s="174">
        <v>0</v>
      </c>
      <c r="AJ569" s="174">
        <v>10000</v>
      </c>
      <c r="AK569" s="174">
        <v>10000</v>
      </c>
      <c r="AL569" s="174">
        <v>10000</v>
      </c>
      <c r="AM569" s="174">
        <v>10000</v>
      </c>
      <c r="AN569" s="174">
        <v>10000</v>
      </c>
      <c r="AO569" s="174">
        <v>10000</v>
      </c>
      <c r="AP569" s="174">
        <v>10000</v>
      </c>
      <c r="AQ569" s="174">
        <v>10000</v>
      </c>
      <c r="AR569" s="174">
        <v>10000</v>
      </c>
      <c r="AS569" s="174">
        <v>10000</v>
      </c>
      <c r="AT569" s="174">
        <v>10000</v>
      </c>
      <c r="AU569" s="174">
        <v>0</v>
      </c>
      <c r="AV569" s="174">
        <v>10000</v>
      </c>
      <c r="AW569" s="174">
        <v>10000</v>
      </c>
      <c r="AX569" s="174">
        <v>10000</v>
      </c>
      <c r="AY569" s="174">
        <v>10000</v>
      </c>
      <c r="AZ569" s="174">
        <v>10000</v>
      </c>
      <c r="BA569" s="174">
        <v>10000</v>
      </c>
      <c r="BB569" s="174">
        <v>10000</v>
      </c>
      <c r="BC569" s="174">
        <v>10000</v>
      </c>
      <c r="BD569" s="174">
        <v>10000</v>
      </c>
      <c r="BE569" s="174">
        <v>10000</v>
      </c>
      <c r="BF569" s="174">
        <v>10000</v>
      </c>
      <c r="BG569" s="174">
        <v>0</v>
      </c>
      <c r="BH569" s="174">
        <v>10000</v>
      </c>
      <c r="BI569" s="174">
        <v>10000</v>
      </c>
      <c r="BJ569" s="174">
        <v>10000</v>
      </c>
      <c r="BK569" s="174">
        <v>10000</v>
      </c>
      <c r="BL569" s="174">
        <v>10000</v>
      </c>
      <c r="BM569" s="174">
        <v>10000</v>
      </c>
      <c r="BN569" s="174">
        <v>10000</v>
      </c>
      <c r="BO569" s="174">
        <v>10000</v>
      </c>
      <c r="BP569" s="174">
        <v>10000</v>
      </c>
      <c r="BQ569" s="174">
        <v>10000</v>
      </c>
      <c r="BR569" s="174">
        <v>10000</v>
      </c>
      <c r="BS569" s="174">
        <v>0</v>
      </c>
      <c r="BT569" s="174">
        <v>10000</v>
      </c>
      <c r="BU569" s="174">
        <v>10000</v>
      </c>
      <c r="BV569" s="174">
        <v>10000</v>
      </c>
      <c r="BW569" s="174">
        <v>10000</v>
      </c>
      <c r="BX569" s="174">
        <v>10000</v>
      </c>
      <c r="BY569" s="174">
        <v>10000</v>
      </c>
      <c r="BZ569" s="174">
        <v>10000</v>
      </c>
      <c r="CA569" s="174">
        <v>10000</v>
      </c>
      <c r="CB569" s="174">
        <v>10000</v>
      </c>
      <c r="CC569" s="174">
        <v>10000</v>
      </c>
      <c r="CD569" s="174">
        <v>10000</v>
      </c>
      <c r="CE569" s="174">
        <v>0</v>
      </c>
      <c r="CF569" s="174">
        <v>10000</v>
      </c>
      <c r="CG569" s="174">
        <v>10000</v>
      </c>
      <c r="CH569" s="174">
        <v>10000</v>
      </c>
      <c r="CI569" s="174">
        <v>10000</v>
      </c>
      <c r="CJ569" s="174">
        <v>10000</v>
      </c>
      <c r="CK569" s="174">
        <v>10000</v>
      </c>
      <c r="CL569" s="174">
        <v>10000</v>
      </c>
      <c r="CM569" s="174">
        <v>10000</v>
      </c>
      <c r="CN569" s="174">
        <v>10000</v>
      </c>
      <c r="CO569" s="174">
        <v>10000</v>
      </c>
    </row>
    <row r="570" spans="1:93" x14ac:dyDescent="0.2">
      <c r="A570" s="118">
        <f t="shared" si="59"/>
        <v>19</v>
      </c>
      <c r="B570" s="227" t="s">
        <v>648</v>
      </c>
      <c r="C570" s="263"/>
      <c r="D570" s="172">
        <f>+J570</f>
        <v>45130.40121168919</v>
      </c>
      <c r="E570" s="233" t="s">
        <v>596</v>
      </c>
      <c r="F570" s="201">
        <v>0.93100000000000005</v>
      </c>
      <c r="G570" s="233" t="s">
        <v>375</v>
      </c>
      <c r="H570" s="174">
        <f>ROUND(D570*F570,2)</f>
        <v>42016.4</v>
      </c>
      <c r="I570" s="308"/>
      <c r="J570" s="172">
        <f>'E-13c - prior to updates'!J664</f>
        <v>45130.40121168919</v>
      </c>
      <c r="K570" s="233" t="s">
        <v>596</v>
      </c>
      <c r="L570" s="201">
        <f>L567</f>
        <v>0.96799999999999997</v>
      </c>
      <c r="M570" s="233" t="s">
        <v>375</v>
      </c>
      <c r="N570" s="174">
        <f>ROUND(J570*L570,2)</f>
        <v>43686.23</v>
      </c>
      <c r="O570" s="227"/>
      <c r="P570" s="262"/>
      <c r="Q570" s="331"/>
      <c r="R570" s="227"/>
      <c r="S570" s="227"/>
      <c r="T570" s="227"/>
      <c r="U570" s="184" t="s">
        <v>140</v>
      </c>
      <c r="V570" s="179">
        <v>257</v>
      </c>
      <c r="W570" s="180">
        <v>231</v>
      </c>
      <c r="X570" s="227"/>
      <c r="Y570" s="184"/>
      <c r="Z570" s="181"/>
      <c r="AA570" s="227"/>
      <c r="AB570" s="182">
        <f>SUM(AH570:AS570)</f>
        <v>36696.07885589153</v>
      </c>
      <c r="AC570" s="182">
        <f>SUM(AT570:BE570)</f>
        <v>36872.689087533203</v>
      </c>
      <c r="AD570" s="182">
        <f>SUM(BF570:BQ570)</f>
        <v>37028.557993246737</v>
      </c>
      <c r="AE570" s="182">
        <f>SUM(BR570:CC570)</f>
        <v>37608.667676407662</v>
      </c>
      <c r="AF570" s="182">
        <f>SUM(CD570:CO570)</f>
        <v>37686.047166585027</v>
      </c>
      <c r="AH570" s="174">
        <v>0</v>
      </c>
      <c r="AI570" s="174">
        <v>36696.07885589153</v>
      </c>
      <c r="AJ570" s="174">
        <v>0</v>
      </c>
      <c r="AK570" s="174">
        <v>0</v>
      </c>
      <c r="AL570" s="174">
        <v>0</v>
      </c>
      <c r="AM570" s="174">
        <v>0</v>
      </c>
      <c r="AN570" s="174">
        <v>0</v>
      </c>
      <c r="AO570" s="174">
        <v>0</v>
      </c>
      <c r="AP570" s="174">
        <v>0</v>
      </c>
      <c r="AQ570" s="174">
        <v>0</v>
      </c>
      <c r="AR570" s="174">
        <v>0</v>
      </c>
      <c r="AS570" s="174">
        <v>0</v>
      </c>
      <c r="AT570" s="174">
        <v>0</v>
      </c>
      <c r="AU570" s="174">
        <v>36872.689087533203</v>
      </c>
      <c r="AV570" s="174">
        <v>0</v>
      </c>
      <c r="AW570" s="174">
        <v>0</v>
      </c>
      <c r="AX570" s="174">
        <v>0</v>
      </c>
      <c r="AY570" s="174">
        <v>0</v>
      </c>
      <c r="AZ570" s="174">
        <v>0</v>
      </c>
      <c r="BA570" s="174">
        <v>0</v>
      </c>
      <c r="BB570" s="174">
        <v>0</v>
      </c>
      <c r="BC570" s="174">
        <v>0</v>
      </c>
      <c r="BD570" s="174">
        <v>0</v>
      </c>
      <c r="BE570" s="174">
        <v>0</v>
      </c>
      <c r="BF570" s="174">
        <v>0</v>
      </c>
      <c r="BG570" s="174">
        <v>37028.557993246737</v>
      </c>
      <c r="BH570" s="174">
        <v>0</v>
      </c>
      <c r="BI570" s="174">
        <v>0</v>
      </c>
      <c r="BJ570" s="174">
        <v>0</v>
      </c>
      <c r="BK570" s="174">
        <v>0</v>
      </c>
      <c r="BL570" s="174">
        <v>0</v>
      </c>
      <c r="BM570" s="174">
        <v>0</v>
      </c>
      <c r="BN570" s="174">
        <v>0</v>
      </c>
      <c r="BO570" s="174">
        <v>0</v>
      </c>
      <c r="BP570" s="174">
        <v>0</v>
      </c>
      <c r="BQ570" s="174">
        <v>0</v>
      </c>
      <c r="BR570" s="174">
        <v>0</v>
      </c>
      <c r="BS570" s="174">
        <v>37608.667676407662</v>
      </c>
      <c r="BT570" s="174">
        <v>0</v>
      </c>
      <c r="BU570" s="174">
        <v>0</v>
      </c>
      <c r="BV570" s="174">
        <v>0</v>
      </c>
      <c r="BW570" s="174">
        <v>0</v>
      </c>
      <c r="BX570" s="174">
        <v>0</v>
      </c>
      <c r="BY570" s="174">
        <v>0</v>
      </c>
      <c r="BZ570" s="174">
        <v>0</v>
      </c>
      <c r="CA570" s="174">
        <v>0</v>
      </c>
      <c r="CB570" s="174">
        <v>0</v>
      </c>
      <c r="CC570" s="174">
        <v>0</v>
      </c>
      <c r="CD570" s="174">
        <v>0</v>
      </c>
      <c r="CE570" s="174">
        <v>37686.047166585027</v>
      </c>
      <c r="CF570" s="174">
        <v>0</v>
      </c>
      <c r="CG570" s="174">
        <v>0</v>
      </c>
      <c r="CH570" s="174">
        <v>0</v>
      </c>
      <c r="CI570" s="174">
        <v>0</v>
      </c>
      <c r="CJ570" s="174">
        <v>0</v>
      </c>
      <c r="CK570" s="174">
        <v>0</v>
      </c>
      <c r="CL570" s="174">
        <v>0</v>
      </c>
      <c r="CM570" s="174">
        <v>0</v>
      </c>
      <c r="CN570" s="174">
        <v>0</v>
      </c>
      <c r="CO570" s="174">
        <v>0</v>
      </c>
    </row>
    <row r="571" spans="1:93" x14ac:dyDescent="0.2">
      <c r="A571" s="118">
        <f t="shared" si="59"/>
        <v>20</v>
      </c>
      <c r="B571" s="227"/>
      <c r="C571" s="225" t="s">
        <v>121</v>
      </c>
      <c r="D571" s="227"/>
      <c r="E571" s="230"/>
      <c r="F571" s="326"/>
      <c r="G571" s="230"/>
      <c r="H571" s="300">
        <f>SUM(H560:H570)</f>
        <v>3566541.7499999995</v>
      </c>
      <c r="I571" s="308"/>
      <c r="J571" s="227"/>
      <c r="K571" s="230"/>
      <c r="L571" s="326"/>
      <c r="M571" s="230"/>
      <c r="N571" s="300">
        <f>SUM(N560:N570)</f>
        <v>3709397.15</v>
      </c>
      <c r="O571" s="227"/>
      <c r="P571" s="262"/>
      <c r="Q571" s="939"/>
      <c r="R571" s="227"/>
      <c r="S571" s="227"/>
      <c r="T571" s="227"/>
      <c r="U571" s="178"/>
      <c r="V571" s="179"/>
      <c r="W571" s="180"/>
      <c r="X571" s="227"/>
      <c r="Y571" s="184" t="s">
        <v>140</v>
      </c>
      <c r="Z571" s="181" t="s">
        <v>146</v>
      </c>
      <c r="AA571" s="227"/>
      <c r="AB571" s="324">
        <f>SUM(AB560:AB561)</f>
        <v>459240</v>
      </c>
      <c r="AC571" s="324">
        <f>SUM(AC560:AC561)</f>
        <v>459240</v>
      </c>
      <c r="AD571" s="324">
        <f>SUM(AD560:AD561)</f>
        <v>459240</v>
      </c>
      <c r="AE571" s="324">
        <f>SUM(AE560:AE561)</f>
        <v>459240</v>
      </c>
      <c r="AF571" s="324">
        <f>SUM(AF560:AF561)</f>
        <v>459240</v>
      </c>
      <c r="AH571" s="247"/>
      <c r="AI571" s="247"/>
      <c r="AJ571" s="247"/>
      <c r="AK571" s="247"/>
      <c r="AL571" s="247"/>
      <c r="AM571" s="247"/>
      <c r="AN571" s="247"/>
      <c r="AO571" s="247"/>
      <c r="AP571" s="247"/>
      <c r="AQ571" s="247"/>
      <c r="AR571" s="247"/>
      <c r="AS571" s="247"/>
      <c r="AT571" s="247"/>
      <c r="AU571" s="247"/>
      <c r="AV571" s="247"/>
      <c r="AW571" s="247"/>
      <c r="AX571" s="247"/>
      <c r="AY571" s="247"/>
      <c r="AZ571" s="247"/>
      <c r="BA571" s="247"/>
      <c r="BB571" s="247"/>
      <c r="BC571" s="247"/>
      <c r="BD571" s="247"/>
      <c r="BE571" s="247"/>
      <c r="BF571" s="247"/>
      <c r="BG571" s="247"/>
      <c r="BH571" s="247"/>
      <c r="BI571" s="247"/>
      <c r="BJ571" s="247"/>
      <c r="BK571" s="247"/>
      <c r="BL571" s="247"/>
      <c r="BM571" s="247"/>
      <c r="BN571" s="247"/>
      <c r="BO571" s="247"/>
      <c r="BP571" s="247"/>
      <c r="BQ571" s="247"/>
      <c r="BR571" s="247"/>
      <c r="BS571" s="247"/>
      <c r="BT571" s="247"/>
      <c r="BU571" s="247"/>
      <c r="BV571" s="247"/>
      <c r="BW571" s="247"/>
      <c r="BX571" s="247"/>
      <c r="BY571" s="247"/>
      <c r="BZ571" s="247"/>
      <c r="CA571" s="247"/>
      <c r="CB571" s="247"/>
      <c r="CC571" s="247"/>
      <c r="CD571" s="247"/>
      <c r="CE571" s="247"/>
      <c r="CF571" s="247"/>
      <c r="CG571" s="247"/>
      <c r="CH571" s="247"/>
      <c r="CI571" s="247"/>
      <c r="CJ571" s="247"/>
      <c r="CK571" s="247"/>
      <c r="CL571" s="247"/>
      <c r="CM571" s="247"/>
      <c r="CN571" s="247"/>
      <c r="CO571" s="247"/>
    </row>
    <row r="572" spans="1:93" x14ac:dyDescent="0.2">
      <c r="A572" s="118">
        <f t="shared" si="59"/>
        <v>21</v>
      </c>
      <c r="B572" s="227"/>
      <c r="C572" s="263"/>
      <c r="D572" s="227"/>
      <c r="E572" s="230"/>
      <c r="F572" s="197"/>
      <c r="G572" s="230"/>
      <c r="H572" s="203"/>
      <c r="I572" s="308"/>
      <c r="J572" s="227"/>
      <c r="K572" s="230"/>
      <c r="L572" s="197"/>
      <c r="M572" s="230"/>
      <c r="N572" s="203"/>
      <c r="O572" s="227"/>
      <c r="P572" s="262"/>
      <c r="Q572" s="331"/>
      <c r="T572" s="264"/>
      <c r="U572" s="184"/>
      <c r="V572" s="179"/>
      <c r="W572" s="180"/>
      <c r="X572" s="264"/>
      <c r="Y572" s="184"/>
      <c r="Z572" s="181"/>
      <c r="AA572" s="264"/>
      <c r="AC572" s="114"/>
      <c r="AD572" s="114"/>
      <c r="AE572" s="114"/>
      <c r="AF572" s="114"/>
    </row>
    <row r="573" spans="1:93" x14ac:dyDescent="0.2">
      <c r="A573" s="118">
        <f t="shared" si="59"/>
        <v>22</v>
      </c>
      <c r="B573" s="286" t="s">
        <v>551</v>
      </c>
      <c r="C573" s="263"/>
      <c r="D573" s="227"/>
      <c r="E573" s="230"/>
      <c r="F573" s="197"/>
      <c r="G573" s="230"/>
      <c r="H573" s="203"/>
      <c r="I573" s="308"/>
      <c r="J573" s="227"/>
      <c r="K573" s="230"/>
      <c r="L573" s="197"/>
      <c r="M573" s="230"/>
      <c r="N573" s="203"/>
      <c r="O573" s="227"/>
      <c r="P573" s="262"/>
      <c r="Q573" s="331"/>
      <c r="T573" s="264"/>
      <c r="U573" s="184"/>
      <c r="V573" s="179"/>
      <c r="W573" s="180"/>
      <c r="X573" s="264"/>
      <c r="Y573" s="184"/>
      <c r="Z573" s="181"/>
      <c r="AA573" s="264"/>
      <c r="AC573" s="114"/>
      <c r="AD573" s="114"/>
      <c r="AE573" s="114"/>
      <c r="AF573" s="114"/>
    </row>
    <row r="574" spans="1:93" x14ac:dyDescent="0.2">
      <c r="A574" s="118">
        <f t="shared" si="59"/>
        <v>23</v>
      </c>
      <c r="B574" s="228" t="s">
        <v>543</v>
      </c>
      <c r="C574" s="225"/>
      <c r="D574" s="168"/>
      <c r="E574" s="233"/>
      <c r="F574" s="183"/>
      <c r="G574" s="233"/>
      <c r="H574" s="174"/>
      <c r="I574" s="308"/>
      <c r="J574" s="168"/>
      <c r="K574" s="233"/>
      <c r="L574" s="310"/>
      <c r="M574" s="233"/>
      <c r="N574" s="174"/>
      <c r="O574" s="227"/>
      <c r="P574" s="262"/>
      <c r="Q574" s="331"/>
      <c r="T574" s="264"/>
      <c r="U574" s="178"/>
      <c r="V574" s="179"/>
      <c r="W574" s="180"/>
      <c r="X574" s="264"/>
      <c r="Y574" s="178"/>
      <c r="Z574" s="181"/>
      <c r="AA574" s="264"/>
      <c r="AB574" s="264"/>
      <c r="AC574" s="242"/>
      <c r="AH574" s="168"/>
      <c r="AT574" s="168"/>
      <c r="BF574" s="168"/>
      <c r="BR574" s="168"/>
      <c r="CD574" s="168"/>
    </row>
    <row r="575" spans="1:93" x14ac:dyDescent="0.2">
      <c r="A575" s="118">
        <f t="shared" si="59"/>
        <v>24</v>
      </c>
      <c r="B575" s="234" t="s">
        <v>148</v>
      </c>
      <c r="C575" s="225"/>
      <c r="D575" s="172">
        <f>SUMIF($AH$6:$CP$6,1,$AH575:$CP575)</f>
        <v>53277.282498330424</v>
      </c>
      <c r="E575" s="233" t="s">
        <v>555</v>
      </c>
      <c r="F575" s="183">
        <v>16.559999999999999</v>
      </c>
      <c r="G575" s="233" t="s">
        <v>375</v>
      </c>
      <c r="H575" s="174">
        <f>ROUND(D575*F575,2)</f>
        <v>882271.8</v>
      </c>
      <c r="I575" s="308"/>
      <c r="J575" s="172">
        <f>SUMIF($AH$6:$CP$6,1,$AH575:$CP575)</f>
        <v>53277.282498330424</v>
      </c>
      <c r="K575" s="233" t="s">
        <v>555</v>
      </c>
      <c r="L575" s="173">
        <f>'Exhibit MJC-3 - E-13c cal yr'!L671</f>
        <v>17.190000000000001</v>
      </c>
      <c r="M575" s="233" t="s">
        <v>375</v>
      </c>
      <c r="N575" s="174">
        <f>ROUND(J575*L575,2)</f>
        <v>915836.49</v>
      </c>
      <c r="O575" s="227"/>
      <c r="P575" s="262"/>
      <c r="Q575" s="331"/>
      <c r="T575" s="264"/>
      <c r="U575" s="184" t="s">
        <v>140</v>
      </c>
      <c r="V575" s="179">
        <v>257</v>
      </c>
      <c r="W575" s="180">
        <v>231</v>
      </c>
      <c r="X575" s="264"/>
      <c r="Y575" s="184"/>
      <c r="Z575" s="181"/>
      <c r="AA575" s="264"/>
      <c r="AB575" s="182">
        <f>SUM(AH575:AS575)</f>
        <v>51961.170644248145</v>
      </c>
      <c r="AC575" s="182">
        <f>SUM(AT575:BE575)</f>
        <v>52230.838333769076</v>
      </c>
      <c r="AD575" s="182">
        <f>SUM(BF575:BQ575)</f>
        <v>52444.266772806724</v>
      </c>
      <c r="AE575" s="182">
        <f>SUM(BR575:CC575)</f>
        <v>53277.282498330424</v>
      </c>
      <c r="AF575" s="182">
        <f>SUM(CD575:CO575)</f>
        <v>53386.596307825348</v>
      </c>
      <c r="AH575" s="168">
        <v>8551.3131374138375</v>
      </c>
      <c r="AI575" s="168">
        <v>3470.4411967973738</v>
      </c>
      <c r="AJ575" s="168">
        <v>2686.9563494775834</v>
      </c>
      <c r="AK575" s="168">
        <v>3865.1771528501099</v>
      </c>
      <c r="AL575" s="168">
        <v>4325.8336911183142</v>
      </c>
      <c r="AM575" s="168">
        <v>4590.8086777166554</v>
      </c>
      <c r="AN575" s="168">
        <v>4502.5702346955095</v>
      </c>
      <c r="AO575" s="168">
        <v>3175.028281097289</v>
      </c>
      <c r="AP575" s="168">
        <v>6197.6898934329874</v>
      </c>
      <c r="AQ575" s="168">
        <v>6458.5314491515201</v>
      </c>
      <c r="AR575" s="168">
        <v>3400.751121192553</v>
      </c>
      <c r="AS575" s="168">
        <v>736.06945930441725</v>
      </c>
      <c r="AT575" s="168">
        <v>9010.1637463301522</v>
      </c>
      <c r="AU575" s="168">
        <v>3527.879177594878</v>
      </c>
      <c r="AV575" s="168">
        <v>2675.5745628004779</v>
      </c>
      <c r="AW575" s="168">
        <v>3901.7121586360686</v>
      </c>
      <c r="AX575" s="168">
        <v>4311.0951371945175</v>
      </c>
      <c r="AY575" s="168">
        <v>4492.6599482942129</v>
      </c>
      <c r="AZ575" s="168">
        <v>4517.186047693689</v>
      </c>
      <c r="BA575" s="168">
        <v>3127.0738635052039</v>
      </c>
      <c r="BB575" s="168">
        <v>6135.2162787205552</v>
      </c>
      <c r="BC575" s="168">
        <v>6440.3713416882856</v>
      </c>
      <c r="BD575" s="168">
        <v>3362.6649596474131</v>
      </c>
      <c r="BE575" s="168">
        <v>729.24111166362025</v>
      </c>
      <c r="BF575" s="168">
        <v>8980.9069112333964</v>
      </c>
      <c r="BG575" s="168">
        <v>3569.8302231100265</v>
      </c>
      <c r="BH575" s="168">
        <v>2716.3130845670448</v>
      </c>
      <c r="BI575" s="168">
        <v>3891.6589692236425</v>
      </c>
      <c r="BJ575" s="168">
        <v>4340.8497827766532</v>
      </c>
      <c r="BK575" s="168">
        <v>4550.9457427171992</v>
      </c>
      <c r="BL575" s="168">
        <v>4544.5030455234828</v>
      </c>
      <c r="BM575" s="168">
        <v>3152.7638592884819</v>
      </c>
      <c r="BN575" s="168">
        <v>6162.7077965233921</v>
      </c>
      <c r="BO575" s="168">
        <v>6420.809228973837</v>
      </c>
      <c r="BP575" s="168">
        <v>3367.9362706923812</v>
      </c>
      <c r="BQ575" s="168">
        <v>745.04185817719292</v>
      </c>
      <c r="BR575" s="168">
        <v>9126.2486781632233</v>
      </c>
      <c r="BS575" s="168">
        <v>3608.762376275236</v>
      </c>
      <c r="BT575" s="168">
        <v>2785.7241367315874</v>
      </c>
      <c r="BU575" s="168">
        <v>3995.1992723745084</v>
      </c>
      <c r="BV575" s="168">
        <v>4348.9129807048012</v>
      </c>
      <c r="BW575" s="168">
        <v>4657.6481527397727</v>
      </c>
      <c r="BX575" s="168">
        <v>4640.8882930979862</v>
      </c>
      <c r="BY575" s="168">
        <v>3199.8142647659356</v>
      </c>
      <c r="BZ575" s="168">
        <v>6235.1607462146703</v>
      </c>
      <c r="CA575" s="168">
        <v>6524.4372059310699</v>
      </c>
      <c r="CB575" s="168">
        <v>3413.1007912902919</v>
      </c>
      <c r="CC575" s="168">
        <v>741.3856000413349</v>
      </c>
      <c r="CD575" s="168">
        <v>9164.9805089052152</v>
      </c>
      <c r="CE575" s="168">
        <v>3585.8311967812815</v>
      </c>
      <c r="CF575" s="168">
        <v>2743.1116713257416</v>
      </c>
      <c r="CG575" s="168">
        <v>4032.1902209192858</v>
      </c>
      <c r="CH575" s="168">
        <v>4389.9180638207135</v>
      </c>
      <c r="CI575" s="168">
        <v>4606.5798505982602</v>
      </c>
      <c r="CJ575" s="168">
        <v>4626.5367629247121</v>
      </c>
      <c r="CK575" s="168">
        <v>3199.0798366871813</v>
      </c>
      <c r="CL575" s="168">
        <v>6309.4408406172333</v>
      </c>
      <c r="CM575" s="168">
        <v>6537.020228336286</v>
      </c>
      <c r="CN575" s="168">
        <v>3450.6761512066046</v>
      </c>
      <c r="CO575" s="168">
        <v>741.23097570282664</v>
      </c>
    </row>
    <row r="576" spans="1:93" x14ac:dyDescent="0.2">
      <c r="A576" s="118">
        <f t="shared" si="59"/>
        <v>25</v>
      </c>
      <c r="B576" s="234" t="s">
        <v>657</v>
      </c>
      <c r="C576" s="225"/>
      <c r="D576" s="172">
        <f>SUMIF($AH$6:$CP$6,1,$AH576:$CP576)</f>
        <v>2295.9171679622527</v>
      </c>
      <c r="E576" s="233" t="s">
        <v>555</v>
      </c>
      <c r="F576" s="183">
        <v>16.559999999999999</v>
      </c>
      <c r="G576" s="233" t="s">
        <v>375</v>
      </c>
      <c r="H576" s="174">
        <f>ROUND(D576*F576,2)</f>
        <v>38020.39</v>
      </c>
      <c r="I576" s="308"/>
      <c r="J576" s="172">
        <f>SUMIF($AH$6:$CP$6,1,$AH576:$CP576)</f>
        <v>2295.9171679622527</v>
      </c>
      <c r="K576" s="233" t="s">
        <v>555</v>
      </c>
      <c r="L576" s="173">
        <f>L575</f>
        <v>17.190000000000001</v>
      </c>
      <c r="M576" s="233" t="s">
        <v>375</v>
      </c>
      <c r="N576" s="174">
        <f>ROUND(J576*L576,2)</f>
        <v>39466.82</v>
      </c>
      <c r="O576" s="227"/>
      <c r="P576" s="262"/>
      <c r="Q576" s="331"/>
      <c r="T576" s="264"/>
      <c r="U576" s="184" t="s">
        <v>140</v>
      </c>
      <c r="V576" s="179">
        <v>257</v>
      </c>
      <c r="W576" s="180">
        <v>231</v>
      </c>
      <c r="X576" s="264"/>
      <c r="Y576" s="184"/>
      <c r="Z576" s="181"/>
      <c r="AA576" s="264"/>
      <c r="AB576" s="182">
        <f>SUM(AH576:AS576)</f>
        <v>2263.5239068903361</v>
      </c>
      <c r="AC576" s="182">
        <f>SUM(AT576:BE576)</f>
        <v>2254.8278569547751</v>
      </c>
      <c r="AD576" s="182">
        <f>SUM(BF576:BQ576)</f>
        <v>2271.7222225832224</v>
      </c>
      <c r="AE576" s="182">
        <f>SUM(BR576:CC576)</f>
        <v>2295.9171679622527</v>
      </c>
      <c r="AF576" s="182">
        <f>SUM(CD576:CO576)</f>
        <v>2300.9447091023085</v>
      </c>
      <c r="AH576" s="168">
        <v>0</v>
      </c>
      <c r="AI576" s="168">
        <v>467.88797423612243</v>
      </c>
      <c r="AJ576" s="168">
        <v>0</v>
      </c>
      <c r="AK576" s="168">
        <v>17.256222167856134</v>
      </c>
      <c r="AL576" s="168">
        <v>0</v>
      </c>
      <c r="AM576" s="168">
        <v>0</v>
      </c>
      <c r="AN576" s="168">
        <v>0</v>
      </c>
      <c r="AO576" s="168">
        <v>378.80804892008018</v>
      </c>
      <c r="AP576" s="168">
        <v>426.35829784827348</v>
      </c>
      <c r="AQ576" s="168">
        <v>436.07221760390422</v>
      </c>
      <c r="AR576" s="168">
        <v>194.94336356039139</v>
      </c>
      <c r="AS576" s="168">
        <v>342.19778255370812</v>
      </c>
      <c r="AT576" s="168">
        <v>0</v>
      </c>
      <c r="AU576" s="168">
        <v>475.63181398317175</v>
      </c>
      <c r="AV576" s="168">
        <v>0</v>
      </c>
      <c r="AW576" s="168">
        <v>17.419334012880235</v>
      </c>
      <c r="AX576" s="168">
        <v>0</v>
      </c>
      <c r="AY576" s="168">
        <v>0</v>
      </c>
      <c r="AZ576" s="168">
        <v>0</v>
      </c>
      <c r="BA576" s="168">
        <v>373.08667646072092</v>
      </c>
      <c r="BB576" s="168">
        <v>422.06054425181742</v>
      </c>
      <c r="BC576" s="168">
        <v>434.84606915270211</v>
      </c>
      <c r="BD576" s="168">
        <v>192.76012692468296</v>
      </c>
      <c r="BE576" s="168">
        <v>339.02329216879974</v>
      </c>
      <c r="BF576" s="168">
        <v>0</v>
      </c>
      <c r="BG576" s="168">
        <v>481.28769131694833</v>
      </c>
      <c r="BH576" s="168">
        <v>0</v>
      </c>
      <c r="BI576" s="168">
        <v>17.3744511878153</v>
      </c>
      <c r="BJ576" s="168">
        <v>0</v>
      </c>
      <c r="BK576" s="168">
        <v>0</v>
      </c>
      <c r="BL576" s="168">
        <v>0</v>
      </c>
      <c r="BM576" s="168">
        <v>376.15171283767739</v>
      </c>
      <c r="BN576" s="168">
        <v>423.95177097293856</v>
      </c>
      <c r="BO576" s="168">
        <v>433.52525900575625</v>
      </c>
      <c r="BP576" s="168">
        <v>193.06229755371703</v>
      </c>
      <c r="BQ576" s="168">
        <v>346.36903970836948</v>
      </c>
      <c r="BR576" s="168">
        <v>0</v>
      </c>
      <c r="BS576" s="168">
        <v>486.53655889434168</v>
      </c>
      <c r="BT576" s="168">
        <v>0</v>
      </c>
      <c r="BU576" s="168">
        <v>17.836710588572913</v>
      </c>
      <c r="BV576" s="168">
        <v>0</v>
      </c>
      <c r="BW576" s="168">
        <v>0</v>
      </c>
      <c r="BX576" s="168">
        <v>0</v>
      </c>
      <c r="BY576" s="168">
        <v>381.76522891434468</v>
      </c>
      <c r="BZ576" s="168">
        <v>428.93603395408445</v>
      </c>
      <c r="CA576" s="168">
        <v>440.5220944432433</v>
      </c>
      <c r="CB576" s="168">
        <v>195.65129135102316</v>
      </c>
      <c r="CC576" s="168">
        <v>344.66924981664249</v>
      </c>
      <c r="CD576" s="168">
        <v>0</v>
      </c>
      <c r="CE576" s="168">
        <v>483.44495684380917</v>
      </c>
      <c r="CF576" s="168">
        <v>0</v>
      </c>
      <c r="CG576" s="168">
        <v>18.001858006413187</v>
      </c>
      <c r="CH576" s="168">
        <v>0</v>
      </c>
      <c r="CI576" s="168">
        <v>0</v>
      </c>
      <c r="CJ576" s="168">
        <v>0</v>
      </c>
      <c r="CK576" s="168">
        <v>381.67760535859821</v>
      </c>
      <c r="CL576" s="168">
        <v>434.04599188325449</v>
      </c>
      <c r="CM576" s="168">
        <v>441.37168486911673</v>
      </c>
      <c r="CN576" s="168">
        <v>197.80524698847938</v>
      </c>
      <c r="CO576" s="168">
        <v>344.59736515263756</v>
      </c>
    </row>
    <row r="577" spans="1:93" x14ac:dyDescent="0.2">
      <c r="A577" s="118">
        <f t="shared" si="59"/>
        <v>26</v>
      </c>
      <c r="B577" s="227"/>
      <c r="C577" s="225" t="s">
        <v>121</v>
      </c>
      <c r="D577" s="309">
        <f>SUM(D575:D576)</f>
        <v>55573.199666292676</v>
      </c>
      <c r="E577" s="230" t="s">
        <v>606</v>
      </c>
      <c r="F577" s="197"/>
      <c r="G577" s="230"/>
      <c r="H577" s="300">
        <f>SUM(H575:H576)</f>
        <v>920292.19000000006</v>
      </c>
      <c r="I577" s="308"/>
      <c r="J577" s="309">
        <f>SUM(J575:J576)</f>
        <v>55573.199666292676</v>
      </c>
      <c r="K577" s="230" t="s">
        <v>606</v>
      </c>
      <c r="L577" s="197"/>
      <c r="M577" s="230"/>
      <c r="N577" s="300">
        <f>SUM(N575:N576)</f>
        <v>955303.30999999994</v>
      </c>
      <c r="O577" s="227"/>
      <c r="P577" s="262"/>
      <c r="Q577" s="939"/>
      <c r="T577" s="264"/>
      <c r="U577" s="178"/>
      <c r="V577" s="179"/>
      <c r="W577" s="180"/>
      <c r="X577" s="264"/>
      <c r="Y577" s="178" t="s">
        <v>140</v>
      </c>
      <c r="Z577" s="181" t="s">
        <v>141</v>
      </c>
      <c r="AA577" s="264"/>
      <c r="AB577" s="309">
        <f>SUM(AB575:AB576)</f>
        <v>54224.694551138484</v>
      </c>
      <c r="AC577" s="309">
        <f>SUM(AC575:AC576)</f>
        <v>54485.666190723852</v>
      </c>
      <c r="AD577" s="309">
        <f>SUM(AD575:AD576)</f>
        <v>54715.988995389947</v>
      </c>
      <c r="AE577" s="309">
        <f>SUM(AE575:AE576)</f>
        <v>55573.199666292676</v>
      </c>
      <c r="AF577" s="309">
        <f>SUM(AF575:AF576)</f>
        <v>55687.541016927658</v>
      </c>
      <c r="AH577" s="309">
        <f t="shared" ref="AH577:BM577" si="62">SUM(AH575:AH576)</f>
        <v>8551.3131374138375</v>
      </c>
      <c r="AI577" s="309">
        <f t="shared" si="62"/>
        <v>3938.3291710334961</v>
      </c>
      <c r="AJ577" s="309">
        <f t="shared" si="62"/>
        <v>2686.9563494775834</v>
      </c>
      <c r="AK577" s="309">
        <f t="shared" si="62"/>
        <v>3882.4333750179662</v>
      </c>
      <c r="AL577" s="309">
        <f t="shared" si="62"/>
        <v>4325.8336911183142</v>
      </c>
      <c r="AM577" s="309">
        <f t="shared" si="62"/>
        <v>4590.8086777166554</v>
      </c>
      <c r="AN577" s="309">
        <f t="shared" si="62"/>
        <v>4502.5702346955095</v>
      </c>
      <c r="AO577" s="309">
        <f t="shared" si="62"/>
        <v>3553.8363300173692</v>
      </c>
      <c r="AP577" s="309">
        <f t="shared" si="62"/>
        <v>6624.0481912812611</v>
      </c>
      <c r="AQ577" s="309">
        <f t="shared" si="62"/>
        <v>6894.6036667554245</v>
      </c>
      <c r="AR577" s="309">
        <f t="shared" si="62"/>
        <v>3595.6944847529444</v>
      </c>
      <c r="AS577" s="309">
        <f t="shared" si="62"/>
        <v>1078.2672418581253</v>
      </c>
      <c r="AT577" s="309">
        <f t="shared" si="62"/>
        <v>9010.1637463301522</v>
      </c>
      <c r="AU577" s="309">
        <f t="shared" si="62"/>
        <v>4003.5109915780499</v>
      </c>
      <c r="AV577" s="309">
        <f t="shared" si="62"/>
        <v>2675.5745628004779</v>
      </c>
      <c r="AW577" s="309">
        <f t="shared" si="62"/>
        <v>3919.131492648949</v>
      </c>
      <c r="AX577" s="309">
        <f t="shared" si="62"/>
        <v>4311.0951371945175</v>
      </c>
      <c r="AY577" s="309">
        <f t="shared" si="62"/>
        <v>4492.6599482942129</v>
      </c>
      <c r="AZ577" s="309">
        <f t="shared" si="62"/>
        <v>4517.186047693689</v>
      </c>
      <c r="BA577" s="309">
        <f t="shared" si="62"/>
        <v>3500.1605399659247</v>
      </c>
      <c r="BB577" s="309">
        <f t="shared" si="62"/>
        <v>6557.2768229723724</v>
      </c>
      <c r="BC577" s="309">
        <f t="shared" si="62"/>
        <v>6875.2174108409881</v>
      </c>
      <c r="BD577" s="309">
        <f t="shared" si="62"/>
        <v>3555.425086572096</v>
      </c>
      <c r="BE577" s="309">
        <f t="shared" si="62"/>
        <v>1068.2644038324199</v>
      </c>
      <c r="BF577" s="309">
        <f t="shared" si="62"/>
        <v>8980.9069112333964</v>
      </c>
      <c r="BG577" s="309">
        <f t="shared" si="62"/>
        <v>4051.1179144269749</v>
      </c>
      <c r="BH577" s="309">
        <f t="shared" si="62"/>
        <v>2716.3130845670448</v>
      </c>
      <c r="BI577" s="309">
        <f t="shared" si="62"/>
        <v>3909.0334204114579</v>
      </c>
      <c r="BJ577" s="309">
        <f t="shared" si="62"/>
        <v>4340.8497827766532</v>
      </c>
      <c r="BK577" s="309">
        <f t="shared" si="62"/>
        <v>4550.9457427171992</v>
      </c>
      <c r="BL577" s="309">
        <f t="shared" si="62"/>
        <v>4544.5030455234828</v>
      </c>
      <c r="BM577" s="309">
        <f t="shared" si="62"/>
        <v>3528.9155721261591</v>
      </c>
      <c r="BN577" s="309">
        <f t="shared" ref="BN577:CO577" si="63">SUM(BN575:BN576)</f>
        <v>6586.659567496331</v>
      </c>
      <c r="BO577" s="309">
        <f t="shared" si="63"/>
        <v>6854.3344879795932</v>
      </c>
      <c r="BP577" s="309">
        <f t="shared" si="63"/>
        <v>3560.9985682460983</v>
      </c>
      <c r="BQ577" s="309">
        <f t="shared" si="63"/>
        <v>1091.4108978855625</v>
      </c>
      <c r="BR577" s="309">
        <f t="shared" si="63"/>
        <v>9126.2486781632233</v>
      </c>
      <c r="BS577" s="309">
        <f t="shared" si="63"/>
        <v>4095.2989351695778</v>
      </c>
      <c r="BT577" s="309">
        <f t="shared" si="63"/>
        <v>2785.7241367315874</v>
      </c>
      <c r="BU577" s="309">
        <f t="shared" si="63"/>
        <v>4013.0359829630811</v>
      </c>
      <c r="BV577" s="309">
        <f t="shared" si="63"/>
        <v>4348.9129807048012</v>
      </c>
      <c r="BW577" s="309">
        <f t="shared" si="63"/>
        <v>4657.6481527397727</v>
      </c>
      <c r="BX577" s="309">
        <f t="shared" si="63"/>
        <v>4640.8882930979862</v>
      </c>
      <c r="BY577" s="309">
        <f t="shared" si="63"/>
        <v>3581.5794936802804</v>
      </c>
      <c r="BZ577" s="309">
        <f t="shared" si="63"/>
        <v>6664.0967801687548</v>
      </c>
      <c r="CA577" s="309">
        <f t="shared" si="63"/>
        <v>6964.959300374313</v>
      </c>
      <c r="CB577" s="309">
        <f t="shared" si="63"/>
        <v>3608.7520826413152</v>
      </c>
      <c r="CC577" s="309">
        <f t="shared" si="63"/>
        <v>1086.0548498579774</v>
      </c>
      <c r="CD577" s="309">
        <f t="shared" si="63"/>
        <v>9164.9805089052152</v>
      </c>
      <c r="CE577" s="309">
        <f t="shared" si="63"/>
        <v>4069.2761536250905</v>
      </c>
      <c r="CF577" s="309">
        <f t="shared" si="63"/>
        <v>2743.1116713257416</v>
      </c>
      <c r="CG577" s="309">
        <f t="shared" si="63"/>
        <v>4050.1920789256992</v>
      </c>
      <c r="CH577" s="309">
        <f t="shared" si="63"/>
        <v>4389.9180638207135</v>
      </c>
      <c r="CI577" s="309">
        <f t="shared" si="63"/>
        <v>4606.5798505982602</v>
      </c>
      <c r="CJ577" s="309">
        <f t="shared" si="63"/>
        <v>4626.5367629247121</v>
      </c>
      <c r="CK577" s="309">
        <f t="shared" si="63"/>
        <v>3580.7574420457795</v>
      </c>
      <c r="CL577" s="309">
        <f t="shared" si="63"/>
        <v>6743.4868325004882</v>
      </c>
      <c r="CM577" s="309">
        <f t="shared" si="63"/>
        <v>6978.3919132054025</v>
      </c>
      <c r="CN577" s="309">
        <f t="shared" si="63"/>
        <v>3648.4813981950838</v>
      </c>
      <c r="CO577" s="309">
        <f t="shared" si="63"/>
        <v>1085.8283408554641</v>
      </c>
    </row>
    <row r="578" spans="1:93" x14ac:dyDescent="0.2">
      <c r="A578" s="118">
        <f t="shared" si="59"/>
        <v>27</v>
      </c>
      <c r="B578" s="246" t="s">
        <v>563</v>
      </c>
      <c r="C578" s="263"/>
      <c r="D578" s="227"/>
      <c r="E578" s="230"/>
      <c r="F578" s="197"/>
      <c r="G578" s="230"/>
      <c r="H578" s="203"/>
      <c r="I578" s="308"/>
      <c r="J578" s="227"/>
      <c r="K578" s="230"/>
      <c r="L578" s="197"/>
      <c r="M578" s="230"/>
      <c r="N578" s="203"/>
      <c r="O578" s="227"/>
      <c r="Q578" s="327"/>
      <c r="T578" s="264"/>
      <c r="U578" s="178"/>
      <c r="V578" s="179"/>
      <c r="W578" s="180"/>
      <c r="X578" s="264"/>
      <c r="Y578" s="178"/>
      <c r="Z578" s="181"/>
      <c r="AA578" s="264"/>
      <c r="AB578" s="193">
        <f>SUM(AH578:AS578)</f>
        <v>0</v>
      </c>
      <c r="AC578" s="193">
        <f>SUM(AT578:BE578)</f>
        <v>0</v>
      </c>
      <c r="AD578" s="193">
        <f>SUM(BF578:BQ578)</f>
        <v>0</v>
      </c>
      <c r="AE578" s="193">
        <f>SUM(BR578:CC578)</f>
        <v>0</v>
      </c>
      <c r="AF578" s="193">
        <f>SUM(CD578:CO578)</f>
        <v>0</v>
      </c>
      <c r="AH578" s="328">
        <v>0</v>
      </c>
      <c r="AI578" s="328">
        <v>0</v>
      </c>
      <c r="AJ578" s="328">
        <v>0</v>
      </c>
      <c r="AK578" s="328">
        <v>0</v>
      </c>
      <c r="AL578" s="328">
        <v>0</v>
      </c>
      <c r="AM578" s="328">
        <v>0</v>
      </c>
      <c r="AN578" s="328">
        <v>0</v>
      </c>
      <c r="AO578" s="328">
        <v>0</v>
      </c>
      <c r="AP578" s="328">
        <v>0</v>
      </c>
      <c r="AQ578" s="328">
        <v>0</v>
      </c>
      <c r="AR578" s="328">
        <v>0</v>
      </c>
      <c r="AS578" s="328">
        <v>0</v>
      </c>
      <c r="AT578" s="328">
        <v>0</v>
      </c>
      <c r="AU578" s="328">
        <v>0</v>
      </c>
      <c r="AV578" s="328">
        <v>0</v>
      </c>
      <c r="AW578" s="328">
        <v>0</v>
      </c>
      <c r="AX578" s="328">
        <v>0</v>
      </c>
      <c r="AY578" s="328">
        <v>0</v>
      </c>
      <c r="AZ578" s="328">
        <v>0</v>
      </c>
      <c r="BA578" s="328">
        <v>0</v>
      </c>
      <c r="BB578" s="328">
        <v>0</v>
      </c>
      <c r="BC578" s="328">
        <v>0</v>
      </c>
      <c r="BD578" s="328">
        <v>0</v>
      </c>
      <c r="BE578" s="328">
        <v>0</v>
      </c>
      <c r="BF578" s="328">
        <v>0</v>
      </c>
      <c r="BG578" s="328">
        <v>0</v>
      </c>
      <c r="BH578" s="328">
        <v>0</v>
      </c>
      <c r="BI578" s="328">
        <v>0</v>
      </c>
      <c r="BJ578" s="328">
        <v>0</v>
      </c>
      <c r="BK578" s="328">
        <v>0</v>
      </c>
      <c r="BL578" s="328">
        <v>0</v>
      </c>
      <c r="BM578" s="328">
        <v>0</v>
      </c>
      <c r="BN578" s="328">
        <v>0</v>
      </c>
      <c r="BO578" s="328">
        <v>0</v>
      </c>
      <c r="BP578" s="328">
        <v>0</v>
      </c>
      <c r="BQ578" s="328">
        <v>0</v>
      </c>
      <c r="BR578" s="328">
        <v>0</v>
      </c>
      <c r="BS578" s="328">
        <v>0</v>
      </c>
      <c r="BT578" s="328">
        <v>0</v>
      </c>
      <c r="BU578" s="328">
        <v>0</v>
      </c>
      <c r="BV578" s="328">
        <v>0</v>
      </c>
      <c r="BW578" s="328">
        <v>0</v>
      </c>
      <c r="BX578" s="328">
        <v>0</v>
      </c>
      <c r="BY578" s="328">
        <v>0</v>
      </c>
      <c r="BZ578" s="328">
        <v>0</v>
      </c>
      <c r="CA578" s="328">
        <v>0</v>
      </c>
      <c r="CB578" s="328">
        <v>0</v>
      </c>
      <c r="CC578" s="328">
        <v>0</v>
      </c>
      <c r="CD578" s="328">
        <v>0</v>
      </c>
      <c r="CE578" s="328">
        <v>0</v>
      </c>
      <c r="CF578" s="328">
        <v>0</v>
      </c>
      <c r="CG578" s="328">
        <v>0</v>
      </c>
      <c r="CH578" s="328">
        <v>0</v>
      </c>
      <c r="CI578" s="328">
        <v>0</v>
      </c>
      <c r="CJ578" s="328">
        <v>0</v>
      </c>
      <c r="CK578" s="328">
        <v>0</v>
      </c>
      <c r="CL578" s="328">
        <v>0</v>
      </c>
      <c r="CM578" s="328">
        <v>0</v>
      </c>
      <c r="CN578" s="328">
        <v>0</v>
      </c>
      <c r="CO578" s="328">
        <v>0</v>
      </c>
    </row>
    <row r="579" spans="1:93" x14ac:dyDescent="0.2">
      <c r="A579" s="118">
        <f t="shared" si="59"/>
        <v>28</v>
      </c>
      <c r="B579" s="232" t="s">
        <v>601</v>
      </c>
      <c r="C579" s="263"/>
      <c r="D579" s="103">
        <f>+D560</f>
        <v>339240</v>
      </c>
      <c r="E579" s="233" t="s">
        <v>596</v>
      </c>
      <c r="F579" s="183">
        <v>-1.3</v>
      </c>
      <c r="G579" s="230"/>
      <c r="H579" s="203">
        <f>+D579*F579</f>
        <v>-441012</v>
      </c>
      <c r="I579" s="308"/>
      <c r="J579" s="103">
        <f>+J560</f>
        <v>339240</v>
      </c>
      <c r="K579" s="233" t="s">
        <v>596</v>
      </c>
      <c r="L579" s="173">
        <f>'Exhibit MJC-3 - E-13c cal yr'!L675</f>
        <v>-1.34</v>
      </c>
      <c r="M579" s="230"/>
      <c r="N579" s="174">
        <f>ROUND(L579*J579,2)</f>
        <v>-454581.6</v>
      </c>
      <c r="O579" s="227"/>
      <c r="Q579" s="227"/>
      <c r="T579" s="264"/>
      <c r="U579" s="184" t="s">
        <v>140</v>
      </c>
      <c r="V579" s="179">
        <v>257</v>
      </c>
      <c r="W579" s="180">
        <v>231</v>
      </c>
      <c r="X579" s="264"/>
      <c r="Y579" s="184" t="s">
        <v>140</v>
      </c>
      <c r="Z579" s="181" t="s">
        <v>146</v>
      </c>
      <c r="AA579" s="264"/>
      <c r="AB579" s="264"/>
      <c r="AD579" s="245"/>
    </row>
    <row r="580" spans="1:93" x14ac:dyDescent="0.2">
      <c r="A580" s="118">
        <f t="shared" si="59"/>
        <v>29</v>
      </c>
      <c r="B580" s="234" t="s">
        <v>582</v>
      </c>
      <c r="C580" s="263"/>
      <c r="D580" s="172">
        <f>SUM(H560,H566:H567,H575,H579)</f>
        <v>3750515.1499999994</v>
      </c>
      <c r="E580" s="233" t="s">
        <v>10</v>
      </c>
      <c r="F580" s="249">
        <v>0.01</v>
      </c>
      <c r="G580" s="233" t="s">
        <v>375</v>
      </c>
      <c r="H580" s="174">
        <f>-F580*D580</f>
        <v>-37505.151499999993</v>
      </c>
      <c r="I580" s="308"/>
      <c r="J580" s="172">
        <f>SUM(N560,N566:N567,N575,N579)</f>
        <v>3903225.81</v>
      </c>
      <c r="K580" s="233" t="s">
        <v>10</v>
      </c>
      <c r="L580" s="249">
        <v>0.01</v>
      </c>
      <c r="M580" s="233" t="s">
        <v>375</v>
      </c>
      <c r="N580" s="174">
        <f>ROUND(L580*-J580,2)</f>
        <v>-39032.26</v>
      </c>
      <c r="O580" s="227"/>
      <c r="Q580" s="227"/>
      <c r="T580" s="264"/>
      <c r="U580" s="184" t="s">
        <v>140</v>
      </c>
      <c r="V580" s="179">
        <v>257</v>
      </c>
      <c r="W580" s="180">
        <v>231</v>
      </c>
      <c r="X580" s="264"/>
      <c r="Y580" s="184" t="s">
        <v>140</v>
      </c>
      <c r="Z580" s="181" t="s">
        <v>417</v>
      </c>
      <c r="AA580" s="264"/>
      <c r="AB580" s="182">
        <f>SUM(AH580:AS580)</f>
        <v>-27312.706235266138</v>
      </c>
      <c r="AC580" s="182">
        <f>SUM(AT580:BE580)</f>
        <v>-28233.98809953122</v>
      </c>
      <c r="AD580" s="182">
        <f>SUM(BF580:BQ580)</f>
        <v>-28327.85724614092</v>
      </c>
      <c r="AE580" s="182">
        <f>SUM(BR580:CC580)</f>
        <v>-28682.389307103404</v>
      </c>
      <c r="AF580" s="182">
        <f>SUM(CD580:CO580)</f>
        <v>-28729.438828307961</v>
      </c>
      <c r="AH580" s="174">
        <v>-4383.3001385040689</v>
      </c>
      <c r="AI580" s="174">
        <v>-2203.027834046753</v>
      </c>
      <c r="AJ580" s="174">
        <v>-1839.8932973553542</v>
      </c>
      <c r="AK580" s="174">
        <v>-1859.0478974156827</v>
      </c>
      <c r="AL580" s="174">
        <v>-1791.1689335315241</v>
      </c>
      <c r="AM580" s="174">
        <v>-2141.8983218762123</v>
      </c>
      <c r="AN580" s="174">
        <v>-2431.4671817551052</v>
      </c>
      <c r="AO580" s="174">
        <v>-1937.2865175128366</v>
      </c>
      <c r="AP580" s="174">
        <v>-2897.2114928084902</v>
      </c>
      <c r="AQ580" s="174">
        <v>-2348.7209373927135</v>
      </c>
      <c r="AR580" s="174">
        <v>-2529.535342269427</v>
      </c>
      <c r="AS580" s="174">
        <v>-950.14834079796708</v>
      </c>
      <c r="AT580" s="174">
        <v>-4589.3330229848061</v>
      </c>
      <c r="AU580" s="174">
        <v>-2282.1654592394311</v>
      </c>
      <c r="AV580" s="174">
        <v>-1898.4159106550485</v>
      </c>
      <c r="AW580" s="174">
        <v>-1923.2325667946959</v>
      </c>
      <c r="AX580" s="174">
        <v>-1846.5728276362802</v>
      </c>
      <c r="AY580" s="174">
        <v>-2197.4445700006186</v>
      </c>
      <c r="AZ580" s="174">
        <v>-2512.8818514805575</v>
      </c>
      <c r="BA580" s="174">
        <v>-1994.0026843697276</v>
      </c>
      <c r="BB580" s="174">
        <v>-2983.4465330716398</v>
      </c>
      <c r="BC580" s="174">
        <v>-2421.0116627910706</v>
      </c>
      <c r="BD580" s="174">
        <v>-2607.259440925518</v>
      </c>
      <c r="BE580" s="174">
        <v>-978.22156958182131</v>
      </c>
      <c r="BF580" s="174">
        <v>-4598.0441417199982</v>
      </c>
      <c r="BG580" s="174">
        <v>-2293.1294218458916</v>
      </c>
      <c r="BH580" s="174">
        <v>-1908.6904918896519</v>
      </c>
      <c r="BI580" s="174">
        <v>-1925.5149929211939</v>
      </c>
      <c r="BJ580" s="174">
        <v>-1854.2353505739243</v>
      </c>
      <c r="BK580" s="174">
        <v>-2209.6890809299448</v>
      </c>
      <c r="BL580" s="174">
        <v>-2522.9186163338218</v>
      </c>
      <c r="BM580" s="174">
        <v>-2002.4141658766766</v>
      </c>
      <c r="BN580" s="174">
        <v>-2994.5813340278814</v>
      </c>
      <c r="BO580" s="174">
        <v>-2422.6921696959171</v>
      </c>
      <c r="BP580" s="174">
        <v>-2614.7869418792698</v>
      </c>
      <c r="BQ580" s="174">
        <v>-981.1605384467515</v>
      </c>
      <c r="BR580" s="174">
        <v>-4664.4554551821657</v>
      </c>
      <c r="BS580" s="174">
        <v>-2318.2651807240254</v>
      </c>
      <c r="BT580" s="174">
        <v>-1935.938908300948</v>
      </c>
      <c r="BU580" s="174">
        <v>-1952.8555042209262</v>
      </c>
      <c r="BV580" s="174">
        <v>-1869.0256518291262</v>
      </c>
      <c r="BW580" s="174">
        <v>-2240.5234393271821</v>
      </c>
      <c r="BX580" s="174">
        <v>-2559.5669584595371</v>
      </c>
      <c r="BY580" s="174">
        <v>-2027.2270928485837</v>
      </c>
      <c r="BZ580" s="174">
        <v>-3032.0297346092907</v>
      </c>
      <c r="CA580" s="174">
        <v>-2452.5358507842911</v>
      </c>
      <c r="CB580" s="174">
        <v>-2646.218121878384</v>
      </c>
      <c r="CC580" s="174">
        <v>-983.74740893893818</v>
      </c>
      <c r="CD580" s="174">
        <v>-4675.9003371109593</v>
      </c>
      <c r="CE580" s="174">
        <v>-2317.8577693688994</v>
      </c>
      <c r="CF580" s="174">
        <v>-1932.6383528510758</v>
      </c>
      <c r="CG580" s="174">
        <v>-1959.6015507290304</v>
      </c>
      <c r="CH580" s="174">
        <v>-1876.3370770100469</v>
      </c>
      <c r="CI580" s="174">
        <v>-2235.9056074041932</v>
      </c>
      <c r="CJ580" s="174">
        <v>-2560.8176683986503</v>
      </c>
      <c r="CK580" s="174">
        <v>-2029.5995449792522</v>
      </c>
      <c r="CL580" s="174">
        <v>-3045.664017725242</v>
      </c>
      <c r="CM580" s="174">
        <v>-2456.3508860326865</v>
      </c>
      <c r="CN580" s="174">
        <v>-2654.6290188890794</v>
      </c>
      <c r="CO580" s="174">
        <v>-984.13699780884951</v>
      </c>
    </row>
    <row r="581" spans="1:93" x14ac:dyDescent="0.2">
      <c r="A581" s="118">
        <f t="shared" si="59"/>
        <v>30</v>
      </c>
      <c r="B581" s="234" t="s">
        <v>583</v>
      </c>
      <c r="C581" s="263"/>
      <c r="D581" s="172">
        <f>SUM(H561,H569:H570,H576)</f>
        <v>295306.78999999998</v>
      </c>
      <c r="E581" s="233" t="s">
        <v>10</v>
      </c>
      <c r="F581" s="249">
        <v>0.02</v>
      </c>
      <c r="G581" s="233" t="s">
        <v>375</v>
      </c>
      <c r="H581" s="174">
        <f>-F581*D581</f>
        <v>-5906.1358</v>
      </c>
      <c r="I581" s="308"/>
      <c r="J581" s="172">
        <f>SUM(N561,N569:N570,N576)</f>
        <v>306893.05</v>
      </c>
      <c r="K581" s="233" t="s">
        <v>10</v>
      </c>
      <c r="L581" s="249">
        <v>0.02</v>
      </c>
      <c r="M581" s="233" t="s">
        <v>375</v>
      </c>
      <c r="N581" s="174">
        <f>ROUND(L581*-J581,2)</f>
        <v>-6137.86</v>
      </c>
      <c r="O581" s="227"/>
      <c r="Q581" s="227"/>
      <c r="T581" s="264"/>
      <c r="U581" s="184" t="s">
        <v>140</v>
      </c>
      <c r="V581" s="179">
        <v>257</v>
      </c>
      <c r="W581" s="180">
        <v>231</v>
      </c>
      <c r="X581" s="264"/>
      <c r="Y581" s="184" t="s">
        <v>140</v>
      </c>
      <c r="Z581" s="181" t="s">
        <v>417</v>
      </c>
      <c r="AA581" s="264"/>
      <c r="AB581" s="182">
        <f>SUM(AH581:AS581)</f>
        <v>0</v>
      </c>
      <c r="AC581" s="182">
        <f>SUM(AT581:BE581)</f>
        <v>0</v>
      </c>
      <c r="AD581" s="182">
        <f>SUM(BF581:BQ581)</f>
        <v>0</v>
      </c>
      <c r="AE581" s="182">
        <f>SUM(BR581:CC581)</f>
        <v>0</v>
      </c>
      <c r="AF581" s="182">
        <f>SUM(CD581:CO581)</f>
        <v>0</v>
      </c>
      <c r="AH581" s="174">
        <v>0</v>
      </c>
      <c r="AI581" s="174">
        <v>0</v>
      </c>
      <c r="AJ581" s="174">
        <v>0</v>
      </c>
      <c r="AK581" s="174">
        <v>0</v>
      </c>
      <c r="AL581" s="174">
        <v>0</v>
      </c>
      <c r="AM581" s="174">
        <v>0</v>
      </c>
      <c r="AN581" s="174">
        <v>0</v>
      </c>
      <c r="AO581" s="174">
        <v>0</v>
      </c>
      <c r="AP581" s="174">
        <v>0</v>
      </c>
      <c r="AQ581" s="174">
        <v>0</v>
      </c>
      <c r="AR581" s="174">
        <v>0</v>
      </c>
      <c r="AS581" s="174">
        <v>0</v>
      </c>
      <c r="AT581" s="174">
        <v>0</v>
      </c>
      <c r="AU581" s="174">
        <v>0</v>
      </c>
      <c r="AV581" s="174">
        <v>0</v>
      </c>
      <c r="AW581" s="174">
        <v>0</v>
      </c>
      <c r="AX581" s="174">
        <v>0</v>
      </c>
      <c r="AY581" s="174">
        <v>0</v>
      </c>
      <c r="AZ581" s="174">
        <v>0</v>
      </c>
      <c r="BA581" s="174">
        <v>0</v>
      </c>
      <c r="BB581" s="174">
        <v>0</v>
      </c>
      <c r="BC581" s="174">
        <v>0</v>
      </c>
      <c r="BD581" s="174">
        <v>0</v>
      </c>
      <c r="BE581" s="174">
        <v>0</v>
      </c>
      <c r="BF581" s="174">
        <v>0</v>
      </c>
      <c r="BG581" s="174">
        <v>0</v>
      </c>
      <c r="BH581" s="174">
        <v>0</v>
      </c>
      <c r="BI581" s="174">
        <v>0</v>
      </c>
      <c r="BJ581" s="174">
        <v>0</v>
      </c>
      <c r="BK581" s="174">
        <v>0</v>
      </c>
      <c r="BL581" s="174">
        <v>0</v>
      </c>
      <c r="BM581" s="174">
        <v>0</v>
      </c>
      <c r="BN581" s="174">
        <v>0</v>
      </c>
      <c r="BO581" s="174">
        <v>0</v>
      </c>
      <c r="BP581" s="174">
        <v>0</v>
      </c>
      <c r="BQ581" s="174">
        <v>0</v>
      </c>
      <c r="BR581" s="174">
        <v>0</v>
      </c>
      <c r="BS581" s="174">
        <v>0</v>
      </c>
      <c r="BT581" s="174">
        <v>0</v>
      </c>
      <c r="BU581" s="174">
        <v>0</v>
      </c>
      <c r="BV581" s="174">
        <v>0</v>
      </c>
      <c r="BW581" s="174">
        <v>0</v>
      </c>
      <c r="BX581" s="174">
        <v>0</v>
      </c>
      <c r="BY581" s="174">
        <v>0</v>
      </c>
      <c r="BZ581" s="174">
        <v>0</v>
      </c>
      <c r="CA581" s="174">
        <v>0</v>
      </c>
      <c r="CB581" s="174">
        <v>0</v>
      </c>
      <c r="CC581" s="174">
        <v>0</v>
      </c>
      <c r="CD581" s="174">
        <v>0</v>
      </c>
      <c r="CE581" s="174">
        <v>0</v>
      </c>
      <c r="CF581" s="174">
        <v>0</v>
      </c>
      <c r="CG581" s="174">
        <v>0</v>
      </c>
      <c r="CH581" s="174">
        <v>0</v>
      </c>
      <c r="CI581" s="174">
        <v>0</v>
      </c>
      <c r="CJ581" s="174">
        <v>0</v>
      </c>
      <c r="CK581" s="174">
        <v>0</v>
      </c>
      <c r="CL581" s="174">
        <v>0</v>
      </c>
      <c r="CM581" s="174">
        <v>0</v>
      </c>
      <c r="CN581" s="174">
        <v>0</v>
      </c>
      <c r="CO581" s="174">
        <v>0</v>
      </c>
    </row>
    <row r="582" spans="1:93" x14ac:dyDescent="0.2">
      <c r="A582" s="118">
        <f t="shared" si="59"/>
        <v>31</v>
      </c>
      <c r="B582" s="223"/>
      <c r="C582" s="225" t="s">
        <v>121</v>
      </c>
      <c r="D582" s="227"/>
      <c r="E582" s="227"/>
      <c r="F582" s="203"/>
      <c r="G582" s="227"/>
      <c r="H582" s="300">
        <f>SUM(H579:H581)</f>
        <v>-484423.28729999997</v>
      </c>
      <c r="I582" s="308"/>
      <c r="J582" s="227"/>
      <c r="K582" s="227"/>
      <c r="L582" s="203"/>
      <c r="M582" s="227"/>
      <c r="N582" s="300">
        <f>SUM(N579:N581)</f>
        <v>-499751.72</v>
      </c>
      <c r="O582" s="227"/>
      <c r="Q582" s="176"/>
      <c r="T582" s="264"/>
      <c r="U582" s="184"/>
      <c r="V582" s="179"/>
      <c r="W582" s="180"/>
      <c r="X582" s="264"/>
      <c r="Y582" s="184"/>
      <c r="Z582" s="181"/>
      <c r="AA582" s="264"/>
      <c r="AB582" s="264"/>
      <c r="AD582" s="245"/>
    </row>
    <row r="583" spans="1:93" x14ac:dyDescent="0.2">
      <c r="A583" s="118">
        <f t="shared" si="59"/>
        <v>32</v>
      </c>
      <c r="B583" s="223"/>
      <c r="C583" s="225"/>
      <c r="D583" s="227"/>
      <c r="E583" s="227"/>
      <c r="F583" s="197"/>
      <c r="G583" s="227"/>
      <c r="H583" s="203"/>
      <c r="I583" s="308"/>
      <c r="J583" s="227"/>
      <c r="K583" s="227"/>
      <c r="L583" s="197"/>
      <c r="M583" s="227"/>
      <c r="N583" s="203"/>
      <c r="O583" s="227"/>
      <c r="Q583" s="227"/>
      <c r="U583" s="184"/>
      <c r="V583" s="179"/>
      <c r="W583" s="180"/>
      <c r="Y583" s="184"/>
      <c r="Z583" s="181"/>
    </row>
    <row r="584" spans="1:93" ht="10.8" thickBot="1" x14ac:dyDescent="0.25">
      <c r="A584" s="118">
        <f t="shared" si="59"/>
        <v>33</v>
      </c>
      <c r="B584" s="246" t="s">
        <v>658</v>
      </c>
      <c r="C584" s="227"/>
      <c r="D584" s="227"/>
      <c r="E584" s="227"/>
      <c r="F584" s="197"/>
      <c r="G584" s="227"/>
      <c r="H584" s="330">
        <f>+H582+H577+H571+H556</f>
        <v>4031393.6426999997</v>
      </c>
      <c r="I584" s="308"/>
      <c r="J584" s="227"/>
      <c r="K584" s="227"/>
      <c r="L584" s="197"/>
      <c r="M584" s="227"/>
      <c r="N584" s="330">
        <f>+N582+N577+N571+N556</f>
        <v>4194759.16</v>
      </c>
      <c r="O584" s="227"/>
      <c r="P584" s="227"/>
      <c r="Q584" s="939">
        <f>(N584-H584)/H584</f>
        <v>4.05233355457165E-2</v>
      </c>
      <c r="U584" s="184"/>
      <c r="V584" s="179"/>
      <c r="W584" s="180"/>
      <c r="Y584" s="184" t="s">
        <v>140</v>
      </c>
      <c r="Z584" s="181" t="s">
        <v>121</v>
      </c>
    </row>
    <row r="585" spans="1:93" ht="10.8" thickTop="1" x14ac:dyDescent="0.2">
      <c r="A585" s="118">
        <f t="shared" si="59"/>
        <v>34</v>
      </c>
      <c r="B585" s="227"/>
      <c r="C585" s="227"/>
      <c r="D585" s="227"/>
      <c r="E585" s="227"/>
      <c r="F585" s="197"/>
      <c r="G585" s="227"/>
      <c r="H585" s="203"/>
      <c r="I585" s="308"/>
      <c r="J585" s="227"/>
      <c r="K585" s="227"/>
      <c r="L585" s="197"/>
      <c r="M585" s="227"/>
      <c r="N585" s="203"/>
      <c r="O585" s="227"/>
      <c r="P585" s="227"/>
      <c r="Q585" s="227"/>
      <c r="U585" s="178"/>
      <c r="V585" s="179"/>
      <c r="W585" s="180"/>
      <c r="Y585" s="178"/>
      <c r="Z585" s="181"/>
    </row>
    <row r="586" spans="1:93" x14ac:dyDescent="0.2">
      <c r="A586" s="118">
        <f t="shared" si="59"/>
        <v>35</v>
      </c>
      <c r="B586" s="227"/>
      <c r="C586" s="227"/>
      <c r="D586" s="227"/>
      <c r="E586" s="227"/>
      <c r="F586" s="197"/>
      <c r="G586" s="227"/>
      <c r="H586" s="935"/>
      <c r="I586" s="308"/>
      <c r="J586" s="234" t="s">
        <v>573</v>
      </c>
      <c r="K586" s="225"/>
      <c r="L586" s="197"/>
      <c r="M586" s="223"/>
      <c r="N586" s="174">
        <f>N584-H584</f>
        <v>163365.51730000041</v>
      </c>
      <c r="O586" s="227"/>
      <c r="P586" s="227"/>
      <c r="Q586" s="227"/>
      <c r="U586" s="178"/>
      <c r="V586" s="179"/>
      <c r="W586" s="180"/>
      <c r="Y586" s="178"/>
      <c r="Z586" s="181"/>
    </row>
    <row r="587" spans="1:93" x14ac:dyDescent="0.2">
      <c r="A587" s="118">
        <f t="shared" si="59"/>
        <v>36</v>
      </c>
      <c r="B587" s="234"/>
      <c r="C587" s="223"/>
      <c r="D587" s="168"/>
      <c r="E587" s="225"/>
      <c r="F587" s="183"/>
      <c r="G587" s="233"/>
      <c r="H587" s="935"/>
      <c r="I587" s="308"/>
      <c r="J587" s="168"/>
      <c r="K587" s="225"/>
      <c r="L587" s="183"/>
      <c r="M587" s="233"/>
      <c r="N587" s="174"/>
      <c r="O587" s="227"/>
      <c r="P587" s="227"/>
      <c r="Q587" s="227"/>
      <c r="U587" s="252"/>
      <c r="V587" s="253"/>
      <c r="W587" s="254"/>
      <c r="X587" s="103"/>
      <c r="Y587" s="252"/>
      <c r="Z587" s="255"/>
    </row>
    <row r="588" spans="1:93" x14ac:dyDescent="0.2">
      <c r="A588" s="215"/>
      <c r="B588" s="215" t="s">
        <v>674</v>
      </c>
      <c r="C588" s="215"/>
      <c r="D588" s="215"/>
      <c r="E588" s="215"/>
      <c r="F588" s="215"/>
      <c r="G588" s="215"/>
      <c r="H588" s="215"/>
      <c r="I588" s="215"/>
      <c r="J588" s="215"/>
      <c r="K588" s="215"/>
      <c r="L588" s="215"/>
      <c r="M588" s="215"/>
      <c r="N588" s="215" t="s">
        <v>675</v>
      </c>
      <c r="O588" s="215"/>
      <c r="P588" s="215"/>
      <c r="Q588" s="215"/>
      <c r="Y588" s="101"/>
    </row>
    <row r="589" spans="1:93" x14ac:dyDescent="0.2">
      <c r="A589" s="216"/>
      <c r="B589" s="216"/>
      <c r="C589" s="216"/>
      <c r="D589" s="216"/>
      <c r="E589" s="216"/>
      <c r="F589" s="216"/>
      <c r="G589" s="216"/>
      <c r="H589" s="216"/>
      <c r="I589" s="216"/>
      <c r="J589" s="216"/>
      <c r="K589" s="216"/>
      <c r="L589" s="216"/>
      <c r="M589" s="216"/>
      <c r="N589" s="216"/>
      <c r="O589" s="216"/>
      <c r="P589" s="216"/>
      <c r="Q589" s="216"/>
      <c r="R589" s="216"/>
      <c r="S589" s="216"/>
      <c r="T589" s="216"/>
      <c r="U589" s="216"/>
      <c r="V589" s="216"/>
      <c r="W589" s="216"/>
      <c r="X589" s="216"/>
      <c r="Y589" s="216"/>
      <c r="Z589" s="217"/>
      <c r="AA589" s="216"/>
      <c r="AB589" s="216"/>
      <c r="AC589" s="216"/>
      <c r="AD589" s="216"/>
      <c r="AE589" s="216"/>
      <c r="AF589" s="216"/>
      <c r="AG589" s="216"/>
      <c r="AH589" s="216"/>
      <c r="AI589" s="216"/>
      <c r="AJ589" s="216"/>
      <c r="AK589" s="216"/>
      <c r="AL589" s="216"/>
      <c r="AM589" s="216"/>
      <c r="AN589" s="216"/>
      <c r="AO589" s="216"/>
      <c r="AP589" s="216"/>
      <c r="AQ589" s="216"/>
      <c r="AR589" s="216"/>
      <c r="AS589" s="216"/>
      <c r="AT589" s="216"/>
      <c r="AU589" s="216"/>
      <c r="AV589" s="216"/>
      <c r="AW589" s="216"/>
      <c r="AX589" s="216"/>
      <c r="AY589" s="216"/>
      <c r="AZ589" s="216"/>
      <c r="BA589" s="216"/>
      <c r="BB589" s="216"/>
      <c r="BC589" s="216"/>
      <c r="BD589" s="216"/>
      <c r="BE589" s="216"/>
      <c r="BF589" s="216"/>
      <c r="BG589" s="216"/>
      <c r="BH589" s="216"/>
      <c r="BI589" s="216"/>
      <c r="BJ589" s="216"/>
      <c r="BK589" s="216"/>
      <c r="BL589" s="216"/>
      <c r="BM589" s="216"/>
      <c r="BN589" s="216"/>
      <c r="BO589" s="216"/>
      <c r="BP589" s="216"/>
      <c r="BQ589" s="216"/>
      <c r="BR589" s="216"/>
      <c r="BS589" s="216"/>
      <c r="BT589" s="216"/>
      <c r="BU589" s="216"/>
      <c r="BV589" s="216"/>
      <c r="BW589" s="216"/>
      <c r="BX589" s="216"/>
      <c r="BY589" s="216"/>
      <c r="BZ589" s="216"/>
      <c r="CA589" s="216"/>
      <c r="CB589" s="216"/>
      <c r="CC589" s="216"/>
      <c r="CD589" s="216"/>
      <c r="CE589" s="216"/>
      <c r="CF589" s="216"/>
      <c r="CG589" s="216"/>
      <c r="CH589" s="216"/>
      <c r="CI589" s="216"/>
      <c r="CJ589" s="216"/>
      <c r="CK589" s="216"/>
      <c r="CL589" s="216"/>
      <c r="CM589" s="216"/>
      <c r="CN589" s="216"/>
      <c r="CO589" s="216"/>
    </row>
    <row r="590" spans="1:93" x14ac:dyDescent="0.2">
      <c r="A590" s="100" t="s">
        <v>505</v>
      </c>
      <c r="C590" s="102"/>
      <c r="D590" s="103"/>
      <c r="F590" s="268"/>
      <c r="G590" s="104"/>
      <c r="H590" s="269" t="s">
        <v>506</v>
      </c>
      <c r="I590" s="104"/>
      <c r="J590" s="104"/>
      <c r="K590" s="104"/>
      <c r="L590" s="268"/>
      <c r="N590" s="270"/>
      <c r="Q590" s="106" t="s">
        <v>660</v>
      </c>
      <c r="R590" s="105"/>
      <c r="S590" s="105"/>
      <c r="U590" s="114"/>
      <c r="V590" s="114"/>
      <c r="W590" s="114"/>
      <c r="Y590" s="114"/>
      <c r="Z590" s="218"/>
      <c r="AC590" s="114"/>
    </row>
    <row r="591" spans="1:93" ht="10.8" thickBot="1" x14ac:dyDescent="0.25">
      <c r="A591" s="108"/>
      <c r="B591" s="109"/>
      <c r="C591" s="109"/>
      <c r="D591" s="109"/>
      <c r="E591" s="110" t="s">
        <v>416</v>
      </c>
      <c r="F591" s="271" t="s">
        <v>416</v>
      </c>
      <c r="G591" s="109" t="s">
        <v>416</v>
      </c>
      <c r="H591" s="272" t="s">
        <v>416</v>
      </c>
      <c r="I591" s="109" t="s">
        <v>416</v>
      </c>
      <c r="J591" s="109"/>
      <c r="K591" s="109"/>
      <c r="L591" s="271" t="s">
        <v>416</v>
      </c>
      <c r="M591" s="111"/>
      <c r="N591" s="273"/>
      <c r="O591" s="109"/>
      <c r="P591" s="112"/>
      <c r="Q591" s="109"/>
      <c r="U591" s="114"/>
      <c r="V591" s="114"/>
      <c r="W591" s="114"/>
      <c r="Y591" s="114"/>
      <c r="Z591" s="218"/>
      <c r="AC591" s="114"/>
    </row>
    <row r="592" spans="1:93" x14ac:dyDescent="0.2">
      <c r="A592" s="113"/>
      <c r="F592" s="197"/>
      <c r="H592" s="203"/>
      <c r="L592" s="197"/>
      <c r="M592" s="105"/>
      <c r="N592" s="270"/>
      <c r="P592" s="114"/>
      <c r="U592" s="114"/>
      <c r="V592" s="114"/>
      <c r="W592" s="114"/>
      <c r="Y592" s="114"/>
      <c r="Z592" s="218"/>
      <c r="AC592" s="114"/>
    </row>
    <row r="593" spans="1:93" x14ac:dyDescent="0.2">
      <c r="A593" s="100" t="s">
        <v>3</v>
      </c>
      <c r="D593" s="106" t="s">
        <v>4</v>
      </c>
      <c r="E593" s="101" t="s">
        <v>508</v>
      </c>
      <c r="F593" s="197"/>
      <c r="H593" s="203"/>
      <c r="L593" s="197"/>
      <c r="N593" s="203"/>
      <c r="O593" s="100" t="s">
        <v>6</v>
      </c>
      <c r="U593" s="114"/>
      <c r="V593" s="114"/>
      <c r="W593" s="114"/>
      <c r="Y593" s="114"/>
      <c r="Z593" s="218"/>
      <c r="AC593" s="114"/>
    </row>
    <row r="594" spans="1:93" x14ac:dyDescent="0.2">
      <c r="E594" s="101" t="s">
        <v>509</v>
      </c>
      <c r="F594" s="197"/>
      <c r="H594" s="203"/>
      <c r="L594" s="197"/>
      <c r="N594" s="203"/>
      <c r="U594" s="114"/>
      <c r="V594" s="114"/>
      <c r="W594" s="114"/>
      <c r="Y594" s="114"/>
      <c r="Z594" s="218"/>
      <c r="AC594" s="114"/>
    </row>
    <row r="595" spans="1:93" x14ac:dyDescent="0.2">
      <c r="A595" s="100" t="s">
        <v>9</v>
      </c>
      <c r="E595" s="101" t="s">
        <v>510</v>
      </c>
      <c r="F595" s="197"/>
      <c r="H595" s="203"/>
      <c r="L595" s="197"/>
      <c r="N595" s="203"/>
      <c r="O595" s="101" t="str">
        <f>O544</f>
        <v>__X__  Projected Test Year Ended 12/31/26</v>
      </c>
      <c r="U595" s="114"/>
      <c r="V595" s="114"/>
      <c r="W595" s="114"/>
      <c r="Y595" s="114"/>
      <c r="Z595" s="218"/>
      <c r="AC595" s="114"/>
    </row>
    <row r="596" spans="1:93" x14ac:dyDescent="0.2">
      <c r="E596" s="101" t="s">
        <v>512</v>
      </c>
      <c r="F596" s="197"/>
      <c r="H596" s="203"/>
      <c r="L596" s="197"/>
      <c r="N596" s="203"/>
      <c r="U596" s="114"/>
      <c r="V596" s="114"/>
      <c r="W596" s="114"/>
      <c r="Y596" s="114"/>
      <c r="Z596" s="218"/>
      <c r="AC596" s="114"/>
    </row>
    <row r="597" spans="1:93" x14ac:dyDescent="0.2">
      <c r="A597" s="100" t="s">
        <v>491</v>
      </c>
      <c r="C597" s="119" t="str">
        <f>C546</f>
        <v>20240025-EI</v>
      </c>
      <c r="F597" s="197"/>
      <c r="H597" s="203"/>
      <c r="L597" s="197"/>
      <c r="N597" s="203"/>
      <c r="O597" s="100" t="s">
        <v>493</v>
      </c>
      <c r="U597" s="114"/>
      <c r="V597" s="114"/>
      <c r="W597" s="114"/>
      <c r="Y597" s="114"/>
      <c r="Z597" s="218"/>
      <c r="AC597" s="114"/>
    </row>
    <row r="598" spans="1:93" ht="10.8" thickBot="1" x14ac:dyDescent="0.25">
      <c r="A598" s="123"/>
      <c r="B598" s="109"/>
      <c r="C598" s="109"/>
      <c r="D598" s="109"/>
      <c r="E598" s="109"/>
      <c r="F598" s="274"/>
      <c r="G598" s="109"/>
      <c r="H598" s="272"/>
      <c r="I598" s="109"/>
      <c r="J598" s="109"/>
      <c r="K598" s="109"/>
      <c r="L598" s="274"/>
      <c r="M598" s="109"/>
      <c r="N598" s="275"/>
      <c r="O598" s="109"/>
      <c r="P598" s="109"/>
      <c r="Q598" s="109"/>
      <c r="U598" s="114"/>
      <c r="V598" s="114"/>
      <c r="W598" s="114"/>
      <c r="Y598" s="114"/>
      <c r="Z598" s="218"/>
      <c r="AC598" s="114"/>
    </row>
    <row r="599" spans="1:93" ht="15.6" x14ac:dyDescent="0.2">
      <c r="B599" s="1369"/>
      <c r="C599" s="125"/>
      <c r="D599" s="125"/>
      <c r="E599" s="125"/>
      <c r="F599" s="276"/>
      <c r="G599" s="125"/>
      <c r="H599" s="277"/>
      <c r="I599" s="126" t="s">
        <v>661</v>
      </c>
      <c r="J599" s="125"/>
      <c r="K599" s="125"/>
      <c r="L599" s="276"/>
      <c r="M599" s="125"/>
      <c r="N599" s="277"/>
      <c r="U599" s="127" t="s">
        <v>530</v>
      </c>
      <c r="V599" s="128"/>
      <c r="W599" s="129"/>
      <c r="Y599" s="130" t="s">
        <v>531</v>
      </c>
      <c r="Z599" s="131"/>
    </row>
    <row r="600" spans="1:93" x14ac:dyDescent="0.2">
      <c r="A600" s="101" t="s">
        <v>30</v>
      </c>
      <c r="B600" s="101" t="s">
        <v>532</v>
      </c>
      <c r="C600" s="132"/>
      <c r="D600" s="133" t="s">
        <v>533</v>
      </c>
      <c r="E600" s="134"/>
      <c r="F600" s="278"/>
      <c r="G600" s="133"/>
      <c r="H600" s="279"/>
      <c r="I600" s="135"/>
      <c r="J600" s="136" t="s">
        <v>534</v>
      </c>
      <c r="K600" s="133"/>
      <c r="L600" s="278"/>
      <c r="M600" s="134"/>
      <c r="N600" s="280"/>
      <c r="O600" s="1372"/>
      <c r="Q600" s="118" t="s">
        <v>332</v>
      </c>
      <c r="U600" s="138"/>
      <c r="V600" s="139"/>
      <c r="W600" s="140"/>
      <c r="Y600" s="138"/>
      <c r="Z600" s="141"/>
      <c r="AH600" s="116"/>
      <c r="AI600" s="116"/>
      <c r="AJ600" s="116"/>
      <c r="AK600" s="116"/>
      <c r="AL600" s="116"/>
      <c r="AM600" s="116"/>
      <c r="AN600" s="116"/>
      <c r="AO600" s="116"/>
      <c r="AP600" s="116"/>
      <c r="AQ600" s="116"/>
      <c r="AR600" s="116"/>
      <c r="AS600" s="116"/>
      <c r="AT600" s="116"/>
      <c r="AU600" s="116"/>
      <c r="AV600" s="116"/>
      <c r="AW600" s="116"/>
      <c r="AX600" s="116"/>
      <c r="AY600" s="116"/>
      <c r="AZ600" s="116"/>
      <c r="BA600" s="116"/>
      <c r="BB600" s="116"/>
      <c r="BC600" s="116"/>
      <c r="BD600" s="116"/>
      <c r="BE600" s="116"/>
      <c r="BF600" s="116"/>
      <c r="BG600" s="116"/>
      <c r="BH600" s="116"/>
      <c r="BI600" s="116"/>
      <c r="BJ600" s="116"/>
      <c r="BK600" s="116"/>
      <c r="BL600" s="116"/>
      <c r="BM600" s="116"/>
      <c r="BN600" s="116"/>
      <c r="BO600" s="116"/>
      <c r="BP600" s="116"/>
      <c r="BQ600" s="116"/>
      <c r="BR600" s="116"/>
      <c r="BS600" s="116"/>
      <c r="BT600" s="116"/>
      <c r="BU600" s="116"/>
      <c r="BV600" s="116"/>
      <c r="BW600" s="116"/>
      <c r="BX600" s="116"/>
      <c r="BY600" s="116"/>
      <c r="BZ600" s="116"/>
      <c r="CA600" s="116"/>
      <c r="CB600" s="116"/>
      <c r="CC600" s="116"/>
      <c r="CD600" s="116"/>
      <c r="CE600" s="116"/>
      <c r="CF600" s="116"/>
      <c r="CG600" s="116"/>
      <c r="CH600" s="116"/>
      <c r="CI600" s="116"/>
      <c r="CJ600" s="116"/>
      <c r="CK600" s="116"/>
      <c r="CL600" s="116"/>
      <c r="CM600" s="116"/>
      <c r="CN600" s="116"/>
      <c r="CO600" s="116"/>
    </row>
    <row r="601" spans="1:93" x14ac:dyDescent="0.2">
      <c r="A601" s="101" t="s">
        <v>39</v>
      </c>
      <c r="B601" s="102" t="s">
        <v>535</v>
      </c>
      <c r="C601" s="104"/>
      <c r="D601" s="142" t="s">
        <v>536</v>
      </c>
      <c r="E601" s="143"/>
      <c r="F601" s="281" t="s">
        <v>537</v>
      </c>
      <c r="G601" s="142"/>
      <c r="H601" s="282" t="s">
        <v>538</v>
      </c>
      <c r="I601" s="144"/>
      <c r="J601" s="142" t="s">
        <v>536</v>
      </c>
      <c r="K601" s="143"/>
      <c r="L601" s="281" t="s">
        <v>537</v>
      </c>
      <c r="M601" s="142"/>
      <c r="N601" s="282" t="s">
        <v>538</v>
      </c>
      <c r="O601" s="132"/>
      <c r="Q601" s="145" t="s">
        <v>539</v>
      </c>
      <c r="R601" s="132"/>
      <c r="S601" s="132"/>
      <c r="U601" s="138" t="s">
        <v>128</v>
      </c>
      <c r="V601" s="146" t="s">
        <v>343</v>
      </c>
      <c r="W601" s="147" t="s">
        <v>344</v>
      </c>
      <c r="Y601" s="148" t="s">
        <v>128</v>
      </c>
      <c r="Z601" s="149"/>
      <c r="AH601" s="116"/>
      <c r="AI601" s="116"/>
      <c r="AJ601" s="116"/>
      <c r="AK601" s="116"/>
      <c r="AL601" s="116"/>
      <c r="AM601" s="116"/>
      <c r="AN601" s="116"/>
      <c r="AO601" s="116"/>
      <c r="AP601" s="116"/>
      <c r="AQ601" s="116"/>
      <c r="AR601" s="116"/>
      <c r="AS601" s="116"/>
      <c r="AT601" s="116"/>
      <c r="AU601" s="116"/>
      <c r="AV601" s="116"/>
      <c r="AW601" s="116"/>
      <c r="AX601" s="116"/>
      <c r="AY601" s="116"/>
      <c r="AZ601" s="116"/>
      <c r="BA601" s="116"/>
      <c r="BB601" s="116"/>
      <c r="BC601" s="116"/>
      <c r="BD601" s="116"/>
      <c r="BE601" s="116"/>
      <c r="BF601" s="116"/>
      <c r="BG601" s="116"/>
      <c r="BH601" s="116"/>
      <c r="BI601" s="116"/>
      <c r="BJ601" s="116"/>
      <c r="BK601" s="116"/>
      <c r="BL601" s="116"/>
      <c r="BM601" s="116"/>
      <c r="BN601" s="116"/>
      <c r="BO601" s="116"/>
      <c r="BP601" s="116"/>
      <c r="BQ601" s="116"/>
      <c r="BR601" s="116"/>
      <c r="BS601" s="116"/>
      <c r="BT601" s="116"/>
      <c r="BU601" s="116"/>
      <c r="BV601" s="116"/>
      <c r="BW601" s="116"/>
      <c r="BX601" s="116"/>
      <c r="BY601" s="116"/>
      <c r="BZ601" s="116"/>
      <c r="CA601" s="116"/>
      <c r="CB601" s="116"/>
      <c r="CC601" s="116"/>
      <c r="CD601" s="116"/>
      <c r="CE601" s="116"/>
      <c r="CF601" s="116"/>
      <c r="CG601" s="116"/>
      <c r="CH601" s="116"/>
      <c r="CI601" s="116"/>
      <c r="CJ601" s="116"/>
      <c r="CK601" s="116"/>
      <c r="CL601" s="116"/>
      <c r="CM601" s="116"/>
      <c r="CN601" s="116"/>
      <c r="CO601" s="116"/>
    </row>
    <row r="602" spans="1:93" ht="10.8" thickBot="1" x14ac:dyDescent="0.25">
      <c r="A602" s="109"/>
      <c r="B602" s="1370" t="s">
        <v>139</v>
      </c>
      <c r="C602" s="150"/>
      <c r="D602" s="220" t="str">
        <f>+$D$13</f>
        <v>Jan '26-Dec '26</v>
      </c>
      <c r="E602" s="221"/>
      <c r="F602" s="152">
        <f>+$L$13</f>
        <v>46023</v>
      </c>
      <c r="G602" s="153"/>
      <c r="H602" s="153"/>
      <c r="I602" s="153"/>
      <c r="J602" s="153"/>
      <c r="K602" s="151"/>
      <c r="L602" s="152">
        <f>+$L$13</f>
        <v>46023</v>
      </c>
      <c r="M602" s="154"/>
      <c r="N602" s="283"/>
      <c r="O602" s="155"/>
      <c r="P602" s="109"/>
      <c r="Q602" s="156"/>
      <c r="R602" s="132"/>
      <c r="S602" s="132"/>
      <c r="U602" s="157" t="s">
        <v>144</v>
      </c>
      <c r="V602" s="158" t="s">
        <v>540</v>
      </c>
      <c r="W602" s="159" t="s">
        <v>540</v>
      </c>
      <c r="Y602" s="160" t="s">
        <v>144</v>
      </c>
      <c r="Z602" s="159" t="s">
        <v>541</v>
      </c>
      <c r="AH602" s="116"/>
      <c r="AI602" s="116"/>
      <c r="AJ602" s="116"/>
      <c r="AK602" s="116"/>
      <c r="AL602" s="116"/>
      <c r="AM602" s="116"/>
      <c r="AN602" s="116"/>
      <c r="AO602" s="116"/>
      <c r="AP602" s="116"/>
      <c r="AQ602" s="116"/>
      <c r="AR602" s="116"/>
      <c r="AS602" s="116"/>
      <c r="AT602" s="116"/>
      <c r="AU602" s="116"/>
      <c r="AV602" s="116"/>
      <c r="AW602" s="116"/>
      <c r="AX602" s="116"/>
      <c r="AY602" s="116"/>
      <c r="AZ602" s="116"/>
      <c r="BA602" s="116"/>
      <c r="BB602" s="116"/>
      <c r="BC602" s="116"/>
      <c r="BD602" s="116"/>
      <c r="BE602" s="116"/>
      <c r="BF602" s="116"/>
      <c r="BG602" s="116"/>
      <c r="BH602" s="116"/>
      <c r="BI602" s="116"/>
      <c r="BJ602" s="116"/>
      <c r="BK602" s="116"/>
      <c r="BL602" s="116"/>
      <c r="BM602" s="116"/>
      <c r="BN602" s="116"/>
      <c r="BO602" s="116"/>
      <c r="BP602" s="116"/>
      <c r="BQ602" s="116"/>
      <c r="BR602" s="116"/>
      <c r="BS602" s="116"/>
      <c r="BT602" s="116"/>
      <c r="BU602" s="116"/>
      <c r="BV602" s="116"/>
      <c r="BW602" s="116"/>
      <c r="BX602" s="116"/>
      <c r="BY602" s="116"/>
      <c r="BZ602" s="116"/>
      <c r="CA602" s="116"/>
      <c r="CB602" s="116"/>
      <c r="CC602" s="116"/>
      <c r="CD602" s="116"/>
      <c r="CE602" s="116"/>
      <c r="CF602" s="116"/>
      <c r="CG602" s="116"/>
      <c r="CH602" s="116"/>
      <c r="CI602" s="116"/>
      <c r="CJ602" s="116"/>
      <c r="CK602" s="116"/>
      <c r="CL602" s="116"/>
      <c r="CM602" s="116"/>
      <c r="CN602" s="116"/>
      <c r="CO602" s="116"/>
    </row>
    <row r="603" spans="1:93" x14ac:dyDescent="0.2">
      <c r="A603" s="118">
        <v>1</v>
      </c>
      <c r="F603" s="197"/>
      <c r="H603" s="203"/>
      <c r="I603" s="308"/>
      <c r="L603" s="197"/>
      <c r="N603" s="203"/>
      <c r="O603" s="227"/>
      <c r="P603" s="227"/>
      <c r="Q603" s="230"/>
      <c r="R603" s="132"/>
      <c r="S603" s="132"/>
      <c r="U603" s="163"/>
      <c r="V603" s="139"/>
      <c r="W603" s="140"/>
      <c r="Y603" s="163"/>
      <c r="Z603" s="141"/>
      <c r="AH603" s="116"/>
      <c r="AI603" s="116"/>
      <c r="AJ603" s="116"/>
      <c r="AK603" s="116"/>
      <c r="AL603" s="116"/>
      <c r="AM603" s="116"/>
      <c r="AN603" s="116"/>
      <c r="AO603" s="116"/>
      <c r="AP603" s="116"/>
      <c r="AQ603" s="116"/>
      <c r="AR603" s="116"/>
      <c r="AS603" s="116"/>
      <c r="AT603" s="116"/>
      <c r="AU603" s="116"/>
      <c r="AV603" s="116"/>
      <c r="AW603" s="116"/>
      <c r="AX603" s="116"/>
      <c r="AY603" s="116"/>
      <c r="AZ603" s="116"/>
      <c r="BA603" s="116"/>
      <c r="BB603" s="116"/>
      <c r="BC603" s="116"/>
      <c r="BD603" s="116"/>
      <c r="BE603" s="116"/>
      <c r="BF603" s="116"/>
      <c r="BG603" s="116"/>
      <c r="BH603" s="116"/>
      <c r="BI603" s="116"/>
      <c r="BJ603" s="116"/>
      <c r="BK603" s="116"/>
      <c r="BL603" s="116"/>
      <c r="BM603" s="116"/>
      <c r="BN603" s="116"/>
      <c r="BO603" s="116"/>
      <c r="BP603" s="116"/>
      <c r="BQ603" s="116"/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6"/>
      <c r="CB603" s="116"/>
      <c r="CC603" s="116"/>
      <c r="CD603" s="116"/>
      <c r="CE603" s="116"/>
      <c r="CF603" s="116"/>
      <c r="CG603" s="116"/>
      <c r="CH603" s="116"/>
      <c r="CI603" s="116"/>
      <c r="CJ603" s="116"/>
      <c r="CK603" s="116"/>
      <c r="CL603" s="116"/>
      <c r="CM603" s="116"/>
      <c r="CN603" s="116"/>
      <c r="CO603" s="116"/>
    </row>
    <row r="604" spans="1:93" x14ac:dyDescent="0.2">
      <c r="A604" s="118">
        <f t="shared" ref="A604:A638" si="64">+A603+1</f>
        <v>2</v>
      </c>
      <c r="B604" s="222" t="s">
        <v>542</v>
      </c>
      <c r="C604" s="223"/>
      <c r="D604" s="226"/>
      <c r="E604" s="225"/>
      <c r="F604" s="284"/>
      <c r="G604" s="227"/>
      <c r="H604" s="285"/>
      <c r="I604" s="308"/>
      <c r="J604" s="226"/>
      <c r="K604" s="225"/>
      <c r="L604" s="310"/>
      <c r="M604" s="227"/>
      <c r="N604" s="285"/>
      <c r="O604" s="227"/>
      <c r="P604" s="227"/>
      <c r="Q604" s="227"/>
      <c r="R604" s="227"/>
      <c r="S604" s="227"/>
      <c r="T604" s="227"/>
      <c r="U604" s="163"/>
      <c r="V604" s="139"/>
      <c r="W604" s="140"/>
      <c r="X604" s="227"/>
      <c r="Y604" s="163"/>
      <c r="Z604" s="141"/>
      <c r="AA604" s="227"/>
      <c r="AH604" s="116"/>
      <c r="AI604" s="116"/>
      <c r="AJ604" s="116"/>
      <c r="AK604" s="116"/>
      <c r="AL604" s="116"/>
      <c r="AM604" s="116"/>
      <c r="AN604" s="116"/>
      <c r="AO604" s="116"/>
      <c r="AP604" s="116"/>
      <c r="AQ604" s="116"/>
      <c r="AR604" s="116"/>
      <c r="AS604" s="116"/>
      <c r="AT604" s="116"/>
      <c r="AU604" s="116"/>
      <c r="AV604" s="116"/>
      <c r="AW604" s="116"/>
      <c r="AX604" s="116"/>
      <c r="AY604" s="116"/>
      <c r="AZ604" s="116"/>
      <c r="BA604" s="116"/>
      <c r="BB604" s="116"/>
      <c r="BC604" s="116"/>
      <c r="BD604" s="116"/>
      <c r="BE604" s="116"/>
      <c r="BF604" s="116"/>
      <c r="BG604" s="116"/>
      <c r="BH604" s="116"/>
      <c r="BI604" s="116"/>
      <c r="BJ604" s="116"/>
      <c r="BK604" s="116"/>
      <c r="BL604" s="116"/>
      <c r="BM604" s="116"/>
      <c r="BN604" s="116"/>
      <c r="BO604" s="116"/>
      <c r="BP604" s="116"/>
      <c r="BQ604" s="116"/>
      <c r="BR604" s="116"/>
      <c r="BS604" s="116"/>
      <c r="BT604" s="116"/>
      <c r="BU604" s="116"/>
      <c r="BV604" s="116"/>
      <c r="BW604" s="116"/>
      <c r="BX604" s="116"/>
      <c r="BY604" s="116"/>
      <c r="BZ604" s="116"/>
      <c r="CA604" s="116"/>
      <c r="CB604" s="116"/>
      <c r="CC604" s="116"/>
      <c r="CD604" s="116"/>
      <c r="CE604" s="116"/>
      <c r="CF604" s="116"/>
      <c r="CG604" s="116"/>
      <c r="CH604" s="116"/>
      <c r="CI604" s="116"/>
      <c r="CJ604" s="116"/>
      <c r="CK604" s="116"/>
      <c r="CL604" s="116"/>
      <c r="CM604" s="116"/>
      <c r="CN604" s="116"/>
      <c r="CO604" s="116"/>
    </row>
    <row r="605" spans="1:93" x14ac:dyDescent="0.2">
      <c r="A605" s="118">
        <f t="shared" si="64"/>
        <v>3</v>
      </c>
      <c r="B605" s="234" t="s">
        <v>148</v>
      </c>
      <c r="C605" s="223"/>
      <c r="D605" s="172">
        <f>SUMIF($AH$6:$CP$6,1,$AH605:$CP605)</f>
        <v>0</v>
      </c>
      <c r="E605" s="233" t="s">
        <v>545</v>
      </c>
      <c r="F605" s="183">
        <v>432.09</v>
      </c>
      <c r="G605" s="227"/>
      <c r="H605" s="174">
        <f>ROUND(D605*F605,2)</f>
        <v>0</v>
      </c>
      <c r="I605" s="308"/>
      <c r="J605" s="172">
        <f>SUMIF($AH$6:$CP$6,1,$AH605:$CP605)</f>
        <v>0</v>
      </c>
      <c r="K605" s="233" t="s">
        <v>545</v>
      </c>
      <c r="L605" s="173">
        <f>'Exhibit MJC-3 - E-13c cal yr'!L708</f>
        <v>440.95</v>
      </c>
      <c r="M605" s="227"/>
      <c r="N605" s="174">
        <f>ROUND(J605*L605,2)</f>
        <v>0</v>
      </c>
      <c r="O605" s="227"/>
      <c r="P605" s="262"/>
      <c r="Q605" s="262"/>
      <c r="R605" s="227"/>
      <c r="S605" s="227"/>
      <c r="T605" s="227"/>
      <c r="U605" s="184" t="s">
        <v>139</v>
      </c>
      <c r="V605" s="179">
        <v>258</v>
      </c>
      <c r="W605" s="180">
        <v>232</v>
      </c>
      <c r="X605" s="227"/>
      <c r="Y605" s="184"/>
      <c r="Z605" s="181"/>
      <c r="AA605" s="227"/>
      <c r="AB605" s="182">
        <f>SUM(AH605:AS605)</f>
        <v>8.9645961239810248</v>
      </c>
      <c r="AC605" s="182">
        <f>SUM(AT605:BE605)</f>
        <v>0</v>
      </c>
      <c r="AD605" s="182">
        <f>SUM(BF605:BQ605)</f>
        <v>0</v>
      </c>
      <c r="AE605" s="182">
        <f>SUM(BR605:CC605)</f>
        <v>0</v>
      </c>
      <c r="AF605" s="182">
        <f>SUM(CD605:CO605)</f>
        <v>0</v>
      </c>
      <c r="AH605" s="174">
        <v>1.7453486350199965</v>
      </c>
      <c r="AI605" s="174">
        <v>0</v>
      </c>
      <c r="AJ605" s="174">
        <v>0.76410670953033377</v>
      </c>
      <c r="AK605" s="174">
        <v>0.8094702934694521</v>
      </c>
      <c r="AL605" s="174">
        <v>0.76588671723330048</v>
      </c>
      <c r="AM605" s="174">
        <v>0.7859564280350787</v>
      </c>
      <c r="AN605" s="174">
        <v>0.83439150063148904</v>
      </c>
      <c r="AO605" s="174">
        <v>0.78303010546717244</v>
      </c>
      <c r="AP605" s="174">
        <v>0.80721258383699923</v>
      </c>
      <c r="AQ605" s="174">
        <v>0.79604716794553532</v>
      </c>
      <c r="AR605" s="174">
        <v>0.87314598281166655</v>
      </c>
      <c r="AS605" s="174">
        <v>0</v>
      </c>
      <c r="AT605" s="174">
        <v>0</v>
      </c>
      <c r="AU605" s="174">
        <v>0</v>
      </c>
      <c r="AV605" s="174">
        <v>0</v>
      </c>
      <c r="AW605" s="174">
        <v>0</v>
      </c>
      <c r="AX605" s="174">
        <v>0</v>
      </c>
      <c r="AY605" s="174">
        <v>0</v>
      </c>
      <c r="AZ605" s="174">
        <v>0</v>
      </c>
      <c r="BA605" s="174">
        <v>0</v>
      </c>
      <c r="BB605" s="174">
        <v>0</v>
      </c>
      <c r="BC605" s="174">
        <v>0</v>
      </c>
      <c r="BD605" s="174">
        <v>0</v>
      </c>
      <c r="BE605" s="174">
        <v>0</v>
      </c>
      <c r="BF605" s="174">
        <v>0</v>
      </c>
      <c r="BG605" s="174">
        <v>0</v>
      </c>
      <c r="BH605" s="174">
        <v>0</v>
      </c>
      <c r="BI605" s="174">
        <v>0</v>
      </c>
      <c r="BJ605" s="174">
        <v>0</v>
      </c>
      <c r="BK605" s="174">
        <v>0</v>
      </c>
      <c r="BL605" s="174">
        <v>0</v>
      </c>
      <c r="BM605" s="174">
        <v>0</v>
      </c>
      <c r="BN605" s="174">
        <v>0</v>
      </c>
      <c r="BO605" s="174">
        <v>0</v>
      </c>
      <c r="BP605" s="174">
        <v>0</v>
      </c>
      <c r="BQ605" s="174">
        <v>0</v>
      </c>
      <c r="BR605" s="174">
        <v>0</v>
      </c>
      <c r="BS605" s="174">
        <v>0</v>
      </c>
      <c r="BT605" s="174">
        <v>0</v>
      </c>
      <c r="BU605" s="174">
        <v>0</v>
      </c>
      <c r="BV605" s="174">
        <v>0</v>
      </c>
      <c r="BW605" s="174">
        <v>0</v>
      </c>
      <c r="BX605" s="174">
        <v>0</v>
      </c>
      <c r="BY605" s="174">
        <v>0</v>
      </c>
      <c r="BZ605" s="174">
        <v>0</v>
      </c>
      <c r="CA605" s="174">
        <v>0</v>
      </c>
      <c r="CB605" s="174">
        <v>0</v>
      </c>
      <c r="CC605" s="174">
        <v>0</v>
      </c>
      <c r="CD605" s="174">
        <v>0</v>
      </c>
      <c r="CE605" s="174">
        <v>0</v>
      </c>
      <c r="CF605" s="174">
        <v>0</v>
      </c>
      <c r="CG605" s="174">
        <v>0</v>
      </c>
      <c r="CH605" s="174">
        <v>0</v>
      </c>
      <c r="CI605" s="174">
        <v>0</v>
      </c>
      <c r="CJ605" s="174">
        <v>0</v>
      </c>
      <c r="CK605" s="174">
        <v>0</v>
      </c>
      <c r="CL605" s="174">
        <v>0</v>
      </c>
      <c r="CM605" s="174">
        <v>0</v>
      </c>
      <c r="CN605" s="174">
        <v>0</v>
      </c>
      <c r="CO605" s="174">
        <v>0</v>
      </c>
    </row>
    <row r="606" spans="1:93" x14ac:dyDescent="0.2">
      <c r="A606" s="118">
        <f t="shared" si="64"/>
        <v>4</v>
      </c>
      <c r="B606" s="234" t="s">
        <v>662</v>
      </c>
      <c r="C606" s="223"/>
      <c r="D606" s="172">
        <f>SUMIF($AH$6:$CP$6,1,$AH606:$CP606)</f>
        <v>10.227736050487131</v>
      </c>
      <c r="E606" s="233" t="s">
        <v>545</v>
      </c>
      <c r="F606" s="183">
        <v>145.94</v>
      </c>
      <c r="G606" s="233" t="s">
        <v>375</v>
      </c>
      <c r="H606" s="174">
        <f>ROUND(D606*F606,2)</f>
        <v>1492.64</v>
      </c>
      <c r="I606" s="308"/>
      <c r="J606" s="172">
        <f>SUMIF($AH$6:$CP$6,1,$AH606:$CP606)</f>
        <v>10.227736050487131</v>
      </c>
      <c r="K606" s="233" t="s">
        <v>545</v>
      </c>
      <c r="L606" s="173">
        <f>'Exhibit MJC-3 - E-13c cal yr'!L709</f>
        <v>146.87</v>
      </c>
      <c r="M606" s="233" t="s">
        <v>375</v>
      </c>
      <c r="N606" s="174">
        <f>ROUND(J606*L606,2)</f>
        <v>1502.15</v>
      </c>
      <c r="O606" s="227"/>
      <c r="P606" s="262"/>
      <c r="Q606" s="262"/>
      <c r="R606" s="227"/>
      <c r="S606" s="227"/>
      <c r="T606" s="227"/>
      <c r="U606" s="184" t="s">
        <v>139</v>
      </c>
      <c r="V606" s="179">
        <v>258</v>
      </c>
      <c r="W606" s="180">
        <v>232</v>
      </c>
      <c r="X606" s="227"/>
      <c r="Y606" s="184"/>
      <c r="Z606" s="181"/>
      <c r="AA606" s="227"/>
      <c r="AB606" s="182">
        <f>SUM(AH606:AS606)</f>
        <v>10.652497427287825</v>
      </c>
      <c r="AC606" s="182">
        <f>SUM(AT606:BE606)</f>
        <v>10.550831409834363</v>
      </c>
      <c r="AD606" s="182">
        <f>SUM(BF606:BQ606)</f>
        <v>10.348876101185279</v>
      </c>
      <c r="AE606" s="182">
        <f>SUM(BR606:CC606)</f>
        <v>10.227736050487131</v>
      </c>
      <c r="AF606" s="182">
        <f>SUM(CD606:CO606)</f>
        <v>10.197856552823401</v>
      </c>
      <c r="AH606" s="168">
        <v>1.9040166927490871</v>
      </c>
      <c r="AI606" s="168">
        <v>0</v>
      </c>
      <c r="AJ606" s="168">
        <v>0.83357095585127317</v>
      </c>
      <c r="AK606" s="168">
        <v>0.88305850196667501</v>
      </c>
      <c r="AL606" s="168">
        <v>0.83551278243632776</v>
      </c>
      <c r="AM606" s="168">
        <v>0.85740701240190398</v>
      </c>
      <c r="AN606" s="168">
        <v>0.9102452734161699</v>
      </c>
      <c r="AO606" s="168">
        <v>0.85421466050964268</v>
      </c>
      <c r="AP606" s="168">
        <v>0.88059554600399914</v>
      </c>
      <c r="AQ606" s="168">
        <v>0.86841509230422032</v>
      </c>
      <c r="AR606" s="168">
        <v>0.95252289033999982</v>
      </c>
      <c r="AS606" s="168">
        <v>0.8729380193085271</v>
      </c>
      <c r="AT606" s="168">
        <v>1.87999617627711</v>
      </c>
      <c r="AU606" s="168">
        <v>0</v>
      </c>
      <c r="AV606" s="168">
        <v>0.83646362709261191</v>
      </c>
      <c r="AW606" s="168">
        <v>0.88281800038197433</v>
      </c>
      <c r="AX606" s="168">
        <v>0.83225383670073072</v>
      </c>
      <c r="AY606" s="168">
        <v>0.85162970745415356</v>
      </c>
      <c r="AZ606" s="168">
        <v>0.90211518908963373</v>
      </c>
      <c r="BA606" s="168">
        <v>0.84489992242992851</v>
      </c>
      <c r="BB606" s="168">
        <v>0.86929027303325501</v>
      </c>
      <c r="BC606" s="168">
        <v>0.85572568646925418</v>
      </c>
      <c r="BD606" s="168">
        <v>0.93730389615450882</v>
      </c>
      <c r="BE606" s="168">
        <v>0.85833509475120162</v>
      </c>
      <c r="BF606" s="168">
        <v>1.8479326146609492</v>
      </c>
      <c r="BG606" s="168">
        <v>0</v>
      </c>
      <c r="BH606" s="168">
        <v>0.82157442643013534</v>
      </c>
      <c r="BI606" s="168">
        <v>0.86651225841618507</v>
      </c>
      <c r="BJ606" s="168">
        <v>0.81640747421386872</v>
      </c>
      <c r="BK606" s="168">
        <v>0.83515713813422066</v>
      </c>
      <c r="BL606" s="168">
        <v>0.88446591139235486</v>
      </c>
      <c r="BM606" s="168">
        <v>0.82810715712821326</v>
      </c>
      <c r="BN606" s="168">
        <v>0.85161284297279494</v>
      </c>
      <c r="BO606" s="168">
        <v>0.83800208321663627</v>
      </c>
      <c r="BP606" s="168">
        <v>0.91791101112378559</v>
      </c>
      <c r="BQ606" s="168">
        <v>0.8411931834961337</v>
      </c>
      <c r="BR606" s="168">
        <v>1.8134361429151904</v>
      </c>
      <c r="BS606" s="168">
        <v>0</v>
      </c>
      <c r="BT606" s="168">
        <v>0.80850565581263523</v>
      </c>
      <c r="BU606" s="168">
        <v>0.85381039837786743</v>
      </c>
      <c r="BV606" s="168">
        <v>0.80535736370012168</v>
      </c>
      <c r="BW606" s="168">
        <v>0.82472941754430695</v>
      </c>
      <c r="BX606" s="168">
        <v>0.87437931217779752</v>
      </c>
      <c r="BY606" s="168">
        <v>0.81979655791740336</v>
      </c>
      <c r="BZ606" s="168">
        <v>0.84451403279361725</v>
      </c>
      <c r="CA606" s="168">
        <v>0.83249058331096237</v>
      </c>
      <c r="CB606" s="168">
        <v>0.91317375363471465</v>
      </c>
      <c r="CC606" s="168">
        <v>0.83754283230251447</v>
      </c>
      <c r="CD606" s="168">
        <v>1.806206652458028</v>
      </c>
      <c r="CE606" s="168">
        <v>0</v>
      </c>
      <c r="CF606" s="168">
        <v>0.80539913225181903</v>
      </c>
      <c r="CG606" s="168">
        <v>0.85064454570024739</v>
      </c>
      <c r="CH606" s="168">
        <v>0.80264097554103042</v>
      </c>
      <c r="CI606" s="168">
        <v>0.82241447650361155</v>
      </c>
      <c r="CJ606" s="168">
        <v>0.87242018850979641</v>
      </c>
      <c r="CK606" s="168">
        <v>0.81818600582750811</v>
      </c>
      <c r="CL606" s="168">
        <v>0.84271125814053849</v>
      </c>
      <c r="CM606" s="168">
        <v>0.8304483030812656</v>
      </c>
      <c r="CN606" s="168">
        <v>0.91089203812725428</v>
      </c>
      <c r="CO606" s="168">
        <v>0.83589297668230134</v>
      </c>
    </row>
    <row r="607" spans="1:93" x14ac:dyDescent="0.2">
      <c r="A607" s="118">
        <f t="shared" si="64"/>
        <v>5</v>
      </c>
      <c r="B607" s="234" t="s">
        <v>216</v>
      </c>
      <c r="C607" s="223"/>
      <c r="D607" s="172">
        <f>SUMIF($AH$6:$CP$6,1,$AH607:$CP607)</f>
        <v>0</v>
      </c>
      <c r="E607" s="233" t="s">
        <v>545</v>
      </c>
      <c r="F607" s="183">
        <v>1488.73</v>
      </c>
      <c r="G607" s="233" t="s">
        <v>375</v>
      </c>
      <c r="H607" s="187">
        <f>ROUND(D607*F607,2)</f>
        <v>0</v>
      </c>
      <c r="I607" s="308"/>
      <c r="J607" s="172">
        <f>SUMIF($AH$6:$CP$6,1,$AH607:$CP607)</f>
        <v>0</v>
      </c>
      <c r="K607" s="233" t="s">
        <v>545</v>
      </c>
      <c r="L607" s="173">
        <f>'Exhibit MJC-3 - E-13c cal yr'!L710</f>
        <v>1519.26</v>
      </c>
      <c r="M607" s="233" t="s">
        <v>375</v>
      </c>
      <c r="N607" s="187">
        <f>ROUND(J607*L607,2)</f>
        <v>0</v>
      </c>
      <c r="O607" s="227"/>
      <c r="P607" s="262"/>
      <c r="Q607" s="262"/>
      <c r="R607" s="227"/>
      <c r="S607" s="227"/>
      <c r="T607" s="227"/>
      <c r="U607" s="184" t="s">
        <v>139</v>
      </c>
      <c r="V607" s="179">
        <v>258</v>
      </c>
      <c r="W607" s="180">
        <v>232</v>
      </c>
      <c r="X607" s="227"/>
      <c r="Y607" s="184"/>
      <c r="Z607" s="181"/>
      <c r="AA607" s="227"/>
      <c r="AB607" s="182">
        <f>SUM(AH607:AS607)</f>
        <v>0</v>
      </c>
      <c r="AC607" s="182">
        <f>SUM(AT607:BE607)</f>
        <v>0</v>
      </c>
      <c r="AD607" s="182">
        <f>SUM(BF607:BQ607)</f>
        <v>0</v>
      </c>
      <c r="AE607" s="182">
        <f>SUM(BR607:CC607)</f>
        <v>0</v>
      </c>
      <c r="AF607" s="182">
        <f>SUM(CD607:CO607)</f>
        <v>0</v>
      </c>
      <c r="AH607" s="168"/>
      <c r="AI607" s="168"/>
      <c r="AJ607" s="168"/>
      <c r="AK607" s="168"/>
      <c r="AL607" s="168"/>
      <c r="AM607" s="168"/>
      <c r="AN607" s="168"/>
      <c r="AO607" s="168"/>
      <c r="AP607" s="168"/>
      <c r="AQ607" s="168"/>
      <c r="AR607" s="168"/>
      <c r="AS607" s="168"/>
      <c r="AT607" s="168"/>
      <c r="AU607" s="168"/>
      <c r="AV607" s="168"/>
      <c r="AW607" s="168"/>
      <c r="AX607" s="168"/>
      <c r="AY607" s="168"/>
      <c r="AZ607" s="168"/>
      <c r="BA607" s="168"/>
      <c r="BB607" s="168"/>
      <c r="BC607" s="168"/>
      <c r="BD607" s="168"/>
      <c r="BE607" s="168"/>
      <c r="BF607" s="168"/>
      <c r="BG607" s="168"/>
      <c r="BH607" s="168"/>
      <c r="BI607" s="168"/>
      <c r="BJ607" s="168"/>
      <c r="BK607" s="168"/>
      <c r="BL607" s="168"/>
      <c r="BM607" s="168"/>
      <c r="BN607" s="168"/>
      <c r="BO607" s="168"/>
      <c r="BP607" s="168"/>
      <c r="BQ607" s="168"/>
      <c r="BR607" s="168"/>
      <c r="BS607" s="168"/>
      <c r="BT607" s="168"/>
      <c r="BU607" s="168"/>
      <c r="BV607" s="168"/>
      <c r="BW607" s="168"/>
      <c r="BX607" s="168"/>
      <c r="BY607" s="168"/>
      <c r="BZ607" s="168"/>
      <c r="CA607" s="168"/>
      <c r="CB607" s="168"/>
      <c r="CC607" s="168"/>
      <c r="CD607" s="168"/>
      <c r="CE607" s="168"/>
      <c r="CF607" s="168"/>
      <c r="CG607" s="168"/>
      <c r="CH607" s="168"/>
      <c r="CI607" s="168"/>
      <c r="CJ607" s="168"/>
      <c r="CK607" s="168"/>
      <c r="CL607" s="168"/>
      <c r="CM607" s="168"/>
      <c r="CN607" s="168"/>
      <c r="CO607" s="168"/>
    </row>
    <row r="608" spans="1:93" x14ac:dyDescent="0.2">
      <c r="A608" s="118">
        <f>+A607+1</f>
        <v>6</v>
      </c>
      <c r="B608" s="234"/>
      <c r="C608" s="225" t="s">
        <v>121</v>
      </c>
      <c r="D608" s="204">
        <f>SUM(D605:D607)</f>
        <v>10.227736050487131</v>
      </c>
      <c r="E608" s="233" t="s">
        <v>581</v>
      </c>
      <c r="F608" s="183"/>
      <c r="G608" s="223"/>
      <c r="H608" s="206">
        <f>SUM(H605:H607)</f>
        <v>1492.64</v>
      </c>
      <c r="I608" s="308"/>
      <c r="J608" s="204">
        <f>SUM(J605:J607)</f>
        <v>10.227736050487131</v>
      </c>
      <c r="K608" s="233" t="s">
        <v>581</v>
      </c>
      <c r="L608" s="183"/>
      <c r="M608" s="223"/>
      <c r="N608" s="206">
        <f>SUM(N605:N607)</f>
        <v>1502.15</v>
      </c>
      <c r="O608" s="227"/>
      <c r="P608" s="262"/>
      <c r="Q608" s="939"/>
      <c r="R608" s="227"/>
      <c r="S608" s="227"/>
      <c r="T608" s="227"/>
      <c r="U608" s="178"/>
      <c r="V608" s="179"/>
      <c r="W608" s="180"/>
      <c r="X608" s="227"/>
      <c r="Y608" s="178" t="s">
        <v>139</v>
      </c>
      <c r="Z608" s="181" t="s">
        <v>451</v>
      </c>
      <c r="AA608" s="227"/>
      <c r="AB608" s="204">
        <f>SUM(AB605:AB607)</f>
        <v>19.617093551268852</v>
      </c>
      <c r="AC608" s="204">
        <f>SUM(AC605:AC607)</f>
        <v>10.550831409834363</v>
      </c>
      <c r="AD608" s="204">
        <f>SUM(AD605:AD607)</f>
        <v>10.348876101185279</v>
      </c>
      <c r="AE608" s="204">
        <f>SUM(AE605:AE607)</f>
        <v>10.227736050487131</v>
      </c>
      <c r="AF608" s="204">
        <f>SUM(AF605:AF607)</f>
        <v>10.197856552823401</v>
      </c>
      <c r="AH608" s="204">
        <f t="shared" ref="AH608:BM608" si="65">SUM(AH605:AH607)</f>
        <v>3.6493653277690834</v>
      </c>
      <c r="AI608" s="204">
        <f t="shared" si="65"/>
        <v>0</v>
      </c>
      <c r="AJ608" s="204">
        <f t="shared" si="65"/>
        <v>1.5976776653816069</v>
      </c>
      <c r="AK608" s="204">
        <f t="shared" si="65"/>
        <v>1.692528795436127</v>
      </c>
      <c r="AL608" s="204">
        <f t="shared" si="65"/>
        <v>1.6013994996696281</v>
      </c>
      <c r="AM608" s="204">
        <f t="shared" si="65"/>
        <v>1.6433634404369828</v>
      </c>
      <c r="AN608" s="204">
        <f t="shared" si="65"/>
        <v>1.7446367740476589</v>
      </c>
      <c r="AO608" s="204">
        <f t="shared" si="65"/>
        <v>1.6372447659768152</v>
      </c>
      <c r="AP608" s="204">
        <f t="shared" si="65"/>
        <v>1.6878081298409984</v>
      </c>
      <c r="AQ608" s="204">
        <f t="shared" si="65"/>
        <v>1.6644622602497556</v>
      </c>
      <c r="AR608" s="204">
        <f t="shared" si="65"/>
        <v>1.8256688731516664</v>
      </c>
      <c r="AS608" s="204">
        <f t="shared" si="65"/>
        <v>0.8729380193085271</v>
      </c>
      <c r="AT608" s="204">
        <f t="shared" si="65"/>
        <v>1.87999617627711</v>
      </c>
      <c r="AU608" s="204">
        <f t="shared" si="65"/>
        <v>0</v>
      </c>
      <c r="AV608" s="204">
        <f t="shared" si="65"/>
        <v>0.83646362709261191</v>
      </c>
      <c r="AW608" s="204">
        <f t="shared" si="65"/>
        <v>0.88281800038197433</v>
      </c>
      <c r="AX608" s="204">
        <f t="shared" si="65"/>
        <v>0.83225383670073072</v>
      </c>
      <c r="AY608" s="204">
        <f t="shared" si="65"/>
        <v>0.85162970745415356</v>
      </c>
      <c r="AZ608" s="204">
        <f t="shared" si="65"/>
        <v>0.90211518908963373</v>
      </c>
      <c r="BA608" s="204">
        <f t="shared" si="65"/>
        <v>0.84489992242992851</v>
      </c>
      <c r="BB608" s="204">
        <f t="shared" si="65"/>
        <v>0.86929027303325501</v>
      </c>
      <c r="BC608" s="204">
        <f t="shared" si="65"/>
        <v>0.85572568646925418</v>
      </c>
      <c r="BD608" s="204">
        <f t="shared" si="65"/>
        <v>0.93730389615450882</v>
      </c>
      <c r="BE608" s="204">
        <f t="shared" si="65"/>
        <v>0.85833509475120162</v>
      </c>
      <c r="BF608" s="204">
        <f t="shared" si="65"/>
        <v>1.8479326146609492</v>
      </c>
      <c r="BG608" s="204">
        <f t="shared" si="65"/>
        <v>0</v>
      </c>
      <c r="BH608" s="204">
        <f t="shared" si="65"/>
        <v>0.82157442643013534</v>
      </c>
      <c r="BI608" s="204">
        <f t="shared" si="65"/>
        <v>0.86651225841618507</v>
      </c>
      <c r="BJ608" s="204">
        <f t="shared" si="65"/>
        <v>0.81640747421386872</v>
      </c>
      <c r="BK608" s="204">
        <f t="shared" si="65"/>
        <v>0.83515713813422066</v>
      </c>
      <c r="BL608" s="204">
        <f t="shared" si="65"/>
        <v>0.88446591139235486</v>
      </c>
      <c r="BM608" s="204">
        <f t="shared" si="65"/>
        <v>0.82810715712821326</v>
      </c>
      <c r="BN608" s="204">
        <f t="shared" ref="BN608:CO608" si="66">SUM(BN605:BN607)</f>
        <v>0.85161284297279494</v>
      </c>
      <c r="BO608" s="204">
        <f t="shared" si="66"/>
        <v>0.83800208321663627</v>
      </c>
      <c r="BP608" s="204">
        <f t="shared" si="66"/>
        <v>0.91791101112378559</v>
      </c>
      <c r="BQ608" s="204">
        <f t="shared" si="66"/>
        <v>0.8411931834961337</v>
      </c>
      <c r="BR608" s="204">
        <f t="shared" si="66"/>
        <v>1.8134361429151904</v>
      </c>
      <c r="BS608" s="204">
        <f t="shared" si="66"/>
        <v>0</v>
      </c>
      <c r="BT608" s="204">
        <f t="shared" si="66"/>
        <v>0.80850565581263523</v>
      </c>
      <c r="BU608" s="204">
        <f t="shared" si="66"/>
        <v>0.85381039837786743</v>
      </c>
      <c r="BV608" s="204">
        <f t="shared" si="66"/>
        <v>0.80535736370012168</v>
      </c>
      <c r="BW608" s="204">
        <f t="shared" si="66"/>
        <v>0.82472941754430695</v>
      </c>
      <c r="BX608" s="204">
        <f t="shared" si="66"/>
        <v>0.87437931217779752</v>
      </c>
      <c r="BY608" s="204">
        <f t="shared" si="66"/>
        <v>0.81979655791740336</v>
      </c>
      <c r="BZ608" s="204">
        <f t="shared" si="66"/>
        <v>0.84451403279361725</v>
      </c>
      <c r="CA608" s="204">
        <f t="shared" si="66"/>
        <v>0.83249058331096237</v>
      </c>
      <c r="CB608" s="204">
        <f t="shared" si="66"/>
        <v>0.91317375363471465</v>
      </c>
      <c r="CC608" s="204">
        <f t="shared" si="66"/>
        <v>0.83754283230251447</v>
      </c>
      <c r="CD608" s="204">
        <f t="shared" si="66"/>
        <v>1.806206652458028</v>
      </c>
      <c r="CE608" s="204">
        <f t="shared" si="66"/>
        <v>0</v>
      </c>
      <c r="CF608" s="204">
        <f t="shared" si="66"/>
        <v>0.80539913225181903</v>
      </c>
      <c r="CG608" s="204">
        <f t="shared" si="66"/>
        <v>0.85064454570024739</v>
      </c>
      <c r="CH608" s="204">
        <f t="shared" si="66"/>
        <v>0.80264097554103042</v>
      </c>
      <c r="CI608" s="204">
        <f t="shared" si="66"/>
        <v>0.82241447650361155</v>
      </c>
      <c r="CJ608" s="204">
        <f t="shared" si="66"/>
        <v>0.87242018850979641</v>
      </c>
      <c r="CK608" s="204">
        <f t="shared" si="66"/>
        <v>0.81818600582750811</v>
      </c>
      <c r="CL608" s="204">
        <f t="shared" si="66"/>
        <v>0.84271125814053849</v>
      </c>
      <c r="CM608" s="204">
        <f t="shared" si="66"/>
        <v>0.8304483030812656</v>
      </c>
      <c r="CN608" s="204">
        <f t="shared" si="66"/>
        <v>0.91089203812725428</v>
      </c>
      <c r="CO608" s="204">
        <f t="shared" si="66"/>
        <v>0.83589297668230134</v>
      </c>
    </row>
    <row r="609" spans="1:93" x14ac:dyDescent="0.2">
      <c r="A609" s="118">
        <f t="shared" si="64"/>
        <v>7</v>
      </c>
      <c r="B609" s="227"/>
      <c r="C609" s="263"/>
      <c r="D609" s="227"/>
      <c r="E609" s="230"/>
      <c r="F609" s="197"/>
      <c r="G609" s="227"/>
      <c r="H609" s="203"/>
      <c r="I609" s="308"/>
      <c r="J609" s="227"/>
      <c r="K609" s="230"/>
      <c r="L609" s="197"/>
      <c r="M609" s="227"/>
      <c r="N609" s="203"/>
      <c r="O609" s="227"/>
      <c r="P609" s="262"/>
      <c r="Q609" s="262"/>
      <c r="R609" s="227"/>
      <c r="S609" s="227"/>
      <c r="T609" s="227"/>
      <c r="U609" s="178"/>
      <c r="V609" s="179"/>
      <c r="W609" s="180"/>
      <c r="X609" s="227"/>
      <c r="Y609" s="178"/>
      <c r="Z609" s="181"/>
      <c r="AA609" s="227"/>
      <c r="AB609" s="193">
        <f>SUM(AH609:AS609)</f>
        <v>-8.964596123981023</v>
      </c>
      <c r="AC609" s="193">
        <f>SUM(AT609:BE609)</f>
        <v>0</v>
      </c>
      <c r="AD609" s="193">
        <f>SUM(BF609:BQ609)</f>
        <v>0</v>
      </c>
      <c r="AE609" s="193">
        <f>SUM(BR609:CC609)</f>
        <v>0</v>
      </c>
      <c r="AF609" s="193">
        <f>SUM(CD609:CO609)</f>
        <v>0</v>
      </c>
      <c r="AH609" s="193">
        <v>-1.7453486350199963</v>
      </c>
      <c r="AI609" s="193">
        <v>0</v>
      </c>
      <c r="AJ609" s="193">
        <v>-0.76410670953033377</v>
      </c>
      <c r="AK609" s="193">
        <v>-0.80947029346945198</v>
      </c>
      <c r="AL609" s="193">
        <v>-0.76588671723330037</v>
      </c>
      <c r="AM609" s="193">
        <v>-0.78595642803507881</v>
      </c>
      <c r="AN609" s="193">
        <v>-0.83439150063148904</v>
      </c>
      <c r="AO609" s="193">
        <v>-0.78303010546717255</v>
      </c>
      <c r="AP609" s="193">
        <v>-0.80721258383699923</v>
      </c>
      <c r="AQ609" s="193">
        <v>-0.79604716794553532</v>
      </c>
      <c r="AR609" s="193">
        <v>-0.87314598281166655</v>
      </c>
      <c r="AS609" s="193">
        <v>0</v>
      </c>
      <c r="AT609" s="193">
        <v>0</v>
      </c>
      <c r="AU609" s="193">
        <v>0</v>
      </c>
      <c r="AV609" s="193">
        <v>0</v>
      </c>
      <c r="AW609" s="193">
        <v>0</v>
      </c>
      <c r="AX609" s="193">
        <v>0</v>
      </c>
      <c r="AY609" s="193">
        <v>0</v>
      </c>
      <c r="AZ609" s="193">
        <v>0</v>
      </c>
      <c r="BA609" s="193">
        <v>0</v>
      </c>
      <c r="BB609" s="193">
        <v>0</v>
      </c>
      <c r="BC609" s="193">
        <v>0</v>
      </c>
      <c r="BD609" s="193">
        <v>0</v>
      </c>
      <c r="BE609" s="193">
        <v>0</v>
      </c>
      <c r="BF609" s="193">
        <v>0</v>
      </c>
      <c r="BG609" s="193">
        <v>0</v>
      </c>
      <c r="BH609" s="193">
        <v>0</v>
      </c>
      <c r="BI609" s="193">
        <v>0</v>
      </c>
      <c r="BJ609" s="193">
        <v>0</v>
      </c>
      <c r="BK609" s="193">
        <v>0</v>
      </c>
      <c r="BL609" s="193">
        <v>0</v>
      </c>
      <c r="BM609" s="193">
        <v>0</v>
      </c>
      <c r="BN609" s="193">
        <v>0</v>
      </c>
      <c r="BO609" s="193">
        <v>0</v>
      </c>
      <c r="BP609" s="193">
        <v>0</v>
      </c>
      <c r="BQ609" s="193">
        <v>0</v>
      </c>
      <c r="BR609" s="193">
        <v>0</v>
      </c>
      <c r="BS609" s="193">
        <v>0</v>
      </c>
      <c r="BT609" s="193">
        <v>0</v>
      </c>
      <c r="BU609" s="193">
        <v>0</v>
      </c>
      <c r="BV609" s="193">
        <v>0</v>
      </c>
      <c r="BW609" s="193">
        <v>0</v>
      </c>
      <c r="BX609" s="193">
        <v>0</v>
      </c>
      <c r="BY609" s="193">
        <v>0</v>
      </c>
      <c r="BZ609" s="193">
        <v>0</v>
      </c>
      <c r="CA609" s="193">
        <v>0</v>
      </c>
      <c r="CB609" s="193">
        <v>0</v>
      </c>
      <c r="CC609" s="193">
        <v>0</v>
      </c>
      <c r="CD609" s="193">
        <v>0</v>
      </c>
      <c r="CE609" s="193">
        <v>0</v>
      </c>
      <c r="CF609" s="193">
        <v>0</v>
      </c>
      <c r="CG609" s="193">
        <v>0</v>
      </c>
      <c r="CH609" s="193">
        <v>0</v>
      </c>
      <c r="CI609" s="193">
        <v>0</v>
      </c>
      <c r="CJ609" s="193">
        <v>0</v>
      </c>
      <c r="CK609" s="193">
        <v>0</v>
      </c>
      <c r="CL609" s="193">
        <v>0</v>
      </c>
      <c r="CM609" s="193">
        <v>0</v>
      </c>
      <c r="CN609" s="193">
        <v>0</v>
      </c>
      <c r="CO609" s="193">
        <v>0</v>
      </c>
    </row>
    <row r="610" spans="1:93" x14ac:dyDescent="0.2">
      <c r="A610" s="118">
        <f t="shared" si="64"/>
        <v>8</v>
      </c>
      <c r="B610" s="239" t="s">
        <v>594</v>
      </c>
      <c r="C610" s="225"/>
      <c r="D610" s="168"/>
      <c r="E610" s="233"/>
      <c r="F610" s="183"/>
      <c r="G610" s="223"/>
      <c r="H610" s="174"/>
      <c r="I610" s="308"/>
      <c r="J610" s="168"/>
      <c r="K610" s="233"/>
      <c r="L610" s="183"/>
      <c r="M610" s="223"/>
      <c r="N610" s="174"/>
      <c r="O610" s="227"/>
      <c r="P610" s="262"/>
      <c r="Q610" s="262"/>
      <c r="R610" s="230"/>
      <c r="S610" s="230"/>
      <c r="T610" s="227"/>
      <c r="U610" s="184"/>
      <c r="V610" s="179"/>
      <c r="W610" s="180"/>
      <c r="X610" s="227"/>
      <c r="Y610" s="184"/>
      <c r="Z610" s="181"/>
      <c r="AA610" s="227"/>
    </row>
    <row r="611" spans="1:93" x14ac:dyDescent="0.2">
      <c r="A611" s="118">
        <f t="shared" si="64"/>
        <v>9</v>
      </c>
      <c r="B611" s="228" t="s">
        <v>642</v>
      </c>
      <c r="C611" s="225"/>
      <c r="D611" s="168"/>
      <c r="E611" s="233"/>
      <c r="F611" s="183"/>
      <c r="G611" s="223"/>
      <c r="H611" s="174"/>
      <c r="I611" s="308"/>
      <c r="J611" s="168"/>
      <c r="K611" s="233"/>
      <c r="L611" s="310"/>
      <c r="M611" s="223"/>
      <c r="N611" s="174"/>
      <c r="O611" s="227"/>
      <c r="P611" s="262"/>
      <c r="Q611" s="262"/>
      <c r="R611" s="332"/>
      <c r="S611" s="259"/>
      <c r="T611" s="227"/>
      <c r="U611" s="184"/>
      <c r="V611" s="179"/>
      <c r="W611" s="180"/>
      <c r="X611" s="227"/>
      <c r="Y611" s="184"/>
      <c r="Z611" s="181"/>
      <c r="AA611" s="227"/>
    </row>
    <row r="612" spans="1:93" x14ac:dyDescent="0.2">
      <c r="A612" s="118">
        <f t="shared" si="64"/>
        <v>10</v>
      </c>
      <c r="B612" s="227" t="s">
        <v>643</v>
      </c>
      <c r="C612" s="263"/>
      <c r="D612" s="172">
        <f>SUMIF($AH$6:$CP$6,1,$AH612:$CP612)</f>
        <v>296317.70399999997</v>
      </c>
      <c r="E612" s="233" t="s">
        <v>596</v>
      </c>
      <c r="F612" s="183">
        <v>3.43</v>
      </c>
      <c r="G612" s="233" t="s">
        <v>375</v>
      </c>
      <c r="H612" s="174">
        <f>ROUND(D612*F612,2)</f>
        <v>1016369.72</v>
      </c>
      <c r="I612" s="308"/>
      <c r="J612" s="172">
        <f>SUMIF($AH$6:$CP$6,1,$AH612:$CP612)</f>
        <v>296317.70399999997</v>
      </c>
      <c r="K612" s="233" t="s">
        <v>596</v>
      </c>
      <c r="L612" s="173">
        <f>'Exhibit MJC-3 - E-13c cal yr'!L715</f>
        <v>3.57</v>
      </c>
      <c r="M612" s="233" t="s">
        <v>375</v>
      </c>
      <c r="N612" s="174">
        <f>ROUND(J612*L612,2)</f>
        <v>1057854.2</v>
      </c>
      <c r="O612" s="227"/>
      <c r="P612" s="262"/>
      <c r="Q612" s="262"/>
      <c r="R612" s="227"/>
      <c r="S612" s="227"/>
      <c r="T612" s="286"/>
      <c r="U612" s="184" t="s">
        <v>139</v>
      </c>
      <c r="V612" s="179">
        <v>258</v>
      </c>
      <c r="W612" s="180">
        <v>232</v>
      </c>
      <c r="X612" s="286"/>
      <c r="Y612" s="184"/>
      <c r="Z612" s="181"/>
      <c r="AA612" s="286"/>
      <c r="AB612" s="182">
        <f>SUM(AH612:AS612)</f>
        <v>296317.70399999997</v>
      </c>
      <c r="AC612" s="182">
        <f>SUM(AT612:BE612)</f>
        <v>296317.70399999997</v>
      </c>
      <c r="AD612" s="182">
        <f>SUM(BF612:BQ612)</f>
        <v>296317.70399999997</v>
      </c>
      <c r="AE612" s="182">
        <f>SUM(BR612:CC612)</f>
        <v>296317.70399999997</v>
      </c>
      <c r="AF612" s="182">
        <f>SUM(CD612:CO612)</f>
        <v>296317.70399999997</v>
      </c>
      <c r="AH612" s="174">
        <v>24693.142</v>
      </c>
      <c r="AI612" s="174">
        <v>24693.142</v>
      </c>
      <c r="AJ612" s="174">
        <v>24693.142</v>
      </c>
      <c r="AK612" s="174">
        <v>24693.142</v>
      </c>
      <c r="AL612" s="174">
        <v>24693.142</v>
      </c>
      <c r="AM612" s="174">
        <v>24693.142</v>
      </c>
      <c r="AN612" s="174">
        <v>24693.142</v>
      </c>
      <c r="AO612" s="174">
        <v>24693.142</v>
      </c>
      <c r="AP612" s="174">
        <v>24693.142</v>
      </c>
      <c r="AQ612" s="174">
        <v>24693.142</v>
      </c>
      <c r="AR612" s="174">
        <v>24693.142</v>
      </c>
      <c r="AS612" s="174">
        <v>24693.142</v>
      </c>
      <c r="AT612" s="174">
        <v>24693.142</v>
      </c>
      <c r="AU612" s="174">
        <v>24693.142</v>
      </c>
      <c r="AV612" s="174">
        <v>24693.142</v>
      </c>
      <c r="AW612" s="174">
        <v>24693.142</v>
      </c>
      <c r="AX612" s="174">
        <v>24693.142</v>
      </c>
      <c r="AY612" s="174">
        <v>24693.142</v>
      </c>
      <c r="AZ612" s="174">
        <v>24693.142</v>
      </c>
      <c r="BA612" s="174">
        <v>24693.142</v>
      </c>
      <c r="BB612" s="174">
        <v>24693.142</v>
      </c>
      <c r="BC612" s="174">
        <v>24693.142</v>
      </c>
      <c r="BD612" s="174">
        <v>24693.142</v>
      </c>
      <c r="BE612" s="174">
        <v>24693.142</v>
      </c>
      <c r="BF612" s="174">
        <v>24693.142</v>
      </c>
      <c r="BG612" s="174">
        <v>24693.142</v>
      </c>
      <c r="BH612" s="174">
        <v>24693.142</v>
      </c>
      <c r="BI612" s="174">
        <v>24693.142</v>
      </c>
      <c r="BJ612" s="174">
        <v>24693.142</v>
      </c>
      <c r="BK612" s="174">
        <v>24693.142</v>
      </c>
      <c r="BL612" s="174">
        <v>24693.142</v>
      </c>
      <c r="BM612" s="174">
        <v>24693.142</v>
      </c>
      <c r="BN612" s="174">
        <v>24693.142</v>
      </c>
      <c r="BO612" s="174">
        <v>24693.142</v>
      </c>
      <c r="BP612" s="174">
        <v>24693.142</v>
      </c>
      <c r="BQ612" s="174">
        <v>24693.142</v>
      </c>
      <c r="BR612" s="174">
        <v>24693.142</v>
      </c>
      <c r="BS612" s="174">
        <v>24693.142</v>
      </c>
      <c r="BT612" s="174">
        <v>24693.142</v>
      </c>
      <c r="BU612" s="174">
        <v>24693.142</v>
      </c>
      <c r="BV612" s="174">
        <v>24693.142</v>
      </c>
      <c r="BW612" s="174">
        <v>24693.142</v>
      </c>
      <c r="BX612" s="174">
        <v>24693.142</v>
      </c>
      <c r="BY612" s="174">
        <v>24693.142</v>
      </c>
      <c r="BZ612" s="174">
        <v>24693.142</v>
      </c>
      <c r="CA612" s="174">
        <v>24693.142</v>
      </c>
      <c r="CB612" s="174">
        <v>24693.142</v>
      </c>
      <c r="CC612" s="174">
        <v>24693.142</v>
      </c>
      <c r="CD612" s="174">
        <v>24693.142</v>
      </c>
      <c r="CE612" s="174">
        <v>24693.142</v>
      </c>
      <c r="CF612" s="174">
        <v>24693.142</v>
      </c>
      <c r="CG612" s="174">
        <v>24693.142</v>
      </c>
      <c r="CH612" s="174">
        <v>24693.142</v>
      </c>
      <c r="CI612" s="174">
        <v>24693.142</v>
      </c>
      <c r="CJ612" s="174">
        <v>24693.142</v>
      </c>
      <c r="CK612" s="174">
        <v>24693.142</v>
      </c>
      <c r="CL612" s="174">
        <v>24693.142</v>
      </c>
      <c r="CM612" s="174">
        <v>24693.142</v>
      </c>
      <c r="CN612" s="174">
        <v>24693.142</v>
      </c>
      <c r="CO612" s="174">
        <v>24693.142</v>
      </c>
    </row>
    <row r="613" spans="1:93" x14ac:dyDescent="0.2">
      <c r="A613" s="118">
        <f t="shared" si="64"/>
        <v>11</v>
      </c>
      <c r="B613" s="227" t="s">
        <v>644</v>
      </c>
      <c r="C613" s="263"/>
      <c r="D613" s="172">
        <f>SUMIF($AH$6:$CP$6,1,$AH613:$CP613)</f>
        <v>0</v>
      </c>
      <c r="E613" s="233" t="s">
        <v>596</v>
      </c>
      <c r="F613" s="183">
        <v>0</v>
      </c>
      <c r="G613" s="233" t="s">
        <v>375</v>
      </c>
      <c r="H613" s="174">
        <f>ROUND(D613*F613,2)</f>
        <v>0</v>
      </c>
      <c r="I613" s="308"/>
      <c r="J613" s="172">
        <f>SUMIF($AH$6:$CP$6,1,$AH613:$CP613)</f>
        <v>0</v>
      </c>
      <c r="K613" s="233" t="s">
        <v>596</v>
      </c>
      <c r="L613" s="173">
        <f>'Exhibit MJC-3 - E-13c cal yr'!L716</f>
        <v>0</v>
      </c>
      <c r="M613" s="233" t="s">
        <v>375</v>
      </c>
      <c r="N613" s="174">
        <f>ROUND(J613*L613,2)</f>
        <v>0</v>
      </c>
      <c r="O613" s="227"/>
      <c r="P613" s="262"/>
      <c r="Q613" s="262"/>
      <c r="R613" s="227"/>
      <c r="S613" s="227"/>
      <c r="T613" s="227"/>
      <c r="U613" s="184" t="s">
        <v>139</v>
      </c>
      <c r="V613" s="179">
        <v>258</v>
      </c>
      <c r="W613" s="180">
        <v>232</v>
      </c>
      <c r="X613" s="227"/>
      <c r="Y613" s="184"/>
      <c r="Z613" s="181"/>
      <c r="AA613" s="227"/>
      <c r="AB613" s="182">
        <f>SUM(AH613:AS613)</f>
        <v>0</v>
      </c>
      <c r="AC613" s="182">
        <f>SUM(AT613:BE613)</f>
        <v>0</v>
      </c>
      <c r="AD613" s="182">
        <f>SUM(BF613:BQ613)</f>
        <v>0</v>
      </c>
      <c r="AE613" s="182">
        <f>SUM(BR613:CC613)</f>
        <v>0</v>
      </c>
      <c r="AF613" s="182">
        <f>SUM(CD613:CO613)</f>
        <v>0</v>
      </c>
      <c r="AH613" s="174">
        <v>0</v>
      </c>
      <c r="AI613" s="174">
        <v>0</v>
      </c>
      <c r="AJ613" s="174">
        <v>0</v>
      </c>
      <c r="AK613" s="174">
        <v>0</v>
      </c>
      <c r="AL613" s="174">
        <v>0</v>
      </c>
      <c r="AM613" s="174">
        <v>0</v>
      </c>
      <c r="AN613" s="174">
        <v>0</v>
      </c>
      <c r="AO613" s="174">
        <v>0</v>
      </c>
      <c r="AP613" s="174">
        <v>0</v>
      </c>
      <c r="AQ613" s="174">
        <v>0</v>
      </c>
      <c r="AR613" s="174">
        <v>0</v>
      </c>
      <c r="AS613" s="174">
        <v>0</v>
      </c>
      <c r="AT613" s="174">
        <v>0</v>
      </c>
      <c r="AU613" s="174">
        <v>0</v>
      </c>
      <c r="AV613" s="174">
        <v>0</v>
      </c>
      <c r="AW613" s="174">
        <v>0</v>
      </c>
      <c r="AX613" s="174">
        <v>0</v>
      </c>
      <c r="AY613" s="174">
        <v>0</v>
      </c>
      <c r="AZ613" s="174">
        <v>0</v>
      </c>
      <c r="BA613" s="174">
        <v>0</v>
      </c>
      <c r="BB613" s="174">
        <v>0</v>
      </c>
      <c r="BC613" s="174">
        <v>0</v>
      </c>
      <c r="BD613" s="174">
        <v>0</v>
      </c>
      <c r="BE613" s="174">
        <v>0</v>
      </c>
      <c r="BF613" s="174">
        <v>0</v>
      </c>
      <c r="BG613" s="174">
        <v>0</v>
      </c>
      <c r="BH613" s="174">
        <v>0</v>
      </c>
      <c r="BI613" s="174">
        <v>0</v>
      </c>
      <c r="BJ613" s="174">
        <v>0</v>
      </c>
      <c r="BK613" s="174">
        <v>0</v>
      </c>
      <c r="BL613" s="174">
        <v>0</v>
      </c>
      <c r="BM613" s="174">
        <v>0</v>
      </c>
      <c r="BN613" s="174">
        <v>0</v>
      </c>
      <c r="BO613" s="174">
        <v>0</v>
      </c>
      <c r="BP613" s="174">
        <v>0</v>
      </c>
      <c r="BQ613" s="174">
        <v>0</v>
      </c>
      <c r="BR613" s="174">
        <v>0</v>
      </c>
      <c r="BS613" s="174">
        <v>0</v>
      </c>
      <c r="BT613" s="174">
        <v>0</v>
      </c>
      <c r="BU613" s="174">
        <v>0</v>
      </c>
      <c r="BV613" s="174">
        <v>0</v>
      </c>
      <c r="BW613" s="174">
        <v>0</v>
      </c>
      <c r="BX613" s="174">
        <v>0</v>
      </c>
      <c r="BY613" s="174">
        <v>0</v>
      </c>
      <c r="BZ613" s="174">
        <v>0</v>
      </c>
      <c r="CA613" s="174">
        <v>0</v>
      </c>
      <c r="CB613" s="174">
        <v>0</v>
      </c>
      <c r="CC613" s="174">
        <v>0</v>
      </c>
      <c r="CD613" s="174">
        <v>0</v>
      </c>
      <c r="CE613" s="174">
        <v>0</v>
      </c>
      <c r="CF613" s="174">
        <v>0</v>
      </c>
      <c r="CG613" s="174">
        <v>0</v>
      </c>
      <c r="CH613" s="174">
        <v>0</v>
      </c>
      <c r="CI613" s="174">
        <v>0</v>
      </c>
      <c r="CJ613" s="174">
        <v>0</v>
      </c>
      <c r="CK613" s="174">
        <v>0</v>
      </c>
      <c r="CL613" s="174">
        <v>0</v>
      </c>
      <c r="CM613" s="174">
        <v>0</v>
      </c>
      <c r="CN613" s="174">
        <v>0</v>
      </c>
      <c r="CO613" s="174">
        <v>0</v>
      </c>
    </row>
    <row r="614" spans="1:93" x14ac:dyDescent="0.2">
      <c r="A614" s="118">
        <f t="shared" si="64"/>
        <v>12</v>
      </c>
      <c r="B614" s="227" t="s">
        <v>655</v>
      </c>
      <c r="C614" s="263"/>
      <c r="D614" s="227"/>
      <c r="E614" s="230"/>
      <c r="F614" s="197"/>
      <c r="G614" s="227"/>
      <c r="H614" s="203"/>
      <c r="I614" s="308"/>
      <c r="J614" s="227"/>
      <c r="K614" s="230"/>
      <c r="L614" s="197"/>
      <c r="M614" s="227"/>
      <c r="N614" s="203"/>
      <c r="O614" s="227"/>
      <c r="P614" s="262"/>
      <c r="Q614" s="262"/>
      <c r="R614" s="227"/>
      <c r="S614" s="227"/>
      <c r="T614" s="227"/>
      <c r="U614" s="184"/>
      <c r="V614" s="179"/>
      <c r="W614" s="180"/>
      <c r="X614" s="227"/>
      <c r="Y614" s="184"/>
      <c r="Z614" s="181"/>
      <c r="AA614" s="227"/>
      <c r="AC614" s="260"/>
      <c r="AD614" s="260"/>
      <c r="AE614" s="260"/>
      <c r="AF614" s="114"/>
    </row>
    <row r="615" spans="1:93" x14ac:dyDescent="0.2">
      <c r="A615" s="118">
        <f t="shared" si="64"/>
        <v>13</v>
      </c>
      <c r="B615" s="227" t="s">
        <v>656</v>
      </c>
      <c r="C615" s="263"/>
      <c r="D615" s="227"/>
      <c r="E615" s="230"/>
      <c r="F615" s="197"/>
      <c r="G615" s="227"/>
      <c r="H615" s="203"/>
      <c r="I615" s="308"/>
      <c r="J615" s="227"/>
      <c r="K615" s="230"/>
      <c r="L615" s="197"/>
      <c r="M615" s="227"/>
      <c r="N615" s="203"/>
      <c r="O615" s="227"/>
      <c r="P615" s="262"/>
      <c r="Q615" s="262"/>
      <c r="R615" s="227"/>
      <c r="S615" s="227"/>
      <c r="T615" s="227"/>
      <c r="U615" s="184"/>
      <c r="V615" s="179"/>
      <c r="W615" s="180"/>
      <c r="X615" s="227"/>
      <c r="Y615" s="184"/>
      <c r="Z615" s="181"/>
      <c r="AA615" s="227"/>
      <c r="AB615" s="107" t="s">
        <v>646</v>
      </c>
      <c r="AC615" s="114"/>
      <c r="AD615" s="114"/>
      <c r="AE615" s="114"/>
      <c r="AF615" s="114"/>
      <c r="AH615" s="101">
        <v>1</v>
      </c>
      <c r="AI615" s="101">
        <v>1.2</v>
      </c>
      <c r="AJ615" s="101">
        <v>0.8</v>
      </c>
      <c r="AK615" s="101">
        <v>0.8</v>
      </c>
      <c r="AL615" s="101">
        <v>0.8</v>
      </c>
      <c r="AM615" s="101">
        <v>1</v>
      </c>
      <c r="AN615" s="101">
        <v>1.2</v>
      </c>
      <c r="AO615" s="101">
        <v>1.2</v>
      </c>
      <c r="AP615" s="101">
        <v>1</v>
      </c>
      <c r="AQ615" s="101">
        <v>0.8</v>
      </c>
      <c r="AR615" s="101">
        <v>1</v>
      </c>
      <c r="AS615" s="101">
        <v>1</v>
      </c>
      <c r="AT615" s="101">
        <v>1</v>
      </c>
      <c r="AU615" s="101">
        <v>1.2</v>
      </c>
      <c r="AV615" s="101">
        <v>0.8</v>
      </c>
      <c r="AW615" s="101">
        <v>0.8</v>
      </c>
      <c r="AX615" s="101">
        <v>0.8</v>
      </c>
      <c r="AY615" s="101">
        <v>1</v>
      </c>
      <c r="AZ615" s="101">
        <v>1.2</v>
      </c>
      <c r="BA615" s="101">
        <v>1.2</v>
      </c>
      <c r="BB615" s="101">
        <v>1</v>
      </c>
      <c r="BC615" s="101">
        <v>0.8</v>
      </c>
      <c r="BD615" s="101">
        <v>1</v>
      </c>
      <c r="BE615" s="101">
        <v>1</v>
      </c>
      <c r="BF615" s="101">
        <v>1</v>
      </c>
      <c r="BG615" s="101">
        <v>1.2</v>
      </c>
      <c r="BH615" s="101">
        <v>0.8</v>
      </c>
      <c r="BI615" s="101">
        <v>0.8</v>
      </c>
      <c r="BJ615" s="101">
        <v>0.8</v>
      </c>
      <c r="BK615" s="101">
        <v>1</v>
      </c>
      <c r="BL615" s="101">
        <v>1.2</v>
      </c>
      <c r="BM615" s="101">
        <v>1.2</v>
      </c>
      <c r="BN615" s="101">
        <v>1</v>
      </c>
      <c r="BO615" s="101">
        <v>0.8</v>
      </c>
      <c r="BP615" s="101">
        <v>1</v>
      </c>
      <c r="BQ615" s="101">
        <v>1</v>
      </c>
      <c r="BR615" s="101">
        <v>1</v>
      </c>
      <c r="BS615" s="101">
        <v>1.2</v>
      </c>
      <c r="BT615" s="101">
        <v>0.8</v>
      </c>
      <c r="BU615" s="101">
        <v>0.8</v>
      </c>
      <c r="BV615" s="101">
        <v>0.8</v>
      </c>
      <c r="BW615" s="101">
        <v>1</v>
      </c>
      <c r="BX615" s="101">
        <v>1.2</v>
      </c>
      <c r="BY615" s="101">
        <v>1.2</v>
      </c>
      <c r="BZ615" s="101">
        <v>1</v>
      </c>
      <c r="CA615" s="101">
        <v>0.8</v>
      </c>
      <c r="CB615" s="101">
        <v>1</v>
      </c>
      <c r="CC615" s="101">
        <v>1</v>
      </c>
      <c r="CD615" s="101">
        <v>1</v>
      </c>
      <c r="CE615" s="101">
        <v>1.2</v>
      </c>
      <c r="CF615" s="101">
        <v>0.8</v>
      </c>
      <c r="CG615" s="101">
        <v>0.8</v>
      </c>
      <c r="CH615" s="101">
        <v>0.8</v>
      </c>
      <c r="CI615" s="101">
        <v>1</v>
      </c>
      <c r="CJ615" s="101">
        <v>1.2</v>
      </c>
      <c r="CK615" s="101">
        <v>1.2</v>
      </c>
      <c r="CL615" s="101">
        <v>1</v>
      </c>
      <c r="CM615" s="101">
        <v>0.8</v>
      </c>
      <c r="CN615" s="101">
        <v>1</v>
      </c>
      <c r="CO615" s="101">
        <v>1</v>
      </c>
    </row>
    <row r="616" spans="1:93" x14ac:dyDescent="0.2">
      <c r="A616" s="118">
        <f t="shared" si="64"/>
        <v>14</v>
      </c>
      <c r="B616" s="227" t="s">
        <v>643</v>
      </c>
      <c r="C616" s="263"/>
      <c r="D616" s="227"/>
      <c r="E616" s="230"/>
      <c r="F616" s="197"/>
      <c r="G616" s="227"/>
      <c r="H616" s="203"/>
      <c r="I616" s="308"/>
      <c r="J616" s="227"/>
      <c r="K616" s="230"/>
      <c r="L616" s="1277"/>
      <c r="M616" s="227"/>
      <c r="N616" s="203"/>
      <c r="O616" s="227"/>
      <c r="P616" s="262"/>
      <c r="Q616" s="262"/>
      <c r="R616" s="227"/>
      <c r="S616" s="227"/>
      <c r="T616" s="227"/>
      <c r="U616" s="184"/>
      <c r="V616" s="179"/>
      <c r="W616" s="180"/>
      <c r="X616" s="227"/>
      <c r="Y616" s="184"/>
      <c r="Z616" s="181"/>
      <c r="AA616" s="227"/>
      <c r="AC616" s="114"/>
      <c r="AD616" s="114"/>
      <c r="AE616" s="114"/>
      <c r="AF616" s="114"/>
    </row>
    <row r="617" spans="1:93" x14ac:dyDescent="0.2">
      <c r="A617" s="118">
        <f t="shared" si="64"/>
        <v>15</v>
      </c>
      <c r="B617" s="227" t="s">
        <v>647</v>
      </c>
      <c r="C617" s="263"/>
      <c r="D617" s="172">
        <f>SUMIF($AH$6:$CP$6,1,$AH617:$CP617)</f>
        <v>24693.142</v>
      </c>
      <c r="E617" s="233" t="s">
        <v>596</v>
      </c>
      <c r="F617" s="201">
        <v>1.9570000000000001</v>
      </c>
      <c r="G617" s="233" t="s">
        <v>375</v>
      </c>
      <c r="H617" s="174">
        <f>ROUND(D617*F617,2)</f>
        <v>48324.480000000003</v>
      </c>
      <c r="I617" s="308"/>
      <c r="J617" s="172">
        <f>SUMIF($AH$6:$CP$6,1,$AH617:$CP617)</f>
        <v>24693.142</v>
      </c>
      <c r="K617" s="233" t="s">
        <v>596</v>
      </c>
      <c r="L617" s="201">
        <f>'Exhibit MJC-3 - E-13c cal yr'!L720</f>
        <v>2.0339999999999998</v>
      </c>
      <c r="M617" s="233" t="s">
        <v>375</v>
      </c>
      <c r="N617" s="174">
        <f>ROUND(J617*L617,2)</f>
        <v>50225.85</v>
      </c>
      <c r="O617" s="227"/>
      <c r="P617" s="262"/>
      <c r="Q617" s="262"/>
      <c r="R617" s="227"/>
      <c r="S617" s="227"/>
      <c r="T617" s="227"/>
      <c r="U617" s="184" t="s">
        <v>139</v>
      </c>
      <c r="V617" s="179">
        <v>258</v>
      </c>
      <c r="W617" s="180">
        <v>232</v>
      </c>
      <c r="X617" s="227"/>
      <c r="Y617" s="184"/>
      <c r="Z617" s="181"/>
      <c r="AA617" s="227"/>
      <c r="AB617" s="182">
        <f>SUM(AH617:AS617)</f>
        <v>24693.142</v>
      </c>
      <c r="AC617" s="182">
        <f>SUM(AT617:BE617)</f>
        <v>24693.142</v>
      </c>
      <c r="AD617" s="182">
        <f>SUM(BF617:BQ617)</f>
        <v>24693.142</v>
      </c>
      <c r="AE617" s="182">
        <f>SUM(BR617:CC617)</f>
        <v>24693.142</v>
      </c>
      <c r="AF617" s="182">
        <f>SUM(CD617:CO617)</f>
        <v>24693.142</v>
      </c>
      <c r="AH617" s="174">
        <v>0</v>
      </c>
      <c r="AI617" s="174">
        <v>24693.142</v>
      </c>
      <c r="AJ617" s="174">
        <v>0</v>
      </c>
      <c r="AK617" s="174">
        <v>0</v>
      </c>
      <c r="AL617" s="174">
        <v>0</v>
      </c>
      <c r="AM617" s="174">
        <v>0</v>
      </c>
      <c r="AN617" s="174">
        <v>0</v>
      </c>
      <c r="AO617" s="174">
        <v>0</v>
      </c>
      <c r="AP617" s="174">
        <v>0</v>
      </c>
      <c r="AQ617" s="174">
        <v>0</v>
      </c>
      <c r="AR617" s="174">
        <v>0</v>
      </c>
      <c r="AS617" s="174">
        <v>0</v>
      </c>
      <c r="AT617" s="174">
        <v>0</v>
      </c>
      <c r="AU617" s="174">
        <v>24693.142</v>
      </c>
      <c r="AV617" s="174">
        <v>0</v>
      </c>
      <c r="AW617" s="174">
        <v>0</v>
      </c>
      <c r="AX617" s="174">
        <v>0</v>
      </c>
      <c r="AY617" s="174">
        <v>0</v>
      </c>
      <c r="AZ617" s="174">
        <v>0</v>
      </c>
      <c r="BA617" s="174">
        <v>0</v>
      </c>
      <c r="BB617" s="174">
        <v>0</v>
      </c>
      <c r="BC617" s="174">
        <v>0</v>
      </c>
      <c r="BD617" s="174">
        <v>0</v>
      </c>
      <c r="BE617" s="174">
        <v>0</v>
      </c>
      <c r="BF617" s="174">
        <v>0</v>
      </c>
      <c r="BG617" s="174">
        <v>24693.142</v>
      </c>
      <c r="BH617" s="174">
        <v>0</v>
      </c>
      <c r="BI617" s="174">
        <v>0</v>
      </c>
      <c r="BJ617" s="174">
        <v>0</v>
      </c>
      <c r="BK617" s="174">
        <v>0</v>
      </c>
      <c r="BL617" s="174">
        <v>0</v>
      </c>
      <c r="BM617" s="174">
        <v>0</v>
      </c>
      <c r="BN617" s="174">
        <v>0</v>
      </c>
      <c r="BO617" s="174">
        <v>0</v>
      </c>
      <c r="BP617" s="174">
        <v>0</v>
      </c>
      <c r="BQ617" s="174">
        <v>0</v>
      </c>
      <c r="BR617" s="174">
        <v>0</v>
      </c>
      <c r="BS617" s="174">
        <v>24693.142</v>
      </c>
      <c r="BT617" s="174">
        <v>0</v>
      </c>
      <c r="BU617" s="174">
        <v>0</v>
      </c>
      <c r="BV617" s="174">
        <v>0</v>
      </c>
      <c r="BW617" s="174">
        <v>0</v>
      </c>
      <c r="BX617" s="174">
        <v>0</v>
      </c>
      <c r="BY617" s="174">
        <v>0</v>
      </c>
      <c r="BZ617" s="174">
        <v>0</v>
      </c>
      <c r="CA617" s="174">
        <v>0</v>
      </c>
      <c r="CB617" s="174">
        <v>0</v>
      </c>
      <c r="CC617" s="174">
        <v>0</v>
      </c>
      <c r="CD617" s="174">
        <v>0</v>
      </c>
      <c r="CE617" s="174">
        <v>24693.142</v>
      </c>
      <c r="CF617" s="174">
        <v>0</v>
      </c>
      <c r="CG617" s="174">
        <v>0</v>
      </c>
      <c r="CH617" s="174">
        <v>0</v>
      </c>
      <c r="CI617" s="174">
        <v>0</v>
      </c>
      <c r="CJ617" s="174">
        <v>0</v>
      </c>
      <c r="CK617" s="174">
        <v>0</v>
      </c>
      <c r="CL617" s="174">
        <v>0</v>
      </c>
      <c r="CM617" s="174">
        <v>0</v>
      </c>
      <c r="CN617" s="174">
        <v>0</v>
      </c>
      <c r="CO617" s="174">
        <v>0</v>
      </c>
    </row>
    <row r="618" spans="1:93" x14ac:dyDescent="0.2">
      <c r="A618" s="118">
        <f t="shared" si="64"/>
        <v>16</v>
      </c>
      <c r="B618" s="227" t="s">
        <v>648</v>
      </c>
      <c r="C618" s="263"/>
      <c r="D618" s="172">
        <f>+J618</f>
        <v>4972035.6140713263</v>
      </c>
      <c r="E618" s="233" t="s">
        <v>596</v>
      </c>
      <c r="F618" s="201">
        <v>0.93100000000000005</v>
      </c>
      <c r="G618" s="233" t="s">
        <v>375</v>
      </c>
      <c r="H618" s="174">
        <f>ROUND(D618*F618,2)</f>
        <v>4628965.16</v>
      </c>
      <c r="I618" s="308"/>
      <c r="J618" s="172">
        <f>'E-13c - prior to updates'!J719</f>
        <v>4972035.6140713263</v>
      </c>
      <c r="K618" s="233" t="s">
        <v>596</v>
      </c>
      <c r="L618" s="201">
        <f>'Exhibit MJC-3 - E-13c cal yr'!L721</f>
        <v>0.96799999999999997</v>
      </c>
      <c r="M618" s="233" t="s">
        <v>375</v>
      </c>
      <c r="N618" s="174">
        <f>ROUND(J618*L618,2)</f>
        <v>4812930.47</v>
      </c>
      <c r="O618" s="227"/>
      <c r="P618" s="262"/>
      <c r="Q618" s="262"/>
      <c r="R618" s="227"/>
      <c r="S618" s="227"/>
      <c r="T618" s="227"/>
      <c r="U618" s="184" t="s">
        <v>139</v>
      </c>
      <c r="V618" s="179">
        <v>258</v>
      </c>
      <c r="W618" s="180">
        <v>232</v>
      </c>
      <c r="X618" s="227"/>
      <c r="Y618" s="184"/>
      <c r="Z618" s="181"/>
      <c r="AA618" s="227"/>
      <c r="AB618" s="182">
        <f>SUM(AH618:AS618)</f>
        <v>5030490.4917648518</v>
      </c>
      <c r="AC618" s="182">
        <f>SUM(AT618:BE618)</f>
        <v>5080382.2186824698</v>
      </c>
      <c r="AD618" s="182">
        <f>SUM(BF618:BQ618)</f>
        <v>5099765.674749569</v>
      </c>
      <c r="AE618" s="182">
        <f>SUM(BR618:CC618)</f>
        <v>5185752.8844181094</v>
      </c>
      <c r="AF618" s="182">
        <f>SUM(CD618:CO618)</f>
        <v>5192731.0479362076</v>
      </c>
      <c r="AH618" s="174">
        <v>1451552.4819681603</v>
      </c>
      <c r="AI618" s="174">
        <v>0</v>
      </c>
      <c r="AJ618" s="174">
        <v>680115.41252030968</v>
      </c>
      <c r="AK618" s="174">
        <v>396141.87465073721</v>
      </c>
      <c r="AL618" s="174">
        <v>274893.24887506024</v>
      </c>
      <c r="AM618" s="174">
        <v>353854.34547498764</v>
      </c>
      <c r="AN618" s="174">
        <v>354751.00830349437</v>
      </c>
      <c r="AO618" s="174">
        <v>303591.16005635721</v>
      </c>
      <c r="AP618" s="174">
        <v>377972.17279359873</v>
      </c>
      <c r="AQ618" s="174">
        <v>343784.31265130441</v>
      </c>
      <c r="AR618" s="174">
        <v>238053.60134442124</v>
      </c>
      <c r="AS618" s="174">
        <v>255780.87312642089</v>
      </c>
      <c r="AT618" s="174">
        <v>1465948.783910387</v>
      </c>
      <c r="AU618" s="174">
        <v>0</v>
      </c>
      <c r="AV618" s="174">
        <v>686860.70554679993</v>
      </c>
      <c r="AW618" s="174">
        <v>400070.75638961798</v>
      </c>
      <c r="AX618" s="174">
        <v>277619.60307984869</v>
      </c>
      <c r="AY618" s="174">
        <v>357363.82519708475</v>
      </c>
      <c r="AZ618" s="174">
        <v>358269.38100671332</v>
      </c>
      <c r="BA618" s="174">
        <v>306602.13627764833</v>
      </c>
      <c r="BB618" s="174">
        <v>381720.84987754276</v>
      </c>
      <c r="BC618" s="174">
        <v>347193.91914463521</v>
      </c>
      <c r="BD618" s="174">
        <v>240414.58488856565</v>
      </c>
      <c r="BE618" s="174">
        <v>258317.67336362728</v>
      </c>
      <c r="BF618" s="174">
        <v>1471541.8973074562</v>
      </c>
      <c r="BG618" s="174">
        <v>0</v>
      </c>
      <c r="BH618" s="174">
        <v>689481.32221245626</v>
      </c>
      <c r="BI618" s="174">
        <v>401597.16790678538</v>
      </c>
      <c r="BJ618" s="174">
        <v>278678.82011274737</v>
      </c>
      <c r="BK618" s="174">
        <v>358727.29465814331</v>
      </c>
      <c r="BL618" s="174">
        <v>359636.30548365385</v>
      </c>
      <c r="BM618" s="174">
        <v>307771.93193136156</v>
      </c>
      <c r="BN618" s="174">
        <v>383177.25000749523</v>
      </c>
      <c r="BO618" s="174">
        <v>348518.58681506285</v>
      </c>
      <c r="BP618" s="174">
        <v>241331.85161053407</v>
      </c>
      <c r="BQ618" s="174">
        <v>259303.24670387444</v>
      </c>
      <c r="BR618" s="174">
        <v>1496353.5827318125</v>
      </c>
      <c r="BS618" s="174">
        <v>0</v>
      </c>
      <c r="BT618" s="174">
        <v>701106.67498291191</v>
      </c>
      <c r="BU618" s="174">
        <v>408368.50252909388</v>
      </c>
      <c r="BV618" s="174">
        <v>283377.62701163354</v>
      </c>
      <c r="BW618" s="174">
        <v>364775.79983796459</v>
      </c>
      <c r="BX618" s="174">
        <v>365700.13750581053</v>
      </c>
      <c r="BY618" s="174">
        <v>312961.27813448355</v>
      </c>
      <c r="BZ618" s="174">
        <v>389638.00617512577</v>
      </c>
      <c r="CA618" s="174">
        <v>354394.9628505797</v>
      </c>
      <c r="CB618" s="174">
        <v>245400.95082951942</v>
      </c>
      <c r="CC618" s="174">
        <v>263675.36182917462</v>
      </c>
      <c r="CD618" s="174">
        <v>1498367.1379886717</v>
      </c>
      <c r="CE618" s="174">
        <v>0</v>
      </c>
      <c r="CF618" s="174">
        <v>702050.11311633338</v>
      </c>
      <c r="CG618" s="174">
        <v>408918.02007260261</v>
      </c>
      <c r="CH618" s="174">
        <v>283758.95166452992</v>
      </c>
      <c r="CI618" s="174">
        <v>365266.65723812382</v>
      </c>
      <c r="CJ618" s="174">
        <v>366192.2387329581</v>
      </c>
      <c r="CK618" s="174">
        <v>313382.4117716488</v>
      </c>
      <c r="CL618" s="174">
        <v>390162.31918821309</v>
      </c>
      <c r="CM618" s="174">
        <v>354871.85136722925</v>
      </c>
      <c r="CN618" s="174">
        <v>245731.17249656617</v>
      </c>
      <c r="CO618" s="174">
        <v>264030.17429933028</v>
      </c>
    </row>
    <row r="619" spans="1:93" x14ac:dyDescent="0.2">
      <c r="A619" s="118">
        <f t="shared" si="64"/>
        <v>17</v>
      </c>
      <c r="B619" s="227" t="s">
        <v>644</v>
      </c>
      <c r="C619" s="263"/>
      <c r="D619" s="172"/>
      <c r="E619" s="230"/>
      <c r="F619" s="197"/>
      <c r="G619" s="227"/>
      <c r="H619" s="203"/>
      <c r="I619" s="308"/>
      <c r="J619" s="172"/>
      <c r="K619" s="230"/>
      <c r="L619" s="197"/>
      <c r="M619" s="227"/>
      <c r="N619" s="203"/>
      <c r="O619" s="227"/>
      <c r="P619" s="262"/>
      <c r="Q619" s="262"/>
      <c r="R619" s="227"/>
      <c r="S619" s="227"/>
      <c r="T619" s="227"/>
      <c r="U619" s="184" t="s">
        <v>139</v>
      </c>
      <c r="V619" s="179">
        <v>258</v>
      </c>
      <c r="W619" s="180">
        <v>232</v>
      </c>
      <c r="X619" s="227"/>
      <c r="Y619" s="184"/>
      <c r="Z619" s="181"/>
      <c r="AA619" s="227"/>
      <c r="AB619" s="182">
        <f>SUM(AH619:AS619)</f>
        <v>0</v>
      </c>
      <c r="AC619" s="182">
        <f>SUM(AT619:BE619)</f>
        <v>0</v>
      </c>
      <c r="AD619" s="182">
        <f>SUM(BF619:BQ619)</f>
        <v>0</v>
      </c>
      <c r="AE619" s="182">
        <f>SUM(BR619:CC619)</f>
        <v>0</v>
      </c>
      <c r="AF619" s="182">
        <f>SUM(CD619:CO619)</f>
        <v>0</v>
      </c>
    </row>
    <row r="620" spans="1:93" x14ac:dyDescent="0.2">
      <c r="A620" s="118">
        <f t="shared" si="64"/>
        <v>18</v>
      </c>
      <c r="B620" s="227" t="s">
        <v>647</v>
      </c>
      <c r="C620" s="263"/>
      <c r="D620" s="172">
        <f>SUMIF($AH$6:$CP$6,1,$AH620:$CP620)</f>
        <v>0</v>
      </c>
      <c r="E620" s="233" t="s">
        <v>596</v>
      </c>
      <c r="F620" s="201">
        <v>1.9570000000000001</v>
      </c>
      <c r="G620" s="233" t="s">
        <v>375</v>
      </c>
      <c r="H620" s="174">
        <f>ROUND(D620*F620,2)</f>
        <v>0</v>
      </c>
      <c r="I620" s="308"/>
      <c r="J620" s="172">
        <f>SUMIF($AH$6:$CP$6,1,$AH620:$CP620)</f>
        <v>0</v>
      </c>
      <c r="K620" s="233" t="s">
        <v>596</v>
      </c>
      <c r="L620" s="201">
        <f>L617</f>
        <v>2.0339999999999998</v>
      </c>
      <c r="M620" s="233" t="s">
        <v>375</v>
      </c>
      <c r="N620" s="174">
        <f>ROUND(J620*L620,2)</f>
        <v>0</v>
      </c>
      <c r="O620" s="227"/>
      <c r="P620" s="262"/>
      <c r="Q620" s="262"/>
      <c r="R620" s="227"/>
      <c r="S620" s="227"/>
      <c r="T620" s="227"/>
      <c r="U620" s="184" t="s">
        <v>139</v>
      </c>
      <c r="V620" s="179">
        <v>258</v>
      </c>
      <c r="W620" s="180">
        <v>232</v>
      </c>
      <c r="X620" s="227"/>
      <c r="Y620" s="184"/>
      <c r="Z620" s="181"/>
      <c r="AA620" s="227"/>
      <c r="AB620" s="182">
        <f>SUM(AH620:AS620)</f>
        <v>0</v>
      </c>
      <c r="AC620" s="182">
        <f>SUM(AT620:BE620)</f>
        <v>0</v>
      </c>
      <c r="AD620" s="182">
        <f>SUM(BF620:BQ620)</f>
        <v>0</v>
      </c>
      <c r="AE620" s="182">
        <f>SUM(BR620:CC620)</f>
        <v>0</v>
      </c>
      <c r="AF620" s="182">
        <f>SUM(CD620:CO620)</f>
        <v>0</v>
      </c>
      <c r="AH620" s="174">
        <v>0</v>
      </c>
      <c r="AI620" s="174">
        <v>0</v>
      </c>
      <c r="AJ620" s="174">
        <v>0</v>
      </c>
      <c r="AK620" s="174">
        <v>0</v>
      </c>
      <c r="AL620" s="174">
        <v>0</v>
      </c>
      <c r="AM620" s="174">
        <v>0</v>
      </c>
      <c r="AN620" s="174">
        <v>0</v>
      </c>
      <c r="AO620" s="174">
        <v>0</v>
      </c>
      <c r="AP620" s="174">
        <v>0</v>
      </c>
      <c r="AQ620" s="174">
        <v>0</v>
      </c>
      <c r="AR620" s="174">
        <v>0</v>
      </c>
      <c r="AS620" s="174">
        <v>0</v>
      </c>
      <c r="AT620" s="174">
        <v>0</v>
      </c>
      <c r="AU620" s="174">
        <v>0</v>
      </c>
      <c r="AV620" s="174">
        <v>0</v>
      </c>
      <c r="AW620" s="174">
        <v>0</v>
      </c>
      <c r="AX620" s="174">
        <v>0</v>
      </c>
      <c r="AY620" s="174">
        <v>0</v>
      </c>
      <c r="AZ620" s="174">
        <v>0</v>
      </c>
      <c r="BA620" s="174">
        <v>0</v>
      </c>
      <c r="BB620" s="174">
        <v>0</v>
      </c>
      <c r="BC620" s="174">
        <v>0</v>
      </c>
      <c r="BD620" s="174">
        <v>0</v>
      </c>
      <c r="BE620" s="174">
        <v>0</v>
      </c>
      <c r="BF620" s="174">
        <v>0</v>
      </c>
      <c r="BG620" s="174">
        <v>0</v>
      </c>
      <c r="BH620" s="174">
        <v>0</v>
      </c>
      <c r="BI620" s="174">
        <v>0</v>
      </c>
      <c r="BJ620" s="174">
        <v>0</v>
      </c>
      <c r="BK620" s="174">
        <v>0</v>
      </c>
      <c r="BL620" s="174">
        <v>0</v>
      </c>
      <c r="BM620" s="174">
        <v>0</v>
      </c>
      <c r="BN620" s="174">
        <v>0</v>
      </c>
      <c r="BO620" s="174">
        <v>0</v>
      </c>
      <c r="BP620" s="174">
        <v>0</v>
      </c>
      <c r="BQ620" s="174">
        <v>0</v>
      </c>
      <c r="BR620" s="174">
        <v>0</v>
      </c>
      <c r="BS620" s="174">
        <v>0</v>
      </c>
      <c r="BT620" s="174">
        <v>0</v>
      </c>
      <c r="BU620" s="174">
        <v>0</v>
      </c>
      <c r="BV620" s="174">
        <v>0</v>
      </c>
      <c r="BW620" s="174">
        <v>0</v>
      </c>
      <c r="BX620" s="174">
        <v>0</v>
      </c>
      <c r="BY620" s="174">
        <v>0</v>
      </c>
      <c r="BZ620" s="174">
        <v>0</v>
      </c>
      <c r="CA620" s="174">
        <v>0</v>
      </c>
      <c r="CB620" s="174">
        <v>0</v>
      </c>
      <c r="CC620" s="174">
        <v>0</v>
      </c>
      <c r="CD620" s="174">
        <v>0</v>
      </c>
      <c r="CE620" s="174">
        <v>0</v>
      </c>
      <c r="CF620" s="174">
        <v>0</v>
      </c>
      <c r="CG620" s="174">
        <v>0</v>
      </c>
      <c r="CH620" s="174">
        <v>0</v>
      </c>
      <c r="CI620" s="174">
        <v>0</v>
      </c>
      <c r="CJ620" s="174">
        <v>0</v>
      </c>
      <c r="CK620" s="174">
        <v>0</v>
      </c>
      <c r="CL620" s="174">
        <v>0</v>
      </c>
      <c r="CM620" s="174">
        <v>0</v>
      </c>
      <c r="CN620" s="174">
        <v>0</v>
      </c>
      <c r="CO620" s="174">
        <v>0</v>
      </c>
    </row>
    <row r="621" spans="1:93" x14ac:dyDescent="0.2">
      <c r="A621" s="118">
        <f t="shared" si="64"/>
        <v>19</v>
      </c>
      <c r="B621" s="227" t="s">
        <v>648</v>
      </c>
      <c r="C621" s="263"/>
      <c r="D621" s="172">
        <f>+J621</f>
        <v>0</v>
      </c>
      <c r="E621" s="233" t="s">
        <v>596</v>
      </c>
      <c r="F621" s="201">
        <v>0.93100000000000005</v>
      </c>
      <c r="G621" s="233" t="s">
        <v>375</v>
      </c>
      <c r="H621" s="174">
        <f>ROUND(D621*F621,2)</f>
        <v>0</v>
      </c>
      <c r="I621" s="308"/>
      <c r="J621" s="172">
        <f>'E-13c - prior to updates'!J722</f>
        <v>0</v>
      </c>
      <c r="K621" s="233" t="s">
        <v>596</v>
      </c>
      <c r="L621" s="201">
        <f>L618</f>
        <v>0.96799999999999997</v>
      </c>
      <c r="M621" s="233" t="s">
        <v>375</v>
      </c>
      <c r="N621" s="174">
        <f>ROUND(J621*L621,2)</f>
        <v>0</v>
      </c>
      <c r="O621" s="227"/>
      <c r="P621" s="262"/>
      <c r="Q621" s="262"/>
      <c r="R621" s="227"/>
      <c r="S621" s="227"/>
      <c r="T621" s="227"/>
      <c r="U621" s="184" t="s">
        <v>139</v>
      </c>
      <c r="V621" s="179">
        <v>258</v>
      </c>
      <c r="W621" s="180">
        <v>232</v>
      </c>
      <c r="X621" s="227"/>
      <c r="Y621" s="184"/>
      <c r="Z621" s="181"/>
      <c r="AA621" s="227"/>
      <c r="AB621" s="182">
        <f>SUM(AH621:AS621)</f>
        <v>0</v>
      </c>
      <c r="AC621" s="182">
        <f>SUM(AT621:BE621)</f>
        <v>0</v>
      </c>
      <c r="AD621" s="182">
        <f>SUM(BF621:BQ621)</f>
        <v>0</v>
      </c>
      <c r="AE621" s="182">
        <f>SUM(BR621:CC621)</f>
        <v>0</v>
      </c>
      <c r="AF621" s="182">
        <f>SUM(CD621:CO621)</f>
        <v>0</v>
      </c>
      <c r="AH621" s="329">
        <v>0</v>
      </c>
      <c r="AI621" s="329">
        <v>0</v>
      </c>
      <c r="AJ621" s="329">
        <v>0</v>
      </c>
      <c r="AK621" s="329">
        <v>0</v>
      </c>
      <c r="AL621" s="329">
        <v>0</v>
      </c>
      <c r="AM621" s="329">
        <v>0</v>
      </c>
      <c r="AN621" s="329">
        <v>0</v>
      </c>
      <c r="AO621" s="329">
        <v>0</v>
      </c>
      <c r="AP621" s="329">
        <v>0</v>
      </c>
      <c r="AQ621" s="329">
        <v>0</v>
      </c>
      <c r="AR621" s="329">
        <v>0</v>
      </c>
      <c r="AS621" s="329">
        <v>0</v>
      </c>
      <c r="AT621" s="329">
        <v>0</v>
      </c>
      <c r="AU621" s="329">
        <v>0</v>
      </c>
      <c r="AV621" s="329">
        <v>0</v>
      </c>
      <c r="AW621" s="329">
        <v>0</v>
      </c>
      <c r="AX621" s="329">
        <v>0</v>
      </c>
      <c r="AY621" s="329">
        <v>0</v>
      </c>
      <c r="AZ621" s="329">
        <v>0</v>
      </c>
      <c r="BA621" s="329">
        <v>0</v>
      </c>
      <c r="BB621" s="329">
        <v>0</v>
      </c>
      <c r="BC621" s="329">
        <v>0</v>
      </c>
      <c r="BD621" s="329">
        <v>0</v>
      </c>
      <c r="BE621" s="329">
        <v>0</v>
      </c>
      <c r="BF621" s="329">
        <v>0</v>
      </c>
      <c r="BG621" s="329">
        <v>0</v>
      </c>
      <c r="BH621" s="329">
        <v>0</v>
      </c>
      <c r="BI621" s="329">
        <v>0</v>
      </c>
      <c r="BJ621" s="329">
        <v>0</v>
      </c>
      <c r="BK621" s="329">
        <v>0</v>
      </c>
      <c r="BL621" s="329">
        <v>0</v>
      </c>
      <c r="BM621" s="329">
        <v>0</v>
      </c>
      <c r="BN621" s="329">
        <v>0</v>
      </c>
      <c r="BO621" s="329">
        <v>0</v>
      </c>
      <c r="BP621" s="329">
        <v>0</v>
      </c>
      <c r="BQ621" s="329">
        <v>0</v>
      </c>
      <c r="BR621" s="329">
        <v>0</v>
      </c>
      <c r="BS621" s="329">
        <v>0</v>
      </c>
      <c r="BT621" s="329">
        <v>0</v>
      </c>
      <c r="BU621" s="329">
        <v>0</v>
      </c>
      <c r="BV621" s="329">
        <v>0</v>
      </c>
      <c r="BW621" s="329">
        <v>0</v>
      </c>
      <c r="BX621" s="329">
        <v>0</v>
      </c>
      <c r="BY621" s="329">
        <v>0</v>
      </c>
      <c r="BZ621" s="329">
        <v>0</v>
      </c>
      <c r="CA621" s="329">
        <v>0</v>
      </c>
      <c r="CB621" s="329">
        <v>0</v>
      </c>
      <c r="CC621" s="329">
        <v>0</v>
      </c>
      <c r="CD621" s="329">
        <v>0</v>
      </c>
      <c r="CE621" s="329">
        <v>0</v>
      </c>
      <c r="CF621" s="329">
        <v>0</v>
      </c>
      <c r="CG621" s="329">
        <v>0</v>
      </c>
      <c r="CH621" s="329">
        <v>0</v>
      </c>
      <c r="CI621" s="329">
        <v>0</v>
      </c>
      <c r="CJ621" s="329">
        <v>0</v>
      </c>
      <c r="CK621" s="329">
        <v>0</v>
      </c>
      <c r="CL621" s="329">
        <v>0</v>
      </c>
      <c r="CM621" s="329">
        <v>0</v>
      </c>
      <c r="CN621" s="329">
        <v>0</v>
      </c>
      <c r="CO621" s="329">
        <v>0</v>
      </c>
    </row>
    <row r="622" spans="1:93" x14ac:dyDescent="0.2">
      <c r="A622" s="118">
        <f t="shared" si="64"/>
        <v>20</v>
      </c>
      <c r="B622" s="227"/>
      <c r="C622" s="225" t="s">
        <v>121</v>
      </c>
      <c r="D622" s="227"/>
      <c r="E622" s="233" t="s">
        <v>334</v>
      </c>
      <c r="F622" s="326"/>
      <c r="G622" s="227"/>
      <c r="H622" s="300">
        <f>SUM(H612:H621)</f>
        <v>5693659.3600000003</v>
      </c>
      <c r="I622" s="308"/>
      <c r="J622" s="227"/>
      <c r="K622" s="233" t="s">
        <v>334</v>
      </c>
      <c r="L622" s="326"/>
      <c r="M622" s="227"/>
      <c r="N622" s="300">
        <f>SUM(N612:N621)</f>
        <v>5921010.5199999996</v>
      </c>
      <c r="O622" s="227"/>
      <c r="P622" s="262"/>
      <c r="Q622" s="939"/>
      <c r="R622" s="227"/>
      <c r="S622" s="227"/>
      <c r="T622" s="227"/>
      <c r="U622" s="178"/>
      <c r="V622" s="179"/>
      <c r="W622" s="180"/>
      <c r="X622" s="227"/>
      <c r="Y622" s="178" t="s">
        <v>139</v>
      </c>
      <c r="Z622" s="181" t="s">
        <v>146</v>
      </c>
      <c r="AA622" s="227"/>
      <c r="AB622" s="324">
        <f>SUM(AB617:AB621)</f>
        <v>5055183.6337648518</v>
      </c>
      <c r="AC622" s="324">
        <f>SUM(AC617:AC621)</f>
        <v>5105075.3606824698</v>
      </c>
      <c r="AD622" s="324">
        <f>SUM(AD617:AD621)</f>
        <v>5124458.816749569</v>
      </c>
      <c r="AE622" s="324">
        <f>SUM(AE617:AE621)</f>
        <v>5210446.0264181094</v>
      </c>
      <c r="AF622" s="324">
        <f>SUM(AF617:AF621)</f>
        <v>5217424.1899362076</v>
      </c>
      <c r="AH622" s="247"/>
      <c r="AI622" s="247"/>
      <c r="AJ622" s="247"/>
      <c r="AK622" s="247"/>
      <c r="AL622" s="247"/>
      <c r="AM622" s="247"/>
      <c r="AN622" s="247"/>
      <c r="AO622" s="247"/>
      <c r="AP622" s="247"/>
      <c r="AQ622" s="247"/>
      <c r="AR622" s="247"/>
      <c r="AS622" s="247"/>
      <c r="AT622" s="247"/>
      <c r="AU622" s="247"/>
      <c r="AV622" s="247"/>
      <c r="AW622" s="247"/>
      <c r="AX622" s="247"/>
      <c r="AY622" s="247"/>
      <c r="AZ622" s="247"/>
      <c r="BA622" s="247"/>
      <c r="BB622" s="247"/>
      <c r="BC622" s="247"/>
      <c r="BD622" s="247"/>
      <c r="BE622" s="247"/>
      <c r="BF622" s="247"/>
      <c r="BG622" s="247"/>
      <c r="BH622" s="247"/>
      <c r="BI622" s="247"/>
      <c r="BJ622" s="247"/>
      <c r="BK622" s="247"/>
      <c r="BL622" s="247"/>
      <c r="BM622" s="247"/>
      <c r="BN622" s="247"/>
      <c r="BO622" s="247"/>
      <c r="BP622" s="247"/>
      <c r="BQ622" s="247"/>
      <c r="BR622" s="247"/>
      <c r="BS622" s="247"/>
      <c r="BT622" s="247"/>
      <c r="BU622" s="247"/>
      <c r="BV622" s="247"/>
      <c r="BW622" s="247"/>
      <c r="BX622" s="247"/>
      <c r="BY622" s="247"/>
      <c r="BZ622" s="247"/>
      <c r="CA622" s="247"/>
      <c r="CB622" s="247"/>
      <c r="CC622" s="247"/>
      <c r="CD622" s="247"/>
      <c r="CE622" s="247"/>
      <c r="CF622" s="247"/>
      <c r="CG622" s="247"/>
      <c r="CH622" s="247"/>
      <c r="CI622" s="247"/>
      <c r="CJ622" s="247"/>
      <c r="CK622" s="247"/>
      <c r="CL622" s="247"/>
      <c r="CM622" s="247"/>
      <c r="CN622" s="247"/>
      <c r="CO622" s="247"/>
    </row>
    <row r="623" spans="1:93" x14ac:dyDescent="0.2">
      <c r="A623" s="118">
        <f t="shared" si="64"/>
        <v>21</v>
      </c>
      <c r="B623" s="227"/>
      <c r="C623" s="263"/>
      <c r="D623" s="227"/>
      <c r="E623" s="230"/>
      <c r="F623" s="197"/>
      <c r="G623" s="227"/>
      <c r="H623" s="203"/>
      <c r="I623" s="308"/>
      <c r="J623" s="227"/>
      <c r="K623" s="230"/>
      <c r="L623" s="197"/>
      <c r="M623" s="227"/>
      <c r="N623" s="203"/>
      <c r="O623" s="227"/>
      <c r="P623" s="262"/>
      <c r="Q623" s="262"/>
      <c r="T623" s="264"/>
      <c r="U623" s="184"/>
      <c r="V623" s="179"/>
      <c r="W623" s="180"/>
      <c r="X623" s="264"/>
      <c r="Y623" s="184"/>
      <c r="Z623" s="181"/>
      <c r="AA623" s="264"/>
      <c r="AC623" s="114"/>
      <c r="AD623" s="114"/>
      <c r="AE623" s="238"/>
      <c r="AF623" s="114"/>
    </row>
    <row r="624" spans="1:93" x14ac:dyDescent="0.2">
      <c r="A624" s="118">
        <f t="shared" si="64"/>
        <v>22</v>
      </c>
      <c r="B624" s="286" t="s">
        <v>551</v>
      </c>
      <c r="C624" s="263"/>
      <c r="D624" s="227"/>
      <c r="E624" s="230"/>
      <c r="F624" s="197"/>
      <c r="G624" s="227"/>
      <c r="H624" s="203"/>
      <c r="I624" s="308"/>
      <c r="J624" s="227"/>
      <c r="K624" s="230"/>
      <c r="L624" s="197"/>
      <c r="M624" s="227"/>
      <c r="N624" s="203"/>
      <c r="O624" s="227"/>
      <c r="P624" s="262"/>
      <c r="Q624" s="262"/>
      <c r="T624" s="264"/>
      <c r="U624" s="184"/>
      <c r="V624" s="179"/>
      <c r="W624" s="180"/>
      <c r="X624" s="264"/>
      <c r="Y624" s="184"/>
      <c r="Z624" s="181"/>
      <c r="AA624" s="264"/>
      <c r="AC624" s="114"/>
      <c r="AD624" s="114"/>
      <c r="AE624" s="238"/>
      <c r="AF624" s="114"/>
    </row>
    <row r="625" spans="1:93" x14ac:dyDescent="0.2">
      <c r="A625" s="118">
        <f t="shared" si="64"/>
        <v>23</v>
      </c>
      <c r="B625" s="228" t="s">
        <v>543</v>
      </c>
      <c r="C625" s="225"/>
      <c r="D625" s="168"/>
      <c r="E625" s="233"/>
      <c r="F625" s="183"/>
      <c r="G625" s="223"/>
      <c r="H625" s="174"/>
      <c r="I625" s="308"/>
      <c r="J625" s="168"/>
      <c r="K625" s="233"/>
      <c r="L625" s="310"/>
      <c r="M625" s="223"/>
      <c r="N625" s="174"/>
      <c r="O625" s="227"/>
      <c r="P625" s="262"/>
      <c r="Q625" s="262"/>
      <c r="T625" s="264"/>
      <c r="U625" s="178"/>
      <c r="V625" s="179"/>
      <c r="W625" s="180"/>
      <c r="X625" s="264"/>
      <c r="Y625" s="178"/>
      <c r="Z625" s="181"/>
      <c r="AA625" s="264"/>
      <c r="AB625" s="264"/>
      <c r="AC625" s="242"/>
      <c r="AH625" s="168"/>
      <c r="AT625" s="168"/>
      <c r="BF625" s="168"/>
      <c r="BR625" s="168"/>
      <c r="CD625" s="168"/>
    </row>
    <row r="626" spans="1:93" x14ac:dyDescent="0.2">
      <c r="A626" s="118">
        <f t="shared" si="64"/>
        <v>24</v>
      </c>
      <c r="B626" s="234" t="s">
        <v>148</v>
      </c>
      <c r="C626" s="225"/>
      <c r="D626" s="172">
        <f>SUMIF($AH$6:$CP$6,1,$AH626:$CP626)</f>
        <v>142794.18488681412</v>
      </c>
      <c r="E626" s="233" t="s">
        <v>555</v>
      </c>
      <c r="F626" s="183">
        <v>17.600000000000001</v>
      </c>
      <c r="G626" s="233" t="s">
        <v>375</v>
      </c>
      <c r="H626" s="174">
        <f>ROUND(D626*F626,2)</f>
        <v>2513177.65</v>
      </c>
      <c r="I626" s="308"/>
      <c r="J626" s="172">
        <f>SUMIF($AH$6:$CP$6,1,$AH626:$CP626)</f>
        <v>142794.18488681412</v>
      </c>
      <c r="K626" s="233" t="s">
        <v>555</v>
      </c>
      <c r="L626" s="173">
        <f>'Exhibit MJC-3 - E-13c cal yr'!L729</f>
        <v>18.309999999999999</v>
      </c>
      <c r="M626" s="233" t="s">
        <v>375</v>
      </c>
      <c r="N626" s="174">
        <f>ROUND(J626*L626,2)</f>
        <v>2614561.5299999998</v>
      </c>
      <c r="O626" s="227"/>
      <c r="P626" s="262"/>
      <c r="Q626" s="262"/>
      <c r="R626" s="311"/>
      <c r="T626" s="264"/>
      <c r="U626" s="184" t="s">
        <v>139</v>
      </c>
      <c r="V626" s="179">
        <v>258</v>
      </c>
      <c r="W626" s="180">
        <v>232</v>
      </c>
      <c r="X626" s="264"/>
      <c r="Y626" s="184"/>
      <c r="Z626" s="181"/>
      <c r="AA626" s="264"/>
      <c r="AB626" s="182">
        <f>SUM(AH626:AS626)</f>
        <v>138518.90079660699</v>
      </c>
      <c r="AC626" s="182">
        <f>SUM(AT626:BE626)</f>
        <v>139892.71259145811</v>
      </c>
      <c r="AD626" s="182">
        <f>SUM(BF626:BQ626)</f>
        <v>140426.45279680178</v>
      </c>
      <c r="AE626" s="182">
        <f>SUM(BR626:CC626)</f>
        <v>142794.18488681412</v>
      </c>
      <c r="AF626" s="182">
        <f>SUM(CD626:CO626)</f>
        <v>142986.33464670097</v>
      </c>
      <c r="AH626" s="168">
        <v>39551.853131221855</v>
      </c>
      <c r="AI626" s="168">
        <v>0</v>
      </c>
      <c r="AJ626" s="168">
        <v>13659.738685515413</v>
      </c>
      <c r="AK626" s="168">
        <v>9840.9744002848656</v>
      </c>
      <c r="AL626" s="168">
        <v>7573.2338075016269</v>
      </c>
      <c r="AM626" s="168">
        <v>11060.767230391146</v>
      </c>
      <c r="AN626" s="168">
        <v>10209.144322757445</v>
      </c>
      <c r="AO626" s="168">
        <v>8994.085487296994</v>
      </c>
      <c r="AP626" s="168">
        <v>9811.8552280509139</v>
      </c>
      <c r="AQ626" s="168">
        <v>11657.045105302443</v>
      </c>
      <c r="AR626" s="168">
        <v>9224.0551391906884</v>
      </c>
      <c r="AS626" s="168">
        <v>6936.1482590936203</v>
      </c>
      <c r="AT626" s="168">
        <v>41674.146117269411</v>
      </c>
      <c r="AU626" s="168">
        <v>0</v>
      </c>
      <c r="AV626" s="168">
        <v>13601.876847970576</v>
      </c>
      <c r="AW626" s="168">
        <v>9933.9947309025065</v>
      </c>
      <c r="AX626" s="168">
        <v>7547.4310321710454</v>
      </c>
      <c r="AY626" s="168">
        <v>10824.29467701081</v>
      </c>
      <c r="AZ626" s="168">
        <v>10242.284270945933</v>
      </c>
      <c r="BA626" s="168">
        <v>8831.242034639703</v>
      </c>
      <c r="BB626" s="168">
        <v>9689.3369476920434</v>
      </c>
      <c r="BC626" s="168">
        <v>11595.694124821443</v>
      </c>
      <c r="BD626" s="168">
        <v>9111.2895687082109</v>
      </c>
      <c r="BE626" s="168">
        <v>6841.122239326417</v>
      </c>
      <c r="BF626" s="168">
        <v>41538.82631009636</v>
      </c>
      <c r="BG626" s="168">
        <v>0</v>
      </c>
      <c r="BH626" s="168">
        <v>13808.980160934214</v>
      </c>
      <c r="BI626" s="168">
        <v>9908.3987036736016</v>
      </c>
      <c r="BJ626" s="168">
        <v>7599.5224679364837</v>
      </c>
      <c r="BK626" s="168">
        <v>10964.724315928312</v>
      </c>
      <c r="BL626" s="168">
        <v>10304.222932370873</v>
      </c>
      <c r="BM626" s="168">
        <v>8899.4011894915548</v>
      </c>
      <c r="BN626" s="168">
        <v>9732.9579557829638</v>
      </c>
      <c r="BO626" s="168">
        <v>11568.334166058667</v>
      </c>
      <c r="BP626" s="168">
        <v>9128.9003980001853</v>
      </c>
      <c r="BQ626" s="168">
        <v>6972.1841965285839</v>
      </c>
      <c r="BR626" s="168">
        <v>42211.066482695082</v>
      </c>
      <c r="BS626" s="168">
        <v>0</v>
      </c>
      <c r="BT626" s="168">
        <v>14161.846642981332</v>
      </c>
      <c r="BU626" s="168">
        <v>10172.018566984148</v>
      </c>
      <c r="BV626" s="168">
        <v>7613.638702518364</v>
      </c>
      <c r="BW626" s="168">
        <v>11221.805497705736</v>
      </c>
      <c r="BX626" s="168">
        <v>10522.767197486453</v>
      </c>
      <c r="BY626" s="168">
        <v>9037.5754542129234</v>
      </c>
      <c r="BZ626" s="168">
        <v>9852.5975705771689</v>
      </c>
      <c r="CA626" s="168">
        <v>11758.379098733651</v>
      </c>
      <c r="CB626" s="168">
        <v>9255.4479882668657</v>
      </c>
      <c r="CC626" s="168">
        <v>6987.0416846523931</v>
      </c>
      <c r="CD626" s="168">
        <v>42390.210393857466</v>
      </c>
      <c r="CE626" s="168">
        <v>0</v>
      </c>
      <c r="CF626" s="168">
        <v>13945.216721805797</v>
      </c>
      <c r="CG626" s="168">
        <v>10266.199755394358</v>
      </c>
      <c r="CH626" s="168">
        <v>7685.4262708593378</v>
      </c>
      <c r="CI626" s="168">
        <v>11098.765170283619</v>
      </c>
      <c r="CJ626" s="168">
        <v>10490.226485147896</v>
      </c>
      <c r="CK626" s="168">
        <v>9029.7502819644797</v>
      </c>
      <c r="CL626" s="168">
        <v>9958.0433373652613</v>
      </c>
      <c r="CM626" s="168">
        <v>11778.039911166465</v>
      </c>
      <c r="CN626" s="168">
        <v>9354.278969704068</v>
      </c>
      <c r="CO626" s="168">
        <v>6990.1773491522126</v>
      </c>
    </row>
    <row r="627" spans="1:93" x14ac:dyDescent="0.2">
      <c r="A627" s="118">
        <f t="shared" si="64"/>
        <v>25</v>
      </c>
      <c r="B627" s="234" t="s">
        <v>216</v>
      </c>
      <c r="C627" s="225"/>
      <c r="D627" s="172">
        <f>SUMIF($AH$6:$CP$6,1,$AH627:$CP627)</f>
        <v>0</v>
      </c>
      <c r="E627" s="233" t="s">
        <v>555</v>
      </c>
      <c r="F627" s="183">
        <v>17.600000000000001</v>
      </c>
      <c r="G627" s="233" t="s">
        <v>375</v>
      </c>
      <c r="H627" s="187">
        <f>ROUND(D627*F627,2)</f>
        <v>0</v>
      </c>
      <c r="I627" s="308"/>
      <c r="J627" s="172">
        <f>SUMIF($AH$6:$CP$6,1,$AH627:$CP627)</f>
        <v>0</v>
      </c>
      <c r="K627" s="233" t="s">
        <v>555</v>
      </c>
      <c r="L627" s="183">
        <f>L626</f>
        <v>18.309999999999999</v>
      </c>
      <c r="M627" s="233" t="s">
        <v>375</v>
      </c>
      <c r="N627" s="187">
        <f>ROUND(J627*L627,2)</f>
        <v>0</v>
      </c>
      <c r="O627" s="227"/>
      <c r="P627" s="262"/>
      <c r="Q627" s="262"/>
      <c r="R627" s="311"/>
      <c r="T627" s="264"/>
      <c r="U627" s="184" t="s">
        <v>139</v>
      </c>
      <c r="V627" s="179">
        <v>258</v>
      </c>
      <c r="W627" s="180">
        <v>232</v>
      </c>
      <c r="X627" s="264"/>
      <c r="Y627" s="184"/>
      <c r="Z627" s="181"/>
      <c r="AA627" s="264"/>
      <c r="AB627" s="182">
        <f>SUM(AH627:AS627)</f>
        <v>0</v>
      </c>
      <c r="AC627" s="182">
        <f>SUM(AT627:BE627)</f>
        <v>0</v>
      </c>
      <c r="AD627" s="182">
        <f>SUM(BF627:BQ627)</f>
        <v>0</v>
      </c>
      <c r="AE627" s="182">
        <f>SUM(BR627:CC627)</f>
        <v>0</v>
      </c>
      <c r="AF627" s="182">
        <f>SUM(CD627:CO627)</f>
        <v>0</v>
      </c>
      <c r="AH627" s="168">
        <v>0</v>
      </c>
      <c r="AI627" s="168">
        <v>0</v>
      </c>
      <c r="AJ627" s="168">
        <v>0</v>
      </c>
      <c r="AK627" s="168">
        <v>0</v>
      </c>
      <c r="AL627" s="168">
        <v>0</v>
      </c>
      <c r="AM627" s="168">
        <v>0</v>
      </c>
      <c r="AN627" s="168">
        <v>0</v>
      </c>
      <c r="AO627" s="168">
        <v>0</v>
      </c>
      <c r="AP627" s="168">
        <v>0</v>
      </c>
      <c r="AQ627" s="168">
        <v>0</v>
      </c>
      <c r="AR627" s="168">
        <v>0</v>
      </c>
      <c r="AS627" s="168">
        <v>0</v>
      </c>
      <c r="AT627" s="168">
        <v>0</v>
      </c>
      <c r="AU627" s="168">
        <v>0</v>
      </c>
      <c r="AV627" s="168">
        <v>0</v>
      </c>
      <c r="AW627" s="168">
        <v>0</v>
      </c>
      <c r="AX627" s="168">
        <v>0</v>
      </c>
      <c r="AY627" s="168">
        <v>0</v>
      </c>
      <c r="AZ627" s="168">
        <v>0</v>
      </c>
      <c r="BA627" s="168">
        <v>0</v>
      </c>
      <c r="BB627" s="168">
        <v>0</v>
      </c>
      <c r="BC627" s="168">
        <v>0</v>
      </c>
      <c r="BD627" s="168">
        <v>0</v>
      </c>
      <c r="BE627" s="168">
        <v>0</v>
      </c>
      <c r="BF627" s="168">
        <v>0</v>
      </c>
      <c r="BG627" s="168">
        <v>0</v>
      </c>
      <c r="BH627" s="168">
        <v>0</v>
      </c>
      <c r="BI627" s="168">
        <v>0</v>
      </c>
      <c r="BJ627" s="168">
        <v>0</v>
      </c>
      <c r="BK627" s="168">
        <v>0</v>
      </c>
      <c r="BL627" s="168">
        <v>0</v>
      </c>
      <c r="BM627" s="168">
        <v>0</v>
      </c>
      <c r="BN627" s="168">
        <v>0</v>
      </c>
      <c r="BO627" s="168">
        <v>0</v>
      </c>
      <c r="BP627" s="168">
        <v>0</v>
      </c>
      <c r="BQ627" s="168">
        <v>0</v>
      </c>
      <c r="BR627" s="168">
        <v>0</v>
      </c>
      <c r="BS627" s="168">
        <v>0</v>
      </c>
      <c r="BT627" s="168">
        <v>0</v>
      </c>
      <c r="BU627" s="168">
        <v>0</v>
      </c>
      <c r="BV627" s="168">
        <v>0</v>
      </c>
      <c r="BW627" s="168">
        <v>0</v>
      </c>
      <c r="BX627" s="168">
        <v>0</v>
      </c>
      <c r="BY627" s="168">
        <v>0</v>
      </c>
      <c r="BZ627" s="168">
        <v>0</v>
      </c>
      <c r="CA627" s="168">
        <v>0</v>
      </c>
      <c r="CB627" s="168">
        <v>0</v>
      </c>
      <c r="CC627" s="168">
        <v>0</v>
      </c>
      <c r="CD627" s="168">
        <v>0</v>
      </c>
      <c r="CE627" s="168">
        <v>0</v>
      </c>
      <c r="CF627" s="168">
        <v>0</v>
      </c>
      <c r="CG627" s="168">
        <v>0</v>
      </c>
      <c r="CH627" s="168">
        <v>0</v>
      </c>
      <c r="CI627" s="168">
        <v>0</v>
      </c>
      <c r="CJ627" s="168">
        <v>0</v>
      </c>
      <c r="CK627" s="168">
        <v>0</v>
      </c>
      <c r="CL627" s="168">
        <v>0</v>
      </c>
      <c r="CM627" s="168">
        <v>0</v>
      </c>
      <c r="CN627" s="168">
        <v>0</v>
      </c>
      <c r="CO627" s="168">
        <v>0</v>
      </c>
    </row>
    <row r="628" spans="1:93" x14ac:dyDescent="0.2">
      <c r="A628" s="118">
        <f t="shared" si="64"/>
        <v>26</v>
      </c>
      <c r="B628" s="227"/>
      <c r="C628" s="225" t="s">
        <v>121</v>
      </c>
      <c r="D628" s="309">
        <f>SUM(D626:D627)</f>
        <v>142794.18488681412</v>
      </c>
      <c r="E628" s="230" t="s">
        <v>663</v>
      </c>
      <c r="F628" s="197"/>
      <c r="G628" s="227"/>
      <c r="H628" s="300">
        <f>SUM(H626:H627)</f>
        <v>2513177.65</v>
      </c>
      <c r="I628" s="308"/>
      <c r="J628" s="309">
        <f>SUM(J626:J627)</f>
        <v>142794.18488681412</v>
      </c>
      <c r="K628" s="230" t="s">
        <v>663</v>
      </c>
      <c r="L628" s="197"/>
      <c r="M628" s="227"/>
      <c r="N628" s="300">
        <f>SUM(N626:N627)</f>
        <v>2614561.5299999998</v>
      </c>
      <c r="O628" s="227"/>
      <c r="P628" s="262"/>
      <c r="Q628" s="939"/>
      <c r="T628" s="264"/>
      <c r="U628" s="178"/>
      <c r="V628" s="179"/>
      <c r="W628" s="180"/>
      <c r="X628" s="264"/>
      <c r="Y628" s="178" t="s">
        <v>139</v>
      </c>
      <c r="Z628" s="181" t="s">
        <v>141</v>
      </c>
      <c r="AA628" s="264"/>
      <c r="AB628" s="309">
        <f>SUM(AB626:AB627)</f>
        <v>138518.90079660699</v>
      </c>
      <c r="AC628" s="309">
        <f>SUM(AC626:AC627)</f>
        <v>139892.71259145811</v>
      </c>
      <c r="AD628" s="309">
        <f>SUM(AD626:AD627)</f>
        <v>140426.45279680178</v>
      </c>
      <c r="AE628" s="309">
        <f>SUM(AE626:AE627)</f>
        <v>142794.18488681412</v>
      </c>
      <c r="AF628" s="309">
        <f>SUM(AF626:AF627)</f>
        <v>142986.33464670097</v>
      </c>
      <c r="AH628" s="309">
        <f t="shared" ref="AH628:CO628" si="67">SUM(AH626:AH627)</f>
        <v>39551.853131221855</v>
      </c>
      <c r="AI628" s="309">
        <f t="shared" si="67"/>
        <v>0</v>
      </c>
      <c r="AJ628" s="309">
        <f t="shared" si="67"/>
        <v>13659.738685515413</v>
      </c>
      <c r="AK628" s="309">
        <f t="shared" si="67"/>
        <v>9840.9744002848656</v>
      </c>
      <c r="AL628" s="309">
        <f t="shared" si="67"/>
        <v>7573.2338075016269</v>
      </c>
      <c r="AM628" s="309">
        <f t="shared" si="67"/>
        <v>11060.767230391146</v>
      </c>
      <c r="AN628" s="309">
        <f t="shared" si="67"/>
        <v>10209.144322757445</v>
      </c>
      <c r="AO628" s="309">
        <f t="shared" si="67"/>
        <v>8994.085487296994</v>
      </c>
      <c r="AP628" s="309">
        <f t="shared" si="67"/>
        <v>9811.8552280509139</v>
      </c>
      <c r="AQ628" s="309">
        <f t="shared" si="67"/>
        <v>11657.045105302443</v>
      </c>
      <c r="AR628" s="309">
        <f t="shared" si="67"/>
        <v>9224.0551391906884</v>
      </c>
      <c r="AS628" s="309">
        <f t="shared" si="67"/>
        <v>6936.1482590936203</v>
      </c>
      <c r="AT628" s="309">
        <f t="shared" si="67"/>
        <v>41674.146117269411</v>
      </c>
      <c r="AU628" s="309">
        <f t="shared" si="67"/>
        <v>0</v>
      </c>
      <c r="AV628" s="309">
        <f t="shared" si="67"/>
        <v>13601.876847970576</v>
      </c>
      <c r="AW628" s="309">
        <f t="shared" si="67"/>
        <v>9933.9947309025065</v>
      </c>
      <c r="AX628" s="309">
        <f t="shared" si="67"/>
        <v>7547.4310321710454</v>
      </c>
      <c r="AY628" s="309">
        <f t="shared" si="67"/>
        <v>10824.29467701081</v>
      </c>
      <c r="AZ628" s="309">
        <f t="shared" si="67"/>
        <v>10242.284270945933</v>
      </c>
      <c r="BA628" s="309">
        <f t="shared" si="67"/>
        <v>8831.242034639703</v>
      </c>
      <c r="BB628" s="309">
        <f t="shared" si="67"/>
        <v>9689.3369476920434</v>
      </c>
      <c r="BC628" s="309">
        <f t="shared" si="67"/>
        <v>11595.694124821443</v>
      </c>
      <c r="BD628" s="309">
        <f t="shared" si="67"/>
        <v>9111.2895687082109</v>
      </c>
      <c r="BE628" s="309">
        <f t="shared" si="67"/>
        <v>6841.122239326417</v>
      </c>
      <c r="BF628" s="309">
        <f t="shared" si="67"/>
        <v>41538.82631009636</v>
      </c>
      <c r="BG628" s="309">
        <f t="shared" si="67"/>
        <v>0</v>
      </c>
      <c r="BH628" s="309">
        <f t="shared" si="67"/>
        <v>13808.980160934214</v>
      </c>
      <c r="BI628" s="309">
        <f t="shared" si="67"/>
        <v>9908.3987036736016</v>
      </c>
      <c r="BJ628" s="309">
        <f t="shared" si="67"/>
        <v>7599.5224679364837</v>
      </c>
      <c r="BK628" s="309">
        <f t="shared" si="67"/>
        <v>10964.724315928312</v>
      </c>
      <c r="BL628" s="309">
        <f t="shared" si="67"/>
        <v>10304.222932370873</v>
      </c>
      <c r="BM628" s="309">
        <f t="shared" si="67"/>
        <v>8899.4011894915548</v>
      </c>
      <c r="BN628" s="309">
        <f t="shared" si="67"/>
        <v>9732.9579557829638</v>
      </c>
      <c r="BO628" s="309">
        <f t="shared" si="67"/>
        <v>11568.334166058667</v>
      </c>
      <c r="BP628" s="309">
        <f t="shared" si="67"/>
        <v>9128.9003980001853</v>
      </c>
      <c r="BQ628" s="309">
        <f t="shared" si="67"/>
        <v>6972.1841965285839</v>
      </c>
      <c r="BR628" s="309">
        <f t="shared" si="67"/>
        <v>42211.066482695082</v>
      </c>
      <c r="BS628" s="309">
        <f t="shared" si="67"/>
        <v>0</v>
      </c>
      <c r="BT628" s="309">
        <f t="shared" si="67"/>
        <v>14161.846642981332</v>
      </c>
      <c r="BU628" s="309">
        <f t="shared" si="67"/>
        <v>10172.018566984148</v>
      </c>
      <c r="BV628" s="309">
        <f t="shared" si="67"/>
        <v>7613.638702518364</v>
      </c>
      <c r="BW628" s="309">
        <f t="shared" si="67"/>
        <v>11221.805497705736</v>
      </c>
      <c r="BX628" s="309">
        <f t="shared" si="67"/>
        <v>10522.767197486453</v>
      </c>
      <c r="BY628" s="309">
        <f t="shared" si="67"/>
        <v>9037.5754542129234</v>
      </c>
      <c r="BZ628" s="309">
        <f t="shared" si="67"/>
        <v>9852.5975705771689</v>
      </c>
      <c r="CA628" s="309">
        <f t="shared" si="67"/>
        <v>11758.379098733651</v>
      </c>
      <c r="CB628" s="309">
        <f t="shared" si="67"/>
        <v>9255.4479882668657</v>
      </c>
      <c r="CC628" s="309">
        <f t="shared" si="67"/>
        <v>6987.0416846523931</v>
      </c>
      <c r="CD628" s="309">
        <f t="shared" si="67"/>
        <v>42390.210393857466</v>
      </c>
      <c r="CE628" s="309">
        <f t="shared" si="67"/>
        <v>0</v>
      </c>
      <c r="CF628" s="309">
        <f t="shared" si="67"/>
        <v>13945.216721805797</v>
      </c>
      <c r="CG628" s="309">
        <f t="shared" si="67"/>
        <v>10266.199755394358</v>
      </c>
      <c r="CH628" s="309">
        <f t="shared" si="67"/>
        <v>7685.4262708593378</v>
      </c>
      <c r="CI628" s="309">
        <f t="shared" si="67"/>
        <v>11098.765170283619</v>
      </c>
      <c r="CJ628" s="309">
        <f t="shared" si="67"/>
        <v>10490.226485147896</v>
      </c>
      <c r="CK628" s="309">
        <f t="shared" si="67"/>
        <v>9029.7502819644797</v>
      </c>
      <c r="CL628" s="309">
        <f t="shared" si="67"/>
        <v>9958.0433373652613</v>
      </c>
      <c r="CM628" s="309">
        <f t="shared" si="67"/>
        <v>11778.039911166465</v>
      </c>
      <c r="CN628" s="309">
        <f t="shared" si="67"/>
        <v>9354.278969704068</v>
      </c>
      <c r="CO628" s="309">
        <f t="shared" si="67"/>
        <v>6990.1773491522126</v>
      </c>
    </row>
    <row r="629" spans="1:93" x14ac:dyDescent="0.2">
      <c r="A629" s="118">
        <f t="shared" si="64"/>
        <v>27</v>
      </c>
      <c r="B629" s="246" t="s">
        <v>664</v>
      </c>
      <c r="C629" s="263"/>
      <c r="D629" s="227"/>
      <c r="E629" s="230"/>
      <c r="F629" s="197"/>
      <c r="G629" s="227"/>
      <c r="H629" s="203"/>
      <c r="I629" s="308"/>
      <c r="J629" s="227"/>
      <c r="K629" s="230"/>
      <c r="L629" s="197"/>
      <c r="M629" s="227"/>
      <c r="N629" s="203"/>
      <c r="O629" s="227"/>
      <c r="Q629" s="176"/>
      <c r="T629" s="264"/>
      <c r="U629" s="178"/>
      <c r="V629" s="179"/>
      <c r="W629" s="180"/>
      <c r="X629" s="264"/>
      <c r="Y629" s="178"/>
      <c r="Z629" s="181"/>
      <c r="AA629" s="264"/>
      <c r="AB629" s="193">
        <f>SUM(AH629:AS629)</f>
        <v>0</v>
      </c>
      <c r="AC629" s="193">
        <f>SUM(AT629:BE629)</f>
        <v>0</v>
      </c>
      <c r="AD629" s="193">
        <f>SUM(BF629:BQ629)</f>
        <v>0</v>
      </c>
      <c r="AE629" s="193">
        <f>SUM(BR629:CC629)</f>
        <v>0</v>
      </c>
      <c r="AF629" s="193">
        <f>SUM(CD629:CO629)</f>
        <v>0</v>
      </c>
      <c r="AH629" s="328">
        <v>0</v>
      </c>
      <c r="AI629" s="328">
        <v>0</v>
      </c>
      <c r="AJ629" s="328">
        <v>0</v>
      </c>
      <c r="AK629" s="328">
        <v>0</v>
      </c>
      <c r="AL629" s="328">
        <v>0</v>
      </c>
      <c r="AM629" s="328">
        <v>0</v>
      </c>
      <c r="AN629" s="328">
        <v>0</v>
      </c>
      <c r="AO629" s="328">
        <v>0</v>
      </c>
      <c r="AP629" s="328">
        <v>0</v>
      </c>
      <c r="AQ629" s="328">
        <v>0</v>
      </c>
      <c r="AR629" s="328">
        <v>0</v>
      </c>
      <c r="AS629" s="328">
        <v>0</v>
      </c>
      <c r="AT629" s="328">
        <v>0</v>
      </c>
      <c r="AU629" s="328">
        <v>0</v>
      </c>
      <c r="AV629" s="328">
        <v>0</v>
      </c>
      <c r="AW629" s="328">
        <v>0</v>
      </c>
      <c r="AX629" s="328">
        <v>0</v>
      </c>
      <c r="AY629" s="328">
        <v>0</v>
      </c>
      <c r="AZ629" s="328">
        <v>0</v>
      </c>
      <c r="BA629" s="328">
        <v>0</v>
      </c>
      <c r="BB629" s="328">
        <v>0</v>
      </c>
      <c r="BC629" s="328">
        <v>0</v>
      </c>
      <c r="BD629" s="328">
        <v>0</v>
      </c>
      <c r="BE629" s="328">
        <v>0</v>
      </c>
      <c r="BF629" s="328">
        <v>0</v>
      </c>
      <c r="BG629" s="328">
        <v>0</v>
      </c>
      <c r="BH629" s="328">
        <v>0</v>
      </c>
      <c r="BI629" s="328">
        <v>0</v>
      </c>
      <c r="BJ629" s="328">
        <v>0</v>
      </c>
      <c r="BK629" s="328">
        <v>0</v>
      </c>
      <c r="BL629" s="328">
        <v>0</v>
      </c>
      <c r="BM629" s="328">
        <v>0</v>
      </c>
      <c r="BN629" s="328">
        <v>0</v>
      </c>
      <c r="BO629" s="328">
        <v>0</v>
      </c>
      <c r="BP629" s="328">
        <v>0</v>
      </c>
      <c r="BQ629" s="328">
        <v>0</v>
      </c>
      <c r="BR629" s="328">
        <v>0</v>
      </c>
      <c r="BS629" s="328">
        <v>0</v>
      </c>
      <c r="BT629" s="328">
        <v>0</v>
      </c>
      <c r="BU629" s="328">
        <v>0</v>
      </c>
      <c r="BV629" s="328">
        <v>0</v>
      </c>
      <c r="BW629" s="328">
        <v>0</v>
      </c>
      <c r="BX629" s="328">
        <v>0</v>
      </c>
      <c r="BY629" s="328">
        <v>0</v>
      </c>
      <c r="BZ629" s="328">
        <v>0</v>
      </c>
      <c r="CA629" s="328">
        <v>0</v>
      </c>
      <c r="CB629" s="328">
        <v>0</v>
      </c>
      <c r="CC629" s="328">
        <v>0</v>
      </c>
      <c r="CD629" s="328">
        <v>0</v>
      </c>
      <c r="CE629" s="328">
        <v>0</v>
      </c>
      <c r="CF629" s="328">
        <v>0</v>
      </c>
      <c r="CG629" s="328">
        <v>0</v>
      </c>
      <c r="CH629" s="328">
        <v>0</v>
      </c>
      <c r="CI629" s="328">
        <v>0</v>
      </c>
      <c r="CJ629" s="328">
        <v>0</v>
      </c>
      <c r="CK629" s="328">
        <v>0</v>
      </c>
      <c r="CL629" s="328">
        <v>0</v>
      </c>
      <c r="CM629" s="328">
        <v>0</v>
      </c>
      <c r="CN629" s="328">
        <v>0</v>
      </c>
      <c r="CO629" s="328">
        <v>0</v>
      </c>
    </row>
    <row r="630" spans="1:93" x14ac:dyDescent="0.2">
      <c r="A630" s="118">
        <f t="shared" si="64"/>
        <v>28</v>
      </c>
      <c r="B630" s="232" t="s">
        <v>601</v>
      </c>
      <c r="C630" s="263"/>
      <c r="D630" s="103">
        <f>+D612</f>
        <v>296317.70399999997</v>
      </c>
      <c r="E630" s="233" t="s">
        <v>596</v>
      </c>
      <c r="F630" s="183">
        <v>-1.3</v>
      </c>
      <c r="G630" s="230"/>
      <c r="H630" s="203">
        <f>+D630*F630</f>
        <v>-385213.01519999997</v>
      </c>
      <c r="I630" s="308"/>
      <c r="J630" s="103">
        <f>+J612</f>
        <v>296317.70399999997</v>
      </c>
      <c r="K630" s="233" t="s">
        <v>596</v>
      </c>
      <c r="L630" s="173">
        <f>'Exhibit MJC-3 - E-13c cal yr'!L733</f>
        <v>-1.34</v>
      </c>
      <c r="M630" s="230"/>
      <c r="N630" s="174">
        <f>ROUND(L630*J630,2)</f>
        <v>-397065.72</v>
      </c>
      <c r="O630" s="227"/>
      <c r="Q630" s="227"/>
      <c r="T630" s="264"/>
      <c r="U630" s="184" t="s">
        <v>139</v>
      </c>
      <c r="V630" s="179">
        <v>258</v>
      </c>
      <c r="W630" s="180">
        <v>232</v>
      </c>
      <c r="X630" s="264"/>
      <c r="Y630" s="178" t="s">
        <v>139</v>
      </c>
      <c r="Z630" s="181" t="s">
        <v>146</v>
      </c>
      <c r="AA630" s="264"/>
      <c r="AB630" s="264"/>
      <c r="AD630" s="245"/>
    </row>
    <row r="631" spans="1:93" x14ac:dyDescent="0.2">
      <c r="A631" s="118">
        <f t="shared" si="64"/>
        <v>29</v>
      </c>
      <c r="B631" s="234" t="s">
        <v>582</v>
      </c>
      <c r="C631" s="263"/>
      <c r="D631" s="172">
        <f>SUM(H612,H617:H618,H626,H630)</f>
        <v>7821623.9947999995</v>
      </c>
      <c r="E631" s="233" t="s">
        <v>10</v>
      </c>
      <c r="F631" s="249">
        <v>0.01</v>
      </c>
      <c r="G631" s="233" t="s">
        <v>375</v>
      </c>
      <c r="H631" s="174">
        <f>-F631*D631</f>
        <v>-78216.239948000002</v>
      </c>
      <c r="I631" s="308"/>
      <c r="J631" s="172">
        <f>SUM(N612,N617:N618,N626,N630)</f>
        <v>8138506.3299999991</v>
      </c>
      <c r="K631" s="233" t="s">
        <v>10</v>
      </c>
      <c r="L631" s="249">
        <v>0.01</v>
      </c>
      <c r="M631" s="233" t="s">
        <v>375</v>
      </c>
      <c r="N631" s="174">
        <f>ROUND(L631*-J631,2)</f>
        <v>-81385.06</v>
      </c>
      <c r="O631" s="227"/>
      <c r="Q631" s="227"/>
      <c r="T631" s="264"/>
      <c r="U631" s="184" t="s">
        <v>139</v>
      </c>
      <c r="V631" s="179">
        <v>258</v>
      </c>
      <c r="W631" s="180">
        <v>232</v>
      </c>
      <c r="X631" s="264"/>
      <c r="Y631" s="178" t="s">
        <v>139</v>
      </c>
      <c r="Z631" s="181" t="s">
        <v>417</v>
      </c>
      <c r="AA631" s="264"/>
      <c r="AB631" s="182">
        <f>SUM(AH631:AS631)</f>
        <v>-56588.442231317742</v>
      </c>
      <c r="AC631" s="182">
        <f>SUM(AT631:BE631)</f>
        <v>-58803.669990008959</v>
      </c>
      <c r="AD631" s="182">
        <f>SUM(BF631:BQ631)</f>
        <v>-59010.647315103124</v>
      </c>
      <c r="AE631" s="182">
        <f>SUM(BR631:CC631)</f>
        <v>-59928.822205478369</v>
      </c>
      <c r="AF631" s="182">
        <f>SUM(CD631:CO631)</f>
        <v>-60003.335316764897</v>
      </c>
      <c r="AH631" s="174">
        <v>-15758.333741226223</v>
      </c>
      <c r="AI631" s="174">
        <v>-704.49534126000015</v>
      </c>
      <c r="AJ631" s="174">
        <v>-5966.2587432060818</v>
      </c>
      <c r="AK631" s="174">
        <v>-3862.1375502217161</v>
      </c>
      <c r="AL631" s="174">
        <v>-2880.6419495355531</v>
      </c>
      <c r="AM631" s="174">
        <v>-4282.3703147511678</v>
      </c>
      <c r="AN631" s="174">
        <v>-4679.2760195344172</v>
      </c>
      <c r="AO631" s="174">
        <v>-4086.7921948616622</v>
      </c>
      <c r="AP631" s="174">
        <v>-4290.0252287885824</v>
      </c>
      <c r="AQ631" s="174">
        <v>-3802.8187994872169</v>
      </c>
      <c r="AR631" s="174">
        <v>-3224.1517970555242</v>
      </c>
      <c r="AS631" s="174">
        <v>-3051.1405513896034</v>
      </c>
      <c r="AT631" s="174">
        <v>-16617.118272616899</v>
      </c>
      <c r="AU631" s="174">
        <v>-725.23758054000007</v>
      </c>
      <c r="AV631" s="174">
        <v>-6175.1821119870119</v>
      </c>
      <c r="AW631" s="174">
        <v>-4012.3208797733419</v>
      </c>
      <c r="AX631" s="174">
        <v>-2978.6498581576102</v>
      </c>
      <c r="AY631" s="174">
        <v>-4403.4847247573289</v>
      </c>
      <c r="AZ631" s="174">
        <v>-4853.5533922626864</v>
      </c>
      <c r="BA631" s="174">
        <v>-4212.6853699736475</v>
      </c>
      <c r="BB631" s="174">
        <v>-4428.3790413835522</v>
      </c>
      <c r="BC631" s="174">
        <v>-3927.5324082618754</v>
      </c>
      <c r="BD631" s="174">
        <v>-3322.0376692662708</v>
      </c>
      <c r="BE631" s="174">
        <v>-3147.4886810287448</v>
      </c>
      <c r="BF631" s="174">
        <v>-16639.662688044224</v>
      </c>
      <c r="BG631" s="174">
        <v>-725.23758054000007</v>
      </c>
      <c r="BH631" s="174">
        <v>-6218.2585583788114</v>
      </c>
      <c r="BI631" s="174">
        <v>-4017.7731539924825</v>
      </c>
      <c r="BJ631" s="174">
        <v>-2991.8146179805108</v>
      </c>
      <c r="BK631" s="174">
        <v>-4432.2704829404556</v>
      </c>
      <c r="BL631" s="174">
        <v>-4873.8132067226088</v>
      </c>
      <c r="BM631" s="174">
        <v>-4232.0584793010903</v>
      </c>
      <c r="BN631" s="174">
        <v>-4444.839935716217</v>
      </c>
      <c r="BO631" s="174">
        <v>-3931.5728303126052</v>
      </c>
      <c r="BP631" s="174">
        <v>-3331.0805053761133</v>
      </c>
      <c r="BQ631" s="174">
        <v>-3172.2652757979949</v>
      </c>
      <c r="BR631" s="174">
        <v>-16910.573613113542</v>
      </c>
      <c r="BS631" s="174">
        <v>-725.23758054000007</v>
      </c>
      <c r="BT631" s="174">
        <v>-6333.3545814528716</v>
      </c>
      <c r="BU631" s="174">
        <v>-4092.6135544754143</v>
      </c>
      <c r="BV631" s="174">
        <v>-3021.0762796639701</v>
      </c>
      <c r="BW631" s="174">
        <v>-4510.8296033622628</v>
      </c>
      <c r="BX631" s="174">
        <v>-4956.137338073192</v>
      </c>
      <c r="BY631" s="174">
        <v>-4295.9494114836434</v>
      </c>
      <c r="BZ631" s="174">
        <v>-4507.9418408834299</v>
      </c>
      <c r="CA631" s="174">
        <v>-3991.3198788017053</v>
      </c>
      <c r="CB631" s="174">
        <v>-3377.698889063141</v>
      </c>
      <c r="CC631" s="174">
        <v>-3206.0896345652072</v>
      </c>
      <c r="CD631" s="174">
        <v>-16949.291322652585</v>
      </c>
      <c r="CE631" s="174">
        <v>-725.23758054000007</v>
      </c>
      <c r="CF631" s="174">
        <v>-6309.7557667280444</v>
      </c>
      <c r="CG631" s="174">
        <v>-4108.4624782523006</v>
      </c>
      <c r="CH631" s="174">
        <v>-3032.9381848706316</v>
      </c>
      <c r="CI631" s="174">
        <v>-4497.8787292626321</v>
      </c>
      <c r="CJ631" s="174">
        <v>-4956.0661167264843</v>
      </c>
      <c r="CK631" s="174">
        <v>-4298.5775143049532</v>
      </c>
      <c r="CL631" s="174">
        <v>-4525.9202060983462</v>
      </c>
      <c r="CM631" s="174">
        <v>-3996.7377246323995</v>
      </c>
      <c r="CN631" s="174">
        <v>-3393.3759036062579</v>
      </c>
      <c r="CO631" s="174">
        <v>-3209.0937890902665</v>
      </c>
    </row>
    <row r="632" spans="1:93" x14ac:dyDescent="0.2">
      <c r="A632" s="118">
        <f t="shared" si="64"/>
        <v>30</v>
      </c>
      <c r="B632" s="234" t="s">
        <v>583</v>
      </c>
      <c r="C632" s="263"/>
      <c r="D632" s="174">
        <f>SUM(H613,H620:H621,H627)</f>
        <v>0</v>
      </c>
      <c r="E632" s="233" t="s">
        <v>10</v>
      </c>
      <c r="F632" s="249">
        <v>0.02</v>
      </c>
      <c r="G632" s="233" t="s">
        <v>375</v>
      </c>
      <c r="H632" s="174">
        <f>-F632*D632</f>
        <v>0</v>
      </c>
      <c r="I632" s="308"/>
      <c r="J632" s="174">
        <f>SUM(N613,N620:N621,N627)</f>
        <v>0</v>
      </c>
      <c r="K632" s="233" t="s">
        <v>10</v>
      </c>
      <c r="L632" s="249">
        <v>0.02</v>
      </c>
      <c r="M632" s="233" t="s">
        <v>375</v>
      </c>
      <c r="N632" s="187">
        <f>ROUND(L632*-J632,2)</f>
        <v>0</v>
      </c>
      <c r="O632" s="227"/>
      <c r="Q632" s="227"/>
      <c r="T632" s="264"/>
      <c r="U632" s="184" t="s">
        <v>139</v>
      </c>
      <c r="V632" s="179">
        <v>258</v>
      </c>
      <c r="W632" s="180">
        <v>232</v>
      </c>
      <c r="X632" s="264"/>
      <c r="Y632" s="178" t="s">
        <v>139</v>
      </c>
      <c r="Z632" s="181" t="s">
        <v>417</v>
      </c>
      <c r="AA632" s="264"/>
      <c r="AB632" s="182">
        <f>SUM(AH632:AS632)</f>
        <v>0</v>
      </c>
      <c r="AC632" s="182">
        <f>SUM(AT632:BE632)</f>
        <v>0</v>
      </c>
      <c r="AD632" s="182">
        <f>SUM(BF632:BQ632)</f>
        <v>0</v>
      </c>
      <c r="AE632" s="182">
        <f>SUM(BR632:CC632)</f>
        <v>0</v>
      </c>
      <c r="AF632" s="182">
        <f>SUM(CD632:CO632)</f>
        <v>0</v>
      </c>
      <c r="AH632" s="174">
        <v>0</v>
      </c>
      <c r="AI632" s="174">
        <v>0</v>
      </c>
      <c r="AJ632" s="174">
        <v>0</v>
      </c>
      <c r="AK632" s="174">
        <v>0</v>
      </c>
      <c r="AL632" s="174">
        <v>0</v>
      </c>
      <c r="AM632" s="174">
        <v>0</v>
      </c>
      <c r="AN632" s="174">
        <v>0</v>
      </c>
      <c r="AO632" s="174">
        <v>0</v>
      </c>
      <c r="AP632" s="174">
        <v>0</v>
      </c>
      <c r="AQ632" s="174">
        <v>0</v>
      </c>
      <c r="AR632" s="174">
        <v>0</v>
      </c>
      <c r="AS632" s="174">
        <v>0</v>
      </c>
      <c r="AT632" s="174">
        <v>0</v>
      </c>
      <c r="AU632" s="174">
        <v>0</v>
      </c>
      <c r="AV632" s="174">
        <v>0</v>
      </c>
      <c r="AW632" s="174">
        <v>0</v>
      </c>
      <c r="AX632" s="174">
        <v>0</v>
      </c>
      <c r="AY632" s="174">
        <v>0</v>
      </c>
      <c r="AZ632" s="174">
        <v>0</v>
      </c>
      <c r="BA632" s="174">
        <v>0</v>
      </c>
      <c r="BB632" s="174">
        <v>0</v>
      </c>
      <c r="BC632" s="174">
        <v>0</v>
      </c>
      <c r="BD632" s="174">
        <v>0</v>
      </c>
      <c r="BE632" s="174">
        <v>0</v>
      </c>
      <c r="BF632" s="174">
        <v>0</v>
      </c>
      <c r="BG632" s="174">
        <v>0</v>
      </c>
      <c r="BH632" s="174">
        <v>0</v>
      </c>
      <c r="BI632" s="174">
        <v>0</v>
      </c>
      <c r="BJ632" s="174">
        <v>0</v>
      </c>
      <c r="BK632" s="174">
        <v>0</v>
      </c>
      <c r="BL632" s="174">
        <v>0</v>
      </c>
      <c r="BM632" s="174">
        <v>0</v>
      </c>
      <c r="BN632" s="174">
        <v>0</v>
      </c>
      <c r="BO632" s="174">
        <v>0</v>
      </c>
      <c r="BP632" s="174">
        <v>0</v>
      </c>
      <c r="BQ632" s="174">
        <v>0</v>
      </c>
      <c r="BR632" s="174">
        <v>0</v>
      </c>
      <c r="BS632" s="174">
        <v>0</v>
      </c>
      <c r="BT632" s="174">
        <v>0</v>
      </c>
      <c r="BU632" s="174">
        <v>0</v>
      </c>
      <c r="BV632" s="174">
        <v>0</v>
      </c>
      <c r="BW632" s="174">
        <v>0</v>
      </c>
      <c r="BX632" s="174">
        <v>0</v>
      </c>
      <c r="BY632" s="174">
        <v>0</v>
      </c>
      <c r="BZ632" s="174">
        <v>0</v>
      </c>
      <c r="CA632" s="174">
        <v>0</v>
      </c>
      <c r="CB632" s="174">
        <v>0</v>
      </c>
      <c r="CC632" s="174">
        <v>0</v>
      </c>
      <c r="CD632" s="174">
        <v>0</v>
      </c>
      <c r="CE632" s="174">
        <v>0</v>
      </c>
      <c r="CF632" s="174">
        <v>0</v>
      </c>
      <c r="CG632" s="174">
        <v>0</v>
      </c>
      <c r="CH632" s="174">
        <v>0</v>
      </c>
      <c r="CI632" s="174">
        <v>0</v>
      </c>
      <c r="CJ632" s="174">
        <v>0</v>
      </c>
      <c r="CK632" s="174">
        <v>0</v>
      </c>
      <c r="CL632" s="174">
        <v>0</v>
      </c>
      <c r="CM632" s="174">
        <v>0</v>
      </c>
      <c r="CN632" s="174">
        <v>0</v>
      </c>
      <c r="CO632" s="174">
        <v>0</v>
      </c>
    </row>
    <row r="633" spans="1:93" x14ac:dyDescent="0.2">
      <c r="A633" s="118">
        <f t="shared" si="64"/>
        <v>31</v>
      </c>
      <c r="B633" s="223"/>
      <c r="C633" s="263" t="s">
        <v>121</v>
      </c>
      <c r="D633" s="227"/>
      <c r="E633" s="230"/>
      <c r="F633" s="197"/>
      <c r="G633" s="227"/>
      <c r="H633" s="300">
        <f>SUM(H630:H632)</f>
        <v>-463429.25514799997</v>
      </c>
      <c r="I633" s="308"/>
      <c r="J633" s="227"/>
      <c r="K633" s="230"/>
      <c r="L633" s="197"/>
      <c r="M633" s="227"/>
      <c r="N633" s="300">
        <f>SUM(N630:N632)</f>
        <v>-478450.77999999997</v>
      </c>
      <c r="O633" s="227"/>
      <c r="Q633" s="176"/>
      <c r="T633" s="264"/>
      <c r="U633" s="184"/>
      <c r="V633" s="179"/>
      <c r="W633" s="180"/>
      <c r="X633" s="264"/>
      <c r="Y633" s="178" t="s">
        <v>139</v>
      </c>
      <c r="Z633" s="181"/>
      <c r="AA633" s="264"/>
      <c r="AB633" s="264"/>
      <c r="AD633" s="245"/>
    </row>
    <row r="634" spans="1:93" x14ac:dyDescent="0.2">
      <c r="A634" s="118">
        <f t="shared" si="64"/>
        <v>32</v>
      </c>
      <c r="B634" s="223"/>
      <c r="C634" s="263"/>
      <c r="D634" s="227"/>
      <c r="E634" s="230"/>
      <c r="F634" s="197"/>
      <c r="G634" s="227"/>
      <c r="H634" s="203"/>
      <c r="I634" s="308"/>
      <c r="J634" s="227"/>
      <c r="K634" s="230"/>
      <c r="L634" s="197"/>
      <c r="M634" s="227"/>
      <c r="N634" s="203"/>
      <c r="O634" s="227"/>
      <c r="Q634" s="227"/>
      <c r="U634" s="184"/>
      <c r="V634" s="179"/>
      <c r="W634" s="180"/>
      <c r="Y634" s="184"/>
      <c r="Z634" s="181"/>
    </row>
    <row r="635" spans="1:93" ht="10.8" thickBot="1" x14ac:dyDescent="0.25">
      <c r="A635" s="118">
        <f t="shared" si="64"/>
        <v>33</v>
      </c>
      <c r="B635" s="246" t="s">
        <v>665</v>
      </c>
      <c r="C635" s="227"/>
      <c r="D635" s="227"/>
      <c r="E635" s="230"/>
      <c r="F635" s="197"/>
      <c r="G635" s="227"/>
      <c r="H635" s="330">
        <f>+H608+H622+H628+H633</f>
        <v>7744900.3948520003</v>
      </c>
      <c r="I635" s="308"/>
      <c r="J635" s="227"/>
      <c r="K635" s="230"/>
      <c r="L635" s="197"/>
      <c r="M635" s="227"/>
      <c r="N635" s="330">
        <f>+N608+N622+N628+N633</f>
        <v>8058623.419999999</v>
      </c>
      <c r="O635" s="227"/>
      <c r="P635" s="227"/>
      <c r="Q635" s="939">
        <f>(N635-H635)/H635</f>
        <v>4.0507044526554396E-2</v>
      </c>
      <c r="U635" s="184"/>
      <c r="V635" s="179"/>
      <c r="W635" s="180"/>
      <c r="Y635" s="178" t="s">
        <v>139</v>
      </c>
      <c r="Z635" s="181" t="s">
        <v>121</v>
      </c>
    </row>
    <row r="636" spans="1:93" ht="10.8" thickTop="1" x14ac:dyDescent="0.2">
      <c r="A636" s="118">
        <f t="shared" si="64"/>
        <v>34</v>
      </c>
      <c r="B636" s="227"/>
      <c r="C636" s="227"/>
      <c r="D636" s="227"/>
      <c r="E636" s="230"/>
      <c r="F636" s="197"/>
      <c r="G636" s="227"/>
      <c r="H636" s="203"/>
      <c r="I636" s="308"/>
      <c r="J636" s="227"/>
      <c r="K636" s="230"/>
      <c r="L636" s="197"/>
      <c r="M636" s="227"/>
      <c r="N636" s="203"/>
      <c r="O636" s="227"/>
      <c r="P636" s="227"/>
      <c r="Q636" s="227"/>
      <c r="U636" s="178"/>
      <c r="V636" s="179"/>
      <c r="W636" s="180"/>
      <c r="Y636" s="178"/>
      <c r="Z636" s="181"/>
    </row>
    <row r="637" spans="1:93" x14ac:dyDescent="0.2">
      <c r="A637" s="118">
        <f t="shared" si="64"/>
        <v>35</v>
      </c>
      <c r="B637" s="227"/>
      <c r="C637" s="227"/>
      <c r="D637" s="227"/>
      <c r="E637" s="230"/>
      <c r="F637" s="183"/>
      <c r="G637" s="227"/>
      <c r="H637" s="935"/>
      <c r="I637" s="308"/>
      <c r="J637" s="234" t="s">
        <v>573</v>
      </c>
      <c r="K637" s="233"/>
      <c r="L637" s="183"/>
      <c r="M637" s="223"/>
      <c r="N637" s="174">
        <f>N635-H635</f>
        <v>313723.02514799871</v>
      </c>
      <c r="O637" s="227"/>
      <c r="P637" s="227"/>
      <c r="Q637" s="227"/>
      <c r="U637" s="178"/>
      <c r="V637" s="179"/>
      <c r="W637" s="180"/>
      <c r="Y637" s="178"/>
      <c r="Z637" s="181"/>
    </row>
    <row r="638" spans="1:93" x14ac:dyDescent="0.2">
      <c r="A638" s="118">
        <f t="shared" si="64"/>
        <v>36</v>
      </c>
      <c r="B638" s="243"/>
      <c r="C638" s="223"/>
      <c r="D638" s="168"/>
      <c r="E638" s="233"/>
      <c r="F638" s="205"/>
      <c r="G638" s="233"/>
      <c r="H638" s="174"/>
      <c r="I638" s="308"/>
      <c r="J638" s="168"/>
      <c r="K638" s="233"/>
      <c r="L638" s="205"/>
      <c r="M638" s="233"/>
      <c r="N638" s="174"/>
      <c r="O638" s="227"/>
      <c r="P638" s="227"/>
      <c r="Q638" s="227"/>
      <c r="U638" s="252"/>
      <c r="V638" s="253"/>
      <c r="W638" s="254"/>
      <c r="Y638" s="252"/>
      <c r="Z638" s="255"/>
    </row>
    <row r="639" spans="1:93" x14ac:dyDescent="0.2">
      <c r="A639" s="215"/>
      <c r="B639" s="215" t="s">
        <v>674</v>
      </c>
      <c r="C639" s="215"/>
      <c r="D639" s="215"/>
      <c r="E639" s="215"/>
      <c r="F639" s="215"/>
      <c r="G639" s="215"/>
      <c r="H639" s="215"/>
      <c r="I639" s="215"/>
      <c r="J639" s="215"/>
      <c r="K639" s="215"/>
      <c r="L639" s="215"/>
      <c r="M639" s="215"/>
      <c r="N639" s="215" t="s">
        <v>675</v>
      </c>
      <c r="O639" s="215"/>
      <c r="P639" s="215"/>
      <c r="Q639" s="215"/>
    </row>
    <row r="640" spans="1:93" x14ac:dyDescent="0.2">
      <c r="A640" s="216"/>
      <c r="B640" s="216"/>
      <c r="C640" s="216"/>
      <c r="D640" s="216"/>
      <c r="E640" s="216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7"/>
      <c r="Z640" s="217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  <c r="AO640" s="216"/>
      <c r="AP640" s="216"/>
      <c r="AQ640" s="216"/>
      <c r="AR640" s="216"/>
      <c r="AS640" s="216"/>
      <c r="AT640" s="216"/>
      <c r="AU640" s="216"/>
      <c r="AV640" s="216"/>
      <c r="AW640" s="216"/>
      <c r="AX640" s="216"/>
      <c r="AY640" s="216"/>
      <c r="AZ640" s="216"/>
      <c r="BA640" s="216"/>
      <c r="BB640" s="216"/>
      <c r="BC640" s="216"/>
      <c r="BD640" s="216"/>
      <c r="BE640" s="216"/>
      <c r="BF640" s="216"/>
      <c r="BG640" s="216"/>
      <c r="BH640" s="216"/>
      <c r="BI640" s="216"/>
      <c r="BJ640" s="216"/>
      <c r="BK640" s="216"/>
      <c r="BL640" s="216"/>
      <c r="BM640" s="216"/>
      <c r="BN640" s="216"/>
      <c r="BO640" s="216"/>
      <c r="BP640" s="216"/>
      <c r="BQ640" s="216"/>
      <c r="BR640" s="216"/>
      <c r="BS640" s="216"/>
      <c r="BT640" s="216"/>
      <c r="BU640" s="216"/>
      <c r="BV640" s="216"/>
      <c r="BW640" s="216"/>
      <c r="BX640" s="216"/>
      <c r="BY640" s="216"/>
      <c r="BZ640" s="216"/>
      <c r="CA640" s="216"/>
      <c r="CB640" s="216"/>
      <c r="CC640" s="216"/>
      <c r="CD640" s="216"/>
      <c r="CE640" s="216"/>
      <c r="CF640" s="216"/>
      <c r="CG640" s="216"/>
      <c r="CH640" s="216"/>
      <c r="CI640" s="216"/>
      <c r="CJ640" s="216"/>
      <c r="CK640" s="216"/>
      <c r="CL640" s="216"/>
      <c r="CM640" s="216"/>
      <c r="CN640" s="216"/>
      <c r="CO640" s="216"/>
    </row>
    <row r="645" spans="14:14" x14ac:dyDescent="0.2">
      <c r="N645" s="182"/>
    </row>
  </sheetData>
  <printOptions horizontalCentered="1"/>
  <pageMargins left="0.5" right="0.5" top="0.75" bottom="0.5" header="0.5" footer="0.5"/>
  <pageSetup scale="82" fitToHeight="0" orientation="landscape" r:id="rId1"/>
  <headerFooter alignWithMargins="0">
    <oddHeader xml:space="preserve">&amp;RDEF’s Response to OPC POD 1 (1-26)
Q7
Page &amp;P of &amp;N
</oddHeader>
    <oddFooter>&amp;R20240025-OPCPOD1-00004300</oddFooter>
  </headerFooter>
  <ignoredErrors>
    <ignoredError sqref="L93:L99" unlocked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95596-88CF-4B51-BA4E-B7F00A4086B9}">
  <sheetPr codeName="Sheet7">
    <tabColor rgb="FF92D050"/>
    <pageSetUpPr fitToPage="1"/>
  </sheetPr>
  <dimension ref="A1:N298"/>
  <sheetViews>
    <sheetView tabSelected="1" workbookViewId="0">
      <selection activeCell="S8" sqref="S8"/>
    </sheetView>
  </sheetViews>
  <sheetFormatPr defaultColWidth="11.44140625" defaultRowHeight="13.8" x14ac:dyDescent="0.3"/>
  <cols>
    <col min="1" max="1" width="13.33203125" style="456" customWidth="1"/>
    <col min="2" max="3" width="11.44140625" style="456"/>
    <col min="4" max="4" width="2" style="456" customWidth="1"/>
    <col min="5" max="5" width="10.109375" style="456" customWidth="1"/>
    <col min="6" max="12" width="11.44140625" style="456"/>
    <col min="13" max="13" width="4" style="456" customWidth="1"/>
    <col min="14" max="14" width="34.109375" style="456" customWidth="1"/>
    <col min="15" max="16384" width="11.44140625" style="456"/>
  </cols>
  <sheetData>
    <row r="1" spans="1:14" s="446" customFormat="1" x14ac:dyDescent="0.3">
      <c r="A1" s="444" t="s">
        <v>676</v>
      </c>
      <c r="B1" s="444"/>
      <c r="C1" s="445"/>
      <c r="F1" s="84"/>
      <c r="G1" s="447" t="s">
        <v>677</v>
      </c>
      <c r="H1" s="448"/>
      <c r="I1" s="447"/>
      <c r="J1" s="84"/>
      <c r="K1" s="447"/>
      <c r="L1" s="84"/>
      <c r="N1" s="449" t="s">
        <v>678</v>
      </c>
    </row>
    <row r="2" spans="1:14" s="446" customFormat="1" x14ac:dyDescent="0.3">
      <c r="A2" s="450"/>
      <c r="B2" s="450"/>
      <c r="C2" s="450"/>
      <c r="D2" s="450"/>
      <c r="E2" s="451"/>
      <c r="F2" s="452"/>
      <c r="G2" s="451"/>
      <c r="H2" s="452"/>
      <c r="I2" s="451"/>
      <c r="J2" s="452"/>
      <c r="K2" s="451"/>
      <c r="L2" s="452"/>
      <c r="M2" s="451"/>
      <c r="N2" s="451"/>
    </row>
    <row r="3" spans="1:14" s="446" customFormat="1" x14ac:dyDescent="0.3">
      <c r="A3" s="444" t="s">
        <v>3</v>
      </c>
      <c r="B3" s="444"/>
      <c r="C3" s="444"/>
      <c r="D3" s="444"/>
      <c r="E3" s="449" t="s">
        <v>4</v>
      </c>
      <c r="F3" s="453" t="s">
        <v>679</v>
      </c>
      <c r="H3" s="72"/>
      <c r="I3" s="447"/>
      <c r="J3" s="84"/>
      <c r="K3" s="447"/>
      <c r="L3" s="84"/>
      <c r="N3" s="446" t="s">
        <v>6</v>
      </c>
    </row>
    <row r="4" spans="1:14" s="446" customFormat="1" x14ac:dyDescent="0.3">
      <c r="F4" s="453" t="s">
        <v>680</v>
      </c>
      <c r="H4" s="84"/>
      <c r="I4" s="447"/>
      <c r="J4" s="84"/>
      <c r="K4" s="447"/>
      <c r="L4" s="84"/>
      <c r="N4" s="444" t="s">
        <v>681</v>
      </c>
    </row>
    <row r="5" spans="1:14" s="446" customFormat="1" x14ac:dyDescent="0.3">
      <c r="A5" s="444" t="s">
        <v>9</v>
      </c>
      <c r="B5" s="444"/>
      <c r="C5" s="444"/>
      <c r="D5" s="444"/>
      <c r="F5" s="454" t="s">
        <v>682</v>
      </c>
      <c r="H5" s="84"/>
      <c r="I5" s="447"/>
      <c r="J5" s="84"/>
      <c r="K5" s="447"/>
      <c r="L5" s="84"/>
      <c r="N5" s="444" t="s">
        <v>204</v>
      </c>
    </row>
    <row r="6" spans="1:14" s="446" customFormat="1" x14ac:dyDescent="0.3">
      <c r="F6" s="453" t="s">
        <v>683</v>
      </c>
      <c r="H6" s="84"/>
      <c r="I6" s="447"/>
      <c r="J6" s="84"/>
      <c r="K6" s="447"/>
      <c r="L6" s="84"/>
      <c r="N6" s="444" t="s">
        <v>684</v>
      </c>
    </row>
    <row r="7" spans="1:14" s="446" customFormat="1" x14ac:dyDescent="0.3">
      <c r="A7" s="444" t="s">
        <v>13</v>
      </c>
      <c r="B7" s="22" t="s">
        <v>14</v>
      </c>
      <c r="F7" s="447" t="s">
        <v>685</v>
      </c>
      <c r="H7" s="415"/>
      <c r="I7" s="447"/>
      <c r="J7" s="415"/>
      <c r="K7" s="447"/>
      <c r="L7" s="415"/>
    </row>
    <row r="8" spans="1:14" s="446" customFormat="1" x14ac:dyDescent="0.3">
      <c r="A8" s="444"/>
      <c r="B8" s="444"/>
      <c r="C8" s="444"/>
      <c r="D8" s="444"/>
      <c r="F8" s="455" t="s">
        <v>686</v>
      </c>
      <c r="H8" s="4"/>
      <c r="J8" s="4"/>
      <c r="L8" s="4"/>
      <c r="N8" s="444" t="s">
        <v>493</v>
      </c>
    </row>
    <row r="9" spans="1:14" s="446" customFormat="1" x14ac:dyDescent="0.3">
      <c r="A9" s="444"/>
      <c r="B9" s="444"/>
      <c r="C9" s="444"/>
      <c r="D9" s="444"/>
      <c r="F9" s="456" t="s">
        <v>687</v>
      </c>
      <c r="H9" s="4"/>
      <c r="J9" s="4"/>
      <c r="L9" s="4"/>
    </row>
    <row r="10" spans="1:14" s="446" customFormat="1" x14ac:dyDescent="0.3">
      <c r="A10" s="444"/>
      <c r="B10" s="444"/>
      <c r="C10" s="444"/>
      <c r="D10" s="444"/>
      <c r="F10" s="456" t="s">
        <v>688</v>
      </c>
      <c r="H10" s="4"/>
      <c r="J10" s="4"/>
      <c r="L10" s="4"/>
    </row>
    <row r="11" spans="1:14" x14ac:dyDescent="0.3">
      <c r="F11" s="456" t="s">
        <v>689</v>
      </c>
    </row>
    <row r="12" spans="1:14" x14ac:dyDescent="0.3">
      <c r="A12" s="457"/>
      <c r="B12" s="457"/>
      <c r="C12" s="457"/>
      <c r="D12" s="457"/>
      <c r="E12" s="457"/>
      <c r="F12" s="457"/>
      <c r="G12" s="457"/>
      <c r="H12" s="457"/>
      <c r="I12" s="457"/>
      <c r="J12" s="457"/>
      <c r="K12" s="457"/>
      <c r="L12" s="457"/>
      <c r="M12" s="457"/>
      <c r="N12" s="457"/>
    </row>
    <row r="16" spans="1:14" x14ac:dyDescent="0.3">
      <c r="B16" s="456" t="s">
        <v>690</v>
      </c>
    </row>
    <row r="17" spans="2:4" x14ac:dyDescent="0.3">
      <c r="B17" s="456" t="s">
        <v>691</v>
      </c>
    </row>
    <row r="19" spans="2:4" x14ac:dyDescent="0.3">
      <c r="B19" s="456" t="s">
        <v>692</v>
      </c>
    </row>
    <row r="21" spans="2:4" x14ac:dyDescent="0.3">
      <c r="D21" s="456" t="s">
        <v>693</v>
      </c>
    </row>
    <row r="23" spans="2:4" x14ac:dyDescent="0.3">
      <c r="D23" s="456" t="s">
        <v>694</v>
      </c>
    </row>
    <row r="25" spans="2:4" x14ac:dyDescent="0.3">
      <c r="D25" s="456" t="s">
        <v>695</v>
      </c>
    </row>
    <row r="27" spans="2:4" x14ac:dyDescent="0.3">
      <c r="D27" s="456" t="s">
        <v>696</v>
      </c>
    </row>
    <row r="29" spans="2:4" x14ac:dyDescent="0.3">
      <c r="D29" s="456" t="s">
        <v>697</v>
      </c>
    </row>
    <row r="31" spans="2:4" x14ac:dyDescent="0.3">
      <c r="D31" s="456" t="s">
        <v>698</v>
      </c>
    </row>
    <row r="33" spans="1:14" x14ac:dyDescent="0.3">
      <c r="D33" s="456" t="s">
        <v>699</v>
      </c>
    </row>
    <row r="35" spans="1:14" x14ac:dyDescent="0.3">
      <c r="D35" s="456" t="s">
        <v>700</v>
      </c>
    </row>
    <row r="36" spans="1:14" x14ac:dyDescent="0.3">
      <c r="F36" s="456" t="s">
        <v>701</v>
      </c>
    </row>
    <row r="39" spans="1:14" x14ac:dyDescent="0.3">
      <c r="A39" s="215" t="s">
        <v>98</v>
      </c>
      <c r="B39" s="458"/>
      <c r="C39" s="215"/>
      <c r="D39" s="215"/>
      <c r="E39" s="215"/>
      <c r="F39" s="299"/>
      <c r="G39" s="215"/>
      <c r="H39" s="300"/>
      <c r="I39" s="215"/>
      <c r="J39" s="215"/>
      <c r="K39" s="215"/>
      <c r="L39" s="299"/>
      <c r="M39" s="215"/>
      <c r="N39" s="300" t="s">
        <v>99</v>
      </c>
    </row>
    <row r="298" spans="9:9" x14ac:dyDescent="0.3">
      <c r="I298" s="456" t="s">
        <v>375</v>
      </c>
    </row>
  </sheetData>
  <printOptions horizontalCentered="1"/>
  <pageMargins left="0.5" right="0.5" top="0.75" bottom="0.5" header="0.5" footer="0.5"/>
  <pageSetup scale="76" fitToHeight="0" orientation="landscape" r:id="rId1"/>
  <headerFooter alignWithMargins="0">
    <oddHeader xml:space="preserve">&amp;RDEF’s Response to OPC POD 1 (1-26)
Q7
Page &amp;P of &amp;N
</oddHeader>
    <oddFooter>&amp;R20240025-OPCPOD1-00004300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7172F-33EF-4E7B-B586-DD8B61840A1B}">
  <sheetPr codeName="Sheet8">
    <tabColor rgb="FF92D050"/>
    <pageSetUpPr fitToPage="1"/>
  </sheetPr>
  <dimension ref="A1:AC299"/>
  <sheetViews>
    <sheetView tabSelected="1" zoomScaleNormal="100" workbookViewId="0">
      <selection activeCell="S8" sqref="S8"/>
    </sheetView>
  </sheetViews>
  <sheetFormatPr defaultColWidth="11.44140625" defaultRowHeight="13.8" x14ac:dyDescent="0.3"/>
  <cols>
    <col min="1" max="1" width="5" style="463" customWidth="1"/>
    <col min="2" max="2" width="10.109375" style="463" customWidth="1"/>
    <col min="3" max="4" width="3" style="463" customWidth="1"/>
    <col min="5" max="5" width="42.109375" style="463" customWidth="1"/>
    <col min="6" max="6" width="6.44140625" style="463" customWidth="1"/>
    <col min="7" max="7" width="10.44140625" style="463" customWidth="1"/>
    <col min="8" max="9" width="12.44140625" style="463" bestFit="1" customWidth="1"/>
    <col min="10" max="10" width="11.6640625" style="477" customWidth="1"/>
    <col min="11" max="11" width="66" style="463" bestFit="1" customWidth="1"/>
    <col min="12" max="12" width="8.88671875" style="463" customWidth="1"/>
    <col min="13" max="13" width="0.6640625" style="463" customWidth="1"/>
    <col min="14" max="14" width="10" style="1072" hidden="1" customWidth="1"/>
    <col min="15" max="15" width="10.6640625" style="1073" hidden="1" customWidth="1"/>
    <col min="16" max="17" width="11.5546875" style="1072" hidden="1" customWidth="1"/>
    <col min="18" max="18" width="11.5546875" style="1074" hidden="1" customWidth="1"/>
    <col min="19" max="19" width="11.5546875" style="1072" hidden="1" customWidth="1"/>
    <col min="20" max="21" width="11.5546875" style="1074" hidden="1" customWidth="1"/>
    <col min="22" max="23" width="0" style="463" hidden="1" customWidth="1"/>
    <col min="24" max="24" width="3.33203125" style="463" hidden="1" customWidth="1"/>
    <col min="25" max="26" width="1" style="463" hidden="1" customWidth="1"/>
    <col min="27" max="29" width="0" style="463" hidden="1" customWidth="1"/>
    <col min="30" max="16384" width="11.44140625" style="463"/>
  </cols>
  <sheetData>
    <row r="1" spans="1:29" ht="18" x14ac:dyDescent="0.35">
      <c r="A1" s="459">
        <v>2026</v>
      </c>
      <c r="B1" s="460"/>
      <c r="C1" s="460"/>
      <c r="D1" s="461"/>
      <c r="E1" s="461"/>
      <c r="F1" s="461"/>
      <c r="G1" s="461"/>
      <c r="H1" s="461"/>
      <c r="I1" s="461"/>
      <c r="J1" s="461"/>
      <c r="K1" s="460"/>
      <c r="L1" s="460"/>
      <c r="M1" s="460"/>
      <c r="N1" s="1070"/>
      <c r="O1" s="1071"/>
      <c r="P1" s="1070"/>
      <c r="Q1" s="1070"/>
      <c r="R1" s="1070"/>
      <c r="S1" s="1070"/>
      <c r="T1" s="1070"/>
      <c r="U1" s="1070"/>
      <c r="V1" s="460"/>
      <c r="W1" s="460"/>
      <c r="X1" s="460"/>
      <c r="Y1" s="460"/>
      <c r="Z1" s="462"/>
    </row>
    <row r="2" spans="1:29" x14ac:dyDescent="0.3">
      <c r="A2" s="464"/>
      <c r="B2" s="464"/>
      <c r="C2" s="464"/>
      <c r="D2" s="464"/>
      <c r="E2" s="464"/>
      <c r="F2" s="464"/>
      <c r="J2" s="465"/>
      <c r="L2" s="466" t="s">
        <v>702</v>
      </c>
      <c r="M2" s="467"/>
      <c r="Z2" s="462"/>
    </row>
    <row r="3" spans="1:29" x14ac:dyDescent="0.3">
      <c r="A3" s="464"/>
      <c r="B3" s="464"/>
      <c r="C3" s="464"/>
      <c r="D3" s="464"/>
      <c r="E3" s="464"/>
      <c r="F3" s="464"/>
      <c r="G3" s="468"/>
      <c r="H3" s="468"/>
      <c r="I3" s="468"/>
      <c r="J3" s="465"/>
      <c r="L3" s="469" t="str">
        <f>"DOCKET NO.  " &amp; +"20240025-EI"</f>
        <v>DOCKET NO.  20240025-EI</v>
      </c>
      <c r="M3" s="467"/>
      <c r="Z3" s="462"/>
    </row>
    <row r="4" spans="1:29" x14ac:dyDescent="0.3">
      <c r="A4" s="464"/>
      <c r="B4" s="464"/>
      <c r="C4" s="464"/>
      <c r="D4" s="464"/>
      <c r="E4" s="464"/>
      <c r="F4" s="464"/>
      <c r="G4" s="468"/>
      <c r="H4" s="468"/>
      <c r="I4" s="468"/>
      <c r="J4" s="465"/>
      <c r="L4" s="469" t="s">
        <v>703</v>
      </c>
      <c r="M4" s="467"/>
      <c r="Z4" s="462"/>
    </row>
    <row r="5" spans="1:29" x14ac:dyDescent="0.3">
      <c r="A5" s="464"/>
      <c r="B5" s="464"/>
      <c r="C5" s="464"/>
      <c r="D5" s="464"/>
      <c r="E5" s="464"/>
      <c r="F5" s="464"/>
      <c r="G5" s="468"/>
      <c r="H5" s="468"/>
      <c r="I5" s="468"/>
      <c r="J5" s="465"/>
      <c r="L5" s="466" t="s">
        <v>704</v>
      </c>
      <c r="M5" s="467"/>
      <c r="Z5" s="462"/>
    </row>
    <row r="6" spans="1:29" x14ac:dyDescent="0.3">
      <c r="B6" s="470"/>
      <c r="C6" s="471"/>
      <c r="D6" s="471"/>
      <c r="G6" s="471"/>
      <c r="H6" s="471"/>
      <c r="I6" s="471"/>
      <c r="J6" s="77"/>
      <c r="K6" s="472"/>
      <c r="L6" s="343" t="s">
        <v>204</v>
      </c>
      <c r="M6" s="467"/>
      <c r="N6" s="1075"/>
      <c r="O6" s="1076"/>
      <c r="Z6" s="462"/>
    </row>
    <row r="7" spans="1:29" x14ac:dyDescent="0.3">
      <c r="A7" s="473" t="s">
        <v>705</v>
      </c>
      <c r="B7" s="473"/>
      <c r="C7" s="474"/>
      <c r="D7" s="474"/>
      <c r="E7" s="475"/>
      <c r="F7" s="475"/>
      <c r="G7" s="474"/>
      <c r="H7" s="474"/>
      <c r="I7" s="474"/>
      <c r="J7" s="475"/>
      <c r="K7" s="475"/>
      <c r="L7" s="475"/>
      <c r="M7" s="467"/>
      <c r="N7" s="1075"/>
      <c r="O7" s="1076"/>
      <c r="Z7" s="462"/>
    </row>
    <row r="8" spans="1:29" ht="3.75" customHeight="1" x14ac:dyDescent="0.3">
      <c r="G8" s="476"/>
      <c r="H8" s="476"/>
      <c r="I8" s="476"/>
      <c r="M8" s="467"/>
      <c r="N8" s="1075"/>
      <c r="O8" s="1076"/>
      <c r="Z8" s="462"/>
    </row>
    <row r="9" spans="1:29" x14ac:dyDescent="0.3">
      <c r="G9" s="478">
        <v>46023</v>
      </c>
      <c r="H9" s="478">
        <v>46023</v>
      </c>
      <c r="I9" s="478"/>
      <c r="M9" s="467"/>
      <c r="S9" s="1077" t="s">
        <v>706</v>
      </c>
      <c r="U9" s="1078" t="s">
        <v>707</v>
      </c>
      <c r="Z9" s="462"/>
    </row>
    <row r="10" spans="1:29" x14ac:dyDescent="0.3">
      <c r="B10" s="477" t="s">
        <v>128</v>
      </c>
      <c r="G10" s="477" t="s">
        <v>708</v>
      </c>
      <c r="H10" s="477" t="s">
        <v>344</v>
      </c>
      <c r="I10" s="477" t="s">
        <v>431</v>
      </c>
      <c r="J10" s="477" t="s">
        <v>709</v>
      </c>
      <c r="K10" s="477"/>
      <c r="L10" s="477"/>
      <c r="M10" s="479"/>
      <c r="N10" s="1077" t="s">
        <v>341</v>
      </c>
      <c r="O10" s="1077" t="s">
        <v>341</v>
      </c>
      <c r="Q10" s="1079" t="s">
        <v>710</v>
      </c>
      <c r="R10" s="1079" t="s">
        <v>711</v>
      </c>
      <c r="S10" s="1079" t="s">
        <v>418</v>
      </c>
      <c r="T10" s="1079" t="s">
        <v>712</v>
      </c>
      <c r="U10" s="1079" t="s">
        <v>418</v>
      </c>
      <c r="V10" s="480" t="s">
        <v>713</v>
      </c>
      <c r="W10" s="480" t="s">
        <v>713</v>
      </c>
      <c r="Z10" s="462"/>
    </row>
    <row r="11" spans="1:29" x14ac:dyDescent="0.3">
      <c r="A11" s="481" t="s">
        <v>30</v>
      </c>
      <c r="B11" s="482" t="s">
        <v>438</v>
      </c>
      <c r="C11" s="475" t="s">
        <v>714</v>
      </c>
      <c r="D11" s="475"/>
      <c r="E11" s="475"/>
      <c r="F11" s="481"/>
      <c r="G11" s="482" t="s">
        <v>128</v>
      </c>
      <c r="H11" s="482" t="s">
        <v>128</v>
      </c>
      <c r="I11" s="482" t="s">
        <v>715</v>
      </c>
      <c r="J11" s="482" t="s">
        <v>41</v>
      </c>
      <c r="K11" s="482" t="s">
        <v>716</v>
      </c>
      <c r="L11" s="482"/>
      <c r="M11" s="483"/>
      <c r="N11" s="1080" t="s">
        <v>717</v>
      </c>
      <c r="O11" s="1081" t="s">
        <v>419</v>
      </c>
      <c r="P11" s="1080" t="s">
        <v>536</v>
      </c>
      <c r="Q11" s="1080" t="s">
        <v>717</v>
      </c>
      <c r="R11" s="1080" t="s">
        <v>717</v>
      </c>
      <c r="S11" s="1080" t="s">
        <v>717</v>
      </c>
      <c r="T11" s="1080" t="s">
        <v>717</v>
      </c>
      <c r="U11" s="1080" t="s">
        <v>717</v>
      </c>
      <c r="V11" s="480" t="s">
        <v>718</v>
      </c>
      <c r="W11" s="480" t="s">
        <v>718</v>
      </c>
      <c r="Z11" s="462"/>
    </row>
    <row r="12" spans="1:29" x14ac:dyDescent="0.3">
      <c r="A12" s="463">
        <v>1</v>
      </c>
      <c r="B12" s="484" t="s">
        <v>135</v>
      </c>
      <c r="C12" s="463" t="s">
        <v>719</v>
      </c>
      <c r="G12" s="485"/>
      <c r="H12" s="485"/>
      <c r="I12" s="485"/>
      <c r="J12" s="486"/>
      <c r="K12" s="487"/>
      <c r="L12" s="487"/>
      <c r="M12" s="488"/>
      <c r="V12" s="489"/>
      <c r="W12" s="489"/>
      <c r="Z12" s="462"/>
    </row>
    <row r="13" spans="1:29" x14ac:dyDescent="0.3">
      <c r="A13" s="463">
        <f>+A12+1</f>
        <v>2</v>
      </c>
      <c r="B13" s="484" t="s">
        <v>548</v>
      </c>
      <c r="D13" s="463" t="s">
        <v>543</v>
      </c>
      <c r="F13" s="463" t="s">
        <v>717</v>
      </c>
      <c r="G13" s="485">
        <f>'MFR E-13c'!F17</f>
        <v>14.86</v>
      </c>
      <c r="H13" s="485">
        <f>'MFR E-13c'!L17</f>
        <v>15.13</v>
      </c>
      <c r="I13" s="485">
        <f>'MFR E-14B'!G31</f>
        <v>13.95</v>
      </c>
      <c r="J13" s="486" t="s">
        <v>720</v>
      </c>
      <c r="K13" s="487" t="s">
        <v>721</v>
      </c>
      <c r="L13" s="487"/>
      <c r="M13" s="488"/>
      <c r="N13" s="1082">
        <f>H13-G13</f>
        <v>0.27000000000000135</v>
      </c>
      <c r="O13" s="1073">
        <f>(N13/G13)</f>
        <v>1.8169582772543835E-2</v>
      </c>
      <c r="P13" s="929">
        <f>'MFR E-13c'!J17</f>
        <v>21694045.352867588</v>
      </c>
      <c r="Q13" s="1083">
        <f>(P13*G13)/1000</f>
        <v>322373.51394361234</v>
      </c>
      <c r="R13" s="1083">
        <f>(P13*H13)/1000</f>
        <v>328230.90618888667</v>
      </c>
      <c r="S13" s="1084">
        <f>R13-Q13</f>
        <v>5857.3922452743282</v>
      </c>
      <c r="T13" s="1083">
        <f>(P13*I13)/1000</f>
        <v>302631.93267250282</v>
      </c>
      <c r="U13" s="1084">
        <f>R13-T13</f>
        <v>25598.973516383849</v>
      </c>
      <c r="V13" s="490" t="s">
        <v>135</v>
      </c>
      <c r="W13" s="490" t="s">
        <v>135</v>
      </c>
      <c r="Z13" s="462"/>
      <c r="AC13" s="463" t="b">
        <f>H13&gt;=I13</f>
        <v>1</v>
      </c>
    </row>
    <row r="14" spans="1:29" x14ac:dyDescent="0.3">
      <c r="A14" s="463">
        <f t="shared" ref="A14:A78" si="0">+A13+1</f>
        <v>3</v>
      </c>
      <c r="B14" s="484" t="s">
        <v>722</v>
      </c>
      <c r="D14" s="463" t="s">
        <v>723</v>
      </c>
      <c r="G14" s="485"/>
      <c r="H14" s="485"/>
      <c r="I14" s="485"/>
      <c r="J14" s="486"/>
      <c r="K14" s="487"/>
      <c r="L14" s="487"/>
      <c r="M14" s="488"/>
      <c r="P14" s="929"/>
      <c r="Q14" s="1083"/>
      <c r="R14" s="1083"/>
      <c r="T14" s="1083"/>
      <c r="U14" s="1072"/>
      <c r="V14" s="489"/>
      <c r="W14" s="489"/>
      <c r="Z14" s="462"/>
    </row>
    <row r="15" spans="1:29" x14ac:dyDescent="0.3">
      <c r="A15" s="463">
        <f t="shared" si="0"/>
        <v>4</v>
      </c>
      <c r="B15" s="491" t="s">
        <v>724</v>
      </c>
      <c r="D15" s="492" t="s">
        <v>725</v>
      </c>
      <c r="F15" s="463" t="s">
        <v>717</v>
      </c>
      <c r="G15" s="485">
        <f>'MFR E-13c'!F19</f>
        <v>14.86</v>
      </c>
      <c r="H15" s="485">
        <f>'MFR E-13c'!L19</f>
        <v>15.13</v>
      </c>
      <c r="I15" s="485">
        <f>I13</f>
        <v>13.95</v>
      </c>
      <c r="J15" s="486" t="s">
        <v>720</v>
      </c>
      <c r="K15" s="487" t="s">
        <v>726</v>
      </c>
      <c r="L15" s="487"/>
      <c r="M15" s="488"/>
      <c r="N15" s="1082">
        <f>H15-G15</f>
        <v>0.27000000000000135</v>
      </c>
      <c r="O15" s="1073">
        <f>(N15/G15)</f>
        <v>1.8169582772543835E-2</v>
      </c>
      <c r="P15" s="929">
        <f>'MFR E-13c'!J19</f>
        <v>2332.4394039326739</v>
      </c>
      <c r="Q15" s="1083">
        <f>(P15*G15)/1000</f>
        <v>34.660049542439531</v>
      </c>
      <c r="R15" s="1083">
        <f>(P15*H15)/1000</f>
        <v>35.289808181501357</v>
      </c>
      <c r="S15" s="1084">
        <f>R15-Q15</f>
        <v>0.62975863906182639</v>
      </c>
      <c r="T15" s="1083">
        <f>(P15*I15)/1000</f>
        <v>32.5375296848608</v>
      </c>
      <c r="U15" s="1084">
        <f>R15-T15</f>
        <v>2.7522784966405567</v>
      </c>
      <c r="V15" s="489" t="s">
        <v>548</v>
      </c>
      <c r="W15" s="489" t="s">
        <v>548</v>
      </c>
      <c r="Z15" s="462"/>
      <c r="AC15" s="463" t="b">
        <f>H15&gt;=I15</f>
        <v>1</v>
      </c>
    </row>
    <row r="16" spans="1:29" x14ac:dyDescent="0.3">
      <c r="A16" s="463">
        <f t="shared" si="0"/>
        <v>5</v>
      </c>
      <c r="G16" s="493"/>
      <c r="H16" s="493"/>
      <c r="I16" s="493"/>
      <c r="J16" s="486"/>
      <c r="K16" s="487"/>
      <c r="L16" s="487"/>
      <c r="M16" s="488"/>
      <c r="P16" s="929"/>
      <c r="Q16" s="1083"/>
      <c r="R16" s="1083"/>
      <c r="T16" s="1083"/>
      <c r="U16" s="1072"/>
      <c r="V16" s="489"/>
      <c r="W16" s="489"/>
      <c r="Z16" s="462"/>
    </row>
    <row r="17" spans="1:26" x14ac:dyDescent="0.3">
      <c r="A17" s="463">
        <f t="shared" si="0"/>
        <v>6</v>
      </c>
      <c r="C17" s="463" t="s">
        <v>727</v>
      </c>
      <c r="G17" s="487"/>
      <c r="H17" s="487"/>
      <c r="I17" s="487"/>
      <c r="J17" s="486"/>
      <c r="K17" s="487"/>
      <c r="L17" s="487"/>
      <c r="M17" s="488"/>
      <c r="P17" s="929"/>
      <c r="Q17" s="1083"/>
      <c r="R17" s="1083"/>
      <c r="T17" s="1083"/>
      <c r="U17" s="1072"/>
      <c r="V17" s="489"/>
      <c r="W17" s="489"/>
      <c r="Z17" s="462"/>
    </row>
    <row r="18" spans="1:26" x14ac:dyDescent="0.3">
      <c r="A18" s="463">
        <f t="shared" si="0"/>
        <v>7</v>
      </c>
      <c r="D18" s="463" t="s">
        <v>728</v>
      </c>
      <c r="G18" s="494"/>
      <c r="H18" s="494"/>
      <c r="I18" s="494"/>
      <c r="J18" s="494"/>
      <c r="L18" s="487"/>
      <c r="M18" s="488"/>
      <c r="P18" s="929"/>
      <c r="Q18" s="1083"/>
      <c r="R18" s="1083"/>
      <c r="T18" s="1083"/>
      <c r="U18" s="1084"/>
      <c r="V18" s="489"/>
      <c r="W18" s="489"/>
      <c r="Z18" s="462"/>
    </row>
    <row r="19" spans="1:26" x14ac:dyDescent="0.3">
      <c r="A19" s="463">
        <f t="shared" si="0"/>
        <v>8</v>
      </c>
      <c r="D19" s="492" t="s">
        <v>729</v>
      </c>
      <c r="F19" s="463" t="s">
        <v>730</v>
      </c>
      <c r="G19" s="494">
        <f>'MFR E-13c'!F26/10</f>
        <v>8.8670000000000009</v>
      </c>
      <c r="H19" s="494">
        <f>'MFR E-13c'!L26/10</f>
        <v>9.0849999999999991</v>
      </c>
      <c r="I19" s="494">
        <f>'MFR E-14B'!G50</f>
        <v>10.563000000000001</v>
      </c>
      <c r="J19" s="486" t="s">
        <v>720</v>
      </c>
      <c r="K19" s="487" t="s">
        <v>731</v>
      </c>
      <c r="L19" s="487"/>
      <c r="M19" s="488"/>
      <c r="N19" s="1082">
        <f t="shared" ref="N19:N25" si="1">H19-G19</f>
        <v>0.2179999999999982</v>
      </c>
      <c r="O19" s="1073">
        <f t="shared" ref="O19:O25" si="2">(N19/G19)</f>
        <v>2.4585541896920964E-2</v>
      </c>
      <c r="P19" s="929">
        <f>'MFR E-13c'!J26</f>
        <v>3393198.353816377</v>
      </c>
      <c r="Q19" s="1083">
        <f t="shared" ref="Q19:Q25" si="3">(+P19*G19*10)/1000</f>
        <v>300874.8980328982</v>
      </c>
      <c r="R19" s="1083">
        <f t="shared" ref="R19:R25" si="4">(+P19*H19*10)/1000</f>
        <v>308272.07044421782</v>
      </c>
      <c r="S19" s="1084">
        <f t="shared" ref="S19:S25" si="5">R19-Q19</f>
        <v>7397.1724113196251</v>
      </c>
      <c r="T19" s="1083">
        <f t="shared" ref="T19:T25" si="6">(P19*I19*10)/1000</f>
        <v>358423.54211362393</v>
      </c>
      <c r="U19" s="1084">
        <f t="shared" ref="U19:U25" si="7">R19-T19</f>
        <v>-50151.471669406106</v>
      </c>
      <c r="V19" s="490" t="s">
        <v>135</v>
      </c>
      <c r="W19" s="490" t="s">
        <v>135</v>
      </c>
      <c r="Z19" s="462"/>
    </row>
    <row r="20" spans="1:26" x14ac:dyDescent="0.3">
      <c r="A20" s="463">
        <f t="shared" si="0"/>
        <v>9</v>
      </c>
      <c r="D20" s="492" t="s">
        <v>732</v>
      </c>
      <c r="F20" s="463" t="s">
        <v>730</v>
      </c>
      <c r="G20" s="494">
        <f>'MFR E-13c'!F27/10</f>
        <v>10.308</v>
      </c>
      <c r="H20" s="494">
        <f>'MFR E-13c'!L27/10</f>
        <v>10.531000000000001</v>
      </c>
      <c r="I20" s="494">
        <f>'MFR E-14B'!G51</f>
        <v>12.051</v>
      </c>
      <c r="J20" s="486" t="s">
        <v>720</v>
      </c>
      <c r="K20" s="487" t="s">
        <v>731</v>
      </c>
      <c r="L20" s="487"/>
      <c r="M20" s="488"/>
      <c r="N20" s="1082">
        <f t="shared" si="1"/>
        <v>0.22300000000000075</v>
      </c>
      <c r="O20" s="1073">
        <f t="shared" si="2"/>
        <v>2.1633682576639578E-2</v>
      </c>
      <c r="P20" s="929">
        <f>'MFR E-13c'!J27</f>
        <v>889668.85931853601</v>
      </c>
      <c r="Q20" s="1083">
        <f t="shared" si="3"/>
        <v>91707.066018554702</v>
      </c>
      <c r="R20" s="1083">
        <f t="shared" si="4"/>
        <v>93691.027574835025</v>
      </c>
      <c r="S20" s="1084">
        <f t="shared" si="5"/>
        <v>1983.9615562803228</v>
      </c>
      <c r="T20" s="1083">
        <f t="shared" si="6"/>
        <v>107213.99423647678</v>
      </c>
      <c r="U20" s="1084">
        <f t="shared" si="7"/>
        <v>-13522.966661641753</v>
      </c>
      <c r="V20" s="490" t="s">
        <v>135</v>
      </c>
      <c r="W20" s="490" t="s">
        <v>135</v>
      </c>
      <c r="Z20" s="462"/>
    </row>
    <row r="21" spans="1:26" x14ac:dyDescent="0.3">
      <c r="A21" s="463">
        <f t="shared" si="0"/>
        <v>10</v>
      </c>
      <c r="D21" s="492" t="s">
        <v>733</v>
      </c>
      <c r="F21" s="463" t="s">
        <v>730</v>
      </c>
      <c r="G21" s="494">
        <f>'MFR E-13c'!F31/10</f>
        <v>8.4480000000000004</v>
      </c>
      <c r="H21" s="494">
        <f>'MFR E-13c'!L31/10</f>
        <v>8.7029999999999994</v>
      </c>
      <c r="I21" s="494">
        <f>'MFR E-14B'!G52</f>
        <v>8.7409999999999997</v>
      </c>
      <c r="J21" s="486" t="s">
        <v>720</v>
      </c>
      <c r="K21" s="487" t="s">
        <v>731</v>
      </c>
      <c r="L21" s="487"/>
      <c r="M21" s="488"/>
      <c r="N21" s="1082">
        <f t="shared" si="1"/>
        <v>0.25499999999999901</v>
      </c>
      <c r="O21" s="1073">
        <f t="shared" si="2"/>
        <v>3.018465909090897E-2</v>
      </c>
      <c r="P21" s="929">
        <f>'MFR E-13c'!J31</f>
        <v>11553136.912141375</v>
      </c>
      <c r="Q21" s="1083">
        <f t="shared" si="3"/>
        <v>976009.00633770344</v>
      </c>
      <c r="R21" s="1083">
        <f t="shared" si="4"/>
        <v>1005469.5054636638</v>
      </c>
      <c r="S21" s="1084">
        <f t="shared" si="5"/>
        <v>29460.499125960399</v>
      </c>
      <c r="T21" s="1083">
        <f t="shared" si="6"/>
        <v>1009859.6974902776</v>
      </c>
      <c r="U21" s="1084">
        <f t="shared" si="7"/>
        <v>-4390.1920266137458</v>
      </c>
      <c r="V21" s="490" t="s">
        <v>135</v>
      </c>
      <c r="W21" s="490" t="s">
        <v>135</v>
      </c>
      <c r="Z21" s="462"/>
    </row>
    <row r="22" spans="1:26" x14ac:dyDescent="0.3">
      <c r="A22" s="463">
        <f t="shared" si="0"/>
        <v>11</v>
      </c>
      <c r="D22" s="492" t="s">
        <v>734</v>
      </c>
      <c r="F22" s="463" t="s">
        <v>730</v>
      </c>
      <c r="G22" s="494">
        <f>'MFR E-13c'!F32/10</f>
        <v>9.1560000000000006</v>
      </c>
      <c r="H22" s="494">
        <f>'MFR E-13c'!L32/10</f>
        <v>9.4030000000000005</v>
      </c>
      <c r="I22" s="494">
        <f>'MFR E-14B'!G53</f>
        <v>9.44</v>
      </c>
      <c r="J22" s="486" t="s">
        <v>720</v>
      </c>
      <c r="K22" s="487" t="s">
        <v>731</v>
      </c>
      <c r="L22" s="487"/>
      <c r="M22" s="488"/>
      <c r="N22" s="1082">
        <f t="shared" si="1"/>
        <v>0.24699999999999989</v>
      </c>
      <c r="O22" s="1073">
        <f t="shared" si="2"/>
        <v>2.697684578418522E-2</v>
      </c>
      <c r="P22" s="929">
        <f>'MFR E-13c'!J32</f>
        <v>4980915.7878168188</v>
      </c>
      <c r="Q22" s="1083">
        <f t="shared" si="3"/>
        <v>456052.64953250793</v>
      </c>
      <c r="R22" s="1083">
        <f t="shared" si="4"/>
        <v>468355.51152841555</v>
      </c>
      <c r="S22" s="1084">
        <f t="shared" si="5"/>
        <v>12302.861995907617</v>
      </c>
      <c r="T22" s="1083">
        <f t="shared" si="6"/>
        <v>470198.45036990766</v>
      </c>
      <c r="U22" s="1084">
        <f t="shared" si="7"/>
        <v>-1842.9388414921123</v>
      </c>
      <c r="V22" s="490" t="s">
        <v>135</v>
      </c>
      <c r="W22" s="490" t="s">
        <v>135</v>
      </c>
      <c r="Z22" s="462"/>
    </row>
    <row r="23" spans="1:26" x14ac:dyDescent="0.3">
      <c r="A23" s="463">
        <f t="shared" si="0"/>
        <v>12</v>
      </c>
      <c r="D23" s="463" t="s">
        <v>735</v>
      </c>
      <c r="F23" s="463" t="s">
        <v>730</v>
      </c>
      <c r="G23" s="494">
        <f>'MFR E-13c'!F37/10</f>
        <v>11.91</v>
      </c>
      <c r="H23" s="494">
        <f>'MFR E-13c'!L37/10</f>
        <v>12.584999999999999</v>
      </c>
      <c r="I23" s="684">
        <f>ROUND('MFR E-14C'!AA45,3)</f>
        <v>14.414999999999999</v>
      </c>
      <c r="J23" s="486" t="s">
        <v>736</v>
      </c>
      <c r="K23" s="487" t="s">
        <v>737</v>
      </c>
      <c r="L23" s="487"/>
      <c r="M23" s="488"/>
      <c r="N23" s="1082">
        <f t="shared" si="1"/>
        <v>0.67499999999999893</v>
      </c>
      <c r="O23" s="1073">
        <f t="shared" si="2"/>
        <v>5.6675062972292099E-2</v>
      </c>
      <c r="P23" s="929">
        <f>'MFR E-13c'!J37</f>
        <v>329.67553653305612</v>
      </c>
      <c r="Q23" s="1083">
        <f t="shared" si="3"/>
        <v>39.264356401086978</v>
      </c>
      <c r="R23" s="1083">
        <f t="shared" si="4"/>
        <v>41.489666272685106</v>
      </c>
      <c r="S23" s="1084">
        <f t="shared" si="5"/>
        <v>2.2253098715981281</v>
      </c>
      <c r="T23" s="1083">
        <f t="shared" si="6"/>
        <v>47.522728591240039</v>
      </c>
      <c r="U23" s="1084">
        <f t="shared" si="7"/>
        <v>-6.0330623185549328</v>
      </c>
      <c r="V23" s="480" t="s">
        <v>548</v>
      </c>
      <c r="W23" s="480" t="s">
        <v>548</v>
      </c>
      <c r="Z23" s="462"/>
    </row>
    <row r="24" spans="1:26" x14ac:dyDescent="0.3">
      <c r="A24" s="463">
        <f t="shared" si="0"/>
        <v>13</v>
      </c>
      <c r="D24" s="463" t="s">
        <v>738</v>
      </c>
      <c r="F24" s="463" t="s">
        <v>730</v>
      </c>
      <c r="G24" s="494">
        <f>'MFR E-13c'!F38/10</f>
        <v>8.8219999999999992</v>
      </c>
      <c r="H24" s="494">
        <f>'MFR E-13c'!L38/10</f>
        <v>8.9890000000000008</v>
      </c>
      <c r="I24" s="684">
        <f>ROUND('MFR E-14C'!AA46,3)</f>
        <v>10.295999999999999</v>
      </c>
      <c r="J24" s="486" t="s">
        <v>736</v>
      </c>
      <c r="K24" s="487" t="s">
        <v>737</v>
      </c>
      <c r="L24" s="487"/>
      <c r="M24" s="488"/>
      <c r="N24" s="1082">
        <f t="shared" si="1"/>
        <v>0.16700000000000159</v>
      </c>
      <c r="O24" s="1073">
        <f t="shared" si="2"/>
        <v>1.8929947857628839E-2</v>
      </c>
      <c r="P24" s="929">
        <f>'MFR E-13c'!J38</f>
        <v>2247.6389455353169</v>
      </c>
      <c r="Q24" s="1083">
        <f t="shared" si="3"/>
        <v>198.28670777512565</v>
      </c>
      <c r="R24" s="1083">
        <f t="shared" si="4"/>
        <v>202.04026481416963</v>
      </c>
      <c r="S24" s="1084">
        <f t="shared" si="5"/>
        <v>3.753557039043983</v>
      </c>
      <c r="T24" s="1083">
        <f t="shared" si="6"/>
        <v>231.41690583231622</v>
      </c>
      <c r="U24" s="1084">
        <f t="shared" si="7"/>
        <v>-29.376641018146586</v>
      </c>
      <c r="V24" s="480" t="s">
        <v>548</v>
      </c>
      <c r="W24" s="480" t="s">
        <v>548</v>
      </c>
      <c r="Z24" s="462"/>
    </row>
    <row r="25" spans="1:26" x14ac:dyDescent="0.3">
      <c r="A25" s="463">
        <f t="shared" si="0"/>
        <v>14</v>
      </c>
      <c r="D25" s="463" t="s">
        <v>739</v>
      </c>
      <c r="F25" s="463" t="s">
        <v>730</v>
      </c>
      <c r="G25" s="494">
        <f>'MFR E-13c'!F39/10</f>
        <v>5.3520000000000003</v>
      </c>
      <c r="H25" s="494">
        <f>'MFR E-13c'!L39/10</f>
        <v>5.4799999999999995</v>
      </c>
      <c r="I25" s="684">
        <f>ROUND('MFR E-14C'!AA47,3)</f>
        <v>6.2770000000000001</v>
      </c>
      <c r="J25" s="486" t="s">
        <v>736</v>
      </c>
      <c r="K25" s="487" t="s">
        <v>737</v>
      </c>
      <c r="L25" s="487"/>
      <c r="M25" s="488"/>
      <c r="N25" s="1082">
        <f t="shared" si="1"/>
        <v>0.12799999999999923</v>
      </c>
      <c r="O25" s="1073">
        <f t="shared" si="2"/>
        <v>2.3916292974588794E-2</v>
      </c>
      <c r="P25" s="929">
        <f>'MFR E-13c'!J39</f>
        <v>723.39855424550785</v>
      </c>
      <c r="Q25" s="1083">
        <f t="shared" si="3"/>
        <v>38.716290623219585</v>
      </c>
      <c r="R25" s="1083">
        <f t="shared" si="4"/>
        <v>39.642240772653828</v>
      </c>
      <c r="S25" s="1084">
        <f t="shared" si="5"/>
        <v>0.92595014943424303</v>
      </c>
      <c r="T25" s="1083">
        <f t="shared" si="6"/>
        <v>45.407727249990529</v>
      </c>
      <c r="U25" s="1084">
        <f t="shared" si="7"/>
        <v>-5.7654864773367009</v>
      </c>
      <c r="V25" s="480" t="s">
        <v>548</v>
      </c>
      <c r="W25" s="480" t="s">
        <v>548</v>
      </c>
      <c r="Z25" s="462"/>
    </row>
    <row r="26" spans="1:26" x14ac:dyDescent="0.3">
      <c r="A26" s="463">
        <f t="shared" si="0"/>
        <v>15</v>
      </c>
      <c r="G26" s="494"/>
      <c r="H26" s="494"/>
      <c r="I26" s="684"/>
      <c r="J26" s="486"/>
      <c r="K26" s="487"/>
      <c r="L26" s="487"/>
      <c r="M26" s="488"/>
      <c r="N26" s="1082"/>
      <c r="P26" s="929"/>
      <c r="Q26" s="1083"/>
      <c r="R26" s="1083"/>
      <c r="S26" s="1084"/>
      <c r="T26" s="1083"/>
      <c r="U26" s="1084"/>
      <c r="V26" s="480"/>
      <c r="W26" s="480"/>
      <c r="Z26" s="462"/>
    </row>
    <row r="27" spans="1:26" x14ac:dyDescent="0.3">
      <c r="A27" s="463">
        <f t="shared" si="0"/>
        <v>16</v>
      </c>
      <c r="C27" s="463" t="s">
        <v>740</v>
      </c>
      <c r="F27" s="463" t="s">
        <v>717</v>
      </c>
      <c r="G27" s="485">
        <v>7.5</v>
      </c>
      <c r="H27" s="503">
        <v>7.5</v>
      </c>
      <c r="I27" s="485">
        <f>'EV Off-Pk'!B22</f>
        <v>7.4874374999999986</v>
      </c>
      <c r="J27" s="486" t="s">
        <v>741</v>
      </c>
      <c r="K27" s="487" t="s">
        <v>742</v>
      </c>
      <c r="L27" s="487"/>
      <c r="M27" s="488"/>
      <c r="N27" s="1082"/>
      <c r="P27" s="929"/>
      <c r="Q27" s="1083"/>
      <c r="R27" s="1083"/>
      <c r="S27" s="1084"/>
      <c r="T27" s="1083"/>
      <c r="U27" s="1084"/>
      <c r="V27" s="480"/>
      <c r="W27" s="480"/>
      <c r="Z27" s="462"/>
    </row>
    <row r="28" spans="1:26" x14ac:dyDescent="0.3">
      <c r="A28" s="463">
        <f t="shared" si="0"/>
        <v>17</v>
      </c>
      <c r="G28" s="494"/>
      <c r="H28" s="494"/>
      <c r="I28" s="494"/>
      <c r="J28" s="486"/>
      <c r="K28" s="487"/>
      <c r="L28" s="487"/>
      <c r="M28" s="488"/>
      <c r="N28" s="1082"/>
      <c r="P28" s="929"/>
      <c r="Q28" s="929"/>
      <c r="R28" s="929"/>
      <c r="T28" s="929"/>
      <c r="U28" s="1072"/>
      <c r="V28" s="480"/>
      <c r="W28" s="480"/>
      <c r="Z28" s="462"/>
    </row>
    <row r="29" spans="1:26" ht="14.4" thickBot="1" x14ac:dyDescent="0.35">
      <c r="B29" s="467"/>
      <c r="C29" s="467"/>
      <c r="D29" s="467"/>
      <c r="E29" s="467"/>
      <c r="F29" s="467"/>
      <c r="G29" s="488"/>
      <c r="H29" s="488"/>
      <c r="I29" s="488"/>
      <c r="J29" s="495"/>
      <c r="K29" s="488"/>
      <c r="L29" s="488"/>
      <c r="M29" s="488"/>
      <c r="N29" s="1085"/>
      <c r="O29" s="1086"/>
      <c r="P29" s="1087"/>
      <c r="Q29" s="1088">
        <f>SUM(Q12:Q28)</f>
        <v>2147328.061269619</v>
      </c>
      <c r="R29" s="1088">
        <f>SUM(R12:R28)</f>
        <v>2204337.4831800601</v>
      </c>
      <c r="S29" s="1088">
        <f>SUM(S12:S28)</f>
        <v>57009.421910441422</v>
      </c>
      <c r="T29" s="1088">
        <f>SUM(T12:T28)</f>
        <v>2248684.5017741472</v>
      </c>
      <c r="U29" s="1088">
        <f>SUM(U12:U28)</f>
        <v>-44347.018594087269</v>
      </c>
      <c r="V29" s="480"/>
      <c r="W29" s="480"/>
      <c r="Z29" s="462"/>
    </row>
    <row r="30" spans="1:26" ht="14.4" thickTop="1" x14ac:dyDescent="0.3">
      <c r="A30" s="463">
        <f>+A28+1</f>
        <v>18</v>
      </c>
      <c r="B30" s="484"/>
      <c r="G30" s="487"/>
      <c r="H30" s="487"/>
      <c r="I30" s="487"/>
      <c r="J30" s="486"/>
      <c r="K30" s="487"/>
      <c r="L30" s="487"/>
      <c r="M30" s="488"/>
      <c r="P30" s="929"/>
      <c r="Q30" s="929"/>
      <c r="R30" s="929"/>
      <c r="S30" s="1089" t="s">
        <v>743</v>
      </c>
      <c r="T30" s="1090">
        <v>0</v>
      </c>
      <c r="U30" s="1072"/>
      <c r="V30" s="480"/>
      <c r="W30" s="480"/>
      <c r="Z30" s="462"/>
    </row>
    <row r="31" spans="1:26" x14ac:dyDescent="0.3">
      <c r="A31" s="463">
        <f t="shared" si="0"/>
        <v>19</v>
      </c>
      <c r="B31" s="484" t="s">
        <v>744</v>
      </c>
      <c r="C31" s="463" t="s">
        <v>719</v>
      </c>
      <c r="G31" s="487"/>
      <c r="H31" s="487"/>
      <c r="I31" s="487"/>
      <c r="J31" s="486"/>
      <c r="K31" s="487"/>
      <c r="L31" s="487"/>
      <c r="M31" s="488"/>
      <c r="P31" s="929"/>
      <c r="Q31" s="929"/>
      <c r="R31" s="929"/>
      <c r="T31" s="929" t="s">
        <v>745</v>
      </c>
      <c r="U31" s="1072"/>
      <c r="V31" s="480"/>
      <c r="W31" s="480"/>
      <c r="Z31" s="462"/>
    </row>
    <row r="32" spans="1:26" x14ac:dyDescent="0.3">
      <c r="A32" s="463">
        <f t="shared" si="0"/>
        <v>20</v>
      </c>
      <c r="B32" s="484" t="s">
        <v>580</v>
      </c>
      <c r="D32" s="463" t="s">
        <v>543</v>
      </c>
      <c r="G32" s="487"/>
      <c r="H32" s="487"/>
      <c r="I32" s="487"/>
      <c r="J32" s="486"/>
      <c r="K32" s="487"/>
      <c r="L32" s="487"/>
      <c r="M32" s="488"/>
      <c r="P32" s="929"/>
      <c r="Q32" s="929"/>
      <c r="R32" s="929"/>
      <c r="T32" s="929"/>
      <c r="U32" s="1072"/>
      <c r="V32" s="480"/>
      <c r="W32" s="480"/>
      <c r="Z32" s="462"/>
    </row>
    <row r="33" spans="1:29" x14ac:dyDescent="0.3">
      <c r="A33" s="463">
        <f t="shared" si="0"/>
        <v>21</v>
      </c>
      <c r="D33" s="492" t="s">
        <v>578</v>
      </c>
      <c r="F33" s="463" t="s">
        <v>717</v>
      </c>
      <c r="G33" s="485">
        <f>'MFR E-13c'!F72</f>
        <v>10.56</v>
      </c>
      <c r="H33" s="485">
        <f>'MFR E-13c'!L72</f>
        <v>10.66</v>
      </c>
      <c r="I33" s="485">
        <f>'MFR E-14E'!I48</f>
        <v>10.662680800418332</v>
      </c>
      <c r="J33" s="486" t="s">
        <v>746</v>
      </c>
      <c r="K33" s="487" t="s">
        <v>747</v>
      </c>
      <c r="L33" s="487"/>
      <c r="M33" s="488"/>
      <c r="N33" s="1082">
        <f>H33-G33</f>
        <v>9.9999999999999645E-2</v>
      </c>
      <c r="O33" s="1073">
        <f>(N33/G33)</f>
        <v>9.4696969696969353E-3</v>
      </c>
      <c r="P33" s="929">
        <v>5029.440529544815</v>
      </c>
      <c r="Q33" s="1083">
        <f>(+P33*G33)/1000</f>
        <v>53.110891991993249</v>
      </c>
      <c r="R33" s="1083">
        <f>(+P33*H33)/1000</f>
        <v>53.613836044947725</v>
      </c>
      <c r="S33" s="1084">
        <f>R33-Q33</f>
        <v>0.50294405295447575</v>
      </c>
      <c r="T33" s="1083">
        <f>(+P33*I33)/1000</f>
        <v>53.62731897122331</v>
      </c>
      <c r="U33" s="1084">
        <f>R33-T33</f>
        <v>-1.3482926275585783E-2</v>
      </c>
      <c r="V33" s="480" t="s">
        <v>136</v>
      </c>
      <c r="W33" s="480" t="s">
        <v>136</v>
      </c>
      <c r="Z33" s="462"/>
      <c r="AC33" s="463" t="b">
        <f t="shared" ref="AC33:AC36" si="8">H33&gt;=I33</f>
        <v>0</v>
      </c>
    </row>
    <row r="34" spans="1:29" x14ac:dyDescent="0.3">
      <c r="A34" s="463">
        <f t="shared" si="0"/>
        <v>22</v>
      </c>
      <c r="D34" s="492" t="s">
        <v>149</v>
      </c>
      <c r="F34" s="463" t="s">
        <v>717</v>
      </c>
      <c r="G34" s="485">
        <f>'MFR E-13c'!F73</f>
        <v>16.16</v>
      </c>
      <c r="H34" s="485">
        <f>'MFR E-13c'!L73</f>
        <v>16.64</v>
      </c>
      <c r="I34" s="485">
        <f>'MFR E-14E'!I53</f>
        <v>15.202680800418332</v>
      </c>
      <c r="J34" s="486" t="s">
        <v>746</v>
      </c>
      <c r="K34" s="487" t="s">
        <v>748</v>
      </c>
      <c r="L34" s="487"/>
      <c r="M34" s="488"/>
      <c r="N34" s="1082">
        <f>H34-G34</f>
        <v>0.48000000000000043</v>
      </c>
      <c r="O34" s="1073">
        <f>(N34/G34)</f>
        <v>2.9702970297029729E-2</v>
      </c>
      <c r="P34" s="929">
        <v>1599802.6233321449</v>
      </c>
      <c r="Q34" s="1083">
        <f>(+P34*G34)/1000</f>
        <v>25852.810393047464</v>
      </c>
      <c r="R34" s="1083">
        <f>(+P34*H34)/1000</f>
        <v>26620.715652246894</v>
      </c>
      <c r="S34" s="1084">
        <f>R34-Q34</f>
        <v>767.90525919942957</v>
      </c>
      <c r="T34" s="1083">
        <f>(+P34*I34)/1000</f>
        <v>24321.288626190479</v>
      </c>
      <c r="U34" s="1084">
        <f>R34-T34</f>
        <v>2299.4270260564153</v>
      </c>
      <c r="V34" s="480" t="s">
        <v>136</v>
      </c>
      <c r="W34" s="480" t="s">
        <v>136</v>
      </c>
      <c r="Z34" s="462"/>
      <c r="AC34" s="463" t="b">
        <f t="shared" si="8"/>
        <v>1</v>
      </c>
    </row>
    <row r="35" spans="1:29" x14ac:dyDescent="0.3">
      <c r="A35" s="463">
        <f t="shared" si="0"/>
        <v>23</v>
      </c>
      <c r="D35" s="492" t="s">
        <v>148</v>
      </c>
      <c r="F35" s="463" t="s">
        <v>717</v>
      </c>
      <c r="G35" s="485">
        <f>'MFR E-13c'!F74</f>
        <v>204.3</v>
      </c>
      <c r="H35" s="485">
        <f>'MFR E-13c'!L74</f>
        <v>210.34</v>
      </c>
      <c r="I35" s="485">
        <f>'MFR E-14E'!I54</f>
        <v>81.020548842579146</v>
      </c>
      <c r="J35" s="486" t="s">
        <v>746</v>
      </c>
      <c r="K35" s="487" t="s">
        <v>748</v>
      </c>
      <c r="L35" s="487"/>
      <c r="M35" s="488"/>
      <c r="N35" s="1082">
        <f>H35-G35</f>
        <v>6.039999999999992</v>
      </c>
      <c r="O35" s="1073">
        <f>(N35/G35)</f>
        <v>2.9564366128242741E-2</v>
      </c>
      <c r="P35" s="929">
        <v>416.06077373363422</v>
      </c>
      <c r="Q35" s="1083">
        <f>(+P35*G35)/1000</f>
        <v>85.001216073781464</v>
      </c>
      <c r="R35" s="1083">
        <f>(+P35*H35)/1000</f>
        <v>87.514223147132626</v>
      </c>
      <c r="S35" s="1084">
        <f>R35-Q35</f>
        <v>2.5130070733511616</v>
      </c>
      <c r="T35" s="1083">
        <f>(+P35*I35)/1000</f>
        <v>33.70947223976718</v>
      </c>
      <c r="U35" s="1084">
        <f>R35-T35</f>
        <v>53.804750907365445</v>
      </c>
      <c r="V35" s="480" t="s">
        <v>136</v>
      </c>
      <c r="W35" s="480" t="s">
        <v>136</v>
      </c>
      <c r="Z35" s="462"/>
      <c r="AC35" s="463" t="b">
        <f t="shared" si="8"/>
        <v>1</v>
      </c>
    </row>
    <row r="36" spans="1:29" x14ac:dyDescent="0.3">
      <c r="A36" s="463">
        <f t="shared" si="0"/>
        <v>24</v>
      </c>
      <c r="D36" s="492" t="s">
        <v>216</v>
      </c>
      <c r="F36" s="463" t="s">
        <v>717</v>
      </c>
      <c r="G36" s="485">
        <f>'MFR E-13c'!F75</f>
        <v>1007.76</v>
      </c>
      <c r="H36" s="485">
        <f>'MFR E-13c'!L75</f>
        <v>1037.56</v>
      </c>
      <c r="I36" s="485">
        <f>'MFR E-14E'!I55</f>
        <v>447.69333082770089</v>
      </c>
      <c r="J36" s="486" t="s">
        <v>746</v>
      </c>
      <c r="K36" s="487" t="s">
        <v>748</v>
      </c>
      <c r="L36" s="487"/>
      <c r="M36" s="488"/>
      <c r="N36" s="1082">
        <f>H36-G36</f>
        <v>29.799999999999955</v>
      </c>
      <c r="O36" s="1073">
        <f>(N36/G36)</f>
        <v>2.9570532666507852E-2</v>
      </c>
      <c r="P36" s="929">
        <v>0</v>
      </c>
      <c r="Q36" s="1083">
        <f>(+P36*G36)/1000</f>
        <v>0</v>
      </c>
      <c r="R36" s="1083">
        <f>(+P36*H36)/1000</f>
        <v>0</v>
      </c>
      <c r="S36" s="1084">
        <f>R36-Q36</f>
        <v>0</v>
      </c>
      <c r="T36" s="1083">
        <f>(+P36*I36)/1000</f>
        <v>0</v>
      </c>
      <c r="U36" s="1084">
        <f>R36-T36</f>
        <v>0</v>
      </c>
      <c r="V36" s="480" t="s">
        <v>136</v>
      </c>
      <c r="W36" s="480" t="s">
        <v>136</v>
      </c>
      <c r="Z36" s="462"/>
      <c r="AC36" s="463" t="b">
        <f t="shared" si="8"/>
        <v>1</v>
      </c>
    </row>
    <row r="37" spans="1:29" x14ac:dyDescent="0.3">
      <c r="A37" s="463">
        <f t="shared" si="0"/>
        <v>25</v>
      </c>
      <c r="D37" s="463" t="s">
        <v>723</v>
      </c>
      <c r="G37" s="485"/>
      <c r="H37" s="485"/>
      <c r="I37" s="485"/>
      <c r="J37" s="486"/>
      <c r="K37" s="487"/>
      <c r="L37" s="487"/>
      <c r="M37" s="488"/>
      <c r="P37" s="929"/>
      <c r="Q37" s="1083"/>
      <c r="R37" s="1083"/>
      <c r="T37" s="1083"/>
      <c r="U37" s="1072"/>
      <c r="V37" s="480"/>
      <c r="W37" s="480"/>
      <c r="Z37" s="462"/>
    </row>
    <row r="38" spans="1:29" x14ac:dyDescent="0.3">
      <c r="A38" s="463">
        <f t="shared" si="0"/>
        <v>26</v>
      </c>
      <c r="D38" s="492" t="s">
        <v>149</v>
      </c>
      <c r="F38" s="463" t="s">
        <v>717</v>
      </c>
      <c r="G38" s="485">
        <f>G34</f>
        <v>16.16</v>
      </c>
      <c r="H38" s="485">
        <f>'MFR E-13c'!L77</f>
        <v>16.64</v>
      </c>
      <c r="I38" s="485">
        <f>I34</f>
        <v>15.202680800418332</v>
      </c>
      <c r="J38" s="486" t="s">
        <v>746</v>
      </c>
      <c r="K38" s="487" t="s">
        <v>749</v>
      </c>
      <c r="L38" s="487"/>
      <c r="M38" s="488"/>
      <c r="N38" s="1082">
        <f>H38-G38</f>
        <v>0.48000000000000043</v>
      </c>
      <c r="O38" s="1073">
        <f>(N38/G38)</f>
        <v>2.9702970297029729E-2</v>
      </c>
      <c r="P38" s="929">
        <v>15492.382362368073</v>
      </c>
      <c r="Q38" s="1083">
        <f>(+P38*G38)/1000</f>
        <v>250.35689897586806</v>
      </c>
      <c r="R38" s="1083">
        <f>(+P38*H38)/1000</f>
        <v>257.79324250980477</v>
      </c>
      <c r="S38" s="1084">
        <f>R38-Q38</f>
        <v>7.4363435339367072</v>
      </c>
      <c r="T38" s="1083">
        <f>(+P38*I38)/1000</f>
        <v>235.52574389311269</v>
      </c>
      <c r="U38" s="1084">
        <f>R38-T38</f>
        <v>22.26749861669208</v>
      </c>
      <c r="V38" s="480" t="s">
        <v>580</v>
      </c>
      <c r="W38" s="480" t="s">
        <v>580</v>
      </c>
      <c r="Z38" s="462"/>
    </row>
    <row r="39" spans="1:29" x14ac:dyDescent="0.3">
      <c r="A39" s="463">
        <f t="shared" si="0"/>
        <v>27</v>
      </c>
      <c r="D39" s="492" t="s">
        <v>148</v>
      </c>
      <c r="F39" s="463" t="s">
        <v>717</v>
      </c>
      <c r="G39" s="485">
        <f>G35</f>
        <v>204.3</v>
      </c>
      <c r="H39" s="485">
        <f>'MFR E-13c'!L78</f>
        <v>210.34</v>
      </c>
      <c r="I39" s="485">
        <f>I35</f>
        <v>81.020548842579146</v>
      </c>
      <c r="J39" s="486" t="s">
        <v>746</v>
      </c>
      <c r="K39" s="487" t="s">
        <v>749</v>
      </c>
      <c r="L39" s="487"/>
      <c r="M39" s="488"/>
      <c r="N39" s="1082">
        <f>H39-G39</f>
        <v>6.039999999999992</v>
      </c>
      <c r="O39" s="1073">
        <f>(N39/G39)</f>
        <v>2.9564366128242741E-2</v>
      </c>
      <c r="P39" s="929">
        <v>0</v>
      </c>
      <c r="Q39" s="1083">
        <f>(+P39*G39)/1000</f>
        <v>0</v>
      </c>
      <c r="R39" s="1083">
        <f>(+P39*H39)/1000</f>
        <v>0</v>
      </c>
      <c r="S39" s="1084">
        <f>R39-Q39</f>
        <v>0</v>
      </c>
      <c r="T39" s="1083">
        <f>(+P39*I39)/1000</f>
        <v>0</v>
      </c>
      <c r="U39" s="1084">
        <f>R39-T39</f>
        <v>0</v>
      </c>
      <c r="V39" s="480" t="s">
        <v>580</v>
      </c>
      <c r="W39" s="480" t="s">
        <v>580</v>
      </c>
      <c r="Z39" s="462"/>
    </row>
    <row r="40" spans="1:29" x14ac:dyDescent="0.3">
      <c r="A40" s="463">
        <f t="shared" si="0"/>
        <v>28</v>
      </c>
      <c r="D40" s="492" t="s">
        <v>216</v>
      </c>
      <c r="F40" s="463" t="s">
        <v>717</v>
      </c>
      <c r="G40" s="485">
        <f>G36</f>
        <v>1007.76</v>
      </c>
      <c r="H40" s="485">
        <f>'MFR E-13c'!L79</f>
        <v>1037.56</v>
      </c>
      <c r="I40" s="485">
        <f>I36</f>
        <v>447.69333082770089</v>
      </c>
      <c r="J40" s="486" t="s">
        <v>746</v>
      </c>
      <c r="K40" s="487" t="s">
        <v>749</v>
      </c>
      <c r="L40" s="487"/>
      <c r="M40" s="488"/>
      <c r="N40" s="1082">
        <f>H40-G40</f>
        <v>29.799999999999955</v>
      </c>
      <c r="O40" s="1073">
        <f>(N40/G40)</f>
        <v>2.9570532666507852E-2</v>
      </c>
      <c r="P40" s="929">
        <v>0</v>
      </c>
      <c r="Q40" s="1083">
        <f>(+P40*G40)/1000</f>
        <v>0</v>
      </c>
      <c r="R40" s="1083">
        <f>(+P40*H40)/1000</f>
        <v>0</v>
      </c>
      <c r="S40" s="1084">
        <f>R40-Q40</f>
        <v>0</v>
      </c>
      <c r="T40" s="1083">
        <f>(+P40*I40)/1000</f>
        <v>0</v>
      </c>
      <c r="U40" s="1084">
        <f>R40-T40</f>
        <v>0</v>
      </c>
      <c r="V40" s="480" t="s">
        <v>580</v>
      </c>
      <c r="W40" s="480" t="s">
        <v>580</v>
      </c>
      <c r="Z40" s="462"/>
    </row>
    <row r="41" spans="1:29" x14ac:dyDescent="0.3">
      <c r="A41" s="463">
        <f t="shared" si="0"/>
        <v>29</v>
      </c>
      <c r="G41" s="487"/>
      <c r="H41" s="487"/>
      <c r="I41" s="487"/>
      <c r="J41" s="486"/>
      <c r="K41" s="487"/>
      <c r="L41" s="487"/>
      <c r="M41" s="488"/>
      <c r="P41" s="929"/>
      <c r="Q41" s="1083"/>
      <c r="R41" s="1083"/>
      <c r="T41" s="1083"/>
      <c r="U41" s="1072"/>
      <c r="V41" s="480"/>
      <c r="W41" s="480"/>
      <c r="Z41" s="462"/>
    </row>
    <row r="42" spans="1:29" x14ac:dyDescent="0.3">
      <c r="A42" s="463">
        <f t="shared" si="0"/>
        <v>30</v>
      </c>
      <c r="C42" s="463" t="s">
        <v>727</v>
      </c>
      <c r="G42" s="487"/>
      <c r="H42" s="487"/>
      <c r="I42" s="487"/>
      <c r="J42" s="486"/>
      <c r="K42" s="487"/>
      <c r="L42" s="487"/>
      <c r="M42" s="488"/>
      <c r="P42" s="929"/>
      <c r="Q42" s="1083"/>
      <c r="R42" s="1083"/>
      <c r="T42" s="1083"/>
      <c r="U42" s="1072"/>
      <c r="V42" s="480"/>
      <c r="W42" s="480"/>
      <c r="Z42" s="462"/>
    </row>
    <row r="43" spans="1:29" x14ac:dyDescent="0.3">
      <c r="A43" s="463">
        <f t="shared" si="0"/>
        <v>31</v>
      </c>
      <c r="D43" s="463" t="s">
        <v>543</v>
      </c>
      <c r="F43" s="463" t="s">
        <v>730</v>
      </c>
      <c r="G43" s="494">
        <f>'MFR E-13c'!F84/10</f>
        <v>7.4</v>
      </c>
      <c r="H43" s="494">
        <f>'MFR E-13c'!L84/10</f>
        <v>7.6390000000000002</v>
      </c>
      <c r="I43" s="494">
        <f>'MFR E-14B'!H39</f>
        <v>8.1620367766047988</v>
      </c>
      <c r="J43" s="486" t="s">
        <v>720</v>
      </c>
      <c r="K43" s="487" t="s">
        <v>721</v>
      </c>
      <c r="L43" s="494"/>
      <c r="M43" s="497"/>
      <c r="N43" s="1082">
        <f>H43-G43</f>
        <v>0.23899999999999988</v>
      </c>
      <c r="O43" s="1073">
        <f>(N43/G43)</f>
        <v>3.229729729729728E-2</v>
      </c>
      <c r="P43" s="929">
        <v>1821747.0640758092</v>
      </c>
      <c r="Q43" s="1083">
        <f>(+P43*G43*10)/1000</f>
        <v>134809.28274160987</v>
      </c>
      <c r="R43" s="1083">
        <f>(+P43*H43*10)/1000</f>
        <v>139163.25822475107</v>
      </c>
      <c r="S43" s="1084">
        <f>R43-Q43</f>
        <v>4353.9754831411992</v>
      </c>
      <c r="T43" s="1083">
        <f>(+P43*I43*10)/1000</f>
        <v>148691.66534658574</v>
      </c>
      <c r="U43" s="1084">
        <f>R43-T43</f>
        <v>-9528.4071218346653</v>
      </c>
      <c r="V43" s="480" t="s">
        <v>136</v>
      </c>
      <c r="W43" s="480" t="s">
        <v>136</v>
      </c>
      <c r="Z43" s="462"/>
    </row>
    <row r="44" spans="1:29" x14ac:dyDescent="0.3">
      <c r="A44" s="463">
        <f t="shared" si="0"/>
        <v>32</v>
      </c>
      <c r="D44" s="463" t="s">
        <v>735</v>
      </c>
      <c r="F44" s="463" t="s">
        <v>730</v>
      </c>
      <c r="G44" s="494">
        <f>'MFR E-13c'!F89/10</f>
        <v>9.9860000000000007</v>
      </c>
      <c r="H44" s="494">
        <f>'MFR E-13c'!L89/10</f>
        <v>10.834999999999999</v>
      </c>
      <c r="I44" s="684">
        <f>ROUND('MFR E-14C'!AA96,3)</f>
        <v>11.772</v>
      </c>
      <c r="J44" s="486" t="s">
        <v>736</v>
      </c>
      <c r="K44" s="487" t="s">
        <v>737</v>
      </c>
      <c r="L44" s="494"/>
      <c r="M44" s="497"/>
      <c r="N44" s="1082">
        <f>H44-G44</f>
        <v>0.84899999999999842</v>
      </c>
      <c r="O44" s="1073">
        <f>(N44/G44)</f>
        <v>8.501902663729205E-2</v>
      </c>
      <c r="P44" s="929">
        <v>29367.944181914649</v>
      </c>
      <c r="Q44" s="1083">
        <f>(+P44*G44*10)/1000</f>
        <v>2932.6829060059972</v>
      </c>
      <c r="R44" s="1083">
        <f>(+P44*H44*10)/1000</f>
        <v>3182.0167521104518</v>
      </c>
      <c r="S44" s="1084">
        <f>R44-Q44</f>
        <v>249.33384610445455</v>
      </c>
      <c r="T44" s="1083">
        <f>(+P44*I44*10)/1000</f>
        <v>3457.1943890949924</v>
      </c>
      <c r="U44" s="1084">
        <f>R44-T44</f>
        <v>-275.17763698454064</v>
      </c>
      <c r="V44" s="480" t="s">
        <v>580</v>
      </c>
      <c r="W44" s="480" t="s">
        <v>580</v>
      </c>
      <c r="Z44" s="462"/>
    </row>
    <row r="45" spans="1:29" x14ac:dyDescent="0.3">
      <c r="A45" s="463">
        <f t="shared" si="0"/>
        <v>33</v>
      </c>
      <c r="D45" s="463" t="s">
        <v>738</v>
      </c>
      <c r="F45" s="463" t="s">
        <v>730</v>
      </c>
      <c r="G45" s="494">
        <f>'MFR E-13c'!F90/10</f>
        <v>8.5779999999999994</v>
      </c>
      <c r="H45" s="494">
        <f>'MFR E-13c'!L90/10</f>
        <v>8.5779999999999994</v>
      </c>
      <c r="I45" s="684">
        <f>ROUND('MFR E-14C'!AA97,3)</f>
        <v>8.4079999999999995</v>
      </c>
      <c r="J45" s="486" t="s">
        <v>736</v>
      </c>
      <c r="K45" s="487" t="s">
        <v>737</v>
      </c>
      <c r="L45" s="494"/>
      <c r="M45" s="497"/>
      <c r="N45" s="1082">
        <f>H45-G45</f>
        <v>0</v>
      </c>
      <c r="O45" s="1073">
        <f>(N45/G45)</f>
        <v>0</v>
      </c>
      <c r="P45" s="929">
        <v>94002.391742275766</v>
      </c>
      <c r="Q45" s="1083">
        <f>(+P45*G45*10)/1000</f>
        <v>8063.5251636524144</v>
      </c>
      <c r="R45" s="1083">
        <f>(+P45*H45*10)/1000</f>
        <v>8063.5251636524144</v>
      </c>
      <c r="S45" s="1084">
        <f>R45-Q45</f>
        <v>0</v>
      </c>
      <c r="T45" s="1083">
        <f>(+P45*I45*10)/1000</f>
        <v>7903.7210976905462</v>
      </c>
      <c r="U45" s="1084">
        <f>R45-T45</f>
        <v>159.80406596186822</v>
      </c>
      <c r="V45" s="480" t="s">
        <v>580</v>
      </c>
      <c r="W45" s="480" t="s">
        <v>580</v>
      </c>
      <c r="Z45" s="462"/>
    </row>
    <row r="46" spans="1:29" x14ac:dyDescent="0.3">
      <c r="A46" s="463">
        <f t="shared" si="0"/>
        <v>34</v>
      </c>
      <c r="D46" s="463" t="s">
        <v>739</v>
      </c>
      <c r="F46" s="463" t="s">
        <v>730</v>
      </c>
      <c r="G46" s="494">
        <f>'MFR E-13c'!F91/10</f>
        <v>4.88</v>
      </c>
      <c r="H46" s="494">
        <f>'MFR E-13c'!L91/10</f>
        <v>5.077</v>
      </c>
      <c r="I46" s="684">
        <f>ROUND('MFR E-14C'!AA98,3)</f>
        <v>5.516</v>
      </c>
      <c r="J46" s="486" t="s">
        <v>736</v>
      </c>
      <c r="K46" s="487" t="s">
        <v>737</v>
      </c>
      <c r="L46" s="494"/>
      <c r="M46" s="497"/>
      <c r="N46" s="1082"/>
      <c r="P46" s="929"/>
      <c r="Q46" s="1083"/>
      <c r="R46" s="1083"/>
      <c r="S46" s="1084"/>
      <c r="T46" s="1083"/>
      <c r="U46" s="1084"/>
      <c r="V46" s="480"/>
      <c r="W46" s="480"/>
      <c r="Z46" s="462"/>
    </row>
    <row r="47" spans="1:29" x14ac:dyDescent="0.3">
      <c r="A47" s="463">
        <f t="shared" si="0"/>
        <v>35</v>
      </c>
      <c r="G47" s="494"/>
      <c r="H47" s="494"/>
      <c r="I47" s="494"/>
      <c r="J47" s="498"/>
      <c r="K47" s="494"/>
      <c r="L47" s="494"/>
      <c r="M47" s="497"/>
      <c r="N47" s="1082"/>
      <c r="P47" s="929"/>
      <c r="Q47" s="1083"/>
      <c r="R47" s="1083"/>
      <c r="T47" s="1083"/>
      <c r="U47" s="1072"/>
      <c r="V47" s="480"/>
      <c r="W47" s="480"/>
      <c r="Z47" s="462"/>
    </row>
    <row r="48" spans="1:29" x14ac:dyDescent="0.3">
      <c r="A48" s="463">
        <f t="shared" si="0"/>
        <v>36</v>
      </c>
      <c r="C48" s="463" t="s">
        <v>650</v>
      </c>
      <c r="F48" s="463" t="s">
        <v>730</v>
      </c>
      <c r="G48" s="494">
        <v>1.629</v>
      </c>
      <c r="H48" s="684">
        <f>I48</f>
        <v>1.7129999999999999</v>
      </c>
      <c r="I48" s="684">
        <f>'MFR E-14G'!G35*100</f>
        <v>1.7129999999999999</v>
      </c>
      <c r="J48" s="486" t="s">
        <v>750</v>
      </c>
      <c r="K48" s="487" t="s">
        <v>751</v>
      </c>
      <c r="L48" s="487"/>
      <c r="M48" s="488"/>
      <c r="N48" s="1082">
        <f>H48-G48</f>
        <v>8.3999999999999853E-2</v>
      </c>
      <c r="O48" s="1073">
        <f>(N48/G48)</f>
        <v>5.1565377532228271E-2</v>
      </c>
      <c r="P48" s="929"/>
      <c r="Q48" s="1083">
        <f>(+P48*G48*10)/1000</f>
        <v>0</v>
      </c>
      <c r="R48" s="1083">
        <f>(+P48*H48*10)/1000</f>
        <v>0</v>
      </c>
      <c r="S48" s="1084">
        <f>R48-Q48</f>
        <v>0</v>
      </c>
      <c r="T48" s="1083">
        <f>(+P48*I48*10)/1000</f>
        <v>0</v>
      </c>
      <c r="U48" s="1084">
        <f>R48-T48</f>
        <v>0</v>
      </c>
      <c r="V48" s="480" t="s">
        <v>136</v>
      </c>
      <c r="W48" s="480" t="s">
        <v>136</v>
      </c>
      <c r="Z48" s="462"/>
    </row>
    <row r="49" spans="1:29" x14ac:dyDescent="0.3">
      <c r="A49" s="463">
        <f t="shared" si="0"/>
        <v>37</v>
      </c>
      <c r="G49" s="494"/>
      <c r="H49" s="494"/>
      <c r="I49" s="494"/>
      <c r="J49" s="486"/>
      <c r="K49" s="487"/>
      <c r="L49" s="487"/>
      <c r="M49" s="488"/>
      <c r="P49" s="929"/>
      <c r="Q49" s="1083"/>
      <c r="R49" s="1083"/>
      <c r="T49" s="1083"/>
      <c r="U49" s="1072"/>
      <c r="V49" s="480"/>
      <c r="W49" s="480"/>
      <c r="Z49" s="462"/>
    </row>
    <row r="50" spans="1:29" x14ac:dyDescent="0.3">
      <c r="A50" s="463">
        <f t="shared" si="0"/>
        <v>38</v>
      </c>
      <c r="C50" s="463" t="s">
        <v>752</v>
      </c>
      <c r="G50" s="487"/>
      <c r="H50" s="487"/>
      <c r="I50" s="487"/>
      <c r="J50" s="486"/>
      <c r="K50" s="487"/>
      <c r="L50" s="487"/>
      <c r="M50" s="488"/>
      <c r="P50" s="929"/>
      <c r="Q50" s="1083"/>
      <c r="R50" s="1083"/>
      <c r="T50" s="1083"/>
      <c r="U50" s="1072"/>
      <c r="V50" s="480"/>
      <c r="W50" s="480"/>
      <c r="Z50" s="462"/>
    </row>
    <row r="51" spans="1:29" x14ac:dyDescent="0.3">
      <c r="A51" s="463">
        <f t="shared" si="0"/>
        <v>39</v>
      </c>
      <c r="D51" s="463" t="s">
        <v>148</v>
      </c>
      <c r="F51" s="463" t="s">
        <v>419</v>
      </c>
      <c r="G51" s="499">
        <v>0.01</v>
      </c>
      <c r="H51" s="499">
        <v>0.01</v>
      </c>
      <c r="I51" s="499"/>
      <c r="J51" s="486"/>
      <c r="K51" s="487" t="s">
        <v>753</v>
      </c>
      <c r="L51" s="487"/>
      <c r="M51" s="488"/>
      <c r="N51" s="1091">
        <f>H51-G51</f>
        <v>0</v>
      </c>
      <c r="O51" s="1073">
        <f>(N51/G51)</f>
        <v>0</v>
      </c>
      <c r="P51" s="929"/>
      <c r="Q51" s="1083">
        <f>(P51*G51)/1000</f>
        <v>0</v>
      </c>
      <c r="R51" s="1083">
        <f>(P51*H51)/1000</f>
        <v>0</v>
      </c>
      <c r="S51" s="1084">
        <f>R51-Q51</f>
        <v>0</v>
      </c>
      <c r="T51" s="1083">
        <f>(P51*I51)/1000</f>
        <v>0</v>
      </c>
      <c r="U51" s="1084">
        <f>R51-T51</f>
        <v>0</v>
      </c>
      <c r="V51" s="480" t="s">
        <v>136</v>
      </c>
      <c r="W51" s="480" t="s">
        <v>136</v>
      </c>
      <c r="Z51" s="462"/>
    </row>
    <row r="52" spans="1:29" x14ac:dyDescent="0.3">
      <c r="A52" s="463">
        <f t="shared" si="0"/>
        <v>40</v>
      </c>
      <c r="D52" s="463" t="s">
        <v>216</v>
      </c>
      <c r="F52" s="463" t="s">
        <v>419</v>
      </c>
      <c r="G52" s="499">
        <v>0.02</v>
      </c>
      <c r="H52" s="499">
        <v>0.02</v>
      </c>
      <c r="I52" s="499"/>
      <c r="J52" s="486"/>
      <c r="K52" s="487" t="s">
        <v>753</v>
      </c>
      <c r="L52" s="487"/>
      <c r="M52" s="488"/>
      <c r="N52" s="1091">
        <f>H52-G52</f>
        <v>0</v>
      </c>
      <c r="O52" s="1073">
        <f>(N52/G52)</f>
        <v>0</v>
      </c>
      <c r="P52" s="929"/>
      <c r="Q52" s="1083">
        <f>(P52*G52)/1000</f>
        <v>0</v>
      </c>
      <c r="R52" s="1083">
        <f>(P52*H52)/1000</f>
        <v>0</v>
      </c>
      <c r="S52" s="1084">
        <f>R52-Q52</f>
        <v>0</v>
      </c>
      <c r="T52" s="1083">
        <f>(P52*I52)/1000</f>
        <v>0</v>
      </c>
      <c r="U52" s="1084">
        <f>R52-T52</f>
        <v>0</v>
      </c>
      <c r="V52" s="480" t="s">
        <v>136</v>
      </c>
      <c r="W52" s="480" t="s">
        <v>136</v>
      </c>
      <c r="Z52" s="462"/>
    </row>
    <row r="53" spans="1:29" x14ac:dyDescent="0.3">
      <c r="A53" s="463">
        <f t="shared" si="0"/>
        <v>41</v>
      </c>
      <c r="G53" s="499"/>
      <c r="H53" s="499"/>
      <c r="I53" s="499"/>
      <c r="J53" s="486"/>
      <c r="K53" s="487"/>
      <c r="L53" s="487"/>
      <c r="M53" s="488"/>
      <c r="N53" s="1091"/>
      <c r="P53" s="929"/>
      <c r="Q53" s="1083"/>
      <c r="R53" s="1083"/>
      <c r="S53" s="1084"/>
      <c r="T53" s="1083"/>
      <c r="U53" s="1084"/>
      <c r="V53" s="480"/>
      <c r="W53" s="480"/>
      <c r="Z53" s="462"/>
    </row>
    <row r="54" spans="1:29" x14ac:dyDescent="0.3">
      <c r="A54" s="463">
        <f t="shared" si="0"/>
        <v>42</v>
      </c>
      <c r="C54" s="463" t="s">
        <v>754</v>
      </c>
      <c r="F54" s="463" t="s">
        <v>419</v>
      </c>
      <c r="G54" s="500">
        <f>G182</f>
        <v>9.5999999999999992E-3</v>
      </c>
      <c r="H54" s="1222">
        <f>I54</f>
        <v>9.5999999999999992E-3</v>
      </c>
      <c r="I54" s="1223">
        <f>I182</f>
        <v>9.5999999999999992E-3</v>
      </c>
      <c r="J54" s="477" t="s">
        <v>755</v>
      </c>
      <c r="K54" s="501" t="s">
        <v>756</v>
      </c>
      <c r="L54" s="487"/>
      <c r="M54" s="488"/>
      <c r="N54" s="1092">
        <f>H54-G54</f>
        <v>0</v>
      </c>
      <c r="O54" s="1073">
        <f>(N54/G54)</f>
        <v>0</v>
      </c>
      <c r="P54" s="929"/>
      <c r="Q54" s="929"/>
      <c r="R54" s="929"/>
      <c r="T54" s="929"/>
      <c r="U54" s="1072"/>
      <c r="V54" s="480" t="s">
        <v>136</v>
      </c>
      <c r="W54" s="480" t="s">
        <v>136</v>
      </c>
      <c r="Z54" s="462"/>
    </row>
    <row r="55" spans="1:29" ht="14.4" thickBot="1" x14ac:dyDescent="0.35">
      <c r="B55" s="467"/>
      <c r="C55" s="467"/>
      <c r="D55" s="467"/>
      <c r="E55" s="467"/>
      <c r="F55" s="467"/>
      <c r="G55" s="488"/>
      <c r="H55" s="488"/>
      <c r="I55" s="488"/>
      <c r="J55" s="495"/>
      <c r="K55" s="488"/>
      <c r="L55" s="488"/>
      <c r="M55" s="488"/>
      <c r="N55" s="1085"/>
      <c r="O55" s="1086"/>
      <c r="P55" s="1087"/>
      <c r="Q55" s="1088">
        <f>SUM(Q31:Q54)</f>
        <v>172046.77021135739</v>
      </c>
      <c r="R55" s="1088">
        <f>SUM(R31:R54)</f>
        <v>177428.43709446272</v>
      </c>
      <c r="S55" s="1088">
        <f>SUM(S31:S54)</f>
        <v>5381.6668831053266</v>
      </c>
      <c r="T55" s="1088">
        <f>SUM(T31:T54)</f>
        <v>184696.73199466587</v>
      </c>
      <c r="U55" s="1088">
        <f>SUM(U31:U54)</f>
        <v>-7268.294900203141</v>
      </c>
      <c r="V55" s="480"/>
      <c r="W55" s="480"/>
      <c r="Z55" s="462"/>
    </row>
    <row r="56" spans="1:29" ht="14.4" thickTop="1" x14ac:dyDescent="0.3">
      <c r="A56" s="463">
        <f>+A54+1</f>
        <v>43</v>
      </c>
      <c r="B56" s="484"/>
      <c r="G56" s="487"/>
      <c r="H56" s="487"/>
      <c r="I56" s="487"/>
      <c r="J56" s="486"/>
      <c r="K56" s="487"/>
      <c r="L56" s="487"/>
      <c r="M56" s="488"/>
      <c r="P56" s="929"/>
      <c r="Q56" s="929"/>
      <c r="R56" s="929"/>
      <c r="S56" s="1089" t="s">
        <v>743</v>
      </c>
      <c r="T56" s="1090">
        <v>0</v>
      </c>
      <c r="U56" s="1072"/>
      <c r="V56" s="480"/>
      <c r="W56" s="480"/>
      <c r="Z56" s="462"/>
    </row>
    <row r="57" spans="1:29" x14ac:dyDescent="0.3">
      <c r="A57" s="463">
        <f t="shared" si="0"/>
        <v>44</v>
      </c>
      <c r="B57" s="484" t="s">
        <v>137</v>
      </c>
      <c r="C57" s="463" t="s">
        <v>719</v>
      </c>
      <c r="G57" s="487"/>
      <c r="H57" s="487"/>
      <c r="I57" s="487"/>
      <c r="J57" s="486"/>
      <c r="K57" s="487"/>
      <c r="L57" s="487"/>
      <c r="M57" s="488"/>
      <c r="P57" s="929"/>
      <c r="Q57" s="929"/>
      <c r="R57" s="929"/>
      <c r="T57" s="929"/>
      <c r="U57" s="1072"/>
      <c r="V57" s="480"/>
      <c r="W57" s="480"/>
      <c r="Z57" s="462"/>
    </row>
    <row r="58" spans="1:29" x14ac:dyDescent="0.3">
      <c r="A58" s="463">
        <f t="shared" si="0"/>
        <v>45</v>
      </c>
      <c r="D58" s="463" t="s">
        <v>543</v>
      </c>
      <c r="G58" s="487"/>
      <c r="H58" s="487"/>
      <c r="I58" s="487"/>
      <c r="J58" s="486"/>
      <c r="K58" s="487"/>
      <c r="L58" s="487"/>
      <c r="M58" s="488"/>
      <c r="P58" s="929"/>
      <c r="Q58" s="929"/>
      <c r="R58" s="929"/>
      <c r="T58" s="929"/>
      <c r="U58" s="1072"/>
      <c r="V58" s="480"/>
      <c r="W58" s="480"/>
      <c r="Z58" s="462"/>
    </row>
    <row r="59" spans="1:29" x14ac:dyDescent="0.3">
      <c r="A59" s="463">
        <f t="shared" si="0"/>
        <v>46</v>
      </c>
      <c r="D59" s="492" t="s">
        <v>578</v>
      </c>
      <c r="F59" s="463" t="s">
        <v>717</v>
      </c>
      <c r="G59" s="485">
        <f>'MFR E-13c'!F131</f>
        <v>12.18</v>
      </c>
      <c r="H59" s="485">
        <f>'MFR E-13c'!L131</f>
        <v>12.67</v>
      </c>
      <c r="I59" s="485">
        <f>SUM('MFR E-6b'!J52,'MFR E-6b'!J55)</f>
        <v>10.720576994802771</v>
      </c>
      <c r="J59" s="486" t="s">
        <v>757</v>
      </c>
      <c r="K59" s="487" t="s">
        <v>721</v>
      </c>
      <c r="L59" s="487"/>
      <c r="M59" s="488"/>
      <c r="N59" s="1082">
        <f>H59-G59</f>
        <v>0.49000000000000021</v>
      </c>
      <c r="O59" s="1073">
        <f>(N59/G59)</f>
        <v>4.0229885057471285E-2</v>
      </c>
      <c r="P59" s="929">
        <v>10797.571442115595</v>
      </c>
      <c r="Q59" s="1083">
        <f>(P59*G59)/1000</f>
        <v>131.51442016496796</v>
      </c>
      <c r="R59" s="1083">
        <f>(P59*H59)/1000</f>
        <v>136.80523017160459</v>
      </c>
      <c r="S59" s="1084">
        <f>R59-Q59</f>
        <v>5.290810006636633</v>
      </c>
      <c r="T59" s="1083">
        <f>(P59*I59)/1000</f>
        <v>115.75619600208383</v>
      </c>
      <c r="U59" s="1084">
        <f>R59-T59</f>
        <v>21.049034169520766</v>
      </c>
      <c r="V59" s="480" t="s">
        <v>137</v>
      </c>
      <c r="W59" s="480" t="s">
        <v>137</v>
      </c>
      <c r="Z59" s="462"/>
      <c r="AC59" s="463" t="b">
        <f>H59&gt;=I59</f>
        <v>1</v>
      </c>
    </row>
    <row r="60" spans="1:29" x14ac:dyDescent="0.3">
      <c r="A60" s="463">
        <f t="shared" si="0"/>
        <v>47</v>
      </c>
      <c r="D60" s="492" t="s">
        <v>758</v>
      </c>
      <c r="F60" s="463" t="s">
        <v>717</v>
      </c>
      <c r="G60" s="485">
        <f>'MFR E-13c'!F132</f>
        <v>21.57</v>
      </c>
      <c r="H60" s="485">
        <f>'MFR E-13c'!L132</f>
        <v>22.51</v>
      </c>
      <c r="I60" s="485">
        <f>SUM('MFR E-6b'!J56)</f>
        <v>14.345334376492779</v>
      </c>
      <c r="J60" s="486" t="s">
        <v>757</v>
      </c>
      <c r="K60" s="487" t="s">
        <v>721</v>
      </c>
      <c r="L60" s="487"/>
      <c r="M60" s="488"/>
      <c r="N60" s="1082">
        <f>H60-G60</f>
        <v>0.94000000000000128</v>
      </c>
      <c r="O60" s="1073">
        <f>(N60/G60)</f>
        <v>4.3579044969865616E-2</v>
      </c>
      <c r="P60" s="929">
        <v>169777.44269799883</v>
      </c>
      <c r="Q60" s="1083">
        <f>(P60*G60)/1000</f>
        <v>3662.099438995835</v>
      </c>
      <c r="R60" s="1083">
        <f>(P60*H60)/1000</f>
        <v>3821.6902351319541</v>
      </c>
      <c r="S60" s="1084">
        <f>R60-Q60</f>
        <v>159.59079613611902</v>
      </c>
      <c r="T60" s="1083">
        <f>(P60*I60)/1000</f>
        <v>2435.5141850886357</v>
      </c>
      <c r="U60" s="1084">
        <f>R60-T60</f>
        <v>1386.1760500433184</v>
      </c>
      <c r="V60" s="480" t="s">
        <v>137</v>
      </c>
      <c r="W60" s="480" t="s">
        <v>137</v>
      </c>
      <c r="Z60" s="462"/>
      <c r="AC60" s="463" t="b">
        <f>H60&gt;=I60</f>
        <v>1</v>
      </c>
    </row>
    <row r="61" spans="1:29" x14ac:dyDescent="0.3">
      <c r="A61" s="463">
        <f t="shared" si="0"/>
        <v>48</v>
      </c>
      <c r="G61" s="487"/>
      <c r="H61" s="487"/>
      <c r="I61" s="487"/>
      <c r="J61" s="486"/>
      <c r="K61" s="487"/>
      <c r="L61" s="487"/>
      <c r="M61" s="488"/>
      <c r="P61" s="929"/>
      <c r="Q61" s="1083"/>
      <c r="R61" s="1083"/>
      <c r="T61" s="1083"/>
      <c r="U61" s="1072"/>
      <c r="V61" s="480"/>
      <c r="W61" s="480"/>
      <c r="Z61" s="462"/>
    </row>
    <row r="62" spans="1:29" x14ac:dyDescent="0.3">
      <c r="A62" s="463">
        <f t="shared" si="0"/>
        <v>49</v>
      </c>
      <c r="C62" s="463" t="s">
        <v>727</v>
      </c>
      <c r="G62" s="487"/>
      <c r="H62" s="487"/>
      <c r="I62" s="487"/>
      <c r="J62" s="486"/>
      <c r="K62" s="487"/>
      <c r="L62" s="487"/>
      <c r="M62" s="488"/>
      <c r="P62" s="929"/>
      <c r="Q62" s="1083"/>
      <c r="R62" s="1083"/>
      <c r="T62" s="1083"/>
      <c r="U62" s="1072"/>
      <c r="V62" s="480"/>
      <c r="W62" s="480"/>
      <c r="Z62" s="462"/>
    </row>
    <row r="63" spans="1:29" x14ac:dyDescent="0.3">
      <c r="A63" s="463">
        <f t="shared" si="0"/>
        <v>50</v>
      </c>
      <c r="D63" s="463" t="s">
        <v>543</v>
      </c>
      <c r="F63" s="463" t="s">
        <v>730</v>
      </c>
      <c r="G63" s="494">
        <f>'MFR E-13c'!F137/10</f>
        <v>3.7369999999999997</v>
      </c>
      <c r="H63" s="494">
        <f>'MFR E-13c'!L137/10</f>
        <v>3.8909999999999996</v>
      </c>
      <c r="I63" s="684">
        <f>SUM('MFR E-6b'!J59,'MFR E-6b'!J66)/10</f>
        <v>5.1180039086225051</v>
      </c>
      <c r="J63" s="486" t="s">
        <v>757</v>
      </c>
      <c r="K63" s="487" t="s">
        <v>721</v>
      </c>
      <c r="L63" s="494"/>
      <c r="M63" s="497"/>
      <c r="N63" s="1082">
        <f>H63-G63</f>
        <v>0.15399999999999991</v>
      </c>
      <c r="O63" s="1073">
        <f>(N63/G63)</f>
        <v>4.120952635804119E-2</v>
      </c>
      <c r="P63" s="929">
        <v>180592.4</v>
      </c>
      <c r="Q63" s="1083">
        <f>(+P63*G63*10)/1000</f>
        <v>6748.7379879999989</v>
      </c>
      <c r="R63" s="1083">
        <f>(+P63*H63*10)/1000</f>
        <v>7026.8502840000001</v>
      </c>
      <c r="S63" s="1084">
        <f>R63-Q63</f>
        <v>278.11229600000115</v>
      </c>
      <c r="T63" s="1083">
        <f>(+P63*I63*10)/1000</f>
        <v>9242.726090675189</v>
      </c>
      <c r="U63" s="1084">
        <f>R63-T63</f>
        <v>-2215.8758066751889</v>
      </c>
      <c r="V63" s="480" t="s">
        <v>137</v>
      </c>
      <c r="W63" s="480" t="s">
        <v>137</v>
      </c>
      <c r="Z63" s="462"/>
    </row>
    <row r="64" spans="1:29" x14ac:dyDescent="0.3">
      <c r="A64" s="463">
        <f t="shared" si="0"/>
        <v>51</v>
      </c>
      <c r="G64" s="494"/>
      <c r="H64" s="494"/>
      <c r="I64" s="494"/>
      <c r="J64" s="498"/>
      <c r="K64" s="494"/>
      <c r="L64" s="494"/>
      <c r="M64" s="497"/>
      <c r="P64" s="929"/>
      <c r="Q64" s="1083"/>
      <c r="R64" s="1083"/>
      <c r="T64" s="1083"/>
      <c r="U64" s="1072"/>
      <c r="V64" s="480"/>
      <c r="W64" s="480"/>
      <c r="Z64" s="462"/>
    </row>
    <row r="65" spans="1:29" x14ac:dyDescent="0.3">
      <c r="A65" s="463">
        <f t="shared" si="0"/>
        <v>52</v>
      </c>
      <c r="C65" s="463" t="s">
        <v>650</v>
      </c>
      <c r="F65" s="463" t="s">
        <v>730</v>
      </c>
      <c r="G65" s="684">
        <v>0.34399999999999997</v>
      </c>
      <c r="H65" s="684">
        <f>I65</f>
        <v>0.36199999999999999</v>
      </c>
      <c r="I65" s="684">
        <f>'MFR E-14G'!I35*100</f>
        <v>0.36199999999999999</v>
      </c>
      <c r="J65" s="486" t="s">
        <v>750</v>
      </c>
      <c r="K65" s="487" t="s">
        <v>751</v>
      </c>
      <c r="L65" s="494"/>
      <c r="M65" s="497"/>
      <c r="N65" s="1082">
        <f>H65-G65</f>
        <v>1.8000000000000016E-2</v>
      </c>
      <c r="O65" s="1073">
        <f>(N65/G65)</f>
        <v>5.2325581395348889E-2</v>
      </c>
      <c r="P65" s="929"/>
      <c r="Q65" s="1083">
        <f>(+P65*G65*10)/1000</f>
        <v>0</v>
      </c>
      <c r="R65" s="1083">
        <f>(+P65*H65*10)/1000</f>
        <v>0</v>
      </c>
      <c r="S65" s="1084">
        <f>R65-Q65</f>
        <v>0</v>
      </c>
      <c r="T65" s="1083">
        <f>(+P65*I65*10)/1000</f>
        <v>0</v>
      </c>
      <c r="U65" s="1084">
        <f>R65-T65</f>
        <v>0</v>
      </c>
      <c r="V65" s="480" t="s">
        <v>137</v>
      </c>
      <c r="W65" s="480" t="s">
        <v>137</v>
      </c>
      <c r="Z65" s="462"/>
    </row>
    <row r="66" spans="1:29" x14ac:dyDescent="0.3">
      <c r="A66" s="463">
        <f t="shared" si="0"/>
        <v>53</v>
      </c>
      <c r="G66" s="494"/>
      <c r="H66" s="494"/>
      <c r="I66" s="494"/>
      <c r="J66" s="498"/>
      <c r="K66" s="494"/>
      <c r="L66" s="494"/>
      <c r="M66" s="497"/>
      <c r="N66" s="1082"/>
      <c r="P66" s="929"/>
      <c r="Q66" s="929"/>
      <c r="R66" s="929"/>
      <c r="T66" s="929"/>
      <c r="U66" s="1072"/>
      <c r="V66" s="480"/>
      <c r="W66" s="480"/>
      <c r="Z66" s="462"/>
    </row>
    <row r="67" spans="1:29" ht="14.4" thickBot="1" x14ac:dyDescent="0.35">
      <c r="B67" s="467"/>
      <c r="C67" s="467"/>
      <c r="D67" s="467"/>
      <c r="E67" s="467"/>
      <c r="F67" s="467"/>
      <c r="G67" s="488"/>
      <c r="H67" s="488"/>
      <c r="I67" s="488"/>
      <c r="J67" s="495"/>
      <c r="K67" s="488"/>
      <c r="L67" s="488"/>
      <c r="M67" s="488"/>
      <c r="N67" s="1085"/>
      <c r="O67" s="1086"/>
      <c r="P67" s="1087"/>
      <c r="Q67" s="1088">
        <f>SUM(Q57:Q66)</f>
        <v>10542.351847160802</v>
      </c>
      <c r="R67" s="1088">
        <f>SUM(R57:R66)</f>
        <v>10985.345749303558</v>
      </c>
      <c r="S67" s="1088">
        <f>SUM(S57:S66)</f>
        <v>442.99390214275684</v>
      </c>
      <c r="T67" s="1088">
        <f>SUM(T57:T66)</f>
        <v>11793.99647176591</v>
      </c>
      <c r="U67" s="1088">
        <f>SUM(U57:U66)</f>
        <v>-808.65072246234968</v>
      </c>
      <c r="V67" s="480"/>
      <c r="W67" s="480"/>
      <c r="Z67" s="462"/>
    </row>
    <row r="68" spans="1:29" ht="14.4" thickTop="1" x14ac:dyDescent="0.3">
      <c r="A68" s="463">
        <f>+A66+1</f>
        <v>54</v>
      </c>
      <c r="B68" s="484"/>
      <c r="G68" s="487"/>
      <c r="H68" s="487"/>
      <c r="I68" s="487"/>
      <c r="J68" s="486"/>
      <c r="K68" s="487"/>
      <c r="L68" s="487"/>
      <c r="M68" s="488"/>
      <c r="P68" s="929"/>
      <c r="Q68" s="929"/>
      <c r="R68" s="929"/>
      <c r="S68" s="1089" t="s">
        <v>743</v>
      </c>
      <c r="T68" s="1090">
        <v>0</v>
      </c>
      <c r="U68" s="1072"/>
      <c r="V68" s="480"/>
      <c r="W68" s="480"/>
      <c r="Z68" s="462"/>
    </row>
    <row r="69" spans="1:29" x14ac:dyDescent="0.3">
      <c r="A69" s="463">
        <f t="shared" si="0"/>
        <v>55</v>
      </c>
      <c r="B69" s="484" t="s">
        <v>122</v>
      </c>
      <c r="C69" s="463" t="s">
        <v>719</v>
      </c>
      <c r="G69" s="487"/>
      <c r="H69" s="487"/>
      <c r="I69" s="487"/>
      <c r="J69" s="486"/>
      <c r="K69" s="487"/>
      <c r="L69" s="487"/>
      <c r="M69" s="488"/>
      <c r="P69" s="929"/>
      <c r="Q69" s="929"/>
      <c r="R69" s="929"/>
      <c r="T69" s="929"/>
      <c r="U69" s="1072"/>
      <c r="V69" s="480"/>
      <c r="W69" s="480"/>
      <c r="Z69" s="462"/>
    </row>
    <row r="70" spans="1:29" x14ac:dyDescent="0.3">
      <c r="A70" s="463">
        <f t="shared" si="0"/>
        <v>56</v>
      </c>
      <c r="B70" s="484" t="s">
        <v>592</v>
      </c>
      <c r="D70" s="463" t="s">
        <v>543</v>
      </c>
      <c r="G70" s="493"/>
      <c r="H70" s="493"/>
      <c r="I70" s="493"/>
      <c r="J70" s="486"/>
      <c r="K70" s="487"/>
      <c r="L70" s="487"/>
      <c r="M70" s="488"/>
      <c r="P70" s="929"/>
      <c r="Q70" s="929"/>
      <c r="R70" s="929"/>
      <c r="T70" s="929"/>
      <c r="U70" s="1072"/>
      <c r="V70" s="480"/>
      <c r="W70" s="480"/>
      <c r="Z70" s="462"/>
    </row>
    <row r="71" spans="1:29" x14ac:dyDescent="0.3">
      <c r="A71" s="463">
        <f t="shared" si="0"/>
        <v>57</v>
      </c>
      <c r="B71" s="484"/>
      <c r="D71" s="492" t="s">
        <v>149</v>
      </c>
      <c r="F71" s="463" t="s">
        <v>717</v>
      </c>
      <c r="G71" s="485">
        <f>'MFR E-13c'!F165</f>
        <v>21.56</v>
      </c>
      <c r="H71" s="485">
        <f>'MFR E-13c'!L165</f>
        <v>22.07</v>
      </c>
      <c r="I71" s="503">
        <f>'MFR E-14E'!H53</f>
        <v>20.812713818752229</v>
      </c>
      <c r="J71" s="486" t="s">
        <v>746</v>
      </c>
      <c r="K71" s="487" t="s">
        <v>721</v>
      </c>
      <c r="L71" s="487"/>
      <c r="M71" s="488"/>
      <c r="N71" s="1082">
        <f>H71-G71</f>
        <v>0.51000000000000156</v>
      </c>
      <c r="O71" s="1073">
        <f>(N71/G71)</f>
        <v>2.3654916512059442E-2</v>
      </c>
      <c r="P71" s="929">
        <v>410153.35282424564</v>
      </c>
      <c r="Q71" s="1083">
        <f>(P71*G71)/1000</f>
        <v>8842.9062868907367</v>
      </c>
      <c r="R71" s="1083">
        <f>(P71*H71)/1000</f>
        <v>9052.0844968311012</v>
      </c>
      <c r="S71" s="1084">
        <f>R71-Q71</f>
        <v>209.17820994036447</v>
      </c>
      <c r="T71" s="1083">
        <f>(P71*I71)/1000</f>
        <v>8536.4043541327355</v>
      </c>
      <c r="U71" s="1084">
        <f>R71-T71</f>
        <v>515.68014269836567</v>
      </c>
      <c r="V71" s="480" t="s">
        <v>122</v>
      </c>
      <c r="W71" s="480" t="s">
        <v>122</v>
      </c>
      <c r="Z71" s="462"/>
      <c r="AC71" s="463" t="b">
        <f t="shared" ref="AC71:AC73" si="9">H71&gt;=I71</f>
        <v>1</v>
      </c>
    </row>
    <row r="72" spans="1:29" x14ac:dyDescent="0.3">
      <c r="A72" s="463">
        <f t="shared" si="0"/>
        <v>58</v>
      </c>
      <c r="B72" s="484"/>
      <c r="D72" s="492" t="s">
        <v>148</v>
      </c>
      <c r="F72" s="463" t="s">
        <v>717</v>
      </c>
      <c r="G72" s="485">
        <f>'MFR E-13c'!F166</f>
        <v>272.61</v>
      </c>
      <c r="H72" s="485">
        <f>'MFR E-13c'!L166</f>
        <v>279.02999999999997</v>
      </c>
      <c r="I72" s="503">
        <f>'MFR E-14E'!H54</f>
        <v>162.83692074602925</v>
      </c>
      <c r="J72" s="486" t="s">
        <v>746</v>
      </c>
      <c r="K72" s="487" t="s">
        <v>721</v>
      </c>
      <c r="L72" s="487"/>
      <c r="M72" s="488"/>
      <c r="N72" s="1082">
        <f>H72-G72</f>
        <v>6.4199999999999591</v>
      </c>
      <c r="O72" s="1073">
        <f>(N72/G72)</f>
        <v>2.3550126554418249E-2</v>
      </c>
      <c r="P72" s="929">
        <v>917.45955625931117</v>
      </c>
      <c r="Q72" s="1083">
        <f>(P72*G72)/1000</f>
        <v>250.10864963185082</v>
      </c>
      <c r="R72" s="1083">
        <f>(P72*H72)/1000</f>
        <v>255.99873998303556</v>
      </c>
      <c r="S72" s="1084">
        <f>R72-Q72</f>
        <v>5.8900903511847389</v>
      </c>
      <c r="T72" s="1083">
        <f>(P72*I72)/1000</f>
        <v>149.39628905028462</v>
      </c>
      <c r="U72" s="1084">
        <f>R72-T72</f>
        <v>106.60245093275094</v>
      </c>
      <c r="V72" s="480" t="s">
        <v>122</v>
      </c>
      <c r="W72" s="480" t="s">
        <v>122</v>
      </c>
      <c r="Z72" s="462"/>
      <c r="AC72" s="463" t="b">
        <f t="shared" si="9"/>
        <v>1</v>
      </c>
    </row>
    <row r="73" spans="1:29" x14ac:dyDescent="0.3">
      <c r="A73" s="463">
        <f t="shared" si="0"/>
        <v>59</v>
      </c>
      <c r="D73" s="492" t="s">
        <v>216</v>
      </c>
      <c r="F73" s="463" t="s">
        <v>717</v>
      </c>
      <c r="G73" s="485">
        <f>'MFR E-13c'!F167</f>
        <v>1344.66</v>
      </c>
      <c r="H73" s="485">
        <f>'MFR E-13c'!L167</f>
        <v>1376.31</v>
      </c>
      <c r="I73" s="503">
        <f>'MFR E-14E'!H55</f>
        <v>381.53010871595308</v>
      </c>
      <c r="J73" s="486" t="s">
        <v>746</v>
      </c>
      <c r="K73" s="487" t="s">
        <v>721</v>
      </c>
      <c r="L73" s="487"/>
      <c r="M73" s="488"/>
      <c r="N73" s="1082">
        <f>H73-G73</f>
        <v>31.649999999999864</v>
      </c>
      <c r="O73" s="1073">
        <f>(N73/G73)</f>
        <v>2.3537548525277664E-2</v>
      </c>
      <c r="P73" s="929"/>
      <c r="Q73" s="1083">
        <f>(P73*G73)/1000</f>
        <v>0</v>
      </c>
      <c r="R73" s="1083">
        <f>(P73*H73)/1000</f>
        <v>0</v>
      </c>
      <c r="S73" s="1084">
        <f>R73-Q73</f>
        <v>0</v>
      </c>
      <c r="T73" s="1083">
        <f>(P73*I73)/1000</f>
        <v>0</v>
      </c>
      <c r="U73" s="1084">
        <f>R73-T73</f>
        <v>0</v>
      </c>
      <c r="V73" s="480" t="s">
        <v>122</v>
      </c>
      <c r="W73" s="480" t="s">
        <v>122</v>
      </c>
      <c r="Z73" s="462"/>
      <c r="AC73" s="463" t="b">
        <f t="shared" si="9"/>
        <v>1</v>
      </c>
    </row>
    <row r="74" spans="1:29" x14ac:dyDescent="0.3">
      <c r="A74" s="463">
        <f t="shared" si="0"/>
        <v>60</v>
      </c>
      <c r="D74" s="463" t="s">
        <v>723</v>
      </c>
      <c r="G74" s="485"/>
      <c r="H74" s="485"/>
      <c r="I74" s="485"/>
      <c r="J74" s="486"/>
      <c r="K74" s="487"/>
      <c r="L74" s="487"/>
      <c r="M74" s="488"/>
      <c r="P74" s="929"/>
      <c r="Q74" s="1083"/>
      <c r="R74" s="1083"/>
      <c r="T74" s="1083"/>
      <c r="U74" s="1072"/>
      <c r="V74" s="480"/>
      <c r="W74" s="480"/>
      <c r="Z74" s="462"/>
    </row>
    <row r="75" spans="1:29" x14ac:dyDescent="0.3">
      <c r="A75" s="463">
        <f t="shared" si="0"/>
        <v>61</v>
      </c>
      <c r="D75" s="492" t="s">
        <v>149</v>
      </c>
      <c r="F75" s="463" t="s">
        <v>717</v>
      </c>
      <c r="G75" s="485">
        <f>'MFR E-13c'!F169</f>
        <v>21.56</v>
      </c>
      <c r="H75" s="485">
        <f>'MFR E-13c'!L169</f>
        <v>22.07</v>
      </c>
      <c r="I75" s="503">
        <f>I71</f>
        <v>20.812713818752229</v>
      </c>
      <c r="J75" s="486" t="s">
        <v>746</v>
      </c>
      <c r="K75" s="487" t="s">
        <v>759</v>
      </c>
      <c r="L75" s="487"/>
      <c r="M75" s="488"/>
      <c r="N75" s="1082">
        <f t="shared" ref="N75:N77" si="10">H75-G75</f>
        <v>0.51000000000000156</v>
      </c>
      <c r="O75" s="1073">
        <f t="shared" ref="O75:O77" si="11">(N75/G75)</f>
        <v>2.3654916512059442E-2</v>
      </c>
      <c r="P75" s="929">
        <v>169731.8802606402</v>
      </c>
      <c r="Q75" s="1083">
        <f t="shared" ref="Q75:Q76" si="12">(P75*G75)/1000</f>
        <v>3659.4193384194023</v>
      </c>
      <c r="R75" s="1083">
        <f t="shared" ref="R75:R76" si="13">(P75*H75)/1000</f>
        <v>3745.9825973523293</v>
      </c>
      <c r="S75" s="1084">
        <f t="shared" ref="S75:S76" si="14">R75-Q75</f>
        <v>86.563258932927056</v>
      </c>
      <c r="T75" s="1083">
        <f t="shared" ref="T75:T76" si="15">(P75*I75)/1000</f>
        <v>3532.581049783425</v>
      </c>
      <c r="U75" s="1084">
        <f t="shared" ref="U75:U76" si="16">R75-T75</f>
        <v>213.40154756890433</v>
      </c>
      <c r="V75" s="480" t="s">
        <v>592</v>
      </c>
      <c r="W75" s="480" t="s">
        <v>592</v>
      </c>
      <c r="Z75" s="462"/>
      <c r="AC75" s="463" t="b">
        <f t="shared" ref="AC75:AC77" si="17">H75&gt;=I75</f>
        <v>1</v>
      </c>
    </row>
    <row r="76" spans="1:29" x14ac:dyDescent="0.3">
      <c r="A76" s="463">
        <f t="shared" si="0"/>
        <v>62</v>
      </c>
      <c r="D76" s="492" t="s">
        <v>148</v>
      </c>
      <c r="F76" s="463" t="s">
        <v>717</v>
      </c>
      <c r="G76" s="485">
        <f>'MFR E-13c'!F170</f>
        <v>272.61</v>
      </c>
      <c r="H76" s="485">
        <f>'MFR E-13c'!L170</f>
        <v>279.02999999999997</v>
      </c>
      <c r="I76" s="503">
        <f>I72</f>
        <v>162.83692074602925</v>
      </c>
      <c r="J76" s="486" t="s">
        <v>746</v>
      </c>
      <c r="K76" s="487" t="s">
        <v>759</v>
      </c>
      <c r="L76" s="487"/>
      <c r="M76" s="488"/>
      <c r="N76" s="1082">
        <f t="shared" si="10"/>
        <v>6.4199999999999591</v>
      </c>
      <c r="O76" s="1073">
        <f t="shared" si="11"/>
        <v>2.3550126554418249E-2</v>
      </c>
      <c r="P76" s="929">
        <v>2777.5426391952201</v>
      </c>
      <c r="Q76" s="1083">
        <f t="shared" si="12"/>
        <v>757.18589887100904</v>
      </c>
      <c r="R76" s="1083">
        <f t="shared" si="13"/>
        <v>775.01772261464225</v>
      </c>
      <c r="S76" s="1084">
        <f t="shared" si="14"/>
        <v>17.831823743633208</v>
      </c>
      <c r="T76" s="1083">
        <f t="shared" si="15"/>
        <v>452.28649060734898</v>
      </c>
      <c r="U76" s="1084">
        <f t="shared" si="16"/>
        <v>322.73123200729327</v>
      </c>
      <c r="V76" s="480" t="s">
        <v>592</v>
      </c>
      <c r="W76" s="480" t="s">
        <v>592</v>
      </c>
      <c r="Z76" s="462"/>
      <c r="AC76" s="463" t="b">
        <f t="shared" si="17"/>
        <v>1</v>
      </c>
    </row>
    <row r="77" spans="1:29" x14ac:dyDescent="0.3">
      <c r="A77" s="463">
        <f t="shared" si="0"/>
        <v>63</v>
      </c>
      <c r="D77" s="492" t="s">
        <v>216</v>
      </c>
      <c r="F77" s="463" t="s">
        <v>717</v>
      </c>
      <c r="G77" s="485">
        <f>'MFR E-13c'!F171</f>
        <v>1344.66</v>
      </c>
      <c r="H77" s="485">
        <f>'MFR E-13c'!L171</f>
        <v>1376.31</v>
      </c>
      <c r="I77" s="503">
        <f>I73</f>
        <v>381.53010871595308</v>
      </c>
      <c r="J77" s="486" t="s">
        <v>746</v>
      </c>
      <c r="K77" s="487" t="s">
        <v>759</v>
      </c>
      <c r="L77" s="487"/>
      <c r="M77" s="488"/>
      <c r="N77" s="1082">
        <f t="shared" si="10"/>
        <v>31.649999999999864</v>
      </c>
      <c r="O77" s="1073">
        <f t="shared" si="11"/>
        <v>2.3537548525277664E-2</v>
      </c>
      <c r="P77" s="929">
        <v>0</v>
      </c>
      <c r="Q77" s="1083">
        <f>(P77*G77)/1000</f>
        <v>0</v>
      </c>
      <c r="R77" s="1083">
        <f>(P77*H77)/1000</f>
        <v>0</v>
      </c>
      <c r="S77" s="1084">
        <f>R77-Q77</f>
        <v>0</v>
      </c>
      <c r="T77" s="1083">
        <f>(P77*I77)/1000</f>
        <v>0</v>
      </c>
      <c r="U77" s="1084">
        <f>R77-T77</f>
        <v>0</v>
      </c>
      <c r="V77" s="480" t="s">
        <v>592</v>
      </c>
      <c r="W77" s="480" t="s">
        <v>592</v>
      </c>
      <c r="Z77" s="462"/>
      <c r="AC77" s="463" t="b">
        <f t="shared" si="17"/>
        <v>1</v>
      </c>
    </row>
    <row r="78" spans="1:29" x14ac:dyDescent="0.3">
      <c r="A78" s="463">
        <f t="shared" si="0"/>
        <v>64</v>
      </c>
      <c r="G78" s="487"/>
      <c r="H78" s="487"/>
      <c r="I78" s="487"/>
      <c r="J78" s="486"/>
      <c r="K78" s="487"/>
      <c r="L78" s="487"/>
      <c r="M78" s="488"/>
      <c r="P78" s="929"/>
      <c r="Q78" s="1083"/>
      <c r="R78" s="1083"/>
      <c r="T78" s="1083"/>
      <c r="U78" s="1072"/>
      <c r="V78" s="480"/>
      <c r="W78" s="480"/>
      <c r="Z78" s="462"/>
    </row>
    <row r="79" spans="1:29" x14ac:dyDescent="0.3">
      <c r="A79" s="463">
        <f t="shared" ref="A79:A136" si="18">+A78+1</f>
        <v>65</v>
      </c>
      <c r="C79" s="463" t="s">
        <v>760</v>
      </c>
      <c r="G79" s="487"/>
      <c r="H79" s="487"/>
      <c r="I79" s="487"/>
      <c r="J79" s="486"/>
      <c r="K79" s="487"/>
      <c r="L79" s="487"/>
      <c r="M79" s="488"/>
      <c r="P79" s="929"/>
      <c r="Q79" s="1083"/>
      <c r="R79" s="1083"/>
      <c r="T79" s="1083"/>
      <c r="U79" s="1072"/>
      <c r="V79" s="480"/>
      <c r="W79" s="480"/>
      <c r="Z79" s="462"/>
    </row>
    <row r="80" spans="1:29" x14ac:dyDescent="0.3">
      <c r="A80" s="463">
        <f t="shared" si="18"/>
        <v>66</v>
      </c>
      <c r="D80" s="463" t="s">
        <v>543</v>
      </c>
      <c r="F80" s="463" t="s">
        <v>761</v>
      </c>
      <c r="G80" s="485">
        <f>'MFR E-13c'!F176</f>
        <v>9.3800000000000008</v>
      </c>
      <c r="H80" s="485">
        <f>'MFR E-13c'!L176</f>
        <v>9.68</v>
      </c>
      <c r="I80" s="485">
        <f>'MFR E-6b'!K73</f>
        <v>21.247496521915785</v>
      </c>
      <c r="J80" s="486" t="s">
        <v>757</v>
      </c>
      <c r="K80" s="487" t="s">
        <v>721</v>
      </c>
      <c r="L80" s="487"/>
      <c r="M80" s="488"/>
      <c r="N80" s="1082">
        <f>H80-G80</f>
        <v>0.29999999999999893</v>
      </c>
      <c r="O80" s="1073">
        <f>(N80/G80)</f>
        <v>3.1982942430703508E-2</v>
      </c>
      <c r="P80" s="929">
        <v>249397.8255275425</v>
      </c>
      <c r="Q80" s="1083">
        <f>(P80*G80)/1000</f>
        <v>2339.3516034483491</v>
      </c>
      <c r="R80" s="1083">
        <f>(P80*H80)/1000</f>
        <v>2414.170951106611</v>
      </c>
      <c r="S80" s="1084">
        <f>R80-Q80</f>
        <v>74.819347658261904</v>
      </c>
      <c r="T80" s="1083">
        <f>(P80*I80)/1000</f>
        <v>5299.0794304698193</v>
      </c>
      <c r="U80" s="1084">
        <f>R80-T80</f>
        <v>-2884.9084793632082</v>
      </c>
      <c r="V80" s="480" t="s">
        <v>122</v>
      </c>
      <c r="W80" s="480" t="s">
        <v>122</v>
      </c>
      <c r="Z80" s="462"/>
    </row>
    <row r="81" spans="1:26" x14ac:dyDescent="0.3">
      <c r="A81" s="463">
        <f t="shared" si="18"/>
        <v>67</v>
      </c>
      <c r="D81" s="463" t="s">
        <v>723</v>
      </c>
      <c r="G81" s="487"/>
      <c r="H81" s="487"/>
      <c r="I81" s="487"/>
      <c r="J81" s="486"/>
      <c r="K81" s="487"/>
      <c r="L81" s="487"/>
      <c r="M81" s="488"/>
      <c r="P81" s="929"/>
      <c r="Q81" s="1083"/>
      <c r="R81" s="1083"/>
      <c r="T81" s="1083"/>
      <c r="U81" s="1072"/>
      <c r="V81" s="480"/>
      <c r="W81" s="480"/>
      <c r="Z81" s="462"/>
    </row>
    <row r="82" spans="1:26" x14ac:dyDescent="0.3">
      <c r="A82" s="463">
        <f t="shared" si="18"/>
        <v>68</v>
      </c>
      <c r="D82" s="492" t="s">
        <v>145</v>
      </c>
      <c r="F82" s="463" t="s">
        <v>761</v>
      </c>
      <c r="G82" s="485">
        <f>'MFR E-13c'!F184</f>
        <v>3.2</v>
      </c>
      <c r="H82" s="485">
        <f>'MFR E-13c'!L184</f>
        <v>3.32</v>
      </c>
      <c r="I82" s="503">
        <f>ROUND('MFR E-14C'!M163,2)</f>
        <v>3.3</v>
      </c>
      <c r="J82" s="486" t="s">
        <v>736</v>
      </c>
      <c r="K82" s="487" t="s">
        <v>737</v>
      </c>
      <c r="L82" s="487"/>
      <c r="M82" s="488"/>
      <c r="N82" s="1093">
        <f>H82-G82</f>
        <v>0.11999999999999966</v>
      </c>
      <c r="O82" s="1073">
        <f>(N82/G82)</f>
        <v>3.7499999999999895E-2</v>
      </c>
      <c r="P82" s="929">
        <v>19998627.430895977</v>
      </c>
      <c r="Q82" s="1083">
        <f>(P82*G82)/1000</f>
        <v>63995.607778867125</v>
      </c>
      <c r="R82" s="1083">
        <f>(P82*H82)/1000</f>
        <v>66395.443070574634</v>
      </c>
      <c r="S82" s="1084">
        <f>R82-Q82</f>
        <v>2399.8352917075099</v>
      </c>
      <c r="T82" s="1083">
        <f>(P82*I82)/1000</f>
        <v>65995.470521956726</v>
      </c>
      <c r="U82" s="1084">
        <f>R82-T82</f>
        <v>399.97254861790861</v>
      </c>
      <c r="V82" s="480" t="s">
        <v>592</v>
      </c>
      <c r="W82" s="480" t="s">
        <v>592</v>
      </c>
      <c r="Z82" s="462"/>
    </row>
    <row r="83" spans="1:26" x14ac:dyDescent="0.3">
      <c r="A83" s="463">
        <f t="shared" si="18"/>
        <v>69</v>
      </c>
      <c r="D83" s="492" t="s">
        <v>762</v>
      </c>
      <c r="F83" s="463" t="s">
        <v>761</v>
      </c>
      <c r="G83" s="485">
        <f>'MFR E-13c'!F182</f>
        <v>2.64</v>
      </c>
      <c r="H83" s="485">
        <f>'MFR E-13c'!L182</f>
        <v>2.72</v>
      </c>
      <c r="I83" s="503">
        <f>ROUND('MFR E-14C'!M161,2)</f>
        <v>2.71</v>
      </c>
      <c r="J83" s="486" t="s">
        <v>736</v>
      </c>
      <c r="K83" s="487" t="s">
        <v>737</v>
      </c>
      <c r="L83" s="487"/>
      <c r="M83" s="488"/>
      <c r="N83" s="1093">
        <f>H83-G83</f>
        <v>8.0000000000000071E-2</v>
      </c>
      <c r="O83" s="1073">
        <f>(N83/G83)</f>
        <v>3.0303030303030328E-2</v>
      </c>
      <c r="P83" s="929">
        <v>19220704.071794525</v>
      </c>
      <c r="Q83" s="1083">
        <f>(P83*G83)/1000</f>
        <v>50742.65874953755</v>
      </c>
      <c r="R83" s="1083">
        <f>(P83*H83)/1000</f>
        <v>52280.315075281113</v>
      </c>
      <c r="S83" s="1084">
        <f>R83-Q83</f>
        <v>1537.6563257435628</v>
      </c>
      <c r="T83" s="1083">
        <f>(P83*I83)/1000</f>
        <v>52088.108034563164</v>
      </c>
      <c r="U83" s="1084">
        <f>R83-T83</f>
        <v>192.20704071794898</v>
      </c>
      <c r="V83" s="480" t="s">
        <v>592</v>
      </c>
      <c r="W83" s="480" t="s">
        <v>592</v>
      </c>
      <c r="Z83" s="462"/>
    </row>
    <row r="84" spans="1:26" x14ac:dyDescent="0.3">
      <c r="A84" s="463">
        <f t="shared" si="18"/>
        <v>70</v>
      </c>
      <c r="D84" s="492" t="s">
        <v>763</v>
      </c>
      <c r="F84" s="463" t="s">
        <v>761</v>
      </c>
      <c r="G84" s="485">
        <f>'MFR E-13c'!F183</f>
        <v>4.72</v>
      </c>
      <c r="H84" s="485">
        <f>'MFR E-13c'!L183</f>
        <v>4.8600000000000003</v>
      </c>
      <c r="I84" s="503">
        <f>ROUND('MFR E-14C'!M162,2)</f>
        <v>4.84</v>
      </c>
      <c r="J84" s="486" t="s">
        <v>736</v>
      </c>
      <c r="K84" s="487" t="s">
        <v>737</v>
      </c>
      <c r="L84" s="487"/>
      <c r="M84" s="488"/>
      <c r="N84" s="1093">
        <f>H84-G84</f>
        <v>0.14000000000000057</v>
      </c>
      <c r="O84" s="1073">
        <f>(N84/G84)</f>
        <v>2.9661016949152665E-2</v>
      </c>
      <c r="P84" s="929">
        <v>19220705.071794499</v>
      </c>
      <c r="Q84" s="1083">
        <f>(P84*G84)/1000</f>
        <v>90721.727938870026</v>
      </c>
      <c r="R84" s="1083">
        <f>(P84*H84)/1000</f>
        <v>93412.626648921272</v>
      </c>
      <c r="S84" s="1084">
        <f>R84-Q84</f>
        <v>2690.8987100512459</v>
      </c>
      <c r="T84" s="1083">
        <f>(P84*I84)/1000</f>
        <v>93028.212547485367</v>
      </c>
      <c r="U84" s="1084">
        <f>R84-T84</f>
        <v>384.41410143590474</v>
      </c>
      <c r="V84" s="480" t="s">
        <v>592</v>
      </c>
      <c r="W84" s="480" t="s">
        <v>592</v>
      </c>
      <c r="Z84" s="462"/>
    </row>
    <row r="85" spans="1:26" x14ac:dyDescent="0.3">
      <c r="A85" s="463">
        <f t="shared" si="18"/>
        <v>71</v>
      </c>
      <c r="D85" s="463" t="s">
        <v>764</v>
      </c>
      <c r="G85" s="485"/>
      <c r="H85" s="485"/>
      <c r="I85" s="485"/>
      <c r="J85" s="486"/>
      <c r="K85" s="487"/>
      <c r="L85" s="487"/>
      <c r="M85" s="488"/>
      <c r="P85" s="929"/>
      <c r="Q85" s="1083"/>
      <c r="R85" s="1083"/>
      <c r="T85" s="1083"/>
      <c r="U85" s="1072"/>
      <c r="V85" s="480"/>
      <c r="W85" s="480"/>
      <c r="Z85" s="462"/>
    </row>
    <row r="86" spans="1:26" x14ac:dyDescent="0.3">
      <c r="A86" s="463">
        <f t="shared" si="18"/>
        <v>72</v>
      </c>
      <c r="D86" s="492" t="s">
        <v>148</v>
      </c>
      <c r="F86" s="463" t="s">
        <v>761</v>
      </c>
      <c r="G86" s="485">
        <v>1.3</v>
      </c>
      <c r="H86" s="485">
        <f>I86</f>
        <v>1.34</v>
      </c>
      <c r="I86" s="485">
        <f>ROUND(DVC!$G$29,2)</f>
        <v>1.34</v>
      </c>
      <c r="J86" s="486" t="s">
        <v>765</v>
      </c>
      <c r="K86" s="487" t="s">
        <v>751</v>
      </c>
      <c r="L86" s="487"/>
      <c r="M86" s="488"/>
      <c r="N86" s="1093">
        <f>H86-G86</f>
        <v>4.0000000000000036E-2</v>
      </c>
      <c r="O86" s="1073">
        <f>(N86/G86)</f>
        <v>3.0769230769230795E-2</v>
      </c>
      <c r="P86" s="929">
        <v>-3980308.082081967</v>
      </c>
      <c r="Q86" s="1083">
        <f>(P86*G86)/1000</f>
        <v>-5174.4005067065573</v>
      </c>
      <c r="R86" s="1083">
        <f>(P86*H86)/1000</f>
        <v>-5333.6128299898364</v>
      </c>
      <c r="S86" s="1084">
        <f>R86-Q86</f>
        <v>-159.21232328327915</v>
      </c>
      <c r="T86" s="1083">
        <f>(P86*I86)/1000</f>
        <v>-5333.6128299898364</v>
      </c>
      <c r="U86" s="1084">
        <f>R86-T86</f>
        <v>0</v>
      </c>
      <c r="V86" s="480" t="s">
        <v>122</v>
      </c>
      <c r="W86" s="480" t="s">
        <v>122</v>
      </c>
      <c r="Z86" s="462"/>
    </row>
    <row r="87" spans="1:26" x14ac:dyDescent="0.3">
      <c r="A87" s="463">
        <f t="shared" si="18"/>
        <v>73</v>
      </c>
      <c r="D87" s="492" t="s">
        <v>597</v>
      </c>
      <c r="F87" s="463" t="s">
        <v>761</v>
      </c>
      <c r="G87" s="485">
        <v>6.18</v>
      </c>
      <c r="H87" s="485">
        <f t="shared" ref="H87:H88" si="19">I87</f>
        <v>6.47</v>
      </c>
      <c r="I87" s="485">
        <f>ROUND(DVC!$G$30,2)</f>
        <v>6.47</v>
      </c>
      <c r="J87" s="486" t="s">
        <v>765</v>
      </c>
      <c r="K87" s="487" t="s">
        <v>751</v>
      </c>
      <c r="L87" s="487"/>
      <c r="M87" s="488"/>
      <c r="N87" s="1093">
        <f>H87-G87</f>
        <v>0.29000000000000004</v>
      </c>
      <c r="O87" s="1073">
        <f>(N87/G87)</f>
        <v>4.6925566343042076E-2</v>
      </c>
      <c r="P87" s="929">
        <v>-176441.66677094577</v>
      </c>
      <c r="Q87" s="1083">
        <f>(P87*G87)/1000</f>
        <v>-1090.4095006444447</v>
      </c>
      <c r="R87" s="1083">
        <f>(P87*H87)/1000</f>
        <v>-1141.5775840080191</v>
      </c>
      <c r="S87" s="1084">
        <f>R87-Q87</f>
        <v>-51.168083363574397</v>
      </c>
      <c r="T87" s="1083">
        <f>(P87*I87)/1000</f>
        <v>-1141.5775840080191</v>
      </c>
      <c r="U87" s="1084">
        <f>R87-T87</f>
        <v>0</v>
      </c>
      <c r="V87" s="480" t="s">
        <v>122</v>
      </c>
      <c r="W87" s="480" t="s">
        <v>122</v>
      </c>
      <c r="Z87" s="462"/>
    </row>
    <row r="88" spans="1:26" x14ac:dyDescent="0.3">
      <c r="A88" s="463">
        <f t="shared" si="18"/>
        <v>74</v>
      </c>
      <c r="D88" s="492" t="s">
        <v>766</v>
      </c>
      <c r="F88" s="463" t="s">
        <v>761</v>
      </c>
      <c r="G88" s="485">
        <v>8.61</v>
      </c>
      <c r="H88" s="485">
        <f t="shared" si="19"/>
        <v>9.0399999999999991</v>
      </c>
      <c r="I88" s="485">
        <f>ROUND(DVC!$G$31,2)</f>
        <v>9.0399999999999991</v>
      </c>
      <c r="J88" s="486" t="s">
        <v>765</v>
      </c>
      <c r="K88" s="487" t="s">
        <v>751</v>
      </c>
      <c r="L88" s="487"/>
      <c r="M88" s="488"/>
      <c r="N88" s="1093"/>
      <c r="P88" s="929"/>
      <c r="Q88" s="1083"/>
      <c r="R88" s="1083"/>
      <c r="S88" s="1084"/>
      <c r="T88" s="1083"/>
      <c r="U88" s="1084"/>
      <c r="V88" s="480"/>
      <c r="W88" s="480"/>
      <c r="Z88" s="462"/>
    </row>
    <row r="89" spans="1:26" x14ac:dyDescent="0.3">
      <c r="A89" s="463">
        <f t="shared" si="18"/>
        <v>75</v>
      </c>
      <c r="D89" s="463" t="s">
        <v>650</v>
      </c>
      <c r="F89" s="463" t="s">
        <v>761</v>
      </c>
      <c r="G89" s="503">
        <f>'MFR E-13c'!F197</f>
        <v>2.5099999999999998</v>
      </c>
      <c r="H89" s="503">
        <f>I89</f>
        <v>2.64</v>
      </c>
      <c r="I89" s="503">
        <f>'MFR E-14G'!G22</f>
        <v>2.64</v>
      </c>
      <c r="J89" s="486" t="s">
        <v>750</v>
      </c>
      <c r="K89" s="487" t="s">
        <v>751</v>
      </c>
      <c r="L89" s="487"/>
      <c r="M89" s="488"/>
      <c r="N89" s="1093">
        <f>H89-G89</f>
        <v>0.13000000000000034</v>
      </c>
      <c r="O89" s="1073">
        <f>(N89/G89)</f>
        <v>5.1792828685259105E-2</v>
      </c>
      <c r="P89" s="929">
        <v>364382.43722191069</v>
      </c>
      <c r="Q89" s="1083">
        <f>(P89*G89)/1000</f>
        <v>914.59991742699572</v>
      </c>
      <c r="R89" s="1083">
        <f>(P89*H89)/1000</f>
        <v>961.96963426584421</v>
      </c>
      <c r="S89" s="1084">
        <f>R89-Q89</f>
        <v>47.36971683884849</v>
      </c>
      <c r="T89" s="1083">
        <f>(P89*I89)/1000</f>
        <v>961.96963426584421</v>
      </c>
      <c r="U89" s="1084">
        <f>R89-T89</f>
        <v>0</v>
      </c>
      <c r="V89" s="480" t="s">
        <v>122</v>
      </c>
      <c r="W89" s="480" t="s">
        <v>122</v>
      </c>
      <c r="Z89" s="462"/>
    </row>
    <row r="90" spans="1:26" x14ac:dyDescent="0.3">
      <c r="A90" s="463">
        <f t="shared" si="18"/>
        <v>76</v>
      </c>
      <c r="G90" s="487"/>
      <c r="H90" s="487"/>
      <c r="I90" s="487"/>
      <c r="J90" s="486"/>
      <c r="K90" s="487"/>
      <c r="L90" s="487"/>
      <c r="M90" s="488"/>
      <c r="P90" s="929"/>
      <c r="Q90" s="1083"/>
      <c r="R90" s="1083"/>
      <c r="T90" s="1083"/>
      <c r="U90" s="1072"/>
      <c r="V90" s="480"/>
      <c r="W90" s="480"/>
      <c r="Z90" s="462"/>
    </row>
    <row r="91" spans="1:26" x14ac:dyDescent="0.3">
      <c r="A91" s="463">
        <f t="shared" si="18"/>
        <v>77</v>
      </c>
      <c r="C91" s="463" t="s">
        <v>727</v>
      </c>
      <c r="G91" s="487"/>
      <c r="H91" s="487"/>
      <c r="I91" s="487"/>
      <c r="J91" s="486"/>
      <c r="K91" s="487"/>
      <c r="L91" s="487"/>
      <c r="M91" s="488"/>
      <c r="P91" s="929"/>
      <c r="Q91" s="1083"/>
      <c r="R91" s="1083"/>
      <c r="T91" s="1083"/>
      <c r="U91" s="1072"/>
      <c r="V91" s="480"/>
      <c r="W91" s="480"/>
      <c r="Z91" s="462"/>
    </row>
    <row r="92" spans="1:26" x14ac:dyDescent="0.3">
      <c r="A92" s="463">
        <f t="shared" si="18"/>
        <v>78</v>
      </c>
      <c r="D92" s="463" t="s">
        <v>543</v>
      </c>
      <c r="F92" s="463" t="s">
        <v>730</v>
      </c>
      <c r="G92" s="494">
        <f>'MFR E-13c'!F220/10</f>
        <v>3.9740000000000002</v>
      </c>
      <c r="H92" s="494">
        <f>'MFR E-13c'!L220/10</f>
        <v>4.08</v>
      </c>
      <c r="I92" s="494">
        <f>'MFR E-14B'!I39</f>
        <v>6.4656133206831274</v>
      </c>
      <c r="J92" s="486" t="s">
        <v>720</v>
      </c>
      <c r="K92" s="494" t="s">
        <v>721</v>
      </c>
      <c r="L92" s="494"/>
      <c r="M92" s="497"/>
      <c r="N92" s="1082">
        <f>H92-G92</f>
        <v>0.10599999999999987</v>
      </c>
      <c r="O92" s="1073">
        <f>(N92/G92)</f>
        <v>2.667337695017611E-2</v>
      </c>
      <c r="P92" s="929">
        <v>3352764.0446919771</v>
      </c>
      <c r="Q92" s="1083">
        <f>(P92*G92*10)/1000</f>
        <v>133238.84313605918</v>
      </c>
      <c r="R92" s="1083">
        <f>(P92*H92*10)/1000</f>
        <v>136792.77302343267</v>
      </c>
      <c r="S92" s="1084">
        <f>R92-Q92</f>
        <v>3553.9298873734951</v>
      </c>
      <c r="T92" s="1083">
        <f>(P92*I92*10)/1000</f>
        <v>216776.75868467885</v>
      </c>
      <c r="U92" s="1084">
        <f>R92-T92</f>
        <v>-79983.985661246174</v>
      </c>
      <c r="V92" s="480" t="s">
        <v>122</v>
      </c>
      <c r="W92" s="480" t="s">
        <v>122</v>
      </c>
      <c r="Z92" s="462"/>
    </row>
    <row r="93" spans="1:26" x14ac:dyDescent="0.3">
      <c r="A93" s="463">
        <f t="shared" si="18"/>
        <v>79</v>
      </c>
      <c r="D93" s="463" t="s">
        <v>735</v>
      </c>
      <c r="F93" s="463" t="s">
        <v>730</v>
      </c>
      <c r="G93" s="494">
        <f>'MFR E-13c'!F225/10</f>
        <v>4.7240000000000002</v>
      </c>
      <c r="H93" s="494">
        <f>'MFR E-13c'!L225/10</f>
        <v>4.9979999999999993</v>
      </c>
      <c r="I93" s="684">
        <f>ROUND('MFR E-14C'!AA149,3)</f>
        <v>5.0149999999999997</v>
      </c>
      <c r="J93" s="486" t="s">
        <v>736</v>
      </c>
      <c r="K93" s="487" t="s">
        <v>737</v>
      </c>
      <c r="L93" s="494"/>
      <c r="M93" s="497"/>
      <c r="N93" s="1082">
        <f>H93-G93</f>
        <v>0.27399999999999913</v>
      </c>
      <c r="O93" s="1073">
        <f>((N93/G93))</f>
        <v>5.8001693480101424E-2</v>
      </c>
      <c r="P93" s="929">
        <v>2516136.7779227081</v>
      </c>
      <c r="Q93" s="1083">
        <f>(P93*G93*10)/1000</f>
        <v>118862.30138906874</v>
      </c>
      <c r="R93" s="1083">
        <f>(P93*H93*10)/1000</f>
        <v>125756.51616057694</v>
      </c>
      <c r="S93" s="1084">
        <f>R93-Q93</f>
        <v>6894.2147715081956</v>
      </c>
      <c r="T93" s="1083">
        <f>(P93*I94*10)/1000</f>
        <v>90128.019385191408</v>
      </c>
      <c r="U93" s="1084">
        <f>R93-T93</f>
        <v>35628.496775385531</v>
      </c>
      <c r="V93" s="480" t="s">
        <v>592</v>
      </c>
      <c r="W93" s="480" t="s">
        <v>592</v>
      </c>
      <c r="Z93" s="462"/>
    </row>
    <row r="94" spans="1:26" x14ac:dyDescent="0.3">
      <c r="A94" s="463">
        <f t="shared" si="18"/>
        <v>80</v>
      </c>
      <c r="D94" s="463" t="s">
        <v>738</v>
      </c>
      <c r="F94" s="463" t="s">
        <v>730</v>
      </c>
      <c r="G94" s="494">
        <f>'MFR E-13c'!F226/10</f>
        <v>3.4990000000000001</v>
      </c>
      <c r="H94" s="494">
        <f>'MFR E-13c'!L230/10</f>
        <v>3.5700000000000003</v>
      </c>
      <c r="I94" s="684">
        <f>ROUND('MFR E-14C'!AA150,3)</f>
        <v>3.5819999999999999</v>
      </c>
      <c r="J94" s="486" t="s">
        <v>736</v>
      </c>
      <c r="K94" s="487" t="s">
        <v>737</v>
      </c>
      <c r="L94" s="494"/>
      <c r="M94" s="497"/>
      <c r="N94" s="1082">
        <f>H94-G94</f>
        <v>7.1000000000000174E-2</v>
      </c>
      <c r="O94" s="1073">
        <f>(N94/G94)</f>
        <v>2.029151186053163E-2</v>
      </c>
      <c r="P94" s="929">
        <v>6500289.4773853142</v>
      </c>
      <c r="Q94" s="1083">
        <f>(P94*G94*10)/1000</f>
        <v>227445.12881371216</v>
      </c>
      <c r="R94" s="1083">
        <f>(P94*H94*10)/1000</f>
        <v>232060.33434265573</v>
      </c>
      <c r="S94" s="1084">
        <f>R94-Q94</f>
        <v>4615.2055289435666</v>
      </c>
      <c r="T94" s="1083">
        <f>(P94*I93*10)/1000</f>
        <v>325989.51729087345</v>
      </c>
      <c r="U94" s="1084">
        <f>R94-T94</f>
        <v>-93929.182948217727</v>
      </c>
      <c r="V94" s="480" t="s">
        <v>592</v>
      </c>
      <c r="W94" s="480" t="s">
        <v>592</v>
      </c>
      <c r="Z94" s="462"/>
    </row>
    <row r="95" spans="1:26" x14ac:dyDescent="0.3">
      <c r="A95" s="463">
        <f t="shared" si="18"/>
        <v>81</v>
      </c>
      <c r="D95" s="463" t="s">
        <v>739</v>
      </c>
      <c r="F95" s="463" t="s">
        <v>730</v>
      </c>
      <c r="G95" s="494">
        <f>'MFR E-13c'!F227/10</f>
        <v>2.371</v>
      </c>
      <c r="H95" s="494">
        <f>'MFR E-13c'!L227/10</f>
        <v>2.4159999999999999</v>
      </c>
      <c r="I95" s="684">
        <f>ROUND('MFR E-14C'!AA151,3)</f>
        <v>2.4239999999999999</v>
      </c>
      <c r="J95" s="486" t="s">
        <v>736</v>
      </c>
      <c r="K95" s="487" t="s">
        <v>737</v>
      </c>
      <c r="L95" s="494"/>
      <c r="M95" s="497"/>
      <c r="N95" s="1082"/>
      <c r="P95" s="929"/>
      <c r="Q95" s="1083"/>
      <c r="R95" s="1083"/>
      <c r="S95" s="1084"/>
      <c r="T95" s="1083"/>
      <c r="U95" s="1084"/>
      <c r="V95" s="480"/>
      <c r="W95" s="480"/>
      <c r="Z95" s="462"/>
    </row>
    <row r="96" spans="1:26" x14ac:dyDescent="0.3">
      <c r="A96" s="463">
        <f t="shared" si="18"/>
        <v>82</v>
      </c>
      <c r="G96" s="487"/>
      <c r="H96" s="487"/>
      <c r="I96" s="487"/>
      <c r="J96" s="486"/>
      <c r="K96" s="487"/>
      <c r="L96" s="487"/>
      <c r="M96" s="488"/>
      <c r="P96" s="929"/>
      <c r="Q96" s="1083"/>
      <c r="R96" s="1083"/>
      <c r="T96" s="1083"/>
      <c r="U96" s="1072"/>
      <c r="V96" s="480"/>
      <c r="W96" s="480"/>
      <c r="Z96" s="462"/>
    </row>
    <row r="97" spans="1:29" x14ac:dyDescent="0.3">
      <c r="A97" s="463">
        <f t="shared" si="18"/>
        <v>83</v>
      </c>
      <c r="C97" s="463" t="s">
        <v>752</v>
      </c>
      <c r="G97" s="487"/>
      <c r="H97" s="487"/>
      <c r="I97" s="487"/>
      <c r="J97" s="486"/>
      <c r="K97" s="487"/>
      <c r="L97" s="487"/>
      <c r="M97" s="488"/>
      <c r="P97" s="929"/>
      <c r="Q97" s="1083"/>
      <c r="R97" s="1083"/>
      <c r="T97" s="1083"/>
      <c r="U97" s="1072"/>
      <c r="V97" s="480"/>
      <c r="W97" s="480"/>
      <c r="Z97" s="462"/>
    </row>
    <row r="98" spans="1:29" x14ac:dyDescent="0.3">
      <c r="A98" s="463">
        <f t="shared" si="18"/>
        <v>84</v>
      </c>
      <c r="D98" s="463" t="s">
        <v>148</v>
      </c>
      <c r="F98" s="463" t="s">
        <v>419</v>
      </c>
      <c r="G98" s="499">
        <v>0.01</v>
      </c>
      <c r="H98" s="499">
        <v>0.01</v>
      </c>
      <c r="I98" s="499"/>
      <c r="J98" s="486"/>
      <c r="K98" s="487" t="s">
        <v>753</v>
      </c>
      <c r="L98" s="487"/>
      <c r="M98" s="488"/>
      <c r="N98" s="1091">
        <f>H98-G98</f>
        <v>0</v>
      </c>
      <c r="O98" s="1073">
        <f>(N98/G98)</f>
        <v>0</v>
      </c>
      <c r="P98" s="929"/>
      <c r="Q98" s="1083">
        <f>(P98*G98)/1000</f>
        <v>0</v>
      </c>
      <c r="R98" s="1083">
        <f>(P98*H98)/1000</f>
        <v>0</v>
      </c>
      <c r="S98" s="1084">
        <f>R98-Q98</f>
        <v>0</v>
      </c>
      <c r="T98" s="1083">
        <f>(P98*I98)/1000</f>
        <v>0</v>
      </c>
      <c r="U98" s="1084">
        <f>R98-T98</f>
        <v>0</v>
      </c>
      <c r="V98" s="480" t="s">
        <v>122</v>
      </c>
      <c r="W98" s="480" t="s">
        <v>122</v>
      </c>
      <c r="Z98" s="462"/>
    </row>
    <row r="99" spans="1:29" x14ac:dyDescent="0.3">
      <c r="A99" s="463">
        <f t="shared" si="18"/>
        <v>85</v>
      </c>
      <c r="D99" s="463" t="s">
        <v>216</v>
      </c>
      <c r="F99" s="463" t="s">
        <v>419</v>
      </c>
      <c r="G99" s="499">
        <v>0.02</v>
      </c>
      <c r="H99" s="499">
        <v>0.02</v>
      </c>
      <c r="I99" s="499"/>
      <c r="J99" s="486"/>
      <c r="K99" s="487" t="s">
        <v>753</v>
      </c>
      <c r="L99" s="487"/>
      <c r="M99" s="488"/>
      <c r="N99" s="1091">
        <f>H99-G99</f>
        <v>0</v>
      </c>
      <c r="O99" s="1073">
        <f>(N99/G99)</f>
        <v>0</v>
      </c>
      <c r="P99" s="929"/>
      <c r="Q99" s="1083">
        <f>(P99*G99)/1000</f>
        <v>0</v>
      </c>
      <c r="R99" s="1083">
        <f>(P99*H99)/1000</f>
        <v>0</v>
      </c>
      <c r="S99" s="1084">
        <f>R99-Q99</f>
        <v>0</v>
      </c>
      <c r="T99" s="1083">
        <f>(P99*I99)/1000</f>
        <v>0</v>
      </c>
      <c r="U99" s="1084">
        <f>R99-T99</f>
        <v>0</v>
      </c>
      <c r="V99" s="480" t="s">
        <v>122</v>
      </c>
      <c r="W99" s="480" t="s">
        <v>122</v>
      </c>
      <c r="Z99" s="462"/>
    </row>
    <row r="100" spans="1:29" x14ac:dyDescent="0.3">
      <c r="A100" s="463">
        <f t="shared" si="18"/>
        <v>86</v>
      </c>
      <c r="G100" s="499"/>
      <c r="H100" s="499"/>
      <c r="I100" s="499"/>
      <c r="J100" s="486"/>
      <c r="K100" s="487"/>
      <c r="L100" s="487"/>
      <c r="M100" s="488"/>
      <c r="N100" s="1082"/>
      <c r="P100" s="929"/>
      <c r="Q100" s="1083"/>
      <c r="R100" s="1083"/>
      <c r="T100" s="1083"/>
      <c r="U100" s="1072"/>
      <c r="V100" s="480"/>
      <c r="W100" s="480"/>
      <c r="Z100" s="462"/>
    </row>
    <row r="101" spans="1:29" x14ac:dyDescent="0.3">
      <c r="A101" s="463">
        <f t="shared" si="18"/>
        <v>87</v>
      </c>
      <c r="C101" s="463" t="s">
        <v>754</v>
      </c>
      <c r="F101" s="463" t="s">
        <v>419</v>
      </c>
      <c r="G101" s="500">
        <f>G54</f>
        <v>9.5999999999999992E-3</v>
      </c>
      <c r="H101" s="1222">
        <f>I101</f>
        <v>9.5999999999999992E-3</v>
      </c>
      <c r="I101" s="1223">
        <f>I54</f>
        <v>9.5999999999999992E-3</v>
      </c>
      <c r="J101" s="477" t="s">
        <v>755</v>
      </c>
      <c r="K101" s="501" t="s">
        <v>756</v>
      </c>
      <c r="L101" s="487"/>
      <c r="M101" s="488"/>
      <c r="N101" s="1092">
        <f>H101-G101</f>
        <v>0</v>
      </c>
      <c r="O101" s="1073">
        <f>(N101/G101)</f>
        <v>0</v>
      </c>
      <c r="P101" s="929"/>
      <c r="Q101" s="1083"/>
      <c r="R101" s="1083"/>
      <c r="T101" s="1083"/>
      <c r="U101" s="1072"/>
      <c r="V101" s="480" t="s">
        <v>122</v>
      </c>
      <c r="W101" s="480" t="s">
        <v>122</v>
      </c>
      <c r="Z101" s="462"/>
    </row>
    <row r="102" spans="1:29" ht="14.4" thickBot="1" x14ac:dyDescent="0.35">
      <c r="B102" s="467"/>
      <c r="C102" s="467"/>
      <c r="D102" s="467"/>
      <c r="E102" s="467"/>
      <c r="F102" s="467"/>
      <c r="G102" s="488"/>
      <c r="H102" s="488"/>
      <c r="I102" s="488"/>
      <c r="J102" s="495"/>
      <c r="K102" s="488"/>
      <c r="L102" s="488"/>
      <c r="M102" s="488"/>
      <c r="N102" s="1085"/>
      <c r="O102" s="1086"/>
      <c r="P102" s="1087"/>
      <c r="Q102" s="1088">
        <f>SUM(Q69:Q101)</f>
        <v>695505.02949345205</v>
      </c>
      <c r="R102" s="1088">
        <f>SUM(R69:R101)</f>
        <v>717428.04204959807</v>
      </c>
      <c r="S102" s="1088">
        <f>SUM(S69:S101)</f>
        <v>21923.012556145943</v>
      </c>
      <c r="T102" s="1088">
        <f>SUM(T69:T101)</f>
        <v>856462.6132990605</v>
      </c>
      <c r="U102" s="1088">
        <f>SUM(U69:U101)</f>
        <v>-139034.57124946249</v>
      </c>
      <c r="V102" s="480"/>
      <c r="W102" s="480"/>
      <c r="Z102" s="462"/>
    </row>
    <row r="103" spans="1:29" ht="14.4" thickTop="1" x14ac:dyDescent="0.3">
      <c r="A103" s="463">
        <f>+A101+1</f>
        <v>88</v>
      </c>
      <c r="B103" s="484"/>
      <c r="G103" s="487"/>
      <c r="H103" s="487"/>
      <c r="I103" s="487"/>
      <c r="J103" s="486"/>
      <c r="K103" s="487"/>
      <c r="L103" s="487"/>
      <c r="M103" s="488"/>
      <c r="P103" s="929"/>
      <c r="Q103" s="929"/>
      <c r="R103" s="929"/>
      <c r="S103" s="1089" t="s">
        <v>743</v>
      </c>
      <c r="T103" s="1090">
        <v>0</v>
      </c>
      <c r="U103" s="1072"/>
      <c r="V103" s="480"/>
      <c r="W103" s="480"/>
      <c r="Z103" s="462"/>
    </row>
    <row r="104" spans="1:29" x14ac:dyDescent="0.3">
      <c r="A104" s="463">
        <f t="shared" si="18"/>
        <v>89</v>
      </c>
      <c r="B104" s="484" t="s">
        <v>767</v>
      </c>
      <c r="C104" s="463" t="s">
        <v>719</v>
      </c>
      <c r="G104" s="487"/>
      <c r="H104" s="487"/>
      <c r="I104" s="487"/>
      <c r="J104" s="486"/>
      <c r="K104" s="487"/>
      <c r="L104" s="487"/>
      <c r="M104" s="488"/>
      <c r="P104" s="929"/>
      <c r="Q104" s="929"/>
      <c r="R104" s="929"/>
      <c r="T104" s="929"/>
      <c r="U104" s="1072"/>
      <c r="V104" s="480"/>
      <c r="W104" s="480"/>
      <c r="Z104" s="462"/>
    </row>
    <row r="105" spans="1:29" x14ac:dyDescent="0.3">
      <c r="A105" s="463">
        <f t="shared" si="18"/>
        <v>90</v>
      </c>
      <c r="B105" s="484" t="s">
        <v>768</v>
      </c>
      <c r="D105" s="463" t="s">
        <v>149</v>
      </c>
      <c r="F105" s="463" t="s">
        <v>717</v>
      </c>
      <c r="G105" s="485">
        <f>'MFR E-13c'!F269</f>
        <v>117.17</v>
      </c>
      <c r="H105" s="485">
        <f>'MFR E-13c'!L269</f>
        <v>119.69</v>
      </c>
      <c r="I105" s="485">
        <f>'MFR E-14E'!J53</f>
        <v>95.531058081229432</v>
      </c>
      <c r="J105" s="486" t="s">
        <v>746</v>
      </c>
      <c r="K105" s="487" t="s">
        <v>721</v>
      </c>
      <c r="L105" s="487"/>
      <c r="M105" s="488"/>
      <c r="N105" s="1082">
        <f>H105-G105</f>
        <v>2.519999999999996</v>
      </c>
      <c r="O105" s="1073">
        <f>(N105/G105)</f>
        <v>2.1507211743620348E-2</v>
      </c>
      <c r="P105" s="929">
        <v>0</v>
      </c>
      <c r="Q105" s="1083">
        <f>(P105*G105)/1000</f>
        <v>0</v>
      </c>
      <c r="R105" s="1083">
        <f>(P105*H105)/1000</f>
        <v>0</v>
      </c>
      <c r="S105" s="1084">
        <f>R105-Q105</f>
        <v>0</v>
      </c>
      <c r="T105" s="1083">
        <f>(P105*I105)/1000</f>
        <v>0</v>
      </c>
      <c r="U105" s="1084">
        <f>R105-T105</f>
        <v>0</v>
      </c>
      <c r="V105" s="480" t="s">
        <v>613</v>
      </c>
      <c r="W105" s="480" t="s">
        <v>613</v>
      </c>
      <c r="Z105" s="462"/>
      <c r="AC105" s="463" t="b">
        <f t="shared" ref="AC105:AC107" si="20">H105&gt;=I105</f>
        <v>1</v>
      </c>
    </row>
    <row r="106" spans="1:29" x14ac:dyDescent="0.3">
      <c r="A106" s="463">
        <f t="shared" si="18"/>
        <v>91</v>
      </c>
      <c r="B106" s="484" t="s">
        <v>769</v>
      </c>
      <c r="D106" s="463" t="s">
        <v>148</v>
      </c>
      <c r="F106" s="463" t="s">
        <v>717</v>
      </c>
      <c r="G106" s="485">
        <f>'MFR E-13c'!F270</f>
        <v>325.3</v>
      </c>
      <c r="H106" s="485">
        <f>'MFR E-13c'!L270</f>
        <v>332.29</v>
      </c>
      <c r="I106" s="485">
        <f>'MFR E-14E'!J54</f>
        <v>240.37860095595573</v>
      </c>
      <c r="J106" s="486" t="s">
        <v>746</v>
      </c>
      <c r="K106" s="487" t="s">
        <v>721</v>
      </c>
      <c r="L106" s="487"/>
      <c r="M106" s="488"/>
      <c r="N106" s="1082">
        <f>H106-G106</f>
        <v>6.9900000000000091</v>
      </c>
      <c r="O106" s="1073">
        <f>(N106/G106)</f>
        <v>2.1487857362434703E-2</v>
      </c>
      <c r="P106" s="929">
        <v>36.105882352941173</v>
      </c>
      <c r="Q106" s="1083">
        <f>(P106*G106)/1000</f>
        <v>11.745243529411765</v>
      </c>
      <c r="R106" s="1083">
        <f>(P106*H106)/1000</f>
        <v>11.997623647058823</v>
      </c>
      <c r="S106" s="1084">
        <f>R106-Q106</f>
        <v>0.25238011764705881</v>
      </c>
      <c r="T106" s="1083">
        <f>(P106*I106)/1000</f>
        <v>8.6790814862803316</v>
      </c>
      <c r="U106" s="1084">
        <f>R106-T106</f>
        <v>3.3185421607784917</v>
      </c>
      <c r="V106" s="480" t="s">
        <v>613</v>
      </c>
      <c r="W106" s="480" t="s">
        <v>613</v>
      </c>
      <c r="Z106" s="462"/>
      <c r="AC106" s="463" t="b">
        <f t="shared" si="20"/>
        <v>1</v>
      </c>
    </row>
    <row r="107" spans="1:29" x14ac:dyDescent="0.3">
      <c r="A107" s="463">
        <f t="shared" si="18"/>
        <v>92</v>
      </c>
      <c r="B107" s="484" t="s">
        <v>770</v>
      </c>
      <c r="D107" s="463" t="s">
        <v>216</v>
      </c>
      <c r="F107" s="463" t="s">
        <v>717</v>
      </c>
      <c r="G107" s="485">
        <f>'MFR E-13c'!F271</f>
        <v>1214.08</v>
      </c>
      <c r="H107" s="485">
        <f>'MFR E-13c'!L271</f>
        <v>1240.17</v>
      </c>
      <c r="I107" s="485">
        <f>'MFR E-14E'!J55</f>
        <v>425.73937849400534</v>
      </c>
      <c r="J107" s="486" t="s">
        <v>746</v>
      </c>
      <c r="K107" s="487" t="s">
        <v>721</v>
      </c>
      <c r="L107" s="487"/>
      <c r="M107" s="488"/>
      <c r="N107" s="1082">
        <f>H107-G107</f>
        <v>26.090000000000146</v>
      </c>
      <c r="O107" s="1073">
        <f>(N107/G107)</f>
        <v>2.1489522930943715E-2</v>
      </c>
      <c r="P107" s="929">
        <v>0</v>
      </c>
      <c r="Q107" s="1083">
        <f>(P107*G107)/1000</f>
        <v>0</v>
      </c>
      <c r="R107" s="1083">
        <f>(P107*H107)/1000</f>
        <v>0</v>
      </c>
      <c r="S107" s="1084">
        <f>R107-Q107</f>
        <v>0</v>
      </c>
      <c r="T107" s="1083">
        <f>(P107*I107)/1000</f>
        <v>0</v>
      </c>
      <c r="U107" s="1084">
        <f>R107-T107</f>
        <v>0</v>
      </c>
      <c r="V107" s="480" t="s">
        <v>613</v>
      </c>
      <c r="W107" s="480" t="s">
        <v>613</v>
      </c>
      <c r="Z107" s="462"/>
      <c r="AC107" s="463" t="b">
        <f t="shared" si="20"/>
        <v>1</v>
      </c>
    </row>
    <row r="108" spans="1:29" x14ac:dyDescent="0.3">
      <c r="A108" s="463">
        <f t="shared" si="18"/>
        <v>93</v>
      </c>
      <c r="G108" s="487"/>
      <c r="H108" s="487"/>
      <c r="I108" s="487"/>
      <c r="J108" s="486"/>
      <c r="K108" s="487"/>
      <c r="L108" s="487"/>
      <c r="M108" s="488"/>
      <c r="P108" s="929"/>
      <c r="Q108" s="1083"/>
      <c r="R108" s="1083"/>
      <c r="T108" s="1083"/>
      <c r="U108" s="1072"/>
      <c r="V108" s="480"/>
      <c r="W108" s="480"/>
      <c r="Z108" s="462"/>
    </row>
    <row r="109" spans="1:29" x14ac:dyDescent="0.3">
      <c r="A109" s="463">
        <f t="shared" si="18"/>
        <v>94</v>
      </c>
      <c r="C109" s="463" t="s">
        <v>760</v>
      </c>
      <c r="G109" s="487"/>
      <c r="H109" s="487"/>
      <c r="I109" s="487"/>
      <c r="J109" s="486"/>
      <c r="K109" s="487"/>
      <c r="L109" s="487"/>
      <c r="M109" s="488"/>
      <c r="P109" s="929"/>
      <c r="Q109" s="1083"/>
      <c r="R109" s="1083"/>
      <c r="T109" s="1083"/>
      <c r="U109" s="1072"/>
      <c r="V109" s="480"/>
      <c r="W109" s="480"/>
      <c r="Z109" s="462"/>
    </row>
    <row r="110" spans="1:29" x14ac:dyDescent="0.3">
      <c r="A110" s="463">
        <f t="shared" si="18"/>
        <v>95</v>
      </c>
      <c r="D110" s="463" t="s">
        <v>543</v>
      </c>
      <c r="F110" s="463" t="s">
        <v>761</v>
      </c>
      <c r="G110" s="485">
        <f>'MFR E-13c'!F280</f>
        <v>13.88</v>
      </c>
      <c r="H110" s="485">
        <f>'MFR E-13c'!L280</f>
        <v>14.53</v>
      </c>
      <c r="I110" s="485">
        <f>'MFR E-6b'!T73</f>
        <v>17.182267748158161</v>
      </c>
      <c r="J110" s="486" t="s">
        <v>757</v>
      </c>
      <c r="K110" s="487" t="s">
        <v>721</v>
      </c>
      <c r="L110" s="487"/>
      <c r="M110" s="488"/>
      <c r="N110" s="1082">
        <f>H110-G110</f>
        <v>0.64999999999999858</v>
      </c>
      <c r="O110" s="1073">
        <f>(N110/G110)</f>
        <v>4.6829971181556088E-2</v>
      </c>
      <c r="P110" s="929">
        <v>0</v>
      </c>
      <c r="Q110" s="1083">
        <f>(P110*G110)/1000</f>
        <v>0</v>
      </c>
      <c r="R110" s="1083">
        <f>(P110*H110)/1000</f>
        <v>0</v>
      </c>
      <c r="S110" s="1084">
        <f>R110-Q110</f>
        <v>0</v>
      </c>
      <c r="T110" s="1083">
        <f>(P110*I110)/1000</f>
        <v>0</v>
      </c>
      <c r="U110" s="1084">
        <f>R110-T110</f>
        <v>0</v>
      </c>
      <c r="V110" s="480" t="s">
        <v>613</v>
      </c>
      <c r="W110" s="480" t="s">
        <v>613</v>
      </c>
      <c r="Z110" s="462"/>
    </row>
    <row r="111" spans="1:29" x14ac:dyDescent="0.3">
      <c r="A111" s="463">
        <f t="shared" si="18"/>
        <v>96</v>
      </c>
      <c r="D111" s="463" t="s">
        <v>723</v>
      </c>
      <c r="G111" s="485"/>
      <c r="H111" s="485"/>
      <c r="I111" s="485"/>
      <c r="J111" s="486"/>
      <c r="K111" s="487"/>
      <c r="L111" s="487"/>
      <c r="M111" s="488"/>
      <c r="P111" s="929"/>
      <c r="Q111" s="1083"/>
      <c r="R111" s="1083"/>
      <c r="T111" s="1083"/>
      <c r="U111" s="1072"/>
      <c r="V111" s="480"/>
      <c r="W111" s="480"/>
      <c r="Z111" s="462"/>
    </row>
    <row r="112" spans="1:29" x14ac:dyDescent="0.3">
      <c r="A112" s="463">
        <f t="shared" si="18"/>
        <v>97</v>
      </c>
      <c r="D112" s="492" t="s">
        <v>145</v>
      </c>
      <c r="F112" s="463" t="s">
        <v>761</v>
      </c>
      <c r="G112" s="485">
        <f>'MFR E-13c'!F288</f>
        <v>2.21</v>
      </c>
      <c r="H112" s="485">
        <f>'MFR E-13c'!L288</f>
        <v>2.3199999999999998</v>
      </c>
      <c r="I112" s="503">
        <f>ROUND('MFR E-14C'!M221,2)</f>
        <v>2.3199999999999998</v>
      </c>
      <c r="J112" s="486" t="s">
        <v>736</v>
      </c>
      <c r="K112" s="487" t="s">
        <v>737</v>
      </c>
      <c r="L112" s="487"/>
      <c r="M112" s="488"/>
      <c r="N112" s="1082">
        <f>H112-G112</f>
        <v>0.10999999999999988</v>
      </c>
      <c r="O112" s="1073">
        <f>(N112/G112)</f>
        <v>4.9773755656108538E-2</v>
      </c>
      <c r="P112" s="929">
        <v>221500.33574738415</v>
      </c>
      <c r="Q112" s="1083">
        <f>(P112*G112)/1000</f>
        <v>489.51574200171893</v>
      </c>
      <c r="R112" s="1083">
        <f>(P112*H112)/1000</f>
        <v>513.8807789339312</v>
      </c>
      <c r="S112" s="1084">
        <f>R112-Q112</f>
        <v>24.365036932212263</v>
      </c>
      <c r="T112" s="1083">
        <f>(P112*I112)/1000</f>
        <v>513.8807789339312</v>
      </c>
      <c r="U112" s="1084">
        <f>R112-T112</f>
        <v>0</v>
      </c>
      <c r="V112" s="480" t="s">
        <v>614</v>
      </c>
      <c r="W112" s="480" t="s">
        <v>614</v>
      </c>
      <c r="Z112" s="462"/>
    </row>
    <row r="113" spans="1:26" x14ac:dyDescent="0.3">
      <c r="A113" s="463">
        <f t="shared" si="18"/>
        <v>98</v>
      </c>
      <c r="D113" s="492" t="s">
        <v>762</v>
      </c>
      <c r="F113" s="463" t="s">
        <v>761</v>
      </c>
      <c r="G113" s="485">
        <f>'MFR E-13c'!F286</f>
        <v>2.5</v>
      </c>
      <c r="H113" s="485">
        <f>'MFR E-13c'!L286</f>
        <v>2.59</v>
      </c>
      <c r="I113" s="503">
        <f>ROUND('MFR E-14C'!M219,2)</f>
        <v>2.59</v>
      </c>
      <c r="J113" s="486" t="s">
        <v>736</v>
      </c>
      <c r="K113" s="487" t="s">
        <v>737</v>
      </c>
      <c r="L113" s="487"/>
      <c r="M113" s="488"/>
      <c r="N113" s="1082">
        <f>H113-G113</f>
        <v>8.9999999999999858E-2</v>
      </c>
      <c r="O113" s="1073">
        <f>(N113/G113)</f>
        <v>3.5999999999999942E-2</v>
      </c>
      <c r="P113" s="929">
        <v>175218.38904317838</v>
      </c>
      <c r="Q113" s="1083">
        <f>(P113*G113)/1000</f>
        <v>438.04597260794594</v>
      </c>
      <c r="R113" s="1083">
        <f>(P113*H113)/1000</f>
        <v>453.81562762183194</v>
      </c>
      <c r="S113" s="1084">
        <f>R113-Q113</f>
        <v>15.769655013885995</v>
      </c>
      <c r="T113" s="1083">
        <f>(P113*I113)/1000</f>
        <v>453.81562762183194</v>
      </c>
      <c r="U113" s="1084">
        <f>R113-T113</f>
        <v>0</v>
      </c>
      <c r="V113" s="480" t="s">
        <v>614</v>
      </c>
      <c r="W113" s="480" t="s">
        <v>614</v>
      </c>
      <c r="Z113" s="462"/>
    </row>
    <row r="114" spans="1:26" x14ac:dyDescent="0.3">
      <c r="A114" s="463">
        <f t="shared" si="18"/>
        <v>99</v>
      </c>
      <c r="D114" s="492" t="s">
        <v>763</v>
      </c>
      <c r="F114" s="463" t="s">
        <v>761</v>
      </c>
      <c r="G114" s="485">
        <f>'MFR E-13c'!F287</f>
        <v>4.97</v>
      </c>
      <c r="H114" s="485">
        <f>'MFR E-13c'!L287</f>
        <v>5.14</v>
      </c>
      <c r="I114" s="503">
        <f>ROUND('MFR E-14C'!M220,2)</f>
        <v>5.14</v>
      </c>
      <c r="J114" s="486" t="s">
        <v>736</v>
      </c>
      <c r="K114" s="487" t="s">
        <v>737</v>
      </c>
      <c r="M114" s="467"/>
      <c r="P114" s="929"/>
      <c r="Q114" s="1083"/>
      <c r="R114" s="1083"/>
      <c r="T114" s="1083"/>
      <c r="U114" s="1072"/>
      <c r="V114" s="480"/>
      <c r="W114" s="480"/>
      <c r="Z114" s="462"/>
    </row>
    <row r="115" spans="1:26" x14ac:dyDescent="0.3">
      <c r="A115" s="463">
        <f t="shared" si="18"/>
        <v>100</v>
      </c>
      <c r="D115" s="463" t="s">
        <v>771</v>
      </c>
      <c r="G115" s="485"/>
      <c r="H115" s="485"/>
      <c r="I115" s="503"/>
      <c r="J115" s="486"/>
      <c r="K115" s="487"/>
      <c r="L115" s="487"/>
      <c r="M115" s="488"/>
      <c r="P115" s="929"/>
      <c r="Q115" s="1083"/>
      <c r="R115" s="1083"/>
      <c r="T115" s="1083"/>
      <c r="U115" s="1072"/>
      <c r="V115" s="480"/>
      <c r="W115" s="480"/>
      <c r="Z115" s="462"/>
    </row>
    <row r="116" spans="1:26" x14ac:dyDescent="0.3">
      <c r="A116" s="463">
        <f t="shared" si="18"/>
        <v>101</v>
      </c>
      <c r="D116" s="492" t="s">
        <v>772</v>
      </c>
      <c r="F116" s="463" t="s">
        <v>761</v>
      </c>
      <c r="G116" s="485">
        <v>5.82</v>
      </c>
      <c r="H116" s="503">
        <f>I116</f>
        <v>5.82</v>
      </c>
      <c r="I116" s="503">
        <v>5.82</v>
      </c>
      <c r="J116" s="486"/>
      <c r="K116" s="487" t="s">
        <v>773</v>
      </c>
      <c r="L116" s="487"/>
      <c r="M116" s="488"/>
      <c r="N116" s="1082">
        <f>H116-G116</f>
        <v>0</v>
      </c>
      <c r="O116" s="1073">
        <f>(N116/G116)</f>
        <v>0</v>
      </c>
      <c r="P116" s="929"/>
      <c r="Q116" s="1094" t="s">
        <v>238</v>
      </c>
      <c r="R116" s="1094" t="s">
        <v>238</v>
      </c>
      <c r="T116" s="1094" t="s">
        <v>238</v>
      </c>
      <c r="U116" s="1072"/>
      <c r="V116" s="480" t="s">
        <v>769</v>
      </c>
      <c r="W116" s="480" t="s">
        <v>769</v>
      </c>
      <c r="Z116" s="462"/>
    </row>
    <row r="117" spans="1:26" x14ac:dyDescent="0.3">
      <c r="A117" s="463">
        <f t="shared" si="18"/>
        <v>102</v>
      </c>
      <c r="D117" s="492" t="s">
        <v>774</v>
      </c>
      <c r="F117" s="463" t="s">
        <v>761</v>
      </c>
      <c r="G117" s="485">
        <v>5.82</v>
      </c>
      <c r="H117" s="503">
        <f>I117</f>
        <v>5.82</v>
      </c>
      <c r="I117" s="503">
        <f>I116</f>
        <v>5.82</v>
      </c>
      <c r="J117" s="486"/>
      <c r="K117" s="487" t="s">
        <v>773</v>
      </c>
      <c r="L117" s="487"/>
      <c r="M117" s="488"/>
      <c r="O117" s="1073">
        <f>(M117/G117)</f>
        <v>0</v>
      </c>
      <c r="P117" s="929"/>
      <c r="Q117" s="1094" t="s">
        <v>238</v>
      </c>
      <c r="R117" s="1094" t="s">
        <v>238</v>
      </c>
      <c r="T117" s="1094" t="s">
        <v>238</v>
      </c>
      <c r="U117" s="1072"/>
      <c r="V117" s="480" t="s">
        <v>770</v>
      </c>
      <c r="W117" s="480" t="s">
        <v>770</v>
      </c>
      <c r="Z117" s="462"/>
    </row>
    <row r="118" spans="1:26" x14ac:dyDescent="0.3">
      <c r="A118" s="463">
        <f t="shared" si="18"/>
        <v>103</v>
      </c>
      <c r="D118" s="492" t="s">
        <v>775</v>
      </c>
      <c r="F118" s="463" t="s">
        <v>730</v>
      </c>
      <c r="G118" s="503">
        <v>0.25</v>
      </c>
      <c r="H118" s="503">
        <v>0.25</v>
      </c>
      <c r="I118" s="503">
        <v>0.25</v>
      </c>
      <c r="J118" s="504"/>
      <c r="K118" s="487" t="s">
        <v>753</v>
      </c>
      <c r="L118" s="501"/>
      <c r="M118" s="488"/>
      <c r="N118" s="1082"/>
      <c r="O118" s="1095"/>
      <c r="P118" s="1096"/>
      <c r="Q118" s="1097"/>
      <c r="R118" s="1097"/>
      <c r="T118" s="1097"/>
      <c r="U118" s="1072"/>
    </row>
    <row r="119" spans="1:26" x14ac:dyDescent="0.3">
      <c r="A119" s="463">
        <f t="shared" si="18"/>
        <v>104</v>
      </c>
      <c r="G119" s="485"/>
      <c r="H119" s="485"/>
      <c r="I119" s="503"/>
      <c r="J119" s="486"/>
      <c r="K119" s="487"/>
      <c r="L119" s="487"/>
      <c r="M119" s="488"/>
      <c r="P119" s="929"/>
      <c r="Q119" s="1083"/>
      <c r="R119" s="1083"/>
      <c r="T119" s="1083"/>
      <c r="U119" s="1072"/>
      <c r="V119" s="480"/>
      <c r="W119" s="480"/>
      <c r="Z119" s="462"/>
    </row>
    <row r="120" spans="1:26" x14ac:dyDescent="0.3">
      <c r="A120" s="463">
        <f t="shared" si="18"/>
        <v>105</v>
      </c>
      <c r="D120" s="463" t="s">
        <v>764</v>
      </c>
      <c r="G120" s="485"/>
      <c r="H120" s="485"/>
      <c r="I120" s="503"/>
      <c r="J120" s="486"/>
      <c r="K120" s="487"/>
      <c r="L120" s="487"/>
      <c r="M120" s="488"/>
      <c r="P120" s="929"/>
      <c r="Q120" s="1083"/>
      <c r="R120" s="1083"/>
      <c r="T120" s="1083"/>
      <c r="U120" s="1072"/>
      <c r="V120" s="480"/>
      <c r="W120" s="480"/>
      <c r="Z120" s="462"/>
    </row>
    <row r="121" spans="1:26" x14ac:dyDescent="0.3">
      <c r="A121" s="463">
        <f t="shared" si="18"/>
        <v>106</v>
      </c>
      <c r="D121" s="492" t="s">
        <v>148</v>
      </c>
      <c r="F121" s="463" t="s">
        <v>761</v>
      </c>
      <c r="G121" s="485">
        <f>G86</f>
        <v>1.3</v>
      </c>
      <c r="H121" s="485">
        <f>I121</f>
        <v>1.34</v>
      </c>
      <c r="I121" s="503">
        <f>I86</f>
        <v>1.34</v>
      </c>
      <c r="J121" s="486" t="s">
        <v>765</v>
      </c>
      <c r="K121" s="487" t="s">
        <v>751</v>
      </c>
      <c r="L121" s="487"/>
      <c r="M121" s="488"/>
      <c r="N121" s="1082">
        <f>H121-G121</f>
        <v>4.0000000000000036E-2</v>
      </c>
      <c r="O121" s="1073">
        <f>(N121/G121)</f>
        <v>3.0769230769230795E-2</v>
      </c>
      <c r="P121" s="929">
        <v>-221500.33574738415</v>
      </c>
      <c r="Q121" s="1083">
        <f>(P121*G121)/1000</f>
        <v>-287.9504364715994</v>
      </c>
      <c r="R121" s="1083">
        <f>(P121*H121)/1000</f>
        <v>-296.81044990149479</v>
      </c>
      <c r="S121" s="1084">
        <f>R121-Q121</f>
        <v>-8.860013429895389</v>
      </c>
      <c r="T121" s="1083">
        <f>(P121*I121)/1000</f>
        <v>-296.81044990149479</v>
      </c>
      <c r="U121" s="1084">
        <f>R121-T121</f>
        <v>0</v>
      </c>
      <c r="V121" s="480" t="s">
        <v>613</v>
      </c>
      <c r="W121" s="480" t="s">
        <v>613</v>
      </c>
      <c r="Z121" s="462"/>
    </row>
    <row r="122" spans="1:26" x14ac:dyDescent="0.3">
      <c r="A122" s="463">
        <f t="shared" si="18"/>
        <v>107</v>
      </c>
      <c r="D122" s="492" t="s">
        <v>597</v>
      </c>
      <c r="F122" s="463" t="s">
        <v>761</v>
      </c>
      <c r="G122" s="485">
        <f>G87</f>
        <v>6.18</v>
      </c>
      <c r="H122" s="485">
        <f t="shared" ref="H122:H123" si="21">I122</f>
        <v>6.47</v>
      </c>
      <c r="I122" s="503">
        <f t="shared" ref="I122:I123" si="22">I87</f>
        <v>6.47</v>
      </c>
      <c r="J122" s="486" t="s">
        <v>765</v>
      </c>
      <c r="K122" s="487" t="s">
        <v>751</v>
      </c>
      <c r="L122" s="487"/>
      <c r="M122" s="488"/>
      <c r="N122" s="1082">
        <f>H122-G122</f>
        <v>0.29000000000000004</v>
      </c>
      <c r="O122" s="1073">
        <f>(N122/G122)</f>
        <v>4.6925566343042076E-2</v>
      </c>
      <c r="P122" s="929">
        <v>0</v>
      </c>
      <c r="Q122" s="1083">
        <f>(P122*G122)/1000</f>
        <v>0</v>
      </c>
      <c r="R122" s="1083">
        <f>(P122*H122)/1000</f>
        <v>0</v>
      </c>
      <c r="S122" s="1084">
        <f>R122-Q122</f>
        <v>0</v>
      </c>
      <c r="T122" s="1083">
        <f>(P122*I122)/1000</f>
        <v>0</v>
      </c>
      <c r="U122" s="1084">
        <f>R122-T122</f>
        <v>0</v>
      </c>
      <c r="V122" s="480" t="s">
        <v>613</v>
      </c>
      <c r="W122" s="480" t="s">
        <v>613</v>
      </c>
      <c r="Z122" s="462"/>
    </row>
    <row r="123" spans="1:26" x14ac:dyDescent="0.3">
      <c r="A123" s="463">
        <f t="shared" si="18"/>
        <v>108</v>
      </c>
      <c r="D123" s="492" t="s">
        <v>766</v>
      </c>
      <c r="F123" s="463" t="s">
        <v>761</v>
      </c>
      <c r="G123" s="485">
        <f>G88</f>
        <v>8.61</v>
      </c>
      <c r="H123" s="485">
        <f t="shared" si="21"/>
        <v>9.0399999999999991</v>
      </c>
      <c r="I123" s="503">
        <f t="shared" si="22"/>
        <v>9.0399999999999991</v>
      </c>
      <c r="J123" s="486" t="s">
        <v>765</v>
      </c>
      <c r="K123" s="487" t="s">
        <v>751</v>
      </c>
      <c r="L123" s="487"/>
      <c r="M123" s="488"/>
      <c r="N123" s="1082"/>
      <c r="P123" s="929"/>
      <c r="Q123" s="1083"/>
      <c r="R123" s="1083"/>
      <c r="S123" s="1084"/>
      <c r="T123" s="1083"/>
      <c r="U123" s="1084"/>
      <c r="V123" s="480"/>
      <c r="W123" s="480"/>
      <c r="Z123" s="462"/>
    </row>
    <row r="124" spans="1:26" x14ac:dyDescent="0.3">
      <c r="A124" s="463">
        <f t="shared" si="18"/>
        <v>109</v>
      </c>
      <c r="G124" s="485"/>
      <c r="H124" s="485"/>
      <c r="I124" s="503"/>
      <c r="J124" s="486"/>
      <c r="K124" s="487"/>
      <c r="L124" s="487"/>
      <c r="M124" s="488"/>
      <c r="P124" s="929"/>
      <c r="Q124" s="1083"/>
      <c r="R124" s="1083"/>
      <c r="T124" s="1083"/>
      <c r="U124" s="1072"/>
      <c r="V124" s="480"/>
      <c r="W124" s="480"/>
      <c r="Z124" s="462"/>
    </row>
    <row r="125" spans="1:26" x14ac:dyDescent="0.3">
      <c r="A125" s="463">
        <f t="shared" si="18"/>
        <v>110</v>
      </c>
      <c r="D125" s="463" t="s">
        <v>650</v>
      </c>
      <c r="F125" s="463" t="s">
        <v>761</v>
      </c>
      <c r="G125" s="485">
        <v>1.96</v>
      </c>
      <c r="H125" s="485">
        <f>I125</f>
        <v>2.06</v>
      </c>
      <c r="I125" s="503">
        <f>'MFR E-14G'!I22</f>
        <v>2.06</v>
      </c>
      <c r="J125" s="486" t="s">
        <v>750</v>
      </c>
      <c r="K125" s="487" t="s">
        <v>751</v>
      </c>
      <c r="L125" s="487"/>
      <c r="M125" s="488"/>
      <c r="N125" s="1082">
        <f>H125-G125</f>
        <v>0.10000000000000009</v>
      </c>
      <c r="O125" s="1073">
        <f>(N125/G125)</f>
        <v>5.1020408163265356E-2</v>
      </c>
      <c r="P125" s="929"/>
      <c r="Q125" s="1083">
        <f>(P125*G125)/1000</f>
        <v>0</v>
      </c>
      <c r="R125" s="1083">
        <f>(P125*H125)/1000</f>
        <v>0</v>
      </c>
      <c r="S125" s="1084">
        <f>R125-Q125</f>
        <v>0</v>
      </c>
      <c r="T125" s="1083">
        <f>(P125*I125)/1000</f>
        <v>0</v>
      </c>
      <c r="U125" s="1084">
        <f>R125-T125</f>
        <v>0</v>
      </c>
      <c r="V125" s="480" t="s">
        <v>613</v>
      </c>
      <c r="W125" s="480" t="s">
        <v>613</v>
      </c>
      <c r="Z125" s="462"/>
    </row>
    <row r="126" spans="1:26" x14ac:dyDescent="0.3">
      <c r="A126" s="463">
        <f t="shared" si="18"/>
        <v>111</v>
      </c>
      <c r="G126" s="487"/>
      <c r="H126" s="487"/>
      <c r="I126" s="501"/>
      <c r="J126" s="486"/>
      <c r="K126" s="487"/>
      <c r="L126" s="487"/>
      <c r="M126" s="488"/>
      <c r="P126" s="929"/>
      <c r="Q126" s="1083"/>
      <c r="R126" s="1083"/>
      <c r="T126" s="1083"/>
      <c r="U126" s="1072"/>
      <c r="V126" s="480"/>
      <c r="W126" s="480"/>
      <c r="Z126" s="462"/>
    </row>
    <row r="127" spans="1:26" x14ac:dyDescent="0.3">
      <c r="A127" s="463">
        <f t="shared" si="18"/>
        <v>112</v>
      </c>
      <c r="C127" s="463" t="s">
        <v>727</v>
      </c>
      <c r="G127" s="487"/>
      <c r="H127" s="487"/>
      <c r="I127" s="501"/>
      <c r="J127" s="486"/>
      <c r="K127" s="487"/>
      <c r="L127" s="487"/>
      <c r="M127" s="488"/>
      <c r="P127" s="929"/>
      <c r="Q127" s="1083"/>
      <c r="R127" s="1083"/>
      <c r="T127" s="1083"/>
      <c r="U127" s="1072"/>
      <c r="V127" s="480"/>
      <c r="W127" s="480"/>
      <c r="Z127" s="462"/>
    </row>
    <row r="128" spans="1:26" x14ac:dyDescent="0.3">
      <c r="A128" s="463">
        <f t="shared" si="18"/>
        <v>113</v>
      </c>
      <c r="D128" s="463" t="s">
        <v>543</v>
      </c>
      <c r="F128" s="463" t="s">
        <v>730</v>
      </c>
      <c r="G128" s="494">
        <f>'MFR E-13c'!F320/10</f>
        <v>2.6680000000000001</v>
      </c>
      <c r="H128" s="494">
        <f>'MFR E-13c'!L320/10</f>
        <v>2.79</v>
      </c>
      <c r="I128" s="684">
        <f>SUM('MFR E-6b'!T59,'MFR E-6b'!T66)/10</f>
        <v>5.1555970121669983</v>
      </c>
      <c r="J128" s="486" t="s">
        <v>757</v>
      </c>
      <c r="K128" s="494" t="s">
        <v>721</v>
      </c>
      <c r="L128" s="494"/>
      <c r="M128" s="497"/>
      <c r="N128" s="1082">
        <f>H128-G128</f>
        <v>0.12199999999999989</v>
      </c>
      <c r="O128" s="1073">
        <f>(N128/G128)</f>
        <v>4.5727136431784061E-2</v>
      </c>
      <c r="P128" s="929">
        <v>0</v>
      </c>
      <c r="Q128" s="1083">
        <f>(P128*G128*10)/1000</f>
        <v>0</v>
      </c>
      <c r="R128" s="1083">
        <f>(P128*H128*10)/1000</f>
        <v>0</v>
      </c>
      <c r="S128" s="1084">
        <f>R128-Q128</f>
        <v>0</v>
      </c>
      <c r="T128" s="1083">
        <f>(P128*I128*10)/1000</f>
        <v>0</v>
      </c>
      <c r="U128" s="1084">
        <f>R128-T128</f>
        <v>0</v>
      </c>
      <c r="V128" s="480" t="s">
        <v>613</v>
      </c>
      <c r="W128" s="480" t="s">
        <v>613</v>
      </c>
      <c r="Z128" s="462"/>
    </row>
    <row r="129" spans="1:29" x14ac:dyDescent="0.3">
      <c r="A129" s="463">
        <f t="shared" si="18"/>
        <v>114</v>
      </c>
      <c r="D129" s="463" t="s">
        <v>735</v>
      </c>
      <c r="F129" s="463" t="s">
        <v>730</v>
      </c>
      <c r="G129" s="494">
        <f>'MFR E-13c'!F325/10</f>
        <v>2.9140000000000001</v>
      </c>
      <c r="H129" s="494">
        <f>'MFR E-13c'!L325/10</f>
        <v>3.1399999999999997</v>
      </c>
      <c r="I129" s="684">
        <f>ROUND('MFR E-14C'!AA207,3)</f>
        <v>3.1259999999999999</v>
      </c>
      <c r="J129" s="486" t="s">
        <v>736</v>
      </c>
      <c r="K129" s="487" t="s">
        <v>737</v>
      </c>
      <c r="L129" s="494"/>
      <c r="M129" s="497"/>
      <c r="N129" s="1082">
        <f>H129-G129</f>
        <v>0.22599999999999953</v>
      </c>
      <c r="O129" s="1073">
        <f>(N129/G129)</f>
        <v>7.7556623198352617E-2</v>
      </c>
      <c r="P129" s="929">
        <v>15677.736620243468</v>
      </c>
      <c r="Q129" s="1083">
        <f>(P129*G129*10)/1000</f>
        <v>456.84924511389465</v>
      </c>
      <c r="R129" s="1083">
        <f>(P129*H129*10)/1000</f>
        <v>492.28092987564486</v>
      </c>
      <c r="S129" s="1084">
        <f>R129-Q129</f>
        <v>35.431684761750205</v>
      </c>
      <c r="T129" s="1083">
        <f>(P129*I129*10)/1000</f>
        <v>490.08604674881082</v>
      </c>
      <c r="U129" s="1084">
        <f>R129-T129</f>
        <v>2.1948831268340427</v>
      </c>
      <c r="V129" s="480" t="s">
        <v>614</v>
      </c>
      <c r="W129" s="480" t="s">
        <v>614</v>
      </c>
      <c r="Z129" s="462"/>
    </row>
    <row r="130" spans="1:29" x14ac:dyDescent="0.3">
      <c r="A130" s="463">
        <f t="shared" si="18"/>
        <v>115</v>
      </c>
      <c r="D130" s="463" t="s">
        <v>738</v>
      </c>
      <c r="F130" s="463" t="s">
        <v>730</v>
      </c>
      <c r="G130" s="494">
        <f>'MFR E-13c'!F326/10</f>
        <v>2.1589999999999998</v>
      </c>
      <c r="H130" s="494">
        <f>'MFR E-13c'!L326/10</f>
        <v>2.2429999999999999</v>
      </c>
      <c r="I130" s="684">
        <f>ROUND('MFR E-14C'!AA208,3)</f>
        <v>2.2330000000000001</v>
      </c>
      <c r="J130" s="486" t="s">
        <v>736</v>
      </c>
      <c r="K130" s="487" t="s">
        <v>737</v>
      </c>
      <c r="L130" s="494"/>
      <c r="M130" s="497"/>
      <c r="N130" s="1082">
        <f>H130-G130</f>
        <v>8.4000000000000075E-2</v>
      </c>
      <c r="O130" s="1073">
        <f>(N130/G130)</f>
        <v>3.8906901343214492E-2</v>
      </c>
      <c r="P130" s="929">
        <v>48600.263379756529</v>
      </c>
      <c r="Q130" s="1083">
        <f>(P130*G130*10)/1000</f>
        <v>1049.2796863689434</v>
      </c>
      <c r="R130" s="1083">
        <f>(P130*H130*10)/1000</f>
        <v>1090.1039076079389</v>
      </c>
      <c r="S130" s="1084">
        <f>R130-Q130</f>
        <v>40.824221238995506</v>
      </c>
      <c r="T130" s="1083">
        <f>(P130*I130*10)/1000</f>
        <v>1085.2438812699631</v>
      </c>
      <c r="U130" s="1084">
        <f>R130-T130</f>
        <v>4.8600263379757962</v>
      </c>
      <c r="V130" s="480" t="s">
        <v>614</v>
      </c>
      <c r="W130" s="480" t="s">
        <v>614</v>
      </c>
      <c r="Z130" s="462"/>
    </row>
    <row r="131" spans="1:29" x14ac:dyDescent="0.3">
      <c r="A131" s="463">
        <f t="shared" si="18"/>
        <v>116</v>
      </c>
      <c r="D131" s="463" t="s">
        <v>739</v>
      </c>
      <c r="F131" s="463" t="s">
        <v>730</v>
      </c>
      <c r="G131" s="494">
        <f>'MFR E-13c'!F327/10</f>
        <v>1.637</v>
      </c>
      <c r="H131" s="494">
        <f>'MFR E-13c'!L327/10</f>
        <v>1.6940000000000002</v>
      </c>
      <c r="I131" s="684">
        <f>ROUND('MFR E-14C'!AA209,3)</f>
        <v>1.6859999999999999</v>
      </c>
      <c r="J131" s="486" t="s">
        <v>736</v>
      </c>
      <c r="K131" s="487" t="s">
        <v>737</v>
      </c>
      <c r="L131" s="494"/>
      <c r="M131" s="497"/>
      <c r="N131" s="1082"/>
      <c r="P131" s="929"/>
      <c r="Q131" s="1083"/>
      <c r="R131" s="1083"/>
      <c r="S131" s="1084"/>
      <c r="T131" s="1083"/>
      <c r="U131" s="1084"/>
      <c r="V131" s="480"/>
      <c r="W131" s="480"/>
      <c r="Z131" s="462"/>
    </row>
    <row r="132" spans="1:29" x14ac:dyDescent="0.3">
      <c r="A132" s="463">
        <f t="shared" si="18"/>
        <v>117</v>
      </c>
      <c r="G132" s="487"/>
      <c r="H132" s="487"/>
      <c r="I132" s="501"/>
      <c r="J132" s="486"/>
      <c r="K132" s="487"/>
      <c r="L132" s="487"/>
      <c r="M132" s="488"/>
      <c r="P132" s="929"/>
      <c r="Q132" s="1083"/>
      <c r="R132" s="1083"/>
      <c r="T132" s="1083"/>
      <c r="U132" s="1072"/>
      <c r="V132" s="480"/>
      <c r="W132" s="480"/>
      <c r="Z132" s="462"/>
    </row>
    <row r="133" spans="1:29" x14ac:dyDescent="0.3">
      <c r="A133" s="463">
        <f t="shared" si="18"/>
        <v>118</v>
      </c>
      <c r="C133" s="463" t="s">
        <v>752</v>
      </c>
      <c r="G133" s="487"/>
      <c r="H133" s="487"/>
      <c r="I133" s="487"/>
      <c r="J133" s="486"/>
      <c r="K133" s="487"/>
      <c r="L133" s="487"/>
      <c r="M133" s="488"/>
      <c r="N133" s="1082"/>
      <c r="P133" s="929"/>
      <c r="Q133" s="1083"/>
      <c r="R133" s="1083"/>
      <c r="T133" s="1083"/>
      <c r="U133" s="1072"/>
      <c r="V133" s="480"/>
      <c r="W133" s="480"/>
      <c r="Z133" s="462"/>
    </row>
    <row r="134" spans="1:29" x14ac:dyDescent="0.3">
      <c r="A134" s="463">
        <f t="shared" si="18"/>
        <v>119</v>
      </c>
      <c r="D134" s="463" t="s">
        <v>148</v>
      </c>
      <c r="F134" s="463" t="s">
        <v>419</v>
      </c>
      <c r="G134" s="499">
        <v>0.01</v>
      </c>
      <c r="H134" s="499">
        <v>0.01</v>
      </c>
      <c r="I134" s="499"/>
      <c r="J134" s="486"/>
      <c r="K134" s="487" t="s">
        <v>753</v>
      </c>
      <c r="L134" s="487"/>
      <c r="M134" s="488"/>
      <c r="N134" s="1091">
        <f>H134-G134</f>
        <v>0</v>
      </c>
      <c r="O134" s="1073">
        <f>(N134/G134)</f>
        <v>0</v>
      </c>
      <c r="P134" s="929"/>
      <c r="Q134" s="1083">
        <f>(P134*G134)/1000</f>
        <v>0</v>
      </c>
      <c r="R134" s="1083">
        <f>(P134*H134)/1000</f>
        <v>0</v>
      </c>
      <c r="S134" s="1084">
        <f>R134-Q134</f>
        <v>0</v>
      </c>
      <c r="T134" s="1083">
        <f>(P134*I134)/1000</f>
        <v>0</v>
      </c>
      <c r="U134" s="1084">
        <f>R134-T134</f>
        <v>0</v>
      </c>
      <c r="V134" s="480" t="s">
        <v>613</v>
      </c>
      <c r="W134" s="480" t="s">
        <v>613</v>
      </c>
      <c r="Z134" s="462"/>
    </row>
    <row r="135" spans="1:29" x14ac:dyDescent="0.3">
      <c r="A135" s="463">
        <f t="shared" si="18"/>
        <v>120</v>
      </c>
      <c r="D135" s="463" t="s">
        <v>216</v>
      </c>
      <c r="F135" s="463" t="s">
        <v>419</v>
      </c>
      <c r="G135" s="499">
        <v>0.02</v>
      </c>
      <c r="H135" s="499">
        <v>0.02</v>
      </c>
      <c r="I135" s="499"/>
      <c r="J135" s="486"/>
      <c r="K135" s="487" t="s">
        <v>753</v>
      </c>
      <c r="L135" s="487"/>
      <c r="M135" s="488"/>
      <c r="N135" s="1091">
        <f>H135-G135</f>
        <v>0</v>
      </c>
      <c r="O135" s="1073">
        <f>(N135/G135)</f>
        <v>0</v>
      </c>
      <c r="P135" s="929"/>
      <c r="Q135" s="1083">
        <f>(P135*G135)/1000</f>
        <v>0</v>
      </c>
      <c r="R135" s="1083">
        <f>(P135*H135)/1000</f>
        <v>0</v>
      </c>
      <c r="S135" s="1084">
        <f>R135-Q135</f>
        <v>0</v>
      </c>
      <c r="T135" s="1083">
        <f>(P135*I135)/1000</f>
        <v>0</v>
      </c>
      <c r="U135" s="1084">
        <f>R135-T135</f>
        <v>0</v>
      </c>
      <c r="V135" s="480" t="s">
        <v>613</v>
      </c>
      <c r="W135" s="480" t="s">
        <v>613</v>
      </c>
      <c r="Z135" s="462"/>
    </row>
    <row r="136" spans="1:29" x14ac:dyDescent="0.3">
      <c r="A136" s="463">
        <f t="shared" si="18"/>
        <v>121</v>
      </c>
      <c r="G136" s="499"/>
      <c r="H136" s="499"/>
      <c r="I136" s="499"/>
      <c r="J136" s="486"/>
      <c r="K136" s="487"/>
      <c r="L136" s="487"/>
      <c r="M136" s="488"/>
      <c r="N136" s="1082"/>
      <c r="P136" s="929"/>
      <c r="Q136" s="1083"/>
      <c r="R136" s="1083"/>
      <c r="T136" s="1083"/>
      <c r="U136" s="1072"/>
      <c r="V136" s="480"/>
      <c r="W136" s="480"/>
      <c r="Z136" s="462"/>
    </row>
    <row r="137" spans="1:29" x14ac:dyDescent="0.3">
      <c r="A137" s="463">
        <f t="shared" ref="A137:A200" si="23">+A136+1</f>
        <v>122</v>
      </c>
      <c r="C137" s="463" t="s">
        <v>754</v>
      </c>
      <c r="F137" s="463" t="s">
        <v>419</v>
      </c>
      <c r="G137" s="500">
        <f>G101</f>
        <v>9.5999999999999992E-3</v>
      </c>
      <c r="H137" s="1222">
        <f>I137</f>
        <v>9.5999999999999992E-3</v>
      </c>
      <c r="I137" s="1223">
        <f>I101</f>
        <v>9.5999999999999992E-3</v>
      </c>
      <c r="J137" s="477" t="s">
        <v>755</v>
      </c>
      <c r="K137" s="501" t="s">
        <v>756</v>
      </c>
      <c r="L137" s="487"/>
      <c r="M137" s="488"/>
      <c r="N137" s="1092">
        <f>H137-G137</f>
        <v>0</v>
      </c>
      <c r="O137" s="1073">
        <f>(N137/G137)</f>
        <v>0</v>
      </c>
      <c r="P137" s="929"/>
      <c r="Q137" s="1083"/>
      <c r="R137" s="1083"/>
      <c r="T137" s="1083"/>
      <c r="U137" s="1072"/>
      <c r="V137" s="480" t="s">
        <v>613</v>
      </c>
      <c r="W137" s="480" t="s">
        <v>613</v>
      </c>
      <c r="Z137" s="462"/>
    </row>
    <row r="138" spans="1:29" ht="14.4" thickBot="1" x14ac:dyDescent="0.35">
      <c r="B138" s="467"/>
      <c r="C138" s="467"/>
      <c r="D138" s="467"/>
      <c r="E138" s="467"/>
      <c r="F138" s="467"/>
      <c r="G138" s="488"/>
      <c r="H138" s="488"/>
      <c r="I138" s="488"/>
      <c r="J138" s="495"/>
      <c r="K138" s="488"/>
      <c r="L138" s="488"/>
      <c r="M138" s="488"/>
      <c r="N138" s="1085"/>
      <c r="O138" s="1086"/>
      <c r="P138" s="1087"/>
      <c r="Q138" s="1088">
        <f>SUM(Q104:Q137)</f>
        <v>2157.4854531503152</v>
      </c>
      <c r="R138" s="1088">
        <f>SUM(R104:R137)</f>
        <v>2265.268417784911</v>
      </c>
      <c r="S138" s="1088">
        <f>SUM(S104:S137)</f>
        <v>107.78296463459563</v>
      </c>
      <c r="T138" s="1088">
        <f>SUM(T104:T137)</f>
        <v>2254.8949661593224</v>
      </c>
      <c r="U138" s="1088">
        <f>SUM(U104:U137)</f>
        <v>10.373451625588331</v>
      </c>
      <c r="V138" s="480"/>
      <c r="W138" s="480"/>
      <c r="Z138" s="462"/>
    </row>
    <row r="139" spans="1:29" ht="14.4" thickTop="1" x14ac:dyDescent="0.3">
      <c r="A139" s="463">
        <f>+A137+1</f>
        <v>123</v>
      </c>
      <c r="B139" s="484"/>
      <c r="G139" s="487"/>
      <c r="H139" s="487"/>
      <c r="I139" s="487"/>
      <c r="J139" s="486"/>
      <c r="K139" s="487"/>
      <c r="L139" s="487"/>
      <c r="M139" s="488"/>
      <c r="P139" s="929"/>
      <c r="Q139" s="929"/>
      <c r="R139" s="929"/>
      <c r="S139" s="929"/>
      <c r="T139" s="929"/>
      <c r="U139" s="1072"/>
      <c r="V139" s="480"/>
      <c r="W139" s="480"/>
      <c r="Z139" s="462"/>
    </row>
    <row r="140" spans="1:29" x14ac:dyDescent="0.3">
      <c r="A140" s="463">
        <f t="shared" si="23"/>
        <v>124</v>
      </c>
      <c r="B140" s="484" t="s">
        <v>446</v>
      </c>
      <c r="C140" s="463" t="s">
        <v>719</v>
      </c>
      <c r="G140" s="487"/>
      <c r="H140" s="487"/>
      <c r="I140" s="487"/>
      <c r="J140" s="486"/>
      <c r="K140" s="487"/>
      <c r="L140" s="487"/>
      <c r="M140" s="488"/>
      <c r="P140" s="929"/>
      <c r="Q140" s="929"/>
      <c r="R140" s="929"/>
      <c r="T140" s="929"/>
      <c r="U140" s="1072"/>
      <c r="V140" s="480"/>
      <c r="W140" s="480"/>
      <c r="Z140" s="462"/>
    </row>
    <row r="141" spans="1:29" x14ac:dyDescent="0.3">
      <c r="A141" s="463">
        <f t="shared" si="23"/>
        <v>125</v>
      </c>
      <c r="B141" s="484" t="s">
        <v>776</v>
      </c>
      <c r="D141" s="463" t="s">
        <v>149</v>
      </c>
      <c r="F141" s="463" t="s">
        <v>717</v>
      </c>
      <c r="G141" s="485">
        <f>'MFR E-13c'!F368</f>
        <v>426.3</v>
      </c>
      <c r="H141" s="485">
        <f>'MFR E-13c'!L368</f>
        <v>443.34</v>
      </c>
      <c r="I141" s="485">
        <f>'MFR E-14E'!K53</f>
        <v>374.46769549622667</v>
      </c>
      <c r="J141" s="486" t="s">
        <v>746</v>
      </c>
      <c r="K141" s="487" t="s">
        <v>721</v>
      </c>
      <c r="L141" s="487"/>
      <c r="M141" s="488"/>
      <c r="N141" s="1082">
        <f>H141-G141</f>
        <v>17.039999999999964</v>
      </c>
      <c r="O141" s="1073">
        <f>(N141/G141)</f>
        <v>3.9971850809289146E-2</v>
      </c>
      <c r="P141" s="929">
        <v>936.31973453054877</v>
      </c>
      <c r="Q141" s="1083">
        <f>(P141*G141)/1000</f>
        <v>399.15310283037292</v>
      </c>
      <c r="R141" s="1083">
        <f>(P141*H141)/1000</f>
        <v>415.10799110677351</v>
      </c>
      <c r="S141" s="1084">
        <f>R141-Q141</f>
        <v>15.954888276400595</v>
      </c>
      <c r="T141" s="1083">
        <f>(P141*I141)/1000</f>
        <v>350.62149323729335</v>
      </c>
      <c r="U141" s="1084">
        <f>R141-T141</f>
        <v>64.486497869480161</v>
      </c>
      <c r="V141" s="480" t="s">
        <v>623</v>
      </c>
      <c r="W141" s="480" t="s">
        <v>623</v>
      </c>
      <c r="Z141" s="462"/>
      <c r="AC141" s="463" t="b">
        <f t="shared" ref="AC141:AC143" si="24">H141&gt;=I141</f>
        <v>1</v>
      </c>
    </row>
    <row r="142" spans="1:29" x14ac:dyDescent="0.3">
      <c r="A142" s="463">
        <f t="shared" si="23"/>
        <v>126</v>
      </c>
      <c r="B142" s="484"/>
      <c r="D142" s="463" t="s">
        <v>148</v>
      </c>
      <c r="F142" s="463" t="s">
        <v>717</v>
      </c>
      <c r="G142" s="485">
        <f>'MFR E-13c'!F369</f>
        <v>632.54999999999995</v>
      </c>
      <c r="H142" s="485">
        <f>'MFR E-13c'!L369</f>
        <v>657.83</v>
      </c>
      <c r="I142" s="485">
        <f>'MFR E-14E'!K54</f>
        <v>519.31523837095301</v>
      </c>
      <c r="J142" s="486" t="s">
        <v>746</v>
      </c>
      <c r="K142" s="487" t="s">
        <v>721</v>
      </c>
      <c r="L142" s="487"/>
      <c r="M142" s="488"/>
      <c r="N142" s="1082">
        <f>H142-G142</f>
        <v>25.280000000000086</v>
      </c>
      <c r="O142" s="1073">
        <f>(N142/G142)</f>
        <v>3.9965220140700482E-2</v>
      </c>
      <c r="P142" s="929">
        <v>1032.3525278157329</v>
      </c>
      <c r="Q142" s="1083">
        <f>(P142*G142)/1000</f>
        <v>653.01459146984178</v>
      </c>
      <c r="R142" s="1083">
        <f>(P142*H142)/1000</f>
        <v>679.1124633730235</v>
      </c>
      <c r="S142" s="1084">
        <f>R142-Q142</f>
        <v>26.097871903181726</v>
      </c>
      <c r="T142" s="1083">
        <f>(P142*I142)/1000</f>
        <v>536.11639906548328</v>
      </c>
      <c r="U142" s="1084">
        <f>R142-T142</f>
        <v>142.99606430754022</v>
      </c>
      <c r="V142" s="480" t="s">
        <v>623</v>
      </c>
      <c r="W142" s="480" t="s">
        <v>623</v>
      </c>
      <c r="Z142" s="462"/>
      <c r="AC142" s="463" t="b">
        <f t="shared" si="24"/>
        <v>1</v>
      </c>
    </row>
    <row r="143" spans="1:29" x14ac:dyDescent="0.3">
      <c r="A143" s="463">
        <f t="shared" si="23"/>
        <v>127</v>
      </c>
      <c r="D143" s="463" t="s">
        <v>216</v>
      </c>
      <c r="F143" s="463" t="s">
        <v>717</v>
      </c>
      <c r="G143" s="485">
        <f>'MFR E-13c'!F370</f>
        <v>1513.3</v>
      </c>
      <c r="H143" s="485">
        <f>'MFR E-13c'!L370</f>
        <v>1573.77</v>
      </c>
      <c r="I143" s="485">
        <f>'MFR E-14E'!K55</f>
        <v>704.67601590900256</v>
      </c>
      <c r="J143" s="486" t="s">
        <v>746</v>
      </c>
      <c r="K143" s="487" t="s">
        <v>721</v>
      </c>
      <c r="L143" s="487"/>
      <c r="M143" s="488"/>
      <c r="N143" s="1082">
        <f>H143-G143</f>
        <v>60.470000000000027</v>
      </c>
      <c r="O143" s="1073">
        <f>(N143/G143)</f>
        <v>3.9959029934580073E-2</v>
      </c>
      <c r="P143" s="929">
        <v>72.024594963888333</v>
      </c>
      <c r="Q143" s="1083">
        <f>(P143*G143)/1000</f>
        <v>108.9948195588522</v>
      </c>
      <c r="R143" s="1083">
        <f>(P143*H143)/1000</f>
        <v>113.35014681631853</v>
      </c>
      <c r="S143" s="1084">
        <f>R143-Q143</f>
        <v>4.3553272574663282</v>
      </c>
      <c r="T143" s="1083">
        <f>(P143*I143)/1000</f>
        <v>50.754004626612442</v>
      </c>
      <c r="U143" s="1084">
        <f>R143-T143</f>
        <v>62.596142189706086</v>
      </c>
      <c r="V143" s="480" t="s">
        <v>623</v>
      </c>
      <c r="W143" s="480" t="s">
        <v>623</v>
      </c>
      <c r="Z143" s="462"/>
      <c r="AC143" s="463" t="b">
        <f t="shared" si="24"/>
        <v>1</v>
      </c>
    </row>
    <row r="144" spans="1:29" x14ac:dyDescent="0.3">
      <c r="A144" s="463">
        <f t="shared" si="23"/>
        <v>128</v>
      </c>
      <c r="G144" s="485"/>
      <c r="H144" s="485"/>
      <c r="I144" s="485"/>
      <c r="J144" s="486"/>
      <c r="K144" s="487"/>
      <c r="L144" s="487"/>
      <c r="M144" s="488"/>
      <c r="P144" s="929"/>
      <c r="Q144" s="929"/>
      <c r="R144" s="929"/>
      <c r="T144" s="929"/>
      <c r="U144" s="1072"/>
      <c r="V144" s="480"/>
      <c r="W144" s="480"/>
      <c r="Z144" s="462"/>
    </row>
    <row r="145" spans="1:26" x14ac:dyDescent="0.3">
      <c r="A145" s="463">
        <f t="shared" si="23"/>
        <v>129</v>
      </c>
      <c r="C145" s="463" t="s">
        <v>777</v>
      </c>
      <c r="G145" s="485"/>
      <c r="H145" s="485"/>
      <c r="I145" s="485"/>
      <c r="J145" s="486"/>
      <c r="K145" s="487"/>
      <c r="L145" s="487"/>
      <c r="M145" s="488"/>
      <c r="P145" s="929"/>
      <c r="Q145" s="929"/>
      <c r="R145" s="929"/>
      <c r="T145" s="929"/>
      <c r="U145" s="1072"/>
      <c r="V145" s="480"/>
      <c r="W145" s="480"/>
      <c r="Z145" s="462"/>
    </row>
    <row r="146" spans="1:26" x14ac:dyDescent="0.3">
      <c r="A146" s="463">
        <f t="shared" si="23"/>
        <v>130</v>
      </c>
      <c r="D146" s="463" t="s">
        <v>543</v>
      </c>
      <c r="F146" s="463" t="s">
        <v>761</v>
      </c>
      <c r="G146" s="485">
        <f>'MFR E-13c'!F379</f>
        <v>12.16</v>
      </c>
      <c r="H146" s="485">
        <f>'MFR E-13c'!L379</f>
        <v>12.71</v>
      </c>
      <c r="I146" s="485">
        <f>'MFR E-6b'!U73</f>
        <v>15.599515768948411</v>
      </c>
      <c r="J146" s="486" t="s">
        <v>757</v>
      </c>
      <c r="K146" s="487" t="s">
        <v>721</v>
      </c>
      <c r="L146" s="487"/>
      <c r="M146" s="488"/>
      <c r="N146" s="1082">
        <f>H146-G146</f>
        <v>0.55000000000000071</v>
      </c>
      <c r="O146" s="1073">
        <f>(N146/G146)</f>
        <v>4.5230263157894794E-2</v>
      </c>
      <c r="P146" s="929">
        <v>759330.74305971235</v>
      </c>
      <c r="Q146" s="1083">
        <f>(P146*G146)/1000</f>
        <v>9233.4618356061019</v>
      </c>
      <c r="R146" s="1083">
        <f>(P146*H146)/1000</f>
        <v>9651.0937442889444</v>
      </c>
      <c r="S146" s="1084">
        <f>R146-Q146</f>
        <v>417.63190868284255</v>
      </c>
      <c r="T146" s="1083">
        <f>(P146*I146)/1000</f>
        <v>11845.191900207295</v>
      </c>
      <c r="U146" s="1084">
        <f>R146-T146</f>
        <v>-2194.098155918351</v>
      </c>
      <c r="V146" s="480" t="s">
        <v>623</v>
      </c>
      <c r="W146" s="480" t="s">
        <v>623</v>
      </c>
      <c r="Z146" s="462"/>
    </row>
    <row r="147" spans="1:26" x14ac:dyDescent="0.3">
      <c r="A147" s="463">
        <f t="shared" si="23"/>
        <v>131</v>
      </c>
      <c r="D147" s="463" t="s">
        <v>723</v>
      </c>
      <c r="G147" s="485"/>
      <c r="H147" s="485"/>
      <c r="I147" s="485"/>
      <c r="J147" s="486"/>
      <c r="K147" s="487"/>
      <c r="L147" s="487"/>
      <c r="M147" s="488"/>
      <c r="P147" s="929"/>
      <c r="Q147" s="929"/>
      <c r="R147" s="929"/>
      <c r="T147" s="929"/>
      <c r="U147" s="1072"/>
      <c r="V147" s="480"/>
      <c r="W147" s="480"/>
      <c r="Z147" s="462"/>
    </row>
    <row r="148" spans="1:26" x14ac:dyDescent="0.3">
      <c r="A148" s="463">
        <f t="shared" si="23"/>
        <v>132</v>
      </c>
      <c r="D148" s="492" t="s">
        <v>145</v>
      </c>
      <c r="F148" s="463" t="s">
        <v>761</v>
      </c>
      <c r="G148" s="485">
        <f>'MFR E-13c'!F387</f>
        <v>1.86</v>
      </c>
      <c r="H148" s="485">
        <f>'MFR E-13c'!L387</f>
        <v>1.96</v>
      </c>
      <c r="I148" s="503">
        <f>ROUND('MFR E-14C'!M279,2)</f>
        <v>1.95</v>
      </c>
      <c r="J148" s="486" t="s">
        <v>736</v>
      </c>
      <c r="K148" s="487" t="s">
        <v>737</v>
      </c>
      <c r="L148" s="487"/>
      <c r="M148" s="488"/>
      <c r="N148" s="1082">
        <f>H148-G148</f>
        <v>9.9999999999999867E-2</v>
      </c>
      <c r="O148" s="1073">
        <f>(N148/G148)</f>
        <v>5.3763440860214978E-2</v>
      </c>
      <c r="P148" s="929">
        <v>4977852.4117269311</v>
      </c>
      <c r="Q148" s="1083">
        <f>(P148*G148)/1000</f>
        <v>9258.8054858120922</v>
      </c>
      <c r="R148" s="1083">
        <f>(P148*H148)/1000</f>
        <v>9756.5907269847849</v>
      </c>
      <c r="S148" s="1084">
        <f>R148-Q148</f>
        <v>497.78524117269262</v>
      </c>
      <c r="T148" s="1083">
        <f>(P148*I148)/1000</f>
        <v>9706.8122028675152</v>
      </c>
      <c r="U148" s="1084">
        <f>R148-T148</f>
        <v>49.778524117269626</v>
      </c>
      <c r="V148" s="480" t="s">
        <v>624</v>
      </c>
      <c r="W148" s="480" t="s">
        <v>624</v>
      </c>
      <c r="Z148" s="462"/>
    </row>
    <row r="149" spans="1:26" x14ac:dyDescent="0.3">
      <c r="A149" s="463">
        <f t="shared" si="23"/>
        <v>133</v>
      </c>
      <c r="D149" s="492" t="s">
        <v>762</v>
      </c>
      <c r="F149" s="463" t="s">
        <v>761</v>
      </c>
      <c r="G149" s="485">
        <f>'MFR E-13c'!F385</f>
        <v>2.75</v>
      </c>
      <c r="H149" s="485">
        <f>'MFR E-13c'!L385</f>
        <v>2.86</v>
      </c>
      <c r="I149" s="503">
        <f>ROUND('MFR E-14C'!M277,2)</f>
        <v>2.85</v>
      </c>
      <c r="J149" s="486" t="s">
        <v>736</v>
      </c>
      <c r="K149" s="487" t="s">
        <v>737</v>
      </c>
      <c r="L149" s="487"/>
      <c r="M149" s="488"/>
      <c r="N149" s="1082">
        <f>H149-G149</f>
        <v>0.10999999999999988</v>
      </c>
      <c r="O149" s="1073">
        <f>(N149/G149)</f>
        <v>3.9999999999999952E-2</v>
      </c>
      <c r="P149" s="929">
        <v>4769350.1410258049</v>
      </c>
      <c r="Q149" s="1083">
        <f>(P149*G149)/1000</f>
        <v>13115.712887820962</v>
      </c>
      <c r="R149" s="1083">
        <f>(P149*H149)/1000</f>
        <v>13640.341403333801</v>
      </c>
      <c r="S149" s="1084">
        <f>R149-Q149</f>
        <v>524.62851551283893</v>
      </c>
      <c r="T149" s="1083">
        <f>(P149*I149)/1000</f>
        <v>13592.647901923545</v>
      </c>
      <c r="U149" s="1084">
        <f>R149-T149</f>
        <v>47.693501410256431</v>
      </c>
      <c r="V149" s="480" t="s">
        <v>624</v>
      </c>
      <c r="W149" s="480" t="s">
        <v>624</v>
      </c>
      <c r="Z149" s="462"/>
    </row>
    <row r="150" spans="1:26" x14ac:dyDescent="0.3">
      <c r="A150" s="463">
        <f t="shared" si="23"/>
        <v>134</v>
      </c>
      <c r="D150" s="492" t="s">
        <v>763</v>
      </c>
      <c r="F150" s="463" t="s">
        <v>761</v>
      </c>
      <c r="G150" s="485">
        <f>'MFR E-13c'!F386</f>
        <v>5.28</v>
      </c>
      <c r="H150" s="485">
        <f>'MFR E-13c'!L386</f>
        <v>5.52</v>
      </c>
      <c r="I150" s="503">
        <f>ROUND('MFR E-14C'!M278,2)</f>
        <v>5.49</v>
      </c>
      <c r="J150" s="486" t="s">
        <v>736</v>
      </c>
      <c r="K150" s="487" t="s">
        <v>737</v>
      </c>
      <c r="L150" s="487"/>
      <c r="M150" s="488"/>
      <c r="N150" s="1082"/>
      <c r="P150" s="929"/>
      <c r="Q150" s="1083"/>
      <c r="R150" s="1083"/>
      <c r="S150" s="1084"/>
      <c r="T150" s="1083"/>
      <c r="U150" s="1084"/>
      <c r="V150" s="480"/>
      <c r="W150" s="480"/>
      <c r="Z150" s="462"/>
    </row>
    <row r="151" spans="1:26" x14ac:dyDescent="0.3">
      <c r="A151" s="463">
        <f t="shared" si="23"/>
        <v>135</v>
      </c>
      <c r="D151" s="492"/>
      <c r="G151" s="485"/>
      <c r="H151" s="485"/>
      <c r="I151" s="485"/>
      <c r="J151" s="486"/>
      <c r="K151" s="487"/>
      <c r="L151" s="487"/>
      <c r="M151" s="488"/>
      <c r="N151" s="1082"/>
      <c r="P151" s="929"/>
      <c r="Q151" s="1083"/>
      <c r="R151" s="1083"/>
      <c r="S151" s="1084"/>
      <c r="T151" s="1083"/>
      <c r="U151" s="1084"/>
      <c r="V151" s="480"/>
      <c r="W151" s="480"/>
      <c r="Z151" s="462"/>
    </row>
    <row r="152" spans="1:26" x14ac:dyDescent="0.3">
      <c r="A152" s="463">
        <f t="shared" si="23"/>
        <v>136</v>
      </c>
      <c r="D152" s="463" t="s">
        <v>778</v>
      </c>
      <c r="G152" s="485"/>
      <c r="H152" s="485"/>
      <c r="I152" s="485"/>
      <c r="J152" s="486"/>
      <c r="K152" s="487"/>
      <c r="L152" s="487"/>
      <c r="M152" s="488"/>
      <c r="P152" s="929"/>
      <c r="Q152" s="929"/>
      <c r="R152" s="929"/>
      <c r="T152" s="929"/>
      <c r="U152" s="1072"/>
      <c r="V152" s="480"/>
      <c r="W152" s="480"/>
      <c r="Z152" s="462"/>
    </row>
    <row r="153" spans="1:26" x14ac:dyDescent="0.3">
      <c r="A153" s="463">
        <f t="shared" si="23"/>
        <v>137</v>
      </c>
      <c r="D153" s="492" t="s">
        <v>779</v>
      </c>
      <c r="F153" s="463" t="s">
        <v>761</v>
      </c>
      <c r="G153" s="485">
        <v>4.62</v>
      </c>
      <c r="H153" s="485">
        <f>I153</f>
        <v>4.62</v>
      </c>
      <c r="I153" s="503">
        <v>4.62</v>
      </c>
      <c r="J153" s="486"/>
      <c r="K153" s="487" t="s">
        <v>773</v>
      </c>
      <c r="L153" s="487"/>
      <c r="M153" s="488"/>
      <c r="N153" s="1082">
        <f>H153-G153</f>
        <v>0</v>
      </c>
      <c r="O153" s="1073">
        <f>(N153/G153)</f>
        <v>0</v>
      </c>
      <c r="P153" s="929"/>
      <c r="Q153" s="1098" t="s">
        <v>238</v>
      </c>
      <c r="R153" s="1098" t="s">
        <v>238</v>
      </c>
      <c r="T153" s="1098" t="s">
        <v>238</v>
      </c>
      <c r="U153" s="1072"/>
      <c r="V153" s="480" t="s">
        <v>623</v>
      </c>
      <c r="W153" s="480" t="s">
        <v>623</v>
      </c>
      <c r="Z153" s="462"/>
    </row>
    <row r="154" spans="1:26" x14ac:dyDescent="0.3">
      <c r="A154" s="463">
        <f t="shared" si="23"/>
        <v>138</v>
      </c>
      <c r="D154" s="463" t="s">
        <v>764</v>
      </c>
      <c r="G154" s="485"/>
      <c r="H154" s="485"/>
      <c r="I154" s="485"/>
      <c r="J154" s="486"/>
      <c r="K154" s="487"/>
      <c r="L154" s="487"/>
      <c r="M154" s="488"/>
      <c r="P154" s="929"/>
      <c r="Q154" s="929"/>
      <c r="R154" s="929"/>
      <c r="T154" s="929"/>
      <c r="U154" s="1072"/>
      <c r="V154" s="480"/>
      <c r="W154" s="480"/>
      <c r="Z154" s="462"/>
    </row>
    <row r="155" spans="1:26" x14ac:dyDescent="0.3">
      <c r="A155" s="463">
        <f t="shared" si="23"/>
        <v>139</v>
      </c>
      <c r="D155" s="492" t="s">
        <v>148</v>
      </c>
      <c r="F155" s="463" t="s">
        <v>761</v>
      </c>
      <c r="G155" s="485">
        <f>G121</f>
        <v>1.3</v>
      </c>
      <c r="H155" s="485">
        <f>I155</f>
        <v>1.34</v>
      </c>
      <c r="I155" s="503">
        <f>I121</f>
        <v>1.34</v>
      </c>
      <c r="J155" s="486" t="s">
        <v>765</v>
      </c>
      <c r="K155" s="487" t="s">
        <v>751</v>
      </c>
      <c r="L155" s="487"/>
      <c r="M155" s="488"/>
      <c r="N155" s="1082">
        <f>H155-G155</f>
        <v>4.0000000000000036E-2</v>
      </c>
      <c r="O155" s="1073">
        <f>(N155/G155)</f>
        <v>3.0769230769230795E-2</v>
      </c>
      <c r="P155" s="929">
        <v>-2944748.5861526635</v>
      </c>
      <c r="Q155" s="1083">
        <f>(P155*G155)/1000</f>
        <v>-3828.1731619984625</v>
      </c>
      <c r="R155" s="1083">
        <f>(P155*H155)/1000</f>
        <v>-3945.963105444569</v>
      </c>
      <c r="S155" s="1084">
        <f>R155-Q155</f>
        <v>-117.78994344610646</v>
      </c>
      <c r="T155" s="1083">
        <f>(P155*I155)/1000</f>
        <v>-3945.963105444569</v>
      </c>
      <c r="U155" s="1084">
        <f>R155-T155</f>
        <v>0</v>
      </c>
      <c r="V155" s="480" t="s">
        <v>623</v>
      </c>
      <c r="W155" s="480" t="s">
        <v>623</v>
      </c>
      <c r="Z155" s="462"/>
    </row>
    <row r="156" spans="1:26" x14ac:dyDescent="0.3">
      <c r="A156" s="463">
        <f t="shared" si="23"/>
        <v>140</v>
      </c>
      <c r="D156" s="492" t="s">
        <v>597</v>
      </c>
      <c r="F156" s="463" t="s">
        <v>761</v>
      </c>
      <c r="G156" s="485">
        <f t="shared" ref="G156:G157" si="25">G122</f>
        <v>6.18</v>
      </c>
      <c r="H156" s="485">
        <f t="shared" ref="H156:H157" si="26">I156</f>
        <v>6.47</v>
      </c>
      <c r="I156" s="503">
        <f t="shared" ref="I156:I157" si="27">I122</f>
        <v>6.47</v>
      </c>
      <c r="J156" s="486" t="s">
        <v>765</v>
      </c>
      <c r="K156" s="487" t="s">
        <v>751</v>
      </c>
      <c r="L156" s="487"/>
      <c r="M156" s="488"/>
      <c r="N156" s="1082">
        <f>H156-G156</f>
        <v>0.29000000000000004</v>
      </c>
      <c r="O156" s="1073">
        <f>(N156/G156)</f>
        <v>4.6925566343042076E-2</v>
      </c>
      <c r="P156" s="929">
        <v>-1952363.4690865481</v>
      </c>
      <c r="Q156" s="1083">
        <f>(P156*G156)/1000</f>
        <v>-12065.606238954866</v>
      </c>
      <c r="R156" s="1083">
        <f>(P156*H156)/1000</f>
        <v>-12631.791644989966</v>
      </c>
      <c r="S156" s="1084">
        <f>R156-Q156</f>
        <v>-566.18540603509973</v>
      </c>
      <c r="T156" s="1083">
        <f>(P156*I156)/1000</f>
        <v>-12631.791644989966</v>
      </c>
      <c r="U156" s="1084">
        <f>R156-T156</f>
        <v>0</v>
      </c>
      <c r="V156" s="480" t="s">
        <v>623</v>
      </c>
      <c r="W156" s="480" t="s">
        <v>623</v>
      </c>
      <c r="Z156" s="462"/>
    </row>
    <row r="157" spans="1:26" x14ac:dyDescent="0.3">
      <c r="A157" s="463">
        <f t="shared" si="23"/>
        <v>141</v>
      </c>
      <c r="D157" s="492" t="s">
        <v>766</v>
      </c>
      <c r="F157" s="463" t="s">
        <v>761</v>
      </c>
      <c r="G157" s="485">
        <f t="shared" si="25"/>
        <v>8.61</v>
      </c>
      <c r="H157" s="485">
        <f t="shared" si="26"/>
        <v>9.0399999999999991</v>
      </c>
      <c r="I157" s="503">
        <f t="shared" si="27"/>
        <v>9.0399999999999991</v>
      </c>
      <c r="J157" s="486" t="s">
        <v>765</v>
      </c>
      <c r="K157" s="487" t="s">
        <v>751</v>
      </c>
      <c r="L157" s="487"/>
      <c r="M157" s="488"/>
      <c r="N157" s="1082"/>
      <c r="P157" s="929"/>
      <c r="Q157" s="1083"/>
      <c r="R157" s="1083"/>
      <c r="S157" s="1084"/>
      <c r="T157" s="1083"/>
      <c r="U157" s="1084"/>
      <c r="V157" s="480"/>
      <c r="W157" s="480"/>
      <c r="Z157" s="462"/>
    </row>
    <row r="158" spans="1:26" x14ac:dyDescent="0.3">
      <c r="A158" s="463">
        <f t="shared" si="23"/>
        <v>142</v>
      </c>
      <c r="D158" s="463" t="s">
        <v>650</v>
      </c>
      <c r="F158" s="463" t="s">
        <v>761</v>
      </c>
      <c r="G158" s="503">
        <v>1.96</v>
      </c>
      <c r="H158" s="503">
        <f>H125</f>
        <v>2.06</v>
      </c>
      <c r="I158" s="503">
        <f>'MFR E-14G'!I22</f>
        <v>2.06</v>
      </c>
      <c r="J158" s="486" t="s">
        <v>750</v>
      </c>
      <c r="K158" s="487" t="s">
        <v>751</v>
      </c>
      <c r="L158" s="487"/>
      <c r="M158" s="488"/>
      <c r="N158" s="1082">
        <f>H158-G158</f>
        <v>0.10000000000000009</v>
      </c>
      <c r="O158" s="1073">
        <f>(N158/G158)</f>
        <v>5.1020408163265356E-2</v>
      </c>
      <c r="P158" s="929"/>
      <c r="Q158" s="929"/>
      <c r="R158" s="929"/>
      <c r="T158" s="929"/>
      <c r="U158" s="1072"/>
      <c r="V158" s="480" t="s">
        <v>623</v>
      </c>
      <c r="W158" s="480" t="s">
        <v>623</v>
      </c>
      <c r="Z158" s="462"/>
    </row>
    <row r="159" spans="1:26" x14ac:dyDescent="0.3">
      <c r="A159" s="463">
        <f t="shared" si="23"/>
        <v>143</v>
      </c>
      <c r="G159" s="487"/>
      <c r="H159" s="487"/>
      <c r="I159" s="487"/>
      <c r="J159" s="486"/>
      <c r="K159" s="487"/>
      <c r="L159" s="487"/>
      <c r="M159" s="488"/>
      <c r="P159" s="929"/>
      <c r="Q159" s="929"/>
      <c r="R159" s="929"/>
      <c r="T159" s="929"/>
      <c r="U159" s="1072"/>
      <c r="V159" s="480"/>
      <c r="W159" s="480"/>
      <c r="Z159" s="462"/>
    </row>
    <row r="160" spans="1:26" x14ac:dyDescent="0.3">
      <c r="A160" s="463">
        <f t="shared" si="23"/>
        <v>144</v>
      </c>
      <c r="C160" s="463" t="s">
        <v>727</v>
      </c>
      <c r="G160" s="487"/>
      <c r="H160" s="487"/>
      <c r="I160" s="487"/>
      <c r="J160" s="486"/>
      <c r="K160" s="487"/>
      <c r="L160" s="487"/>
      <c r="M160" s="488"/>
      <c r="P160" s="929"/>
      <c r="Q160" s="929"/>
      <c r="R160" s="929"/>
      <c r="T160" s="929"/>
      <c r="U160" s="1072"/>
      <c r="V160" s="480"/>
      <c r="W160" s="480"/>
      <c r="Z160" s="462"/>
    </row>
    <row r="161" spans="1:29" x14ac:dyDescent="0.3">
      <c r="A161" s="463">
        <f t="shared" si="23"/>
        <v>145</v>
      </c>
      <c r="D161" s="463" t="s">
        <v>543</v>
      </c>
      <c r="F161" s="463" t="s">
        <v>730</v>
      </c>
      <c r="G161" s="494">
        <f>'MFR E-13c'!F420/10</f>
        <v>1.7449999999999999</v>
      </c>
      <c r="H161" s="494">
        <f>'MFR E-13c'!L420/10</f>
        <v>1.8120000000000001</v>
      </c>
      <c r="I161" s="494">
        <f>SUM('MFR E-6b'!U59,'MFR E-6b'!U66)/10</f>
        <v>5.5706439173031335</v>
      </c>
      <c r="J161" s="486" t="s">
        <v>757</v>
      </c>
      <c r="K161" s="494" t="s">
        <v>721</v>
      </c>
      <c r="L161" s="494"/>
      <c r="M161" s="497"/>
      <c r="N161" s="1082">
        <f>H161-G161</f>
        <v>6.7000000000000171E-2</v>
      </c>
      <c r="O161" s="1073">
        <f>(N161/G161)</f>
        <v>3.8395415472779471E-2</v>
      </c>
      <c r="P161" s="929">
        <v>215765.09689558548</v>
      </c>
      <c r="Q161" s="1083">
        <f>(P161*G161*10)/1000</f>
        <v>3765.1009408279665</v>
      </c>
      <c r="R161" s="1083">
        <f>(P161*H161*10)/1000</f>
        <v>3909.663555748009</v>
      </c>
      <c r="S161" s="1084">
        <f>R161-Q161</f>
        <v>144.56261492004251</v>
      </c>
      <c r="T161" s="1083">
        <f>(P161*I161*10)/1000</f>
        <v>12019.505245877142</v>
      </c>
      <c r="U161" s="1084">
        <f>R161-T161</f>
        <v>-8109.841690129133</v>
      </c>
      <c r="V161" s="480" t="s">
        <v>623</v>
      </c>
      <c r="W161" s="480" t="s">
        <v>623</v>
      </c>
      <c r="Z161" s="462"/>
    </row>
    <row r="162" spans="1:29" x14ac:dyDescent="0.3">
      <c r="A162" s="463">
        <f t="shared" si="23"/>
        <v>146</v>
      </c>
      <c r="D162" s="463" t="s">
        <v>735</v>
      </c>
      <c r="F162" s="463" t="s">
        <v>730</v>
      </c>
      <c r="G162" s="494">
        <f>'MFR E-13c'!F425/10</f>
        <v>2.7030000000000003</v>
      </c>
      <c r="H162" s="494">
        <f>'MFR E-13c'!L425/10</f>
        <v>2.9050000000000002</v>
      </c>
      <c r="I162" s="684">
        <f>ROUND('MFR E-14C'!AA265,3)</f>
        <v>2.9060000000000001</v>
      </c>
      <c r="J162" s="486" t="s">
        <v>736</v>
      </c>
      <c r="K162" s="487" t="s">
        <v>737</v>
      </c>
      <c r="L162" s="494"/>
      <c r="M162" s="497"/>
      <c r="N162" s="1082">
        <f>H162-G162</f>
        <v>0.20199999999999996</v>
      </c>
      <c r="O162" s="1073">
        <f>(N162/G162)</f>
        <v>7.4731779504254511E-2</v>
      </c>
      <c r="P162" s="929">
        <v>541223.63194336905</v>
      </c>
      <c r="Q162" s="1083">
        <f>(P162*G162*10)/1000</f>
        <v>14629.274771429267</v>
      </c>
      <c r="R162" s="1083">
        <f>(P162*H162*10)/1000</f>
        <v>15722.546507954874</v>
      </c>
      <c r="S162" s="1084">
        <f>R162-Q162</f>
        <v>1093.2717365256067</v>
      </c>
      <c r="T162" s="1083">
        <f>(P162*I162*10)/1000</f>
        <v>15727.958744274305</v>
      </c>
      <c r="U162" s="1084">
        <f>R162-T162</f>
        <v>-5.412236319431031</v>
      </c>
      <c r="V162" s="480" t="s">
        <v>624</v>
      </c>
      <c r="W162" s="480" t="s">
        <v>624</v>
      </c>
      <c r="Z162" s="462"/>
    </row>
    <row r="163" spans="1:29" x14ac:dyDescent="0.3">
      <c r="A163" s="463">
        <f t="shared" si="23"/>
        <v>147</v>
      </c>
      <c r="D163" s="463" t="s">
        <v>738</v>
      </c>
      <c r="F163" s="463" t="s">
        <v>730</v>
      </c>
      <c r="G163" s="494">
        <f>'MFR E-13c'!F426/10</f>
        <v>2.0019999999999998</v>
      </c>
      <c r="H163" s="494">
        <f>'MFR E-13c'!L426/10</f>
        <v>2.0750000000000002</v>
      </c>
      <c r="I163" s="684">
        <f>ROUND('MFR E-14C'!AA266,3)</f>
        <v>2.0760000000000001</v>
      </c>
      <c r="J163" s="486" t="s">
        <v>736</v>
      </c>
      <c r="K163" s="487" t="s">
        <v>737</v>
      </c>
      <c r="L163" s="494"/>
      <c r="M163" s="497"/>
      <c r="N163" s="1082">
        <f>H163-G163</f>
        <v>7.3000000000000398E-2</v>
      </c>
      <c r="O163" s="1073">
        <f>(N163/G163)</f>
        <v>3.6463536463536665E-2</v>
      </c>
      <c r="P163" s="929">
        <v>1607911.8711610455</v>
      </c>
      <c r="Q163" s="1083">
        <f>(P163*G163*10)/1000</f>
        <v>32190.395660644128</v>
      </c>
      <c r="R163" s="1083">
        <f>(P163*H163*10)/1000</f>
        <v>33364.171326591699</v>
      </c>
      <c r="S163" s="1084">
        <f>R163-Q163</f>
        <v>1173.7756659475708</v>
      </c>
      <c r="T163" s="1083">
        <f>(P163*I163*10)/1000</f>
        <v>33380.250445303303</v>
      </c>
      <c r="U163" s="1084">
        <f>R163-T163</f>
        <v>-16.079118711604679</v>
      </c>
      <c r="V163" s="480" t="s">
        <v>624</v>
      </c>
      <c r="W163" s="480" t="s">
        <v>624</v>
      </c>
      <c r="Z163" s="462"/>
    </row>
    <row r="164" spans="1:29" x14ac:dyDescent="0.3">
      <c r="A164" s="463">
        <f t="shared" si="23"/>
        <v>148</v>
      </c>
      <c r="D164" s="463" t="s">
        <v>739</v>
      </c>
      <c r="F164" s="463" t="s">
        <v>730</v>
      </c>
      <c r="G164" s="494">
        <f>'MFR E-13c'!F427/10</f>
        <v>1.55</v>
      </c>
      <c r="H164" s="494">
        <f>'MFR E-13c'!L427/10</f>
        <v>1.579</v>
      </c>
      <c r="I164" s="684">
        <f>ROUND('MFR E-14C'!AA267,3)</f>
        <v>1.58</v>
      </c>
      <c r="J164" s="486" t="s">
        <v>736</v>
      </c>
      <c r="K164" s="487" t="s">
        <v>737</v>
      </c>
      <c r="L164" s="494"/>
      <c r="M164" s="497"/>
      <c r="N164" s="1082"/>
      <c r="P164" s="929"/>
      <c r="Q164" s="1083"/>
      <c r="R164" s="1083"/>
      <c r="S164" s="1084"/>
      <c r="T164" s="1083"/>
      <c r="U164" s="1084"/>
      <c r="V164" s="480"/>
      <c r="W164" s="480"/>
      <c r="Z164" s="462"/>
    </row>
    <row r="165" spans="1:29" x14ac:dyDescent="0.3">
      <c r="A165" s="463">
        <f t="shared" si="23"/>
        <v>149</v>
      </c>
      <c r="G165" s="487"/>
      <c r="H165" s="487"/>
      <c r="I165" s="487"/>
      <c r="J165" s="486"/>
      <c r="K165" s="487"/>
      <c r="L165" s="487"/>
      <c r="M165" s="488"/>
      <c r="P165" s="929"/>
      <c r="Q165" s="929"/>
      <c r="R165" s="929"/>
      <c r="T165" s="929"/>
      <c r="U165" s="1072"/>
      <c r="V165" s="480"/>
      <c r="W165" s="480"/>
      <c r="Z165" s="462"/>
    </row>
    <row r="166" spans="1:29" x14ac:dyDescent="0.3">
      <c r="A166" s="463">
        <f t="shared" si="23"/>
        <v>150</v>
      </c>
      <c r="C166" s="463" t="s">
        <v>752</v>
      </c>
      <c r="G166" s="487"/>
      <c r="H166" s="487"/>
      <c r="I166" s="487"/>
      <c r="J166" s="486"/>
      <c r="K166" s="487"/>
      <c r="L166" s="487"/>
      <c r="M166" s="488"/>
      <c r="P166" s="929"/>
      <c r="Q166" s="929"/>
      <c r="R166" s="929"/>
      <c r="T166" s="929"/>
      <c r="U166" s="1072"/>
      <c r="V166" s="480"/>
      <c r="W166" s="480"/>
      <c r="Z166" s="462"/>
    </row>
    <row r="167" spans="1:29" x14ac:dyDescent="0.3">
      <c r="A167" s="463">
        <f t="shared" si="23"/>
        <v>151</v>
      </c>
      <c r="D167" s="463" t="s">
        <v>148</v>
      </c>
      <c r="F167" s="463" t="s">
        <v>419</v>
      </c>
      <c r="G167" s="499">
        <v>0.01</v>
      </c>
      <c r="H167" s="499">
        <v>0.01</v>
      </c>
      <c r="I167" s="499"/>
      <c r="J167" s="486"/>
      <c r="K167" s="487" t="s">
        <v>753</v>
      </c>
      <c r="L167" s="487"/>
      <c r="M167" s="488"/>
      <c r="N167" s="1091">
        <f>H167-G167</f>
        <v>0</v>
      </c>
      <c r="O167" s="1073">
        <f>(N167/G167)</f>
        <v>0</v>
      </c>
      <c r="P167" s="929"/>
      <c r="Q167" s="1083">
        <f>(P167*G167)/1000</f>
        <v>0</v>
      </c>
      <c r="R167" s="1083">
        <f>(P167*H167)/1000</f>
        <v>0</v>
      </c>
      <c r="S167" s="1084">
        <f>R167-Q167</f>
        <v>0</v>
      </c>
      <c r="T167" s="1083">
        <f>(P167*I167)/1000</f>
        <v>0</v>
      </c>
      <c r="U167" s="1084">
        <f>R167-T167</f>
        <v>0</v>
      </c>
      <c r="V167" s="480" t="s">
        <v>623</v>
      </c>
      <c r="W167" s="480" t="s">
        <v>623</v>
      </c>
      <c r="Z167" s="462"/>
    </row>
    <row r="168" spans="1:29" x14ac:dyDescent="0.3">
      <c r="A168" s="463">
        <f t="shared" si="23"/>
        <v>152</v>
      </c>
      <c r="D168" s="463" t="s">
        <v>216</v>
      </c>
      <c r="F168" s="463" t="s">
        <v>419</v>
      </c>
      <c r="G168" s="499">
        <v>0.02</v>
      </c>
      <c r="H168" s="499">
        <v>0.02</v>
      </c>
      <c r="I168" s="499"/>
      <c r="J168" s="486"/>
      <c r="K168" s="487" t="s">
        <v>753</v>
      </c>
      <c r="L168" s="487"/>
      <c r="M168" s="488"/>
      <c r="N168" s="1091">
        <f>H168-G168</f>
        <v>0</v>
      </c>
      <c r="O168" s="1073">
        <f>(N168/G168)</f>
        <v>0</v>
      </c>
      <c r="P168" s="929"/>
      <c r="Q168" s="1083">
        <f>(P168*G168)/1000</f>
        <v>0</v>
      </c>
      <c r="R168" s="1083">
        <f>(P168*H168)/1000</f>
        <v>0</v>
      </c>
      <c r="S168" s="1084">
        <f>R168-Q168</f>
        <v>0</v>
      </c>
      <c r="T168" s="1083">
        <f>(P168*I168)/1000</f>
        <v>0</v>
      </c>
      <c r="U168" s="1084">
        <f>R168-T168</f>
        <v>0</v>
      </c>
      <c r="V168" s="480" t="s">
        <v>623</v>
      </c>
      <c r="W168" s="480" t="s">
        <v>623</v>
      </c>
      <c r="Z168" s="462"/>
    </row>
    <row r="169" spans="1:29" x14ac:dyDescent="0.3">
      <c r="A169" s="463">
        <f t="shared" si="23"/>
        <v>153</v>
      </c>
      <c r="G169" s="499"/>
      <c r="H169" s="499"/>
      <c r="I169" s="499"/>
      <c r="J169" s="486"/>
      <c r="K169" s="487"/>
      <c r="L169" s="487"/>
      <c r="M169" s="488"/>
      <c r="N169" s="1082"/>
      <c r="P169" s="929"/>
      <c r="Q169" s="929"/>
      <c r="R169" s="929"/>
      <c r="T169" s="929"/>
      <c r="U169" s="1072"/>
      <c r="V169" s="480"/>
      <c r="W169" s="480"/>
      <c r="Z169" s="462"/>
    </row>
    <row r="170" spans="1:29" x14ac:dyDescent="0.3">
      <c r="A170" s="463">
        <f t="shared" si="23"/>
        <v>154</v>
      </c>
      <c r="C170" s="463" t="s">
        <v>754</v>
      </c>
      <c r="F170" s="463" t="s">
        <v>419</v>
      </c>
      <c r="G170" s="500">
        <f>G101</f>
        <v>9.5999999999999992E-3</v>
      </c>
      <c r="H170" s="1222">
        <f>I170</f>
        <v>9.5999999999999992E-3</v>
      </c>
      <c r="I170" s="1223">
        <f>I101</f>
        <v>9.5999999999999992E-3</v>
      </c>
      <c r="J170" s="477" t="s">
        <v>755</v>
      </c>
      <c r="K170" s="501" t="s">
        <v>756</v>
      </c>
      <c r="L170" s="487"/>
      <c r="M170" s="488"/>
      <c r="N170" s="1092">
        <f>H170-G170</f>
        <v>0</v>
      </c>
      <c r="O170" s="1073">
        <f>(N170/G170)</f>
        <v>0</v>
      </c>
      <c r="P170" s="929"/>
      <c r="Q170" s="929"/>
      <c r="R170" s="929"/>
      <c r="T170" s="929"/>
      <c r="U170" s="1072"/>
      <c r="V170" s="480" t="s">
        <v>623</v>
      </c>
      <c r="W170" s="480" t="s">
        <v>623</v>
      </c>
      <c r="Z170" s="462"/>
    </row>
    <row r="171" spans="1:29" ht="14.4" thickBot="1" x14ac:dyDescent="0.35">
      <c r="B171" s="467"/>
      <c r="C171" s="467"/>
      <c r="D171" s="467"/>
      <c r="E171" s="467"/>
      <c r="F171" s="467"/>
      <c r="G171" s="488"/>
      <c r="H171" s="488"/>
      <c r="I171" s="488"/>
      <c r="J171" s="495"/>
      <c r="K171" s="488"/>
      <c r="L171" s="488"/>
      <c r="M171" s="488"/>
      <c r="N171" s="1085"/>
      <c r="O171" s="1086"/>
      <c r="P171" s="1087"/>
      <c r="Q171" s="1088">
        <f>SUM(Q139:Q170)</f>
        <v>67460.134695046261</v>
      </c>
      <c r="R171" s="1088">
        <f>SUM(R139:R170)</f>
        <v>70674.223115763685</v>
      </c>
      <c r="S171" s="1088">
        <f>SUM(S139:S170)</f>
        <v>3214.0884207174367</v>
      </c>
      <c r="T171" s="1088">
        <f>SUM(T139:T170)</f>
        <v>80632.103586947953</v>
      </c>
      <c r="U171" s="1088">
        <f>SUM(U139:U170)</f>
        <v>-9957.8804711842677</v>
      </c>
      <c r="V171" s="480"/>
      <c r="W171" s="480"/>
      <c r="Z171" s="462"/>
    </row>
    <row r="172" spans="1:29" ht="14.4" thickTop="1" x14ac:dyDescent="0.3">
      <c r="A172" s="463">
        <f>+A170+1</f>
        <v>155</v>
      </c>
      <c r="B172" s="484"/>
      <c r="G172" s="487"/>
      <c r="H172" s="487"/>
      <c r="I172" s="487"/>
      <c r="J172" s="486"/>
      <c r="K172" s="487"/>
      <c r="L172" s="487"/>
      <c r="M172" s="488"/>
      <c r="P172" s="929"/>
      <c r="Q172" s="929"/>
      <c r="R172" s="929"/>
      <c r="S172" s="1089" t="s">
        <v>743</v>
      </c>
      <c r="T172" s="1090">
        <v>0</v>
      </c>
      <c r="U172" s="1072"/>
      <c r="V172" s="480"/>
      <c r="W172" s="480"/>
      <c r="Z172" s="462"/>
    </row>
    <row r="173" spans="1:29" x14ac:dyDescent="0.3">
      <c r="A173" s="463">
        <f t="shared" si="23"/>
        <v>156</v>
      </c>
      <c r="B173" s="484" t="s">
        <v>125</v>
      </c>
      <c r="C173" s="463" t="s">
        <v>719</v>
      </c>
      <c r="G173" s="487"/>
      <c r="H173" s="487"/>
      <c r="I173" s="487"/>
      <c r="J173" s="486"/>
      <c r="K173" s="487"/>
      <c r="L173" s="487"/>
      <c r="M173" s="488"/>
      <c r="P173" s="929"/>
      <c r="Q173" s="929"/>
      <c r="R173" s="929"/>
      <c r="T173" s="929"/>
      <c r="U173" s="1072"/>
      <c r="V173" s="480"/>
      <c r="W173" s="480"/>
      <c r="Z173" s="462"/>
    </row>
    <row r="174" spans="1:29" x14ac:dyDescent="0.3">
      <c r="A174" s="463">
        <f t="shared" si="23"/>
        <v>157</v>
      </c>
      <c r="D174" s="463" t="s">
        <v>543</v>
      </c>
      <c r="G174" s="487"/>
      <c r="H174" s="487"/>
      <c r="I174" s="487"/>
      <c r="J174" s="486"/>
      <c r="K174" s="487"/>
      <c r="L174" s="487"/>
      <c r="M174" s="488"/>
      <c r="P174" s="929"/>
      <c r="Q174" s="929"/>
      <c r="R174" s="929"/>
      <c r="T174" s="929"/>
      <c r="U174" s="1072"/>
      <c r="V174" s="480"/>
      <c r="W174" s="480"/>
      <c r="Z174" s="462"/>
    </row>
    <row r="175" spans="1:29" x14ac:dyDescent="0.3">
      <c r="A175" s="463">
        <f t="shared" si="23"/>
        <v>158</v>
      </c>
      <c r="D175" s="492" t="s">
        <v>578</v>
      </c>
      <c r="F175" s="463" t="s">
        <v>717</v>
      </c>
      <c r="G175" s="485">
        <f>'MFR E-13c'!F467</f>
        <v>2.1800000000000002</v>
      </c>
      <c r="H175" s="485">
        <f>'MFR E-13c'!L467</f>
        <v>2.27</v>
      </c>
      <c r="I175" s="485"/>
      <c r="J175" s="486"/>
      <c r="K175" s="487" t="s">
        <v>721</v>
      </c>
      <c r="L175" s="487"/>
      <c r="M175" s="488"/>
      <c r="N175" s="1082">
        <f>H175-G175</f>
        <v>8.9999999999999858E-2</v>
      </c>
      <c r="O175" s="1073">
        <f>(N175/G175)</f>
        <v>4.1284403669724704E-2</v>
      </c>
      <c r="P175" s="929">
        <v>759338.53267315903</v>
      </c>
      <c r="Q175" s="1083">
        <f>(P175*G175)/1000</f>
        <v>1655.358001227487</v>
      </c>
      <c r="R175" s="1083">
        <f>(P175*H175)/1000</f>
        <v>1723.6984691680709</v>
      </c>
      <c r="S175" s="1084">
        <f>R175-Q175</f>
        <v>68.340467940583949</v>
      </c>
      <c r="T175" s="1083">
        <f>(P175*I175)/1000</f>
        <v>0</v>
      </c>
      <c r="U175" s="1084">
        <f>R175-T175</f>
        <v>1723.6984691680709</v>
      </c>
      <c r="V175" s="480" t="s">
        <v>125</v>
      </c>
      <c r="W175" s="480" t="s">
        <v>125</v>
      </c>
      <c r="Z175" s="462"/>
      <c r="AC175" s="463" t="b">
        <f t="shared" ref="AC175:AC176" si="28">H175&gt;=I175</f>
        <v>1</v>
      </c>
    </row>
    <row r="176" spans="1:29" x14ac:dyDescent="0.3">
      <c r="A176" s="463">
        <f t="shared" si="23"/>
        <v>159</v>
      </c>
      <c r="D176" s="492" t="s">
        <v>758</v>
      </c>
      <c r="F176" s="463" t="s">
        <v>717</v>
      </c>
      <c r="G176" s="485">
        <f>'MFR E-13c'!F468</f>
        <v>6.29</v>
      </c>
      <c r="H176" s="485">
        <f>'MFR E-13c'!L468</f>
        <v>6.59</v>
      </c>
      <c r="I176" s="485"/>
      <c r="J176" s="486"/>
      <c r="K176" s="487" t="s">
        <v>721</v>
      </c>
      <c r="L176" s="487"/>
      <c r="M176" s="488"/>
      <c r="N176" s="1082">
        <f>H176-G176</f>
        <v>0.29999999999999982</v>
      </c>
      <c r="O176" s="1073">
        <f>(N176/G176)</f>
        <v>4.7694753577106487E-2</v>
      </c>
      <c r="P176" s="929">
        <v>13133.290380574794</v>
      </c>
      <c r="Q176" s="1083">
        <f>(P176*G176)/1000</f>
        <v>82.608396493815448</v>
      </c>
      <c r="R176" s="1083">
        <f>(P176*H176)/1000</f>
        <v>86.548383607987887</v>
      </c>
      <c r="S176" s="1084">
        <f>R176-Q176</f>
        <v>3.939987114172439</v>
      </c>
      <c r="T176" s="1083">
        <f>(P176*I176)/1000</f>
        <v>0</v>
      </c>
      <c r="U176" s="1084">
        <f>R176-T176</f>
        <v>86.548383607987887</v>
      </c>
      <c r="V176" s="480" t="s">
        <v>125</v>
      </c>
      <c r="W176" s="480" t="s">
        <v>125</v>
      </c>
      <c r="Z176" s="462"/>
      <c r="AC176" s="463" t="b">
        <f t="shared" si="28"/>
        <v>1</v>
      </c>
    </row>
    <row r="177" spans="1:29" x14ac:dyDescent="0.3">
      <c r="A177" s="463">
        <f t="shared" si="23"/>
        <v>160</v>
      </c>
      <c r="G177" s="487"/>
      <c r="H177" s="487"/>
      <c r="I177" s="487"/>
      <c r="J177" s="486"/>
      <c r="K177" s="487"/>
      <c r="L177" s="487"/>
      <c r="M177" s="488"/>
      <c r="P177" s="929"/>
      <c r="Q177" s="929"/>
      <c r="R177" s="929"/>
      <c r="T177" s="929"/>
      <c r="U177" s="1072"/>
      <c r="V177" s="480"/>
      <c r="W177" s="480"/>
      <c r="Z177" s="462"/>
    </row>
    <row r="178" spans="1:29" x14ac:dyDescent="0.3">
      <c r="A178" s="463">
        <f t="shared" si="23"/>
        <v>161</v>
      </c>
      <c r="C178" s="463" t="s">
        <v>727</v>
      </c>
      <c r="G178" s="487"/>
      <c r="H178" s="487"/>
      <c r="I178" s="487"/>
      <c r="J178" s="486"/>
      <c r="K178" s="487"/>
      <c r="L178" s="487"/>
      <c r="M178" s="488"/>
      <c r="P178" s="929"/>
      <c r="Q178" s="929"/>
      <c r="R178" s="929"/>
      <c r="T178" s="929"/>
      <c r="U178" s="1072"/>
      <c r="V178" s="480"/>
      <c r="W178" s="480"/>
      <c r="Z178" s="462"/>
    </row>
    <row r="179" spans="1:29" x14ac:dyDescent="0.3">
      <c r="A179" s="463">
        <f t="shared" si="23"/>
        <v>162</v>
      </c>
      <c r="D179" s="463" t="s">
        <v>543</v>
      </c>
      <c r="F179" s="463" t="s">
        <v>730</v>
      </c>
      <c r="G179" s="494">
        <f>'MFR E-13c'!F473/10</f>
        <v>3.8630000000000004</v>
      </c>
      <c r="H179" s="494">
        <f>'MFR E-13c'!L473/10</f>
        <v>4.0220000000000002</v>
      </c>
      <c r="I179" s="494"/>
      <c r="J179" s="498"/>
      <c r="K179" s="487" t="s">
        <v>721</v>
      </c>
      <c r="L179" s="494"/>
      <c r="M179" s="497"/>
      <c r="N179" s="1082">
        <f>H179-G179</f>
        <v>0.15899999999999981</v>
      </c>
      <c r="O179" s="1073">
        <f>(N179/G179)</f>
        <v>4.1159720424540455E-2</v>
      </c>
      <c r="P179" s="929">
        <v>333817</v>
      </c>
      <c r="Q179" s="1083">
        <f>(P179*G179*10)/1000</f>
        <v>12895.350710000002</v>
      </c>
      <c r="R179" s="1083">
        <f>(P179*H179*10)/1000</f>
        <v>13426.119740000002</v>
      </c>
      <c r="S179" s="1084">
        <f>R179-Q179</f>
        <v>530.76902999999947</v>
      </c>
      <c r="T179" s="1083">
        <f>(P179*I179*10)/1000</f>
        <v>0</v>
      </c>
      <c r="U179" s="1084">
        <f>R179-T179</f>
        <v>13426.119740000002</v>
      </c>
      <c r="V179" s="480" t="s">
        <v>125</v>
      </c>
      <c r="W179" s="480" t="s">
        <v>125</v>
      </c>
      <c r="Z179" s="462"/>
    </row>
    <row r="180" spans="1:29" x14ac:dyDescent="0.3">
      <c r="A180" s="463">
        <f t="shared" si="23"/>
        <v>163</v>
      </c>
      <c r="M180" s="467"/>
      <c r="P180" s="929"/>
      <c r="Q180" s="1083"/>
      <c r="R180" s="1083"/>
      <c r="T180" s="1083"/>
      <c r="U180" s="1072"/>
      <c r="V180" s="480"/>
      <c r="W180" s="480"/>
      <c r="Z180" s="462"/>
    </row>
    <row r="181" spans="1:29" x14ac:dyDescent="0.3">
      <c r="A181" s="463">
        <f t="shared" si="23"/>
        <v>164</v>
      </c>
      <c r="C181" s="463" t="s">
        <v>780</v>
      </c>
      <c r="F181" s="463" t="s">
        <v>419</v>
      </c>
      <c r="G181" s="468">
        <v>1.11E-2</v>
      </c>
      <c r="H181" s="468">
        <f>I181</f>
        <v>1.14E-2</v>
      </c>
      <c r="I181" s="1223">
        <v>1.14E-2</v>
      </c>
      <c r="J181" s="477" t="s">
        <v>781</v>
      </c>
      <c r="K181" s="501" t="s">
        <v>756</v>
      </c>
      <c r="M181" s="467"/>
      <c r="N181" s="1092">
        <f>H181-G181</f>
        <v>2.9999999999999992E-4</v>
      </c>
      <c r="O181" s="1073">
        <f>(N181/G181)</f>
        <v>2.7027027027027018E-2</v>
      </c>
      <c r="P181" s="929"/>
      <c r="Q181" s="1083"/>
      <c r="R181" s="1083"/>
      <c r="T181" s="1083"/>
      <c r="U181" s="1072"/>
      <c r="V181" s="480" t="s">
        <v>125</v>
      </c>
      <c r="W181" s="480" t="s">
        <v>125</v>
      </c>
      <c r="Z181" s="462"/>
    </row>
    <row r="182" spans="1:29" x14ac:dyDescent="0.3">
      <c r="A182" s="463">
        <f t="shared" si="23"/>
        <v>165</v>
      </c>
      <c r="C182" s="463" t="s">
        <v>782</v>
      </c>
      <c r="F182" s="463" t="s">
        <v>419</v>
      </c>
      <c r="G182" s="468">
        <v>9.5999999999999992E-3</v>
      </c>
      <c r="H182" s="468">
        <f>I182</f>
        <v>9.5999999999999992E-3</v>
      </c>
      <c r="I182" s="1223">
        <v>9.5999999999999992E-3</v>
      </c>
      <c r="J182" s="477" t="s">
        <v>755</v>
      </c>
      <c r="K182" s="501" t="s">
        <v>756</v>
      </c>
      <c r="M182" s="467"/>
      <c r="N182" s="1092">
        <f>H182-G182</f>
        <v>0</v>
      </c>
      <c r="O182" s="1073">
        <f>(N182/G182)</f>
        <v>0</v>
      </c>
      <c r="P182" s="929"/>
      <c r="Q182" s="929"/>
      <c r="R182" s="929"/>
      <c r="T182" s="929"/>
      <c r="U182" s="1072"/>
      <c r="V182" s="480" t="s">
        <v>125</v>
      </c>
      <c r="W182" s="480" t="s">
        <v>125</v>
      </c>
      <c r="Z182" s="462"/>
    </row>
    <row r="183" spans="1:29" ht="14.4" thickBot="1" x14ac:dyDescent="0.35">
      <c r="B183" s="467"/>
      <c r="C183" s="467"/>
      <c r="D183" s="467"/>
      <c r="E183" s="467"/>
      <c r="F183" s="467"/>
      <c r="G183" s="467"/>
      <c r="H183" s="467"/>
      <c r="I183" s="467"/>
      <c r="J183" s="479"/>
      <c r="K183" s="467"/>
      <c r="L183" s="467"/>
      <c r="M183" s="467"/>
      <c r="N183" s="1085"/>
      <c r="O183" s="1086"/>
      <c r="P183" s="1087"/>
      <c r="Q183" s="1088">
        <f>SUM(Q173:Q182)</f>
        <v>14633.317107721305</v>
      </c>
      <c r="R183" s="1088">
        <f>SUM(R173:R182)</f>
        <v>15236.366592776061</v>
      </c>
      <c r="S183" s="1088">
        <f>SUM(S173:S182)</f>
        <v>603.04948505475591</v>
      </c>
      <c r="T183" s="1088">
        <f>SUM(T173:T182)</f>
        <v>0</v>
      </c>
      <c r="U183" s="1088">
        <f>SUM(U173:U182)</f>
        <v>15236.366592776061</v>
      </c>
      <c r="V183" s="480"/>
      <c r="W183" s="480"/>
      <c r="Z183" s="462"/>
    </row>
    <row r="184" spans="1:29" ht="14.4" thickTop="1" x14ac:dyDescent="0.3">
      <c r="A184" s="463">
        <f>+A182+1</f>
        <v>166</v>
      </c>
      <c r="B184" s="484"/>
      <c r="M184" s="467"/>
      <c r="P184" s="929"/>
      <c r="Q184" s="929"/>
      <c r="R184" s="929"/>
      <c r="S184" s="1089" t="s">
        <v>743</v>
      </c>
      <c r="T184" s="1090">
        <v>0</v>
      </c>
      <c r="U184" s="1072"/>
      <c r="V184" s="480"/>
      <c r="W184" s="480"/>
      <c r="Z184" s="462"/>
    </row>
    <row r="185" spans="1:29" x14ac:dyDescent="0.3">
      <c r="A185" s="463">
        <f t="shared" si="23"/>
        <v>167</v>
      </c>
      <c r="B185" s="484" t="s">
        <v>138</v>
      </c>
      <c r="C185" s="463" t="s">
        <v>719</v>
      </c>
      <c r="M185" s="467"/>
      <c r="P185" s="929"/>
      <c r="Q185" s="929"/>
      <c r="R185" s="929"/>
      <c r="T185" s="929"/>
      <c r="U185" s="1072"/>
      <c r="V185" s="480"/>
      <c r="W185" s="480"/>
      <c r="Z185" s="462"/>
    </row>
    <row r="186" spans="1:29" x14ac:dyDescent="0.3">
      <c r="A186" s="463">
        <f t="shared" si="23"/>
        <v>168</v>
      </c>
      <c r="D186" s="463" t="s">
        <v>149</v>
      </c>
      <c r="F186" s="463" t="s">
        <v>717</v>
      </c>
      <c r="G186" s="485">
        <v>186.57</v>
      </c>
      <c r="H186" s="485">
        <f>G186*(1+'Exhibit MJC-2 - Old E-8a'!V24)</f>
        <v>191.73988545997344</v>
      </c>
      <c r="I186" s="485">
        <f>'MFR E-14D2'!$I$20</f>
        <v>95.531058081229432</v>
      </c>
      <c r="J186" s="486" t="s">
        <v>783</v>
      </c>
      <c r="K186" s="487" t="s">
        <v>784</v>
      </c>
      <c r="L186" s="487"/>
      <c r="M186" s="488"/>
      <c r="N186" s="1082">
        <f>H186-G186</f>
        <v>5.1698854599734432</v>
      </c>
      <c r="O186" s="1073">
        <f>(N186/G186)</f>
        <v>2.7710164870951619E-2</v>
      </c>
      <c r="P186" s="929"/>
      <c r="Q186" s="1083">
        <f>(P186*G186)/1000</f>
        <v>0</v>
      </c>
      <c r="R186" s="1083">
        <f>(P186*H186)/1000</f>
        <v>0</v>
      </c>
      <c r="S186" s="1084">
        <f>R186-Q186</f>
        <v>0</v>
      </c>
      <c r="T186" s="1083">
        <f>(P186*I186)/1000</f>
        <v>0</v>
      </c>
      <c r="U186" s="1084">
        <f>R186-T186</f>
        <v>0</v>
      </c>
      <c r="V186" s="480" t="s">
        <v>138</v>
      </c>
      <c r="W186" s="480" t="s">
        <v>138</v>
      </c>
      <c r="Z186" s="462"/>
      <c r="AC186" s="463" t="b">
        <f t="shared" ref="AC186:AC189" si="29">H186&gt;=I186</f>
        <v>1</v>
      </c>
    </row>
    <row r="187" spans="1:29" x14ac:dyDescent="0.3">
      <c r="A187" s="463">
        <f t="shared" si="23"/>
        <v>169</v>
      </c>
      <c r="D187" s="463" t="s">
        <v>148</v>
      </c>
      <c r="F187" s="463" t="s">
        <v>717</v>
      </c>
      <c r="G187" s="485">
        <f>'MFR E-13c'!F502</f>
        <v>432.09</v>
      </c>
      <c r="H187" s="485">
        <f>'MFR E-13c'!L502</f>
        <v>440.95</v>
      </c>
      <c r="I187" s="485">
        <f>'MFR E-14D2'!$I$21</f>
        <v>240.37860095595573</v>
      </c>
      <c r="J187" s="486" t="s">
        <v>783</v>
      </c>
      <c r="K187" s="487" t="s">
        <v>721</v>
      </c>
      <c r="L187" s="487"/>
      <c r="M187" s="488"/>
      <c r="N187" s="1082">
        <f>H187-G187</f>
        <v>8.8600000000000136</v>
      </c>
      <c r="O187" s="1073">
        <f>(N187/G187)</f>
        <v>2.0504987386887025E-2</v>
      </c>
      <c r="P187" s="929">
        <v>47.709869931140041</v>
      </c>
      <c r="Q187" s="1083">
        <f>(P187*G187)/1000</f>
        <v>20.614957698546299</v>
      </c>
      <c r="R187" s="1083">
        <f>(P187*H187)/1000</f>
        <v>21.037667146136201</v>
      </c>
      <c r="S187" s="1084">
        <f>R187-Q187</f>
        <v>0.42270944758990225</v>
      </c>
      <c r="T187" s="1083">
        <f>(P187*I187)/1000</f>
        <v>11.468431785838064</v>
      </c>
      <c r="U187" s="1084">
        <f>R187-T187</f>
        <v>9.569235360298137</v>
      </c>
      <c r="V187" s="480" t="s">
        <v>138</v>
      </c>
      <c r="W187" s="480" t="s">
        <v>138</v>
      </c>
      <c r="Z187" s="462"/>
      <c r="AC187" s="463" t="b">
        <f t="shared" si="29"/>
        <v>1</v>
      </c>
    </row>
    <row r="188" spans="1:29" x14ac:dyDescent="0.3">
      <c r="A188" s="463">
        <f t="shared" si="23"/>
        <v>170</v>
      </c>
      <c r="D188" s="463" t="s">
        <v>216</v>
      </c>
      <c r="F188" s="463" t="s">
        <v>717</v>
      </c>
      <c r="G188" s="485">
        <f>'MFR E-13c'!F503</f>
        <v>1488.73</v>
      </c>
      <c r="H188" s="485">
        <f>'MFR E-13c'!L503</f>
        <v>1519.27</v>
      </c>
      <c r="I188" s="485">
        <f>'MFR E-14D2'!$I$22</f>
        <v>425.73937849400534</v>
      </c>
      <c r="J188" s="486" t="s">
        <v>783</v>
      </c>
      <c r="K188" s="487" t="s">
        <v>721</v>
      </c>
      <c r="L188" s="487"/>
      <c r="M188" s="488"/>
      <c r="N188" s="1082">
        <f>H188-G188</f>
        <v>30.539999999999964</v>
      </c>
      <c r="O188" s="1073">
        <f>(N188/G188)</f>
        <v>2.0514129492923475E-2</v>
      </c>
      <c r="P188" s="929">
        <v>11.564804896710045</v>
      </c>
      <c r="Q188" s="1083">
        <f>(P188*G188)/1000</f>
        <v>17.216871993879149</v>
      </c>
      <c r="R188" s="1083">
        <f>(P188*H188)/1000</f>
        <v>17.570061135424673</v>
      </c>
      <c r="S188" s="1084">
        <f>R188-Q188</f>
        <v>0.35318914154552417</v>
      </c>
      <c r="T188" s="1083">
        <f>(P188*I188)/1000</f>
        <v>4.9235928491297649</v>
      </c>
      <c r="U188" s="1084">
        <f>R188-T188</f>
        <v>12.646468286294908</v>
      </c>
      <c r="V188" s="480" t="s">
        <v>138</v>
      </c>
      <c r="W188" s="480" t="s">
        <v>138</v>
      </c>
      <c r="Z188" s="462"/>
      <c r="AC188" s="463" t="b">
        <f t="shared" si="29"/>
        <v>1</v>
      </c>
    </row>
    <row r="189" spans="1:29" x14ac:dyDescent="0.3">
      <c r="A189" s="463">
        <f t="shared" si="23"/>
        <v>171</v>
      </c>
      <c r="D189" s="463" t="s">
        <v>785</v>
      </c>
      <c r="F189" s="463" t="s">
        <v>717</v>
      </c>
      <c r="G189" s="485">
        <f>'MFR E-13c'!F504</f>
        <v>145.94</v>
      </c>
      <c r="H189" s="485">
        <f>'MFR E-13c'!L504</f>
        <v>146.87</v>
      </c>
      <c r="I189" s="485"/>
      <c r="J189" s="486"/>
      <c r="K189" s="487" t="s">
        <v>721</v>
      </c>
      <c r="L189" s="487"/>
      <c r="M189" s="488"/>
      <c r="N189" s="1082">
        <f>H189-G189</f>
        <v>0.93000000000000682</v>
      </c>
      <c r="O189" s="1073">
        <f>(N189/G189)</f>
        <v>6.3724818418528627E-3</v>
      </c>
      <c r="P189" s="929">
        <v>60</v>
      </c>
      <c r="Q189" s="1083">
        <f>(P189*G189)/1000</f>
        <v>8.7563999999999993</v>
      </c>
      <c r="R189" s="1083">
        <f>(P189*H189)/1000</f>
        <v>8.8122000000000007</v>
      </c>
      <c r="S189" s="1084">
        <f>R189-Q189</f>
        <v>5.5800000000001404E-2</v>
      </c>
      <c r="T189" s="1083">
        <f>(P189*I189)/1000</f>
        <v>0</v>
      </c>
      <c r="U189" s="1084">
        <f>R189-T189</f>
        <v>8.8122000000000007</v>
      </c>
      <c r="V189" s="480" t="s">
        <v>138</v>
      </c>
      <c r="W189" s="480" t="s">
        <v>138</v>
      </c>
      <c r="Z189" s="462"/>
      <c r="AC189" s="463" t="b">
        <f t="shared" si="29"/>
        <v>1</v>
      </c>
    </row>
    <row r="190" spans="1:29" x14ac:dyDescent="0.3">
      <c r="A190" s="463">
        <f t="shared" si="23"/>
        <v>172</v>
      </c>
      <c r="G190" s="494"/>
      <c r="H190" s="494"/>
      <c r="I190" s="494"/>
      <c r="J190" s="486"/>
      <c r="K190" s="487"/>
      <c r="L190" s="487"/>
      <c r="M190" s="488"/>
      <c r="P190" s="929"/>
      <c r="Q190" s="929"/>
      <c r="R190" s="929"/>
      <c r="T190" s="929"/>
      <c r="U190" s="1072"/>
      <c r="V190" s="480"/>
      <c r="W190" s="480"/>
      <c r="Z190" s="462"/>
    </row>
    <row r="191" spans="1:29" x14ac:dyDescent="0.3">
      <c r="A191" s="463">
        <f t="shared" si="23"/>
        <v>173</v>
      </c>
      <c r="C191" s="506" t="s">
        <v>727</v>
      </c>
      <c r="D191" s="506"/>
      <c r="F191" s="463" t="s">
        <v>730</v>
      </c>
      <c r="G191" s="494">
        <f>'MFR E-13c'!F523/10</f>
        <v>1.44</v>
      </c>
      <c r="H191" s="494">
        <f>'MFR E-13c'!L523/10</f>
        <v>1.4650000000000001</v>
      </c>
      <c r="I191" s="494">
        <f>'MFR E-14D2'!$I$30/10</f>
        <v>0.60899999999999999</v>
      </c>
      <c r="J191" s="486" t="s">
        <v>783</v>
      </c>
      <c r="K191" s="487" t="s">
        <v>721</v>
      </c>
      <c r="L191" s="494"/>
      <c r="M191" s="497"/>
      <c r="N191" s="1082">
        <f>H191-G191</f>
        <v>2.5000000000000133E-2</v>
      </c>
      <c r="O191" s="1073">
        <f>(N191/G191)</f>
        <v>1.7361111111111206E-2</v>
      </c>
      <c r="P191" s="929">
        <v>44893.099999999991</v>
      </c>
      <c r="Q191" s="1083">
        <f>(P191*G191*10)/1000</f>
        <v>646.4606399999999</v>
      </c>
      <c r="R191" s="1083">
        <f>(P191*H191*10)/1000</f>
        <v>657.68391500000007</v>
      </c>
      <c r="S191" s="1084">
        <f>R191-Q191</f>
        <v>11.223275000000172</v>
      </c>
      <c r="T191" s="1083">
        <f>(P191*I191*10)/1000</f>
        <v>273.39897899999994</v>
      </c>
      <c r="U191" s="1084">
        <f>R191-T191</f>
        <v>384.28493600000013</v>
      </c>
      <c r="V191" s="480" t="s">
        <v>138</v>
      </c>
      <c r="W191" s="480" t="s">
        <v>138</v>
      </c>
      <c r="Z191" s="462"/>
    </row>
    <row r="192" spans="1:29" x14ac:dyDescent="0.3">
      <c r="A192" s="463">
        <f t="shared" si="23"/>
        <v>174</v>
      </c>
      <c r="C192" s="507"/>
      <c r="D192" s="506"/>
      <c r="G192" s="487"/>
      <c r="H192" s="487"/>
      <c r="I192" s="487"/>
      <c r="J192" s="486"/>
      <c r="K192" s="487"/>
      <c r="L192" s="487"/>
      <c r="M192" s="488"/>
      <c r="P192" s="929"/>
      <c r="Q192" s="929"/>
      <c r="R192" s="929"/>
      <c r="T192" s="929"/>
      <c r="U192" s="1072"/>
      <c r="V192" s="480"/>
      <c r="W192" s="480"/>
      <c r="Z192" s="462"/>
    </row>
    <row r="193" spans="1:26" x14ac:dyDescent="0.3">
      <c r="A193" s="463">
        <f t="shared" si="23"/>
        <v>175</v>
      </c>
      <c r="C193" s="506" t="s">
        <v>642</v>
      </c>
      <c r="D193" s="506"/>
      <c r="G193" s="487"/>
      <c r="H193" s="487"/>
      <c r="I193" s="487"/>
      <c r="J193" s="486"/>
      <c r="K193" s="487"/>
      <c r="L193" s="487"/>
      <c r="M193" s="488"/>
      <c r="P193" s="929"/>
      <c r="Q193" s="929"/>
      <c r="R193" s="929"/>
      <c r="T193" s="929"/>
      <c r="U193" s="1072"/>
      <c r="V193" s="480"/>
      <c r="W193" s="480"/>
      <c r="Z193" s="462"/>
    </row>
    <row r="194" spans="1:26" x14ac:dyDescent="0.3">
      <c r="A194" s="463">
        <f t="shared" si="23"/>
        <v>176</v>
      </c>
      <c r="D194" s="506" t="s">
        <v>786</v>
      </c>
      <c r="F194" s="463" t="s">
        <v>761</v>
      </c>
      <c r="G194" s="485">
        <f>'MFR E-13c'!F509</f>
        <v>3.43</v>
      </c>
      <c r="H194" s="485">
        <f>'MFR E-13c'!L509</f>
        <v>3.53</v>
      </c>
      <c r="I194" s="485">
        <f>'MFR E-14D2'!$I$34</f>
        <v>6.52</v>
      </c>
      <c r="J194" s="486" t="s">
        <v>783</v>
      </c>
      <c r="K194" s="487" t="s">
        <v>721</v>
      </c>
      <c r="L194" s="487"/>
      <c r="M194" s="488"/>
      <c r="N194" s="1082">
        <f>H194-G194</f>
        <v>9.9999999999999645E-2</v>
      </c>
      <c r="O194" s="1073">
        <f>(N194/G194)</f>
        <v>2.9154518950437212E-2</v>
      </c>
      <c r="P194" s="929">
        <v>74532</v>
      </c>
      <c r="Q194" s="1083">
        <f>(P194*G194)/1000</f>
        <v>255.64476000000002</v>
      </c>
      <c r="R194" s="1083">
        <f>(P194*H194)/1000</f>
        <v>263.09795999999994</v>
      </c>
      <c r="S194" s="1084">
        <f>R194-Q194</f>
        <v>7.4531999999999243</v>
      </c>
      <c r="T194" s="1083">
        <f>(P194*I194)/1000</f>
        <v>485.94863999999995</v>
      </c>
      <c r="U194" s="1084">
        <f>R194-T194</f>
        <v>-222.85068000000001</v>
      </c>
      <c r="V194" s="480" t="s">
        <v>138</v>
      </c>
      <c r="W194" s="480" t="s">
        <v>138</v>
      </c>
      <c r="Z194" s="462"/>
    </row>
    <row r="195" spans="1:26" x14ac:dyDescent="0.3">
      <c r="A195" s="463">
        <f t="shared" si="23"/>
        <v>177</v>
      </c>
      <c r="C195" s="506"/>
      <c r="G195" s="487"/>
      <c r="H195" s="487"/>
      <c r="I195" s="487"/>
      <c r="J195" s="486"/>
      <c r="K195" s="487"/>
      <c r="L195" s="487"/>
      <c r="M195" s="488"/>
      <c r="P195" s="929"/>
      <c r="Q195" s="929"/>
      <c r="R195" s="929"/>
      <c r="T195" s="929"/>
      <c r="U195" s="1072"/>
      <c r="V195" s="480"/>
      <c r="W195" s="480"/>
      <c r="Z195" s="462"/>
    </row>
    <row r="196" spans="1:26" x14ac:dyDescent="0.3">
      <c r="A196" s="463">
        <f t="shared" si="23"/>
        <v>178</v>
      </c>
      <c r="C196" s="506" t="s">
        <v>787</v>
      </c>
      <c r="D196" s="506"/>
      <c r="G196" s="487"/>
      <c r="H196" s="487"/>
      <c r="I196" s="487"/>
      <c r="J196" s="486"/>
      <c r="K196" s="487"/>
      <c r="L196" s="487"/>
      <c r="M196" s="488"/>
      <c r="P196" s="929"/>
      <c r="Q196" s="929"/>
      <c r="R196" s="929"/>
      <c r="T196" s="929"/>
      <c r="U196" s="1072"/>
      <c r="V196" s="480"/>
      <c r="W196" s="480"/>
      <c r="Z196" s="462"/>
    </row>
    <row r="197" spans="1:26" x14ac:dyDescent="0.3">
      <c r="A197" s="463">
        <f t="shared" si="23"/>
        <v>179</v>
      </c>
      <c r="C197" s="506"/>
      <c r="D197" s="506" t="s">
        <v>788</v>
      </c>
      <c r="G197" s="487"/>
      <c r="H197" s="487"/>
      <c r="I197" s="487"/>
      <c r="J197" s="486"/>
      <c r="K197" s="487"/>
      <c r="L197" s="487"/>
      <c r="M197" s="488"/>
      <c r="P197" s="929"/>
      <c r="Q197" s="929"/>
      <c r="R197" s="929"/>
      <c r="T197" s="929"/>
      <c r="U197" s="1072"/>
      <c r="V197" s="480"/>
      <c r="W197" s="480"/>
      <c r="Z197" s="462"/>
    </row>
    <row r="198" spans="1:26" x14ac:dyDescent="0.3">
      <c r="A198" s="463">
        <f t="shared" si="23"/>
        <v>180</v>
      </c>
      <c r="C198" s="506"/>
      <c r="D198" s="506" t="s">
        <v>789</v>
      </c>
      <c r="G198" s="487"/>
      <c r="H198" s="487"/>
      <c r="I198" s="487"/>
      <c r="J198" s="486"/>
      <c r="K198" s="487"/>
      <c r="L198" s="487"/>
      <c r="M198" s="488"/>
      <c r="P198" s="929"/>
      <c r="Q198" s="929"/>
      <c r="R198" s="929"/>
      <c r="T198" s="929"/>
      <c r="U198" s="1072"/>
      <c r="V198" s="480"/>
      <c r="W198" s="480"/>
      <c r="Z198" s="462"/>
    </row>
    <row r="199" spans="1:26" x14ac:dyDescent="0.3">
      <c r="A199" s="463">
        <f t="shared" si="23"/>
        <v>181</v>
      </c>
      <c r="C199" s="506"/>
      <c r="D199" s="508" t="s">
        <v>786</v>
      </c>
      <c r="F199" s="463" t="s">
        <v>761</v>
      </c>
      <c r="G199" s="509">
        <f>'MFR E-13c'!F514</f>
        <v>1.9570000000000001</v>
      </c>
      <c r="H199" s="509">
        <f>'MFR E-13c'!L514</f>
        <v>2.0059999999999998</v>
      </c>
      <c r="I199" s="509">
        <f>'MFR E-14D2'!$I$41</f>
        <v>2.21</v>
      </c>
      <c r="J199" s="486" t="s">
        <v>783</v>
      </c>
      <c r="K199" s="487" t="s">
        <v>721</v>
      </c>
      <c r="L199" s="487"/>
      <c r="M199" s="488"/>
      <c r="N199" s="1082">
        <f>H199-G199</f>
        <v>4.899999999999971E-2</v>
      </c>
      <c r="O199" s="1073">
        <f>(N199/G199)</f>
        <v>2.5038323965252789E-2</v>
      </c>
      <c r="P199" s="929">
        <v>583907.91899999999</v>
      </c>
      <c r="Q199" s="1083">
        <f>(P199*G199)/1000</f>
        <v>1142.7077974829999</v>
      </c>
      <c r="R199" s="1083">
        <f>(P199*H199)/1000</f>
        <v>1171.3192855139998</v>
      </c>
      <c r="S199" s="1084">
        <f>R199-Q199</f>
        <v>28.611488030999908</v>
      </c>
      <c r="T199" s="1083">
        <f>(P199*I199)/1000</f>
        <v>1290.4365009899998</v>
      </c>
      <c r="U199" s="1084">
        <f>R199-T199</f>
        <v>-119.11721547599996</v>
      </c>
      <c r="V199" s="480" t="s">
        <v>138</v>
      </c>
      <c r="W199" s="480" t="s">
        <v>138</v>
      </c>
      <c r="Z199" s="462"/>
    </row>
    <row r="200" spans="1:26" x14ac:dyDescent="0.3">
      <c r="A200" s="463">
        <f t="shared" si="23"/>
        <v>182</v>
      </c>
      <c r="D200" s="506" t="s">
        <v>790</v>
      </c>
      <c r="F200" s="463" t="s">
        <v>761</v>
      </c>
      <c r="G200" s="509">
        <f>'MFR E-13c'!F515</f>
        <v>0.93100000000000005</v>
      </c>
      <c r="H200" s="509">
        <f>'MFR E-13c'!L515</f>
        <v>0.95499999999999996</v>
      </c>
      <c r="I200" s="509">
        <f>'MFR E-14D2'!$I$44</f>
        <v>1.052</v>
      </c>
      <c r="J200" s="486" t="s">
        <v>783</v>
      </c>
      <c r="K200" s="487" t="s">
        <v>721</v>
      </c>
      <c r="L200" s="487"/>
      <c r="M200" s="488"/>
      <c r="N200" s="1082">
        <f>H200-G200</f>
        <v>2.399999999999991E-2</v>
      </c>
      <c r="O200" s="1073">
        <f>(N200/G200)</f>
        <v>2.5778732545649743E-2</v>
      </c>
      <c r="P200" s="929">
        <v>1104686.7299274281</v>
      </c>
      <c r="Q200" s="1083">
        <f>(P200*G200)/1000</f>
        <v>1028.4633455624355</v>
      </c>
      <c r="R200" s="1083">
        <f>(P200*H200)/1000</f>
        <v>1054.9758270806938</v>
      </c>
      <c r="S200" s="1084">
        <f>R200-Q200</f>
        <v>26.512481518258255</v>
      </c>
      <c r="T200" s="1083">
        <f>(P200*I200)/1000</f>
        <v>1162.1304398836544</v>
      </c>
      <c r="U200" s="1084">
        <f>R200-T200</f>
        <v>-107.15461280296063</v>
      </c>
      <c r="V200" s="480" t="s">
        <v>138</v>
      </c>
      <c r="W200" s="480" t="s">
        <v>138</v>
      </c>
      <c r="Z200" s="462"/>
    </row>
    <row r="201" spans="1:26" x14ac:dyDescent="0.3">
      <c r="A201" s="463">
        <f t="shared" ref="A201:A266" si="30">+A200+1</f>
        <v>183</v>
      </c>
      <c r="G201" s="487"/>
      <c r="H201" s="487"/>
      <c r="I201" s="487"/>
      <c r="J201" s="486"/>
      <c r="K201" s="487"/>
      <c r="L201" s="487"/>
      <c r="M201" s="488"/>
      <c r="P201" s="929"/>
      <c r="Q201" s="929"/>
      <c r="R201" s="929"/>
      <c r="T201" s="929"/>
      <c r="U201" s="1072"/>
      <c r="V201" s="480"/>
      <c r="W201" s="480"/>
      <c r="Z201" s="462"/>
    </row>
    <row r="202" spans="1:26" x14ac:dyDescent="0.3">
      <c r="A202" s="463">
        <f t="shared" si="30"/>
        <v>184</v>
      </c>
      <c r="D202" s="463" t="s">
        <v>764</v>
      </c>
      <c r="J202" s="486"/>
      <c r="K202" s="487"/>
      <c r="L202" s="487"/>
      <c r="M202" s="488"/>
      <c r="P202" s="929"/>
      <c r="Q202" s="929"/>
      <c r="R202" s="929"/>
      <c r="T202" s="929"/>
      <c r="U202" s="1072"/>
      <c r="V202" s="480"/>
      <c r="W202" s="480"/>
      <c r="Z202" s="462"/>
    </row>
    <row r="203" spans="1:26" x14ac:dyDescent="0.3">
      <c r="A203" s="463">
        <f t="shared" si="30"/>
        <v>185</v>
      </c>
      <c r="D203" s="492" t="s">
        <v>148</v>
      </c>
      <c r="F203" s="463" t="s">
        <v>761</v>
      </c>
      <c r="G203" s="485">
        <f>G155</f>
        <v>1.3</v>
      </c>
      <c r="H203" s="485">
        <f>I203</f>
        <v>1.34</v>
      </c>
      <c r="I203" s="503">
        <f>I155</f>
        <v>1.34</v>
      </c>
      <c r="J203" s="486" t="s">
        <v>765</v>
      </c>
      <c r="K203" s="487" t="s">
        <v>751</v>
      </c>
      <c r="L203" s="487"/>
      <c r="M203" s="488"/>
      <c r="N203" s="1082">
        <f>H203-G203</f>
        <v>4.0000000000000036E-2</v>
      </c>
      <c r="O203" s="1073">
        <f>(N203/G203)</f>
        <v>3.0769230769230795E-2</v>
      </c>
      <c r="P203" s="929">
        <v>0</v>
      </c>
      <c r="Q203" s="1083">
        <f>(P203*G203)/1000</f>
        <v>0</v>
      </c>
      <c r="R203" s="1083">
        <f>(P203*H203)/1000</f>
        <v>0</v>
      </c>
      <c r="S203" s="1084">
        <f>R203-Q203</f>
        <v>0</v>
      </c>
      <c r="T203" s="1083">
        <f>(P203*I203)/1000</f>
        <v>0</v>
      </c>
      <c r="U203" s="1084">
        <f>R203-T203</f>
        <v>0</v>
      </c>
      <c r="V203" s="480" t="s">
        <v>138</v>
      </c>
      <c r="W203" s="480" t="s">
        <v>138</v>
      </c>
      <c r="Z203" s="462"/>
    </row>
    <row r="204" spans="1:26" x14ac:dyDescent="0.3">
      <c r="A204" s="463">
        <f t="shared" si="30"/>
        <v>186</v>
      </c>
      <c r="D204" s="492" t="s">
        <v>597</v>
      </c>
      <c r="F204" s="463" t="s">
        <v>761</v>
      </c>
      <c r="G204" s="485">
        <f t="shared" ref="G204:G205" si="31">G156</f>
        <v>6.18</v>
      </c>
      <c r="H204" s="485">
        <f t="shared" ref="H204:H205" si="32">I204</f>
        <v>6.47</v>
      </c>
      <c r="I204" s="503">
        <f t="shared" ref="I204:I205" si="33">I156</f>
        <v>6.47</v>
      </c>
      <c r="J204" s="486" t="s">
        <v>765</v>
      </c>
      <c r="K204" s="487" t="s">
        <v>751</v>
      </c>
      <c r="L204" s="487"/>
      <c r="M204" s="488"/>
      <c r="P204" s="929"/>
      <c r="Q204" s="1099" t="s">
        <v>238</v>
      </c>
      <c r="R204" s="1099" t="s">
        <v>238</v>
      </c>
      <c r="T204" s="1099" t="s">
        <v>238</v>
      </c>
      <c r="U204" s="1072"/>
      <c r="V204" s="480"/>
      <c r="W204" s="480"/>
      <c r="Z204" s="462"/>
    </row>
    <row r="205" spans="1:26" x14ac:dyDescent="0.3">
      <c r="A205" s="463">
        <f t="shared" si="30"/>
        <v>187</v>
      </c>
      <c r="D205" s="492" t="s">
        <v>766</v>
      </c>
      <c r="F205" s="463" t="s">
        <v>761</v>
      </c>
      <c r="G205" s="485">
        <f t="shared" si="31"/>
        <v>8.61</v>
      </c>
      <c r="H205" s="485">
        <f t="shared" si="32"/>
        <v>9.0399999999999991</v>
      </c>
      <c r="I205" s="503">
        <f t="shared" si="33"/>
        <v>9.0399999999999991</v>
      </c>
      <c r="J205" s="486" t="s">
        <v>765</v>
      </c>
      <c r="K205" s="487" t="s">
        <v>751</v>
      </c>
      <c r="L205" s="487"/>
      <c r="M205" s="488"/>
      <c r="P205" s="929"/>
      <c r="Q205" s="1099"/>
      <c r="R205" s="1099"/>
      <c r="T205" s="1099"/>
      <c r="U205" s="1072"/>
      <c r="V205" s="480"/>
      <c r="W205" s="480"/>
      <c r="Z205" s="462"/>
    </row>
    <row r="206" spans="1:26" x14ac:dyDescent="0.3">
      <c r="A206" s="463">
        <f t="shared" si="30"/>
        <v>188</v>
      </c>
      <c r="D206" s="463" t="s">
        <v>650</v>
      </c>
      <c r="F206" s="463" t="s">
        <v>761</v>
      </c>
      <c r="G206" s="487">
        <f>G89</f>
        <v>2.5099999999999998</v>
      </c>
      <c r="H206" s="487">
        <f>I206</f>
        <v>2.64</v>
      </c>
      <c r="I206" s="487">
        <f>'MFR E-14G'!G22</f>
        <v>2.64</v>
      </c>
      <c r="J206" s="486" t="s">
        <v>750</v>
      </c>
      <c r="K206" s="487" t="s">
        <v>751</v>
      </c>
      <c r="L206" s="487"/>
      <c r="M206" s="488"/>
      <c r="N206" s="1082">
        <f>H206-G206</f>
        <v>0.13000000000000034</v>
      </c>
      <c r="O206" s="1073">
        <f>(N206/G206)</f>
        <v>5.1792828685259105E-2</v>
      </c>
      <c r="P206" s="929"/>
      <c r="Q206" s="929"/>
      <c r="R206" s="929"/>
      <c r="T206" s="929"/>
      <c r="U206" s="1072"/>
      <c r="V206" s="480" t="s">
        <v>138</v>
      </c>
      <c r="W206" s="480" t="s">
        <v>138</v>
      </c>
      <c r="Z206" s="462"/>
    </row>
    <row r="207" spans="1:26" x14ac:dyDescent="0.3">
      <c r="A207" s="463">
        <f t="shared" si="30"/>
        <v>189</v>
      </c>
      <c r="G207" s="487"/>
      <c r="H207" s="487"/>
      <c r="I207" s="487"/>
      <c r="J207" s="486"/>
      <c r="K207" s="487"/>
      <c r="L207" s="487"/>
      <c r="M207" s="488"/>
      <c r="N207" s="1082"/>
      <c r="P207" s="929"/>
      <c r="Q207" s="929"/>
      <c r="R207" s="929"/>
      <c r="T207" s="929"/>
      <c r="U207" s="1072"/>
      <c r="V207" s="480"/>
      <c r="W207" s="480"/>
      <c r="Z207" s="462"/>
    </row>
    <row r="208" spans="1:26" x14ac:dyDescent="0.3">
      <c r="A208" s="463">
        <f t="shared" si="30"/>
        <v>190</v>
      </c>
      <c r="C208" s="463" t="s">
        <v>752</v>
      </c>
      <c r="G208" s="487"/>
      <c r="H208" s="487"/>
      <c r="I208" s="487"/>
      <c r="J208" s="486"/>
      <c r="K208" s="487"/>
      <c r="L208" s="487"/>
      <c r="M208" s="488"/>
      <c r="P208" s="929"/>
      <c r="Q208" s="929"/>
      <c r="R208" s="929"/>
      <c r="T208" s="929"/>
      <c r="U208" s="1072"/>
      <c r="V208" s="480"/>
      <c r="W208" s="480"/>
      <c r="Z208" s="462"/>
    </row>
    <row r="209" spans="1:29" x14ac:dyDescent="0.3">
      <c r="A209" s="463">
        <f t="shared" si="30"/>
        <v>191</v>
      </c>
      <c r="D209" s="463" t="s">
        <v>148</v>
      </c>
      <c r="F209" s="463" t="s">
        <v>419</v>
      </c>
      <c r="G209" s="499">
        <v>0.01</v>
      </c>
      <c r="H209" s="499">
        <v>0.01</v>
      </c>
      <c r="I209" s="499"/>
      <c r="J209" s="486"/>
      <c r="K209" s="487" t="s">
        <v>721</v>
      </c>
      <c r="L209" s="487"/>
      <c r="M209" s="488"/>
      <c r="N209" s="1091">
        <f>H209-G209</f>
        <v>0</v>
      </c>
      <c r="O209" s="1073">
        <f>(N209/G209)</f>
        <v>0</v>
      </c>
      <c r="P209" s="929"/>
      <c r="Q209" s="1083">
        <f>(P209*G209)/1000</f>
        <v>0</v>
      </c>
      <c r="R209" s="1083">
        <f>(P209*H209)/1000</f>
        <v>0</v>
      </c>
      <c r="S209" s="1084">
        <f>R209-Q209</f>
        <v>0</v>
      </c>
      <c r="T209" s="1083">
        <f>(P209*I209)/1000</f>
        <v>0</v>
      </c>
      <c r="U209" s="1084">
        <f>R209-T209</f>
        <v>0</v>
      </c>
      <c r="V209" s="480" t="s">
        <v>138</v>
      </c>
      <c r="W209" s="480" t="s">
        <v>138</v>
      </c>
      <c r="Z209" s="462"/>
    </row>
    <row r="210" spans="1:29" x14ac:dyDescent="0.3">
      <c r="A210" s="463">
        <f t="shared" si="30"/>
        <v>192</v>
      </c>
      <c r="D210" s="463" t="s">
        <v>216</v>
      </c>
      <c r="F210" s="463" t="s">
        <v>419</v>
      </c>
      <c r="G210" s="499">
        <v>0.02</v>
      </c>
      <c r="H210" s="499">
        <v>0.02</v>
      </c>
      <c r="I210" s="499"/>
      <c r="J210" s="486"/>
      <c r="K210" s="487" t="s">
        <v>721</v>
      </c>
      <c r="L210" s="487"/>
      <c r="M210" s="488"/>
      <c r="N210" s="1091">
        <f>H210-G210</f>
        <v>0</v>
      </c>
      <c r="O210" s="1073">
        <f>(N210/G210)</f>
        <v>0</v>
      </c>
      <c r="P210" s="929"/>
      <c r="Q210" s="1083">
        <f>(P210*G210)/1000</f>
        <v>0</v>
      </c>
      <c r="R210" s="1083">
        <f>(P210*H210)/1000</f>
        <v>0</v>
      </c>
      <c r="S210" s="1084">
        <f>R210-Q210</f>
        <v>0</v>
      </c>
      <c r="T210" s="1083">
        <f>(P210*I210)/1000</f>
        <v>0</v>
      </c>
      <c r="U210" s="1084">
        <f>R210-T210</f>
        <v>0</v>
      </c>
      <c r="V210" s="480" t="s">
        <v>138</v>
      </c>
      <c r="W210" s="480" t="s">
        <v>138</v>
      </c>
      <c r="Z210" s="462"/>
    </row>
    <row r="211" spans="1:29" x14ac:dyDescent="0.3">
      <c r="A211" s="463">
        <f t="shared" si="30"/>
        <v>193</v>
      </c>
      <c r="G211" s="499"/>
      <c r="H211" s="499"/>
      <c r="I211" s="499"/>
      <c r="J211" s="486"/>
      <c r="K211" s="487"/>
      <c r="L211" s="487"/>
      <c r="M211" s="488"/>
      <c r="N211" s="1091"/>
      <c r="P211" s="929"/>
      <c r="Q211" s="1083"/>
      <c r="R211" s="1083"/>
      <c r="S211" s="1084"/>
      <c r="T211" s="1083"/>
      <c r="U211" s="1084"/>
      <c r="V211" s="480"/>
      <c r="W211" s="480"/>
      <c r="Z211" s="462"/>
    </row>
    <row r="212" spans="1:29" x14ac:dyDescent="0.3">
      <c r="A212" s="463">
        <f t="shared" si="30"/>
        <v>194</v>
      </c>
      <c r="C212" s="463" t="s">
        <v>754</v>
      </c>
      <c r="F212" s="463" t="s">
        <v>419</v>
      </c>
      <c r="G212" s="500">
        <f>G101</f>
        <v>9.5999999999999992E-3</v>
      </c>
      <c r="H212" s="1222">
        <f>I212</f>
        <v>9.5999999999999992E-3</v>
      </c>
      <c r="I212" s="1223">
        <f>I101</f>
        <v>9.5999999999999992E-3</v>
      </c>
      <c r="J212" s="477" t="s">
        <v>755</v>
      </c>
      <c r="K212" s="501" t="s">
        <v>756</v>
      </c>
      <c r="L212" s="487"/>
      <c r="M212" s="488"/>
      <c r="N212" s="1082"/>
      <c r="P212" s="929"/>
      <c r="Q212" s="929"/>
      <c r="R212" s="929"/>
      <c r="T212" s="929"/>
      <c r="U212" s="1072"/>
      <c r="V212" s="480"/>
      <c r="W212" s="480"/>
      <c r="Z212" s="462"/>
    </row>
    <row r="213" spans="1:29" ht="14.4" thickBot="1" x14ac:dyDescent="0.35">
      <c r="B213" s="467"/>
      <c r="C213" s="467"/>
      <c r="D213" s="467"/>
      <c r="E213" s="467"/>
      <c r="F213" s="467"/>
      <c r="G213" s="488"/>
      <c r="H213" s="488"/>
      <c r="I213" s="488"/>
      <c r="J213" s="495"/>
      <c r="K213" s="488"/>
      <c r="L213" s="488"/>
      <c r="M213" s="488"/>
      <c r="N213" s="1085"/>
      <c r="O213" s="1086"/>
      <c r="P213" s="1087"/>
      <c r="Q213" s="1088">
        <f>SUM(Q184:Q212)</f>
        <v>3119.8647727378611</v>
      </c>
      <c r="R213" s="1088">
        <f>SUM(R184:R212)</f>
        <v>3194.4969158762547</v>
      </c>
      <c r="S213" s="1088">
        <f>SUM(S184:S212)</f>
        <v>74.632143138393687</v>
      </c>
      <c r="T213" s="1088">
        <f>SUM(T184:T212)</f>
        <v>3228.3065845086221</v>
      </c>
      <c r="U213" s="1088">
        <f>SUM(U184:U212)</f>
        <v>-33.809668632367448</v>
      </c>
      <c r="V213" s="480"/>
      <c r="W213" s="480"/>
      <c r="Z213" s="462"/>
    </row>
    <row r="214" spans="1:29" ht="14.4" thickTop="1" x14ac:dyDescent="0.3">
      <c r="A214" s="463">
        <f>+A212+1</f>
        <v>195</v>
      </c>
      <c r="B214" s="484"/>
      <c r="M214" s="467"/>
      <c r="P214" s="929"/>
      <c r="Q214" s="929"/>
      <c r="R214" s="929"/>
      <c r="S214" s="929"/>
      <c r="T214" s="929"/>
      <c r="U214" s="1072"/>
      <c r="V214" s="480"/>
      <c r="W214" s="480"/>
      <c r="Z214" s="462"/>
    </row>
    <row r="215" spans="1:29" x14ac:dyDescent="0.3">
      <c r="A215" s="463">
        <f t="shared" si="30"/>
        <v>196</v>
      </c>
      <c r="B215" s="484" t="s">
        <v>140</v>
      </c>
      <c r="C215" s="463" t="s">
        <v>719</v>
      </c>
      <c r="M215" s="467"/>
      <c r="P215" s="929"/>
      <c r="Q215" s="929"/>
      <c r="R215" s="929"/>
      <c r="T215" s="929"/>
      <c r="U215" s="1072"/>
      <c r="V215" s="480"/>
      <c r="W215" s="480"/>
      <c r="Z215" s="462"/>
    </row>
    <row r="216" spans="1:29" x14ac:dyDescent="0.3">
      <c r="A216" s="463">
        <f t="shared" si="30"/>
        <v>197</v>
      </c>
      <c r="D216" s="463" t="s">
        <v>149</v>
      </c>
      <c r="F216" s="463" t="s">
        <v>717</v>
      </c>
      <c r="G216" s="485">
        <v>472.7</v>
      </c>
      <c r="H216" s="485">
        <f>G216*(1+'Exhibit MJC-2 - Old E-8a'!V27)</f>
        <v>491.85545563270057</v>
      </c>
      <c r="I216" s="485">
        <f>'MFR E-14D2'!I25</f>
        <v>374.46769549622667</v>
      </c>
      <c r="J216" s="486" t="s">
        <v>783</v>
      </c>
      <c r="K216" s="487" t="s">
        <v>784</v>
      </c>
      <c r="L216" s="487"/>
      <c r="M216" s="488"/>
      <c r="N216" s="1082">
        <f>H216-G216</f>
        <v>19.15545563270058</v>
      </c>
      <c r="O216" s="1073">
        <f>(N216/G216)</f>
        <v>4.0523494039984301E-2</v>
      </c>
      <c r="P216" s="929"/>
      <c r="Q216" s="929"/>
      <c r="R216" s="929"/>
      <c r="T216" s="929"/>
      <c r="U216" s="1072"/>
      <c r="V216" s="480" t="s">
        <v>140</v>
      </c>
      <c r="W216" s="480" t="s">
        <v>140</v>
      </c>
      <c r="Z216" s="462"/>
      <c r="AC216" s="463" t="b">
        <f t="shared" ref="AC216:AC219" si="34">H216&gt;=I216</f>
        <v>1</v>
      </c>
    </row>
    <row r="217" spans="1:29" x14ac:dyDescent="0.3">
      <c r="A217" s="463">
        <f t="shared" si="30"/>
        <v>198</v>
      </c>
      <c r="D217" s="463" t="s">
        <v>148</v>
      </c>
      <c r="F217" s="463" t="s">
        <v>717</v>
      </c>
      <c r="G217" s="485">
        <f>'MFR E-13c'!F554</f>
        <v>665.44</v>
      </c>
      <c r="H217" s="485">
        <f>'MFR E-13c'!L554</f>
        <v>684.44</v>
      </c>
      <c r="I217" s="485">
        <f>'MFR E-14D2'!I26</f>
        <v>519.31523837095301</v>
      </c>
      <c r="J217" s="486" t="s">
        <v>783</v>
      </c>
      <c r="K217" s="487" t="s">
        <v>721</v>
      </c>
      <c r="L217" s="487"/>
      <c r="M217" s="488"/>
      <c r="N217" s="1082">
        <f>H217-G217</f>
        <v>19</v>
      </c>
      <c r="O217" s="1073">
        <f>(N217/G217)</f>
        <v>2.855253666746814E-2</v>
      </c>
      <c r="P217" s="929">
        <v>23.538461538461522</v>
      </c>
      <c r="Q217" s="1083">
        <f>(P217*G217)/1000</f>
        <v>15.663433846153838</v>
      </c>
      <c r="R217" s="1083">
        <f>(P217*H217)/1000</f>
        <v>16.110664615384604</v>
      </c>
      <c r="S217" s="1084">
        <f>R217-Q217</f>
        <v>0.44723076923076555</v>
      </c>
      <c r="T217" s="1083">
        <f>(P217*I217)/1000</f>
        <v>12.223881764731656</v>
      </c>
      <c r="U217" s="1084">
        <f>R217-T217</f>
        <v>3.8867828506529474</v>
      </c>
      <c r="V217" s="480" t="s">
        <v>140</v>
      </c>
      <c r="W217" s="480" t="s">
        <v>140</v>
      </c>
      <c r="Z217" s="462"/>
      <c r="AC217" s="463" t="b">
        <f t="shared" si="34"/>
        <v>1</v>
      </c>
    </row>
    <row r="218" spans="1:29" x14ac:dyDescent="0.3">
      <c r="A218" s="463">
        <f t="shared" si="30"/>
        <v>199</v>
      </c>
      <c r="D218" s="463" t="s">
        <v>216</v>
      </c>
      <c r="F218" s="463" t="s">
        <v>717</v>
      </c>
      <c r="G218" s="485">
        <f>'MFR E-13c'!F555</f>
        <v>1539.64</v>
      </c>
      <c r="H218" s="485">
        <f>'MFR E-13c'!L555</f>
        <v>1583.59</v>
      </c>
      <c r="I218" s="485">
        <f>'MFR E-14D2'!I27</f>
        <v>704.67601590900256</v>
      </c>
      <c r="J218" s="486" t="s">
        <v>783</v>
      </c>
      <c r="K218" s="487" t="s">
        <v>721</v>
      </c>
      <c r="L218" s="487"/>
      <c r="M218" s="488"/>
      <c r="N218" s="1082">
        <f>H218-G218</f>
        <v>43.949999999999818</v>
      </c>
      <c r="O218" s="1073">
        <f>(N218/G218)</f>
        <v>2.8545634044321928E-2</v>
      </c>
      <c r="P218" s="929">
        <v>11.769230769230761</v>
      </c>
      <c r="Q218" s="1083">
        <f>(P218*G218)/1000</f>
        <v>18.120378461538451</v>
      </c>
      <c r="R218" s="1083">
        <f>(P218*H218)/1000</f>
        <v>18.637636153846138</v>
      </c>
      <c r="S218" s="1084">
        <f>R218-Q218</f>
        <v>0.51725769230768748</v>
      </c>
      <c r="T218" s="1083">
        <f>(P218*I218)/1000</f>
        <v>8.2934946487751784</v>
      </c>
      <c r="U218" s="1084">
        <f>R218-T218</f>
        <v>10.34414150507096</v>
      </c>
      <c r="V218" s="480" t="s">
        <v>140</v>
      </c>
      <c r="W218" s="480" t="s">
        <v>140</v>
      </c>
      <c r="Z218" s="462"/>
      <c r="AC218" s="463" t="b">
        <f t="shared" si="34"/>
        <v>1</v>
      </c>
    </row>
    <row r="219" spans="1:29" x14ac:dyDescent="0.3">
      <c r="A219" s="463">
        <f t="shared" si="30"/>
        <v>200</v>
      </c>
      <c r="D219" s="463" t="s">
        <v>785</v>
      </c>
      <c r="F219" s="463" t="s">
        <v>717</v>
      </c>
      <c r="G219" s="485">
        <v>442.3</v>
      </c>
      <c r="H219" s="485">
        <f>G219*(1+'Exhibit MJC-2 - Old E-8a'!V27)</f>
        <v>460.22354141388507</v>
      </c>
      <c r="I219" s="485"/>
      <c r="J219" s="486"/>
      <c r="K219" s="487" t="s">
        <v>784</v>
      </c>
      <c r="L219" s="487"/>
      <c r="M219" s="488"/>
      <c r="N219" s="1082">
        <f>H219-G219</f>
        <v>17.923541413885062</v>
      </c>
      <c r="O219" s="1073">
        <f>(N219/G219)</f>
        <v>4.0523494039984315E-2</v>
      </c>
      <c r="P219" s="929">
        <v>0</v>
      </c>
      <c r="Q219" s="1083">
        <f>(P219*G219)/1000</f>
        <v>0</v>
      </c>
      <c r="R219" s="1083">
        <f>(P219*H219)/1000</f>
        <v>0</v>
      </c>
      <c r="S219" s="1084">
        <f>R219-Q219</f>
        <v>0</v>
      </c>
      <c r="T219" s="1083">
        <f>(P219*I219)/1000</f>
        <v>0</v>
      </c>
      <c r="U219" s="1084">
        <f>R219-T219</f>
        <v>0</v>
      </c>
      <c r="V219" s="480" t="s">
        <v>140</v>
      </c>
      <c r="W219" s="480" t="s">
        <v>140</v>
      </c>
      <c r="Z219" s="462"/>
      <c r="AC219" s="463" t="b">
        <f t="shared" si="34"/>
        <v>1</v>
      </c>
    </row>
    <row r="220" spans="1:29" x14ac:dyDescent="0.3">
      <c r="A220" s="463">
        <f t="shared" si="30"/>
        <v>201</v>
      </c>
      <c r="G220" s="494"/>
      <c r="H220" s="494"/>
      <c r="I220" s="494"/>
      <c r="J220" s="486"/>
      <c r="K220" s="487"/>
      <c r="L220" s="487"/>
      <c r="M220" s="488"/>
      <c r="P220" s="929"/>
      <c r="Q220" s="929"/>
      <c r="R220" s="929"/>
      <c r="T220" s="929"/>
      <c r="U220" s="1072"/>
      <c r="V220" s="480"/>
      <c r="W220" s="480"/>
      <c r="Z220" s="462"/>
    </row>
    <row r="221" spans="1:29" x14ac:dyDescent="0.3">
      <c r="A221" s="463">
        <f t="shared" si="30"/>
        <v>202</v>
      </c>
      <c r="C221" s="506" t="s">
        <v>727</v>
      </c>
      <c r="D221" s="506"/>
      <c r="F221" s="463" t="s">
        <v>730</v>
      </c>
      <c r="G221" s="494">
        <f>'MFR E-13c'!F575/10</f>
        <v>1.6559999999999999</v>
      </c>
      <c r="H221" s="494">
        <f>'MFR E-13c'!L575/10</f>
        <v>1.7190000000000001</v>
      </c>
      <c r="I221" s="494">
        <f>'MFR E-14D2'!$I$30/10</f>
        <v>0.60899999999999999</v>
      </c>
      <c r="J221" s="486" t="s">
        <v>783</v>
      </c>
      <c r="K221" s="487" t="s">
        <v>721</v>
      </c>
      <c r="L221" s="494"/>
      <c r="M221" s="497"/>
      <c r="N221" s="1082">
        <f>H221-G221</f>
        <v>6.3000000000000167E-2</v>
      </c>
      <c r="O221" s="1073">
        <f>(N221/G221)</f>
        <v>3.8043478260869665E-2</v>
      </c>
      <c r="P221" s="929">
        <v>67357.5</v>
      </c>
      <c r="Q221" s="1083">
        <f>(P221*G221*10)/1000</f>
        <v>1115.4402</v>
      </c>
      <c r="R221" s="1083">
        <f>(P221*H221*10)/1000</f>
        <v>1157.875425</v>
      </c>
      <c r="S221" s="1084">
        <f>R221-Q221</f>
        <v>42.435224999999946</v>
      </c>
      <c r="T221" s="1083">
        <f>(P221*I221*10)/1000</f>
        <v>410.20717500000001</v>
      </c>
      <c r="U221" s="1084">
        <f>R221-T221</f>
        <v>747.66824999999994</v>
      </c>
      <c r="V221" s="480" t="s">
        <v>140</v>
      </c>
      <c r="W221" s="480" t="s">
        <v>140</v>
      </c>
      <c r="Z221" s="462"/>
    </row>
    <row r="222" spans="1:29" x14ac:dyDescent="0.3">
      <c r="A222" s="463">
        <f t="shared" si="30"/>
        <v>203</v>
      </c>
      <c r="C222" s="507"/>
      <c r="D222" s="506"/>
      <c r="G222" s="487"/>
      <c r="H222" s="487"/>
      <c r="I222" s="487"/>
      <c r="J222" s="486"/>
      <c r="K222" s="487"/>
      <c r="L222" s="487"/>
      <c r="M222" s="488"/>
      <c r="P222" s="929"/>
      <c r="Q222" s="929"/>
      <c r="R222" s="929"/>
      <c r="T222" s="929"/>
      <c r="U222" s="1072"/>
      <c r="V222" s="480"/>
      <c r="W222" s="480"/>
      <c r="Z222" s="462"/>
    </row>
    <row r="223" spans="1:29" x14ac:dyDescent="0.3">
      <c r="A223" s="463">
        <f t="shared" si="30"/>
        <v>204</v>
      </c>
      <c r="C223" s="506" t="s">
        <v>642</v>
      </c>
      <c r="D223" s="506"/>
      <c r="G223" s="487"/>
      <c r="H223" s="487"/>
      <c r="I223" s="487"/>
      <c r="J223" s="486"/>
      <c r="K223" s="487"/>
      <c r="L223" s="487"/>
      <c r="M223" s="488"/>
      <c r="P223" s="929"/>
      <c r="Q223" s="929"/>
      <c r="R223" s="929"/>
      <c r="T223" s="929"/>
      <c r="U223" s="1072"/>
      <c r="V223" s="480"/>
      <c r="W223" s="480"/>
      <c r="Z223" s="462"/>
    </row>
    <row r="224" spans="1:29" x14ac:dyDescent="0.3">
      <c r="A224" s="463">
        <f t="shared" si="30"/>
        <v>205</v>
      </c>
      <c r="D224" s="506" t="s">
        <v>786</v>
      </c>
      <c r="F224" s="463" t="s">
        <v>761</v>
      </c>
      <c r="G224" s="485">
        <f>'MFR E-13c'!F560</f>
        <v>3.43</v>
      </c>
      <c r="H224" s="485">
        <f>'MFR E-13c'!L560</f>
        <v>3.57</v>
      </c>
      <c r="I224" s="485">
        <f>'MFR E-14D2'!$I$34</f>
        <v>6.52</v>
      </c>
      <c r="J224" s="486" t="s">
        <v>783</v>
      </c>
      <c r="K224" s="487" t="s">
        <v>721</v>
      </c>
      <c r="L224" s="487"/>
      <c r="M224" s="488"/>
      <c r="N224" s="1082">
        <f>H224-G224</f>
        <v>0.13999999999999968</v>
      </c>
      <c r="O224" s="1073">
        <f>(N224/G224)</f>
        <v>4.0816326530612151E-2</v>
      </c>
      <c r="P224" s="929">
        <v>114000</v>
      </c>
      <c r="Q224" s="1083">
        <f>(P224*G224)/1000</f>
        <v>391.02</v>
      </c>
      <c r="R224" s="1083">
        <f>(P224*H224)/1000</f>
        <v>406.98</v>
      </c>
      <c r="S224" s="1084">
        <f>R224-Q224</f>
        <v>15.960000000000036</v>
      </c>
      <c r="T224" s="1083">
        <f>(P224*I224)/1000</f>
        <v>743.28</v>
      </c>
      <c r="U224" s="1084">
        <f>R224-T224</f>
        <v>-336.29999999999995</v>
      </c>
      <c r="V224" s="480" t="s">
        <v>140</v>
      </c>
      <c r="W224" s="480" t="s">
        <v>140</v>
      </c>
      <c r="Z224" s="462"/>
    </row>
    <row r="225" spans="1:26" x14ac:dyDescent="0.3">
      <c r="A225" s="463">
        <f t="shared" si="30"/>
        <v>206</v>
      </c>
      <c r="C225" s="506"/>
      <c r="G225" s="487"/>
      <c r="H225" s="487"/>
      <c r="I225" s="487"/>
      <c r="J225" s="486"/>
      <c r="K225" s="487"/>
      <c r="L225" s="487"/>
      <c r="M225" s="488"/>
      <c r="N225" s="1082"/>
      <c r="P225" s="929"/>
      <c r="Q225" s="929"/>
      <c r="R225" s="929"/>
      <c r="T225" s="929"/>
      <c r="U225" s="1072"/>
      <c r="V225" s="480"/>
      <c r="W225" s="480"/>
      <c r="Z225" s="462"/>
    </row>
    <row r="226" spans="1:26" x14ac:dyDescent="0.3">
      <c r="A226" s="463">
        <f t="shared" si="30"/>
        <v>207</v>
      </c>
      <c r="C226" s="506" t="s">
        <v>787</v>
      </c>
      <c r="D226" s="506"/>
      <c r="G226" s="487"/>
      <c r="H226" s="487"/>
      <c r="I226" s="487"/>
      <c r="J226" s="486"/>
      <c r="K226" s="487"/>
      <c r="L226" s="487"/>
      <c r="M226" s="488"/>
      <c r="P226" s="929"/>
      <c r="Q226" s="929"/>
      <c r="R226" s="929"/>
      <c r="T226" s="929"/>
      <c r="U226" s="1072"/>
      <c r="V226" s="480"/>
      <c r="W226" s="480"/>
      <c r="Z226" s="462"/>
    </row>
    <row r="227" spans="1:26" x14ac:dyDescent="0.3">
      <c r="A227" s="463">
        <f t="shared" si="30"/>
        <v>208</v>
      </c>
      <c r="C227" s="506"/>
      <c r="D227" s="506" t="s">
        <v>788</v>
      </c>
      <c r="G227" s="487"/>
      <c r="H227" s="487"/>
      <c r="I227" s="487"/>
      <c r="J227" s="486"/>
      <c r="L227" s="487"/>
      <c r="M227" s="488"/>
      <c r="P227" s="929"/>
      <c r="Q227" s="929"/>
      <c r="R227" s="929"/>
      <c r="T227" s="929"/>
      <c r="U227" s="1072"/>
      <c r="V227" s="480"/>
      <c r="W227" s="480"/>
      <c r="Z227" s="462"/>
    </row>
    <row r="228" spans="1:26" x14ac:dyDescent="0.3">
      <c r="A228" s="463">
        <f t="shared" si="30"/>
        <v>209</v>
      </c>
      <c r="C228" s="506"/>
      <c r="D228" s="506" t="s">
        <v>789</v>
      </c>
      <c r="G228" s="487"/>
      <c r="H228" s="487"/>
      <c r="I228" s="487"/>
      <c r="J228" s="486"/>
      <c r="K228" s="487"/>
      <c r="L228" s="487"/>
      <c r="M228" s="488"/>
      <c r="P228" s="929"/>
      <c r="Q228" s="929"/>
      <c r="R228" s="929"/>
      <c r="T228" s="929"/>
      <c r="U228" s="1072"/>
      <c r="V228" s="480"/>
      <c r="W228" s="480"/>
      <c r="Z228" s="462"/>
    </row>
    <row r="229" spans="1:26" x14ac:dyDescent="0.3">
      <c r="A229" s="463">
        <f t="shared" si="30"/>
        <v>210</v>
      </c>
      <c r="C229" s="506"/>
      <c r="D229" s="508" t="s">
        <v>786</v>
      </c>
      <c r="F229" s="463" t="s">
        <v>761</v>
      </c>
      <c r="G229" s="509">
        <f>'MFR E-13c'!F566</f>
        <v>1.9570000000000001</v>
      </c>
      <c r="H229" s="509">
        <f>'MFR E-13c'!L566</f>
        <v>2.0339999999999998</v>
      </c>
      <c r="I229" s="509">
        <f>'MFR E-14D2'!$I$41</f>
        <v>2.21</v>
      </c>
      <c r="J229" s="486" t="s">
        <v>783</v>
      </c>
      <c r="K229" s="487" t="s">
        <v>721</v>
      </c>
      <c r="L229" s="487"/>
      <c r="M229" s="488"/>
      <c r="N229" s="1082">
        <f>H229-G229</f>
        <v>7.6999999999999735E-2</v>
      </c>
      <c r="O229" s="1073">
        <f>(N229/G229)</f>
        <v>3.9345937659683049E-2</v>
      </c>
      <c r="P229" s="929">
        <v>643560.93599999987</v>
      </c>
      <c r="Q229" s="1083">
        <f>(P229*G229)/1000</f>
        <v>1259.4487517519999</v>
      </c>
      <c r="R229" s="1083">
        <f>(P229*H229)/1000</f>
        <v>1309.0029438239997</v>
      </c>
      <c r="S229" s="1084">
        <f>R229-Q229</f>
        <v>49.554192071999751</v>
      </c>
      <c r="T229" s="1083">
        <f>(P229*I229)/1000</f>
        <v>1422.2696685599997</v>
      </c>
      <c r="U229" s="1084">
        <f>R229-T229</f>
        <v>-113.26672473600001</v>
      </c>
      <c r="V229" s="480" t="s">
        <v>140</v>
      </c>
      <c r="W229" s="480" t="s">
        <v>140</v>
      </c>
      <c r="Z229" s="462"/>
    </row>
    <row r="230" spans="1:26" x14ac:dyDescent="0.3">
      <c r="A230" s="463">
        <f t="shared" si="30"/>
        <v>211</v>
      </c>
      <c r="D230" s="506" t="s">
        <v>790</v>
      </c>
      <c r="F230" s="463" t="s">
        <v>761</v>
      </c>
      <c r="G230" s="509">
        <f>'MFR E-13c'!F567</f>
        <v>0.93100000000000005</v>
      </c>
      <c r="H230" s="509">
        <f>'MFR E-13c'!L567</f>
        <v>0.96799999999999997</v>
      </c>
      <c r="I230" s="509">
        <f>'MFR E-14D2'!$I$44</f>
        <v>1.052</v>
      </c>
      <c r="J230" s="486" t="s">
        <v>783</v>
      </c>
      <c r="K230" s="487" t="s">
        <v>721</v>
      </c>
      <c r="L230" s="487"/>
      <c r="M230" s="488"/>
      <c r="N230" s="1082">
        <f>H230-G230</f>
        <v>3.6999999999999922E-2</v>
      </c>
      <c r="O230" s="1073">
        <f>(N230/G230)</f>
        <v>3.9742212674543413E-2</v>
      </c>
      <c r="P230" s="929">
        <v>1761820.1407062972</v>
      </c>
      <c r="Q230" s="1083">
        <f>(P230*G230)/1000</f>
        <v>1640.2545509975628</v>
      </c>
      <c r="R230" s="1083">
        <f>(P230*H230)/1000</f>
        <v>1705.4418962036957</v>
      </c>
      <c r="S230" s="1084">
        <f>R230-Q230</f>
        <v>65.187345206132932</v>
      </c>
      <c r="T230" s="1083">
        <f>(P230*I230)/1000</f>
        <v>1853.4347880230248</v>
      </c>
      <c r="U230" s="1084">
        <f>R230-T230</f>
        <v>-147.99289181932909</v>
      </c>
      <c r="V230" s="480" t="s">
        <v>140</v>
      </c>
      <c r="W230" s="480" t="s">
        <v>140</v>
      </c>
      <c r="Z230" s="462"/>
    </row>
    <row r="231" spans="1:26" x14ac:dyDescent="0.3">
      <c r="A231" s="463">
        <f t="shared" si="30"/>
        <v>212</v>
      </c>
      <c r="G231" s="487"/>
      <c r="H231" s="487"/>
      <c r="I231" s="487"/>
      <c r="J231" s="486"/>
      <c r="K231" s="487"/>
      <c r="L231" s="487"/>
      <c r="M231" s="488"/>
      <c r="P231" s="929"/>
      <c r="Q231" s="929"/>
      <c r="R231" s="929"/>
      <c r="T231" s="929"/>
      <c r="U231" s="1072"/>
      <c r="V231" s="480"/>
      <c r="W231" s="480"/>
      <c r="Z231" s="462"/>
    </row>
    <row r="232" spans="1:26" x14ac:dyDescent="0.3">
      <c r="A232" s="463">
        <f t="shared" si="30"/>
        <v>213</v>
      </c>
      <c r="C232" s="463" t="s">
        <v>791</v>
      </c>
      <c r="J232" s="486"/>
      <c r="L232" s="487"/>
      <c r="M232" s="488"/>
      <c r="P232" s="929"/>
      <c r="Q232" s="929"/>
      <c r="R232" s="929"/>
      <c r="T232" s="929"/>
      <c r="U232" s="1072"/>
      <c r="V232" s="480"/>
      <c r="W232" s="480"/>
      <c r="Z232" s="462"/>
    </row>
    <row r="233" spans="1:26" x14ac:dyDescent="0.3">
      <c r="A233" s="463">
        <f t="shared" si="30"/>
        <v>214</v>
      </c>
      <c r="D233" s="506" t="s">
        <v>792</v>
      </c>
      <c r="F233" s="463" t="s">
        <v>761</v>
      </c>
      <c r="G233" s="509">
        <v>0.46200000000000002</v>
      </c>
      <c r="H233" s="509">
        <f>I233</f>
        <v>0.46200000000000002</v>
      </c>
      <c r="I233" s="727">
        <f>'MFR E-14D2'!I55</f>
        <v>0.46200000000000002</v>
      </c>
      <c r="J233" s="477" t="s">
        <v>783</v>
      </c>
      <c r="K233" s="487" t="s">
        <v>773</v>
      </c>
      <c r="M233" s="467"/>
      <c r="N233" s="1100">
        <f>H233-G233</f>
        <v>0</v>
      </c>
      <c r="O233" s="1073">
        <f>(N233/G233)</f>
        <v>0</v>
      </c>
      <c r="P233" s="929"/>
      <c r="Q233" s="1083">
        <f>(P233*G233)/1000</f>
        <v>0</v>
      </c>
      <c r="R233" s="1083">
        <f>(P233*H233)/1000</f>
        <v>0</v>
      </c>
      <c r="S233" s="1084">
        <f>R233-Q233</f>
        <v>0</v>
      </c>
      <c r="T233" s="1083">
        <f>(P233*I233)/1000</f>
        <v>0</v>
      </c>
      <c r="U233" s="1084">
        <f>R233-T233</f>
        <v>0</v>
      </c>
      <c r="V233" s="480" t="s">
        <v>140</v>
      </c>
      <c r="W233" s="480" t="s">
        <v>140</v>
      </c>
      <c r="Z233" s="462"/>
    </row>
    <row r="234" spans="1:26" x14ac:dyDescent="0.3">
      <c r="A234" s="463">
        <f t="shared" si="30"/>
        <v>215</v>
      </c>
      <c r="D234" s="506" t="s">
        <v>793</v>
      </c>
      <c r="F234" s="463" t="s">
        <v>761</v>
      </c>
      <c r="G234" s="509">
        <v>0.22</v>
      </c>
      <c r="H234" s="509">
        <f>I234</f>
        <v>0.22</v>
      </c>
      <c r="I234" s="727">
        <f>'MFR E-14D2'!I57</f>
        <v>0.22</v>
      </c>
      <c r="J234" s="477" t="s">
        <v>783</v>
      </c>
      <c r="K234" s="487" t="s">
        <v>773</v>
      </c>
      <c r="M234" s="467"/>
      <c r="N234" s="1100">
        <f>H234-G234</f>
        <v>0</v>
      </c>
      <c r="O234" s="1073">
        <f>(N234/G234)</f>
        <v>0</v>
      </c>
      <c r="P234" s="929"/>
      <c r="Q234" s="1083">
        <f>(P234*G234)/1000</f>
        <v>0</v>
      </c>
      <c r="R234" s="1083">
        <f>(P234*H234)/1000</f>
        <v>0</v>
      </c>
      <c r="S234" s="1084">
        <f>R234-Q234</f>
        <v>0</v>
      </c>
      <c r="T234" s="1083">
        <f>(P234*I234)/1000</f>
        <v>0</v>
      </c>
      <c r="U234" s="1084">
        <f>R234-T234</f>
        <v>0</v>
      </c>
      <c r="V234" s="480" t="s">
        <v>140</v>
      </c>
      <c r="W234" s="480" t="s">
        <v>140</v>
      </c>
      <c r="Z234" s="462"/>
    </row>
    <row r="235" spans="1:26" x14ac:dyDescent="0.3">
      <c r="A235" s="463">
        <f t="shared" si="30"/>
        <v>216</v>
      </c>
      <c r="M235" s="467"/>
      <c r="P235" s="929"/>
      <c r="Q235" s="929"/>
      <c r="R235" s="929"/>
      <c r="T235" s="929"/>
      <c r="U235" s="1072"/>
      <c r="V235" s="480"/>
      <c r="W235" s="480"/>
      <c r="Z235" s="462"/>
    </row>
    <row r="236" spans="1:26" x14ac:dyDescent="0.3">
      <c r="A236" s="463">
        <f t="shared" si="30"/>
        <v>217</v>
      </c>
      <c r="D236" s="463" t="s">
        <v>764</v>
      </c>
      <c r="M236" s="467"/>
      <c r="P236" s="929"/>
      <c r="Q236" s="929"/>
      <c r="R236" s="929"/>
      <c r="T236" s="929"/>
      <c r="U236" s="1072"/>
      <c r="V236" s="480"/>
      <c r="W236" s="480"/>
      <c r="Z236" s="462"/>
    </row>
    <row r="237" spans="1:26" x14ac:dyDescent="0.3">
      <c r="A237" s="463">
        <f t="shared" si="30"/>
        <v>218</v>
      </c>
      <c r="D237" s="492" t="s">
        <v>148</v>
      </c>
      <c r="F237" s="463" t="s">
        <v>761</v>
      </c>
      <c r="G237" s="485">
        <f>G203</f>
        <v>1.3</v>
      </c>
      <c r="H237" s="485">
        <f>I237</f>
        <v>1.34</v>
      </c>
      <c r="I237" s="503">
        <f>I203</f>
        <v>1.34</v>
      </c>
      <c r="J237" s="486" t="s">
        <v>765</v>
      </c>
      <c r="K237" s="487" t="s">
        <v>751</v>
      </c>
      <c r="M237" s="467"/>
      <c r="N237" s="1093">
        <f>H237-G237</f>
        <v>4.0000000000000036E-2</v>
      </c>
      <c r="O237" s="1073">
        <f>(N237/G237)</f>
        <v>3.0769230769230795E-2</v>
      </c>
      <c r="P237" s="929">
        <v>0</v>
      </c>
      <c r="Q237" s="1083">
        <f>(P237*G237)/1000</f>
        <v>0</v>
      </c>
      <c r="R237" s="1083">
        <f>(P237*H237)/1000</f>
        <v>0</v>
      </c>
      <c r="S237" s="1084">
        <f>R237-Q237</f>
        <v>0</v>
      </c>
      <c r="T237" s="1083">
        <f>(P237*I237)/1000</f>
        <v>0</v>
      </c>
      <c r="U237" s="1084">
        <f>R237-T237</f>
        <v>0</v>
      </c>
      <c r="V237" s="480" t="s">
        <v>140</v>
      </c>
      <c r="W237" s="480" t="s">
        <v>140</v>
      </c>
      <c r="Z237" s="462"/>
    </row>
    <row r="238" spans="1:26" x14ac:dyDescent="0.3">
      <c r="A238" s="463">
        <f t="shared" si="30"/>
        <v>219</v>
      </c>
      <c r="D238" s="492" t="s">
        <v>597</v>
      </c>
      <c r="F238" s="463" t="s">
        <v>761</v>
      </c>
      <c r="G238" s="485">
        <f t="shared" ref="G238:G239" si="35">G204</f>
        <v>6.18</v>
      </c>
      <c r="H238" s="485">
        <f t="shared" ref="H238:H239" si="36">I238</f>
        <v>6.47</v>
      </c>
      <c r="I238" s="503">
        <f t="shared" ref="I238:I239" si="37">I204</f>
        <v>6.47</v>
      </c>
      <c r="J238" s="486" t="s">
        <v>765</v>
      </c>
      <c r="K238" s="487" t="s">
        <v>751</v>
      </c>
      <c r="L238" s="487"/>
      <c r="M238" s="488"/>
      <c r="P238" s="929"/>
      <c r="Q238" s="1098"/>
      <c r="R238" s="1098"/>
      <c r="T238" s="1098"/>
      <c r="U238" s="1072"/>
      <c r="V238" s="480" t="s">
        <v>140</v>
      </c>
      <c r="W238" s="480" t="s">
        <v>140</v>
      </c>
      <c r="Z238" s="462"/>
    </row>
    <row r="239" spans="1:26" x14ac:dyDescent="0.3">
      <c r="A239" s="463">
        <f t="shared" si="30"/>
        <v>220</v>
      </c>
      <c r="D239" s="492" t="s">
        <v>766</v>
      </c>
      <c r="F239" s="463" t="s">
        <v>761</v>
      </c>
      <c r="G239" s="485">
        <f t="shared" si="35"/>
        <v>8.61</v>
      </c>
      <c r="H239" s="485">
        <f t="shared" si="36"/>
        <v>9.0399999999999991</v>
      </c>
      <c r="I239" s="503">
        <f t="shared" si="37"/>
        <v>9.0399999999999991</v>
      </c>
      <c r="J239" s="486" t="s">
        <v>765</v>
      </c>
      <c r="K239" s="487" t="s">
        <v>751</v>
      </c>
      <c r="L239" s="487"/>
      <c r="M239" s="488"/>
      <c r="P239" s="929"/>
      <c r="Q239" s="1098"/>
      <c r="R239" s="1098"/>
      <c r="T239" s="1098"/>
      <c r="U239" s="1072"/>
      <c r="V239" s="480"/>
      <c r="W239" s="480"/>
      <c r="Z239" s="462"/>
    </row>
    <row r="240" spans="1:26" x14ac:dyDescent="0.3">
      <c r="A240" s="463">
        <f t="shared" si="30"/>
        <v>221</v>
      </c>
      <c r="D240" s="463" t="s">
        <v>650</v>
      </c>
      <c r="F240" s="463" t="s">
        <v>761</v>
      </c>
      <c r="G240" s="485">
        <f>G158</f>
        <v>1.96</v>
      </c>
      <c r="H240" s="485">
        <f>I240</f>
        <v>2.06</v>
      </c>
      <c r="I240" s="485">
        <f>'MFR E-14G'!I22</f>
        <v>2.06</v>
      </c>
      <c r="J240" s="486" t="s">
        <v>750</v>
      </c>
      <c r="K240" s="487" t="s">
        <v>751</v>
      </c>
      <c r="M240" s="467"/>
      <c r="N240" s="1093">
        <f>H240-G240</f>
        <v>0.10000000000000009</v>
      </c>
      <c r="O240" s="1073">
        <f>(N240/G240)</f>
        <v>5.1020408163265356E-2</v>
      </c>
      <c r="P240" s="929"/>
      <c r="Q240" s="929"/>
      <c r="R240" s="929"/>
      <c r="T240" s="929"/>
      <c r="U240" s="1072"/>
      <c r="V240" s="480" t="s">
        <v>140</v>
      </c>
      <c r="W240" s="480" t="s">
        <v>140</v>
      </c>
      <c r="Z240" s="462"/>
    </row>
    <row r="241" spans="1:29" x14ac:dyDescent="0.3">
      <c r="A241" s="463">
        <f t="shared" si="30"/>
        <v>222</v>
      </c>
      <c r="G241" s="493"/>
      <c r="H241" s="493"/>
      <c r="I241" s="493"/>
      <c r="M241" s="467"/>
      <c r="N241" s="1082"/>
      <c r="P241" s="929"/>
      <c r="Q241" s="929"/>
      <c r="R241" s="929"/>
      <c r="T241" s="929"/>
      <c r="U241" s="1072"/>
      <c r="V241" s="480"/>
      <c r="W241" s="480"/>
      <c r="Z241" s="462"/>
    </row>
    <row r="242" spans="1:29" x14ac:dyDescent="0.3">
      <c r="A242" s="463">
        <f t="shared" si="30"/>
        <v>223</v>
      </c>
      <c r="C242" s="463" t="s">
        <v>752</v>
      </c>
      <c r="G242" s="487"/>
      <c r="H242" s="487"/>
      <c r="I242" s="487"/>
      <c r="J242" s="486"/>
      <c r="K242" s="487"/>
      <c r="L242" s="487"/>
      <c r="M242" s="488"/>
      <c r="P242" s="929"/>
      <c r="Q242" s="929"/>
      <c r="R242" s="929"/>
      <c r="T242" s="929"/>
      <c r="U242" s="1072"/>
      <c r="V242" s="480"/>
      <c r="W242" s="480"/>
      <c r="Z242" s="462"/>
    </row>
    <row r="243" spans="1:29" x14ac:dyDescent="0.3">
      <c r="A243" s="463">
        <f t="shared" si="30"/>
        <v>224</v>
      </c>
      <c r="D243" s="463" t="s">
        <v>148</v>
      </c>
      <c r="F243" s="463" t="s">
        <v>419</v>
      </c>
      <c r="G243" s="499">
        <v>0.01</v>
      </c>
      <c r="H243" s="499">
        <v>0.01</v>
      </c>
      <c r="I243" s="499"/>
      <c r="J243" s="486"/>
      <c r="K243" s="487"/>
      <c r="L243" s="487"/>
      <c r="M243" s="488"/>
      <c r="N243" s="1091">
        <f>H243-G243</f>
        <v>0</v>
      </c>
      <c r="O243" s="1073">
        <f>(N243/G243)</f>
        <v>0</v>
      </c>
      <c r="P243" s="929"/>
      <c r="Q243" s="1083">
        <f>(P243*G243)/1000</f>
        <v>0</v>
      </c>
      <c r="R243" s="1083">
        <f>(P243*H243)/1000</f>
        <v>0</v>
      </c>
      <c r="S243" s="1084">
        <f>R243-Q243</f>
        <v>0</v>
      </c>
      <c r="T243" s="1083">
        <f>(P243*I243)/1000</f>
        <v>0</v>
      </c>
      <c r="U243" s="1084">
        <f>R243-T243</f>
        <v>0</v>
      </c>
      <c r="V243" s="480" t="s">
        <v>140</v>
      </c>
      <c r="W243" s="480" t="s">
        <v>140</v>
      </c>
      <c r="Z243" s="462"/>
    </row>
    <row r="244" spans="1:29" x14ac:dyDescent="0.3">
      <c r="A244" s="463">
        <f t="shared" si="30"/>
        <v>225</v>
      </c>
      <c r="D244" s="463" t="s">
        <v>216</v>
      </c>
      <c r="F244" s="463" t="s">
        <v>419</v>
      </c>
      <c r="G244" s="499">
        <v>0.02</v>
      </c>
      <c r="H244" s="499">
        <v>0.02</v>
      </c>
      <c r="I244" s="499"/>
      <c r="J244" s="486"/>
      <c r="K244" s="487"/>
      <c r="L244" s="487"/>
      <c r="M244" s="488"/>
      <c r="N244" s="1091">
        <f>H244-G244</f>
        <v>0</v>
      </c>
      <c r="O244" s="1073">
        <f>(N244/G244)</f>
        <v>0</v>
      </c>
      <c r="P244" s="929"/>
      <c r="Q244" s="1083">
        <f>(P244*G244)/1000</f>
        <v>0</v>
      </c>
      <c r="R244" s="1083">
        <f>(P244*H244)/1000</f>
        <v>0</v>
      </c>
      <c r="S244" s="1084">
        <f>R244-Q244</f>
        <v>0</v>
      </c>
      <c r="T244" s="1083">
        <f>(P244*I244)/1000</f>
        <v>0</v>
      </c>
      <c r="U244" s="1084">
        <f>R244-T244</f>
        <v>0</v>
      </c>
      <c r="V244" s="480" t="s">
        <v>140</v>
      </c>
      <c r="W244" s="480" t="s">
        <v>140</v>
      </c>
      <c r="Z244" s="462"/>
    </row>
    <row r="245" spans="1:29" x14ac:dyDescent="0.3">
      <c r="A245" s="463">
        <f t="shared" si="30"/>
        <v>226</v>
      </c>
      <c r="G245" s="499"/>
      <c r="H245" s="499"/>
      <c r="I245" s="499"/>
      <c r="J245" s="486"/>
      <c r="K245" s="487"/>
      <c r="L245" s="487"/>
      <c r="M245" s="488"/>
      <c r="N245" s="1091"/>
      <c r="P245" s="929"/>
      <c r="Q245" s="1083"/>
      <c r="R245" s="1083"/>
      <c r="S245" s="1084"/>
      <c r="T245" s="1083"/>
      <c r="U245" s="1084"/>
      <c r="V245" s="480"/>
      <c r="W245" s="480"/>
      <c r="Z245" s="462"/>
    </row>
    <row r="246" spans="1:29" x14ac:dyDescent="0.3">
      <c r="A246" s="463">
        <f t="shared" si="30"/>
        <v>227</v>
      </c>
      <c r="C246" s="463" t="s">
        <v>754</v>
      </c>
      <c r="F246" s="463" t="s">
        <v>419</v>
      </c>
      <c r="G246" s="500">
        <f>G170</f>
        <v>9.5999999999999992E-3</v>
      </c>
      <c r="H246" s="1222">
        <f>I246</f>
        <v>9.5999999999999992E-3</v>
      </c>
      <c r="I246" s="1223">
        <f>I170</f>
        <v>9.5999999999999992E-3</v>
      </c>
      <c r="J246" s="477" t="s">
        <v>755</v>
      </c>
      <c r="K246" s="501" t="s">
        <v>756</v>
      </c>
      <c r="M246" s="467"/>
      <c r="N246" s="1082"/>
      <c r="P246" s="929"/>
      <c r="Q246" s="929"/>
      <c r="R246" s="929"/>
      <c r="T246" s="929"/>
      <c r="U246" s="1072"/>
      <c r="V246" s="480"/>
      <c r="W246" s="480"/>
      <c r="Z246" s="462"/>
    </row>
    <row r="247" spans="1:29" ht="14.4" thickBot="1" x14ac:dyDescent="0.35">
      <c r="B247" s="467"/>
      <c r="C247" s="467"/>
      <c r="D247" s="467"/>
      <c r="E247" s="467"/>
      <c r="F247" s="467"/>
      <c r="G247" s="467"/>
      <c r="H247" s="467"/>
      <c r="I247" s="467"/>
      <c r="J247" s="479"/>
      <c r="K247" s="467"/>
      <c r="L247" s="467"/>
      <c r="M247" s="467"/>
      <c r="N247" s="1085"/>
      <c r="O247" s="1086"/>
      <c r="P247" s="1087"/>
      <c r="Q247" s="1088">
        <f>SUM(Q214:Q246)</f>
        <v>4439.9473150572549</v>
      </c>
      <c r="R247" s="1088">
        <f>SUM(R214:R246)</f>
        <v>4614.0485657969257</v>
      </c>
      <c r="S247" s="1088">
        <f>SUM(S214:S246)</f>
        <v>174.10125073967112</v>
      </c>
      <c r="T247" s="1088">
        <f>SUM(T214:T246)</f>
        <v>4449.709007996531</v>
      </c>
      <c r="U247" s="1088">
        <f>SUM(U214:U246)</f>
        <v>164.3395578003948</v>
      </c>
      <c r="V247" s="480"/>
      <c r="W247" s="480"/>
      <c r="Z247" s="462"/>
    </row>
    <row r="248" spans="1:29" ht="14.4" thickTop="1" x14ac:dyDescent="0.3">
      <c r="A248" s="463">
        <f>+A246+1</f>
        <v>228</v>
      </c>
      <c r="B248" s="484"/>
      <c r="M248" s="467"/>
      <c r="P248" s="929"/>
      <c r="Q248" s="929"/>
      <c r="R248" s="929"/>
      <c r="S248" s="929"/>
      <c r="T248" s="929"/>
      <c r="U248" s="1072"/>
      <c r="V248" s="480"/>
      <c r="W248" s="480"/>
      <c r="Z248" s="462"/>
    </row>
    <row r="249" spans="1:29" x14ac:dyDescent="0.3">
      <c r="A249" s="463">
        <f t="shared" si="30"/>
        <v>229</v>
      </c>
      <c r="B249" s="484" t="s">
        <v>139</v>
      </c>
      <c r="C249" s="463" t="s">
        <v>719</v>
      </c>
      <c r="M249" s="467"/>
      <c r="P249" s="929"/>
      <c r="Q249" s="929"/>
      <c r="R249" s="929"/>
      <c r="T249" s="929"/>
      <c r="U249" s="1072"/>
      <c r="V249" s="480"/>
      <c r="W249" s="480"/>
      <c r="Z249" s="462"/>
    </row>
    <row r="250" spans="1:29" x14ac:dyDescent="0.3">
      <c r="A250" s="463">
        <f t="shared" si="30"/>
        <v>230</v>
      </c>
      <c r="D250" s="463" t="s">
        <v>149</v>
      </c>
      <c r="F250" s="463" t="s">
        <v>717</v>
      </c>
      <c r="G250" s="487">
        <v>156.7672377094168</v>
      </c>
      <c r="H250" s="485">
        <f>G250*(1+'Exhibit MJC-2 - Old E-8a'!V27)</f>
        <v>163.11999393239915</v>
      </c>
      <c r="I250" s="485">
        <f>'MFR E-14D2'!$I$20</f>
        <v>95.531058081229432</v>
      </c>
      <c r="J250" s="486" t="s">
        <v>783</v>
      </c>
      <c r="K250" s="487" t="s">
        <v>784</v>
      </c>
      <c r="L250" s="487"/>
      <c r="M250" s="488"/>
      <c r="N250" s="1093">
        <f>H250-G250</f>
        <v>6.3527562229823502</v>
      </c>
      <c r="O250" s="1073">
        <f>(N250/G250)</f>
        <v>4.052349403998428E-2</v>
      </c>
      <c r="P250" s="929"/>
      <c r="Q250" s="1083">
        <f>(P250*G250)/1000</f>
        <v>0</v>
      </c>
      <c r="R250" s="1083">
        <f>(P250*H250)/1000</f>
        <v>0</v>
      </c>
      <c r="S250" s="1084">
        <f>R250-Q250</f>
        <v>0</v>
      </c>
      <c r="T250" s="1083">
        <f>(P250*I250)/1000</f>
        <v>0</v>
      </c>
      <c r="U250" s="1084">
        <f>R250-T250</f>
        <v>0</v>
      </c>
      <c r="V250" s="480" t="s">
        <v>139</v>
      </c>
      <c r="W250" s="480" t="s">
        <v>139</v>
      </c>
      <c r="Z250" s="462"/>
      <c r="AC250" s="463" t="b">
        <f t="shared" ref="AC250:AC253" si="38">H250&gt;=I250</f>
        <v>1</v>
      </c>
    </row>
    <row r="251" spans="1:29" x14ac:dyDescent="0.3">
      <c r="A251" s="463">
        <f t="shared" si="30"/>
        <v>231</v>
      </c>
      <c r="D251" s="463" t="s">
        <v>148</v>
      </c>
      <c r="F251" s="463" t="s">
        <v>717</v>
      </c>
      <c r="G251" s="487">
        <f>'MFR E-13c'!F605</f>
        <v>432.09</v>
      </c>
      <c r="H251" s="487">
        <f>'MFR E-13c'!L605</f>
        <v>440.95</v>
      </c>
      <c r="I251" s="485">
        <f>'MFR E-14D2'!$I$21</f>
        <v>240.37860095595573</v>
      </c>
      <c r="J251" s="486" t="s">
        <v>783</v>
      </c>
      <c r="K251" s="487" t="s">
        <v>721</v>
      </c>
      <c r="L251" s="487"/>
      <c r="M251" s="488"/>
      <c r="N251" s="1093">
        <f>H251-G251</f>
        <v>8.8600000000000136</v>
      </c>
      <c r="O251" s="1073">
        <f>(N251/G251)</f>
        <v>2.0504987386887025E-2</v>
      </c>
      <c r="P251" s="929">
        <v>0</v>
      </c>
      <c r="Q251" s="1083">
        <f>(P251*G251)/1000</f>
        <v>0</v>
      </c>
      <c r="R251" s="1083">
        <f>(P251*H251)/1000</f>
        <v>0</v>
      </c>
      <c r="S251" s="1084">
        <f>R251-Q251</f>
        <v>0</v>
      </c>
      <c r="T251" s="1083">
        <f>(P251*I251)/1000</f>
        <v>0</v>
      </c>
      <c r="U251" s="1084">
        <f>R251-T251</f>
        <v>0</v>
      </c>
      <c r="V251" s="480" t="s">
        <v>139</v>
      </c>
      <c r="W251" s="480" t="s">
        <v>139</v>
      </c>
      <c r="Z251" s="462"/>
      <c r="AC251" s="463" t="b">
        <f t="shared" si="38"/>
        <v>1</v>
      </c>
    </row>
    <row r="252" spans="1:29" x14ac:dyDescent="0.3">
      <c r="A252" s="463">
        <f t="shared" si="30"/>
        <v>232</v>
      </c>
      <c r="D252" s="463" t="s">
        <v>216</v>
      </c>
      <c r="F252" s="463" t="s">
        <v>717</v>
      </c>
      <c r="G252" s="487">
        <f>'MFR E-13c'!F607</f>
        <v>1488.73</v>
      </c>
      <c r="H252" s="487">
        <f>'MFR E-13c'!L607</f>
        <v>1519.26</v>
      </c>
      <c r="I252" s="485">
        <f>'MFR E-14D2'!$I$22</f>
        <v>425.73937849400534</v>
      </c>
      <c r="J252" s="486" t="s">
        <v>783</v>
      </c>
      <c r="K252" s="487" t="s">
        <v>721</v>
      </c>
      <c r="L252" s="487"/>
      <c r="M252" s="488"/>
      <c r="N252" s="1093">
        <f>H252-G252</f>
        <v>30.529999999999973</v>
      </c>
      <c r="O252" s="1073">
        <f>(N252/G252)</f>
        <v>2.0507412358184474E-2</v>
      </c>
      <c r="P252" s="929">
        <v>0</v>
      </c>
      <c r="Q252" s="1083">
        <f>(P252*G252)/1000</f>
        <v>0</v>
      </c>
      <c r="R252" s="1083">
        <f>(P252*H252)/1000</f>
        <v>0</v>
      </c>
      <c r="S252" s="1084">
        <f>R252-Q252</f>
        <v>0</v>
      </c>
      <c r="T252" s="1083">
        <f>(P252*I252)/1000</f>
        <v>0</v>
      </c>
      <c r="U252" s="1084">
        <f>R252-T252</f>
        <v>0</v>
      </c>
      <c r="V252" s="480" t="s">
        <v>139</v>
      </c>
      <c r="W252" s="480" t="s">
        <v>139</v>
      </c>
      <c r="Z252" s="462"/>
      <c r="AC252" s="463" t="b">
        <f t="shared" si="38"/>
        <v>1</v>
      </c>
    </row>
    <row r="253" spans="1:29" x14ac:dyDescent="0.3">
      <c r="A253" s="463">
        <f t="shared" si="30"/>
        <v>233</v>
      </c>
      <c r="D253" s="463" t="s">
        <v>785</v>
      </c>
      <c r="F253" s="463" t="s">
        <v>717</v>
      </c>
      <c r="G253" s="487">
        <f>'MFR E-13c'!F606</f>
        <v>145.94</v>
      </c>
      <c r="H253" s="487">
        <f>'MFR E-13c'!L606</f>
        <v>146.87</v>
      </c>
      <c r="I253" s="485"/>
      <c r="J253" s="486"/>
      <c r="K253" s="487" t="s">
        <v>721</v>
      </c>
      <c r="L253" s="487"/>
      <c r="M253" s="488"/>
      <c r="N253" s="1093">
        <f>H253-G253</f>
        <v>0.93000000000000682</v>
      </c>
      <c r="O253" s="1073">
        <f>(N253/G253)</f>
        <v>6.3724818418528627E-3</v>
      </c>
      <c r="P253" s="929">
        <v>12.099999999999996</v>
      </c>
      <c r="Q253" s="1083">
        <f>(P253*G253)/1000</f>
        <v>1.7658739999999993</v>
      </c>
      <c r="R253" s="1083">
        <f>(P253*H253)/1000</f>
        <v>1.7771269999999995</v>
      </c>
      <c r="S253" s="1084">
        <f>R253-Q253</f>
        <v>1.125300000000018E-2</v>
      </c>
      <c r="T253" s="1083">
        <f>(P253*I253)/1000</f>
        <v>0</v>
      </c>
      <c r="U253" s="1084">
        <f>R253-T253</f>
        <v>1.7771269999999995</v>
      </c>
      <c r="V253" s="480" t="s">
        <v>139</v>
      </c>
      <c r="W253" s="480" t="s">
        <v>139</v>
      </c>
      <c r="Z253" s="462"/>
      <c r="AC253" s="463" t="b">
        <f t="shared" si="38"/>
        <v>1</v>
      </c>
    </row>
    <row r="254" spans="1:29" x14ac:dyDescent="0.3">
      <c r="A254" s="463">
        <f t="shared" si="30"/>
        <v>234</v>
      </c>
      <c r="G254" s="487"/>
      <c r="H254" s="487"/>
      <c r="I254" s="494"/>
      <c r="J254" s="486"/>
      <c r="K254" s="487"/>
      <c r="L254" s="487"/>
      <c r="M254" s="488"/>
      <c r="P254" s="929"/>
      <c r="Q254" s="929"/>
      <c r="R254" s="929"/>
      <c r="T254" s="929"/>
      <c r="U254" s="1072"/>
      <c r="V254" s="480"/>
      <c r="W254" s="480"/>
      <c r="Z254" s="462"/>
    </row>
    <row r="255" spans="1:29" x14ac:dyDescent="0.3">
      <c r="A255" s="463">
        <f t="shared" si="30"/>
        <v>235</v>
      </c>
      <c r="C255" s="506" t="s">
        <v>727</v>
      </c>
      <c r="D255" s="506"/>
      <c r="F255" s="463" t="s">
        <v>730</v>
      </c>
      <c r="G255" s="494">
        <f>'MFR E-13c'!F626/10</f>
        <v>1.7600000000000002</v>
      </c>
      <c r="H255" s="494">
        <f>'MFR E-13c'!L626/10</f>
        <v>1.831</v>
      </c>
      <c r="I255" s="494">
        <f>'MFR E-14D2'!$I$30/10</f>
        <v>0.60899999999999999</v>
      </c>
      <c r="J255" s="486" t="s">
        <v>783</v>
      </c>
      <c r="K255" s="487" t="s">
        <v>721</v>
      </c>
      <c r="L255" s="494"/>
      <c r="M255" s="497"/>
      <c r="N255" s="1082">
        <f>H255-G255</f>
        <v>7.099999999999973E-2</v>
      </c>
      <c r="O255" s="1073">
        <f>(N255/G255)</f>
        <v>4.0340909090908934E-2</v>
      </c>
      <c r="P255" s="929">
        <v>72451.900000000009</v>
      </c>
      <c r="Q255" s="1083">
        <f>(P255*G255*10)/1000</f>
        <v>1275.1534400000003</v>
      </c>
      <c r="R255" s="1083">
        <f>(P255*H255*10)/1000</f>
        <v>1326.5942889999999</v>
      </c>
      <c r="S255" s="1084">
        <f>R255-Q255</f>
        <v>51.440848999999616</v>
      </c>
      <c r="T255" s="1083">
        <f>(P255*I255*10)/1000</f>
        <v>441.23207100000008</v>
      </c>
      <c r="U255" s="1084">
        <f>R255-T255</f>
        <v>885.36221799999976</v>
      </c>
      <c r="V255" s="480" t="s">
        <v>139</v>
      </c>
      <c r="W255" s="480" t="s">
        <v>139</v>
      </c>
      <c r="Z255" s="462"/>
    </row>
    <row r="256" spans="1:29" x14ac:dyDescent="0.3">
      <c r="A256" s="463">
        <f t="shared" si="30"/>
        <v>236</v>
      </c>
      <c r="C256" s="507"/>
      <c r="D256" s="506"/>
      <c r="G256" s="487"/>
      <c r="H256" s="487"/>
      <c r="I256" s="487"/>
      <c r="J256" s="486"/>
      <c r="K256" s="487"/>
      <c r="L256" s="487"/>
      <c r="M256" s="488"/>
      <c r="P256" s="929"/>
      <c r="Q256" s="929"/>
      <c r="R256" s="929"/>
      <c r="T256" s="929"/>
      <c r="U256" s="1072"/>
      <c r="V256" s="480"/>
      <c r="W256" s="480"/>
      <c r="Z256" s="462"/>
    </row>
    <row r="257" spans="1:26" x14ac:dyDescent="0.3">
      <c r="A257" s="463">
        <f t="shared" si="30"/>
        <v>237</v>
      </c>
      <c r="C257" s="506" t="s">
        <v>642</v>
      </c>
      <c r="D257" s="506"/>
      <c r="G257" s="487"/>
      <c r="H257" s="487"/>
      <c r="I257" s="487"/>
      <c r="J257" s="486"/>
      <c r="K257" s="487"/>
      <c r="L257" s="487"/>
      <c r="M257" s="488"/>
      <c r="P257" s="929"/>
      <c r="Q257" s="929"/>
      <c r="R257" s="929"/>
      <c r="T257" s="929"/>
      <c r="U257" s="1072"/>
      <c r="V257" s="480"/>
      <c r="W257" s="480"/>
      <c r="Z257" s="462"/>
    </row>
    <row r="258" spans="1:26" x14ac:dyDescent="0.3">
      <c r="A258" s="463">
        <f t="shared" si="30"/>
        <v>238</v>
      </c>
      <c r="D258" s="506" t="s">
        <v>786</v>
      </c>
      <c r="F258" s="463" t="s">
        <v>761</v>
      </c>
      <c r="G258" s="487">
        <f>'MFR E-13c'!F612</f>
        <v>3.43</v>
      </c>
      <c r="H258" s="487">
        <f>'MFR E-13c'!L612</f>
        <v>3.57</v>
      </c>
      <c r="I258" s="487">
        <f>'MFR E-14D2'!$I$34</f>
        <v>6.52</v>
      </c>
      <c r="J258" s="486" t="s">
        <v>783</v>
      </c>
      <c r="K258" s="487" t="s">
        <v>721</v>
      </c>
      <c r="L258" s="487"/>
      <c r="M258" s="488"/>
      <c r="N258" s="1093">
        <f>H258-G258</f>
        <v>0.13999999999999968</v>
      </c>
      <c r="O258" s="1073">
        <f>(N258/G258)</f>
        <v>4.0816326530612151E-2</v>
      </c>
      <c r="P258" s="929">
        <v>266652</v>
      </c>
      <c r="Q258" s="1083">
        <f>(P258*G258)/1000</f>
        <v>914.61635999999999</v>
      </c>
      <c r="R258" s="1083">
        <f>(P258*H258)/1000</f>
        <v>951.94763999999998</v>
      </c>
      <c r="S258" s="1084">
        <f>R258-Q258</f>
        <v>37.331279999999992</v>
      </c>
      <c r="T258" s="1083">
        <f>(P258*I258)/1000</f>
        <v>1738.5710399999998</v>
      </c>
      <c r="U258" s="1084">
        <f>R258-T258</f>
        <v>-786.62339999999983</v>
      </c>
      <c r="V258" s="480" t="s">
        <v>139</v>
      </c>
      <c r="W258" s="480" t="s">
        <v>139</v>
      </c>
      <c r="Z258" s="462"/>
    </row>
    <row r="259" spans="1:26" x14ac:dyDescent="0.3">
      <c r="A259" s="463">
        <f t="shared" si="30"/>
        <v>239</v>
      </c>
      <c r="C259" s="506"/>
      <c r="G259" s="487"/>
      <c r="H259" s="487"/>
      <c r="I259" s="487"/>
      <c r="J259" s="486"/>
      <c r="K259" s="487"/>
      <c r="L259" s="487"/>
      <c r="M259" s="488"/>
      <c r="P259" s="929"/>
      <c r="Q259" s="929"/>
      <c r="R259" s="929"/>
      <c r="T259" s="929"/>
      <c r="U259" s="1072"/>
      <c r="V259" s="480"/>
      <c r="W259" s="480"/>
      <c r="Z259" s="462"/>
    </row>
    <row r="260" spans="1:26" x14ac:dyDescent="0.3">
      <c r="A260" s="463">
        <f t="shared" si="30"/>
        <v>240</v>
      </c>
      <c r="C260" s="506" t="s">
        <v>787</v>
      </c>
      <c r="D260" s="506"/>
      <c r="G260" s="487"/>
      <c r="H260" s="487"/>
      <c r="I260" s="487"/>
      <c r="J260" s="486"/>
      <c r="K260" s="487"/>
      <c r="L260" s="487"/>
      <c r="M260" s="488"/>
      <c r="P260" s="929"/>
      <c r="Q260" s="929"/>
      <c r="R260" s="929"/>
      <c r="T260" s="929"/>
      <c r="U260" s="1072"/>
      <c r="V260" s="480"/>
      <c r="W260" s="480"/>
      <c r="Z260" s="462"/>
    </row>
    <row r="261" spans="1:26" x14ac:dyDescent="0.3">
      <c r="A261" s="463">
        <f t="shared" si="30"/>
        <v>241</v>
      </c>
      <c r="C261" s="506"/>
      <c r="D261" s="506" t="s">
        <v>788</v>
      </c>
      <c r="G261" s="487"/>
      <c r="H261" s="487"/>
      <c r="I261" s="487"/>
      <c r="J261" s="486"/>
      <c r="K261" s="487"/>
      <c r="L261" s="487"/>
      <c r="M261" s="488"/>
      <c r="P261" s="929"/>
      <c r="Q261" s="929"/>
      <c r="R261" s="929"/>
      <c r="T261" s="929"/>
      <c r="U261" s="1072"/>
      <c r="V261" s="480"/>
      <c r="W261" s="480"/>
      <c r="Z261" s="462"/>
    </row>
    <row r="262" spans="1:26" x14ac:dyDescent="0.3">
      <c r="A262" s="463">
        <f t="shared" si="30"/>
        <v>242</v>
      </c>
      <c r="C262" s="506"/>
      <c r="D262" s="506" t="s">
        <v>789</v>
      </c>
      <c r="G262" s="487"/>
      <c r="H262" s="487"/>
      <c r="I262" s="487"/>
      <c r="J262" s="486"/>
      <c r="K262" s="487"/>
      <c r="L262" s="487"/>
      <c r="M262" s="488"/>
      <c r="P262" s="929"/>
      <c r="Q262" s="929"/>
      <c r="R262" s="929"/>
      <c r="T262" s="929"/>
      <c r="U262" s="1072"/>
      <c r="V262" s="480"/>
      <c r="W262" s="480"/>
      <c r="Z262" s="462"/>
    </row>
    <row r="263" spans="1:26" x14ac:dyDescent="0.3">
      <c r="A263" s="463">
        <f t="shared" si="30"/>
        <v>243</v>
      </c>
      <c r="C263" s="506"/>
      <c r="D263" s="508" t="s">
        <v>786</v>
      </c>
      <c r="F263" s="463" t="s">
        <v>761</v>
      </c>
      <c r="G263" s="509">
        <f>'MFR E-13c'!F617</f>
        <v>1.9570000000000001</v>
      </c>
      <c r="H263" s="509">
        <f>'MFR E-13c'!L617</f>
        <v>2.0339999999999998</v>
      </c>
      <c r="I263" s="509">
        <f>'MFR E-14D2'!$I$41</f>
        <v>2.21</v>
      </c>
      <c r="J263" s="486" t="s">
        <v>783</v>
      </c>
      <c r="K263" s="487" t="s">
        <v>721</v>
      </c>
      <c r="L263" s="487"/>
      <c r="M263" s="488"/>
      <c r="N263" s="1100">
        <f>H263-G263</f>
        <v>7.6999999999999735E-2</v>
      </c>
      <c r="O263" s="1073">
        <f>(N263/G263)</f>
        <v>3.9345937659683049E-2</v>
      </c>
      <c r="P263" s="929">
        <v>0</v>
      </c>
      <c r="Q263" s="1083">
        <f>(P263*G263)/1000</f>
        <v>0</v>
      </c>
      <c r="R263" s="1083">
        <f>(P263*H263)/1000</f>
        <v>0</v>
      </c>
      <c r="S263" s="1084">
        <f>R263-Q263</f>
        <v>0</v>
      </c>
      <c r="T263" s="1083">
        <f>(P263*I263)/1000</f>
        <v>0</v>
      </c>
      <c r="U263" s="1084">
        <f>R263-T263</f>
        <v>0</v>
      </c>
      <c r="V263" s="480" t="s">
        <v>139</v>
      </c>
      <c r="W263" s="480" t="s">
        <v>139</v>
      </c>
      <c r="Z263" s="462"/>
    </row>
    <row r="264" spans="1:26" x14ac:dyDescent="0.3">
      <c r="A264" s="463">
        <f t="shared" si="30"/>
        <v>244</v>
      </c>
      <c r="D264" s="506" t="s">
        <v>790</v>
      </c>
      <c r="F264" s="463" t="s">
        <v>761</v>
      </c>
      <c r="G264" s="509">
        <f>'MFR E-13c'!F618</f>
        <v>0.93100000000000005</v>
      </c>
      <c r="H264" s="509">
        <f>'MFR E-13c'!L618</f>
        <v>0.96799999999999997</v>
      </c>
      <c r="I264" s="509">
        <f>'MFR E-14D2'!$I$44</f>
        <v>1.052</v>
      </c>
      <c r="J264" s="486" t="s">
        <v>783</v>
      </c>
      <c r="K264" s="487" t="s">
        <v>721</v>
      </c>
      <c r="L264" s="487"/>
      <c r="M264" s="488"/>
      <c r="N264" s="1100">
        <f>H264-G264</f>
        <v>3.6999999999999922E-2</v>
      </c>
      <c r="O264" s="1073">
        <f>(N264/G264)</f>
        <v>3.9742212674543413E-2</v>
      </c>
      <c r="P264" s="929">
        <v>2035653.2099715918</v>
      </c>
      <c r="Q264" s="1083">
        <f>(P264*G264)/1000</f>
        <v>1895.193138483552</v>
      </c>
      <c r="R264" s="1083">
        <f>(P264*H264)/1000</f>
        <v>1970.5123072525009</v>
      </c>
      <c r="S264" s="1084">
        <f>R264-Q264</f>
        <v>75.319168768948884</v>
      </c>
      <c r="T264" s="1083">
        <f>(P264*I264)/1000</f>
        <v>2141.5071768901148</v>
      </c>
      <c r="U264" s="1084">
        <f>R264-T264</f>
        <v>-170.99486963761387</v>
      </c>
      <c r="V264" s="480" t="s">
        <v>139</v>
      </c>
      <c r="W264" s="480" t="s">
        <v>139</v>
      </c>
      <c r="Z264" s="462"/>
    </row>
    <row r="265" spans="1:26" x14ac:dyDescent="0.3">
      <c r="A265" s="463">
        <f t="shared" si="30"/>
        <v>245</v>
      </c>
      <c r="G265" s="509"/>
      <c r="H265" s="509"/>
      <c r="I265" s="487"/>
      <c r="J265" s="486"/>
      <c r="K265" s="487"/>
      <c r="L265" s="487"/>
      <c r="M265" s="488"/>
      <c r="P265" s="929"/>
      <c r="Q265" s="929"/>
      <c r="R265" s="929"/>
      <c r="T265" s="929"/>
      <c r="U265" s="1072"/>
      <c r="V265" s="480"/>
      <c r="W265" s="480"/>
      <c r="Z265" s="462"/>
    </row>
    <row r="266" spans="1:26" x14ac:dyDescent="0.3">
      <c r="A266" s="463">
        <f t="shared" si="30"/>
        <v>246</v>
      </c>
      <c r="C266" s="463" t="s">
        <v>794</v>
      </c>
      <c r="G266" s="509"/>
      <c r="H266" s="509"/>
      <c r="I266" s="487"/>
      <c r="J266" s="486"/>
      <c r="K266" s="487"/>
      <c r="L266" s="487"/>
      <c r="M266" s="488"/>
      <c r="P266" s="929"/>
      <c r="Q266" s="929"/>
      <c r="R266" s="929"/>
      <c r="T266" s="929"/>
      <c r="U266" s="1072"/>
      <c r="V266" s="480"/>
      <c r="W266" s="480"/>
      <c r="Z266" s="462"/>
    </row>
    <row r="267" spans="1:26" x14ac:dyDescent="0.3">
      <c r="A267" s="463">
        <f t="shared" ref="A267:A295" si="39">+A266+1</f>
        <v>247</v>
      </c>
      <c r="D267" s="506" t="s">
        <v>792</v>
      </c>
      <c r="F267" s="463" t="s">
        <v>761</v>
      </c>
      <c r="G267" s="509">
        <v>0.58199999999999996</v>
      </c>
      <c r="H267" s="509">
        <f>I267</f>
        <v>0.58199999999999996</v>
      </c>
      <c r="I267" s="727">
        <f>'MFR E-14D2'!I50</f>
        <v>0.58199999999999996</v>
      </c>
      <c r="J267" s="477" t="s">
        <v>783</v>
      </c>
      <c r="K267" s="487" t="s">
        <v>773</v>
      </c>
      <c r="M267" s="467"/>
      <c r="N267" s="1100">
        <f>H267-G267</f>
        <v>0</v>
      </c>
      <c r="O267" s="1073">
        <f>(N267/G267)</f>
        <v>0</v>
      </c>
      <c r="P267" s="929"/>
      <c r="Q267" s="929"/>
      <c r="R267" s="929"/>
      <c r="S267" s="1084">
        <f>R267-Q267</f>
        <v>0</v>
      </c>
      <c r="T267" s="929"/>
      <c r="U267" s="1084">
        <f>R267-T267</f>
        <v>0</v>
      </c>
      <c r="V267" s="480" t="s">
        <v>139</v>
      </c>
      <c r="W267" s="480" t="s">
        <v>139</v>
      </c>
      <c r="Z267" s="462"/>
    </row>
    <row r="268" spans="1:26" x14ac:dyDescent="0.3">
      <c r="A268" s="463">
        <f t="shared" si="39"/>
        <v>248</v>
      </c>
      <c r="D268" s="506" t="s">
        <v>793</v>
      </c>
      <c r="F268" s="463" t="s">
        <v>761</v>
      </c>
      <c r="G268" s="509">
        <v>0.27700000000000002</v>
      </c>
      <c r="H268" s="509">
        <f>I268</f>
        <v>0.27700000000000002</v>
      </c>
      <c r="I268" s="727">
        <f>'MFR E-14D2'!I52</f>
        <v>0.27700000000000002</v>
      </c>
      <c r="J268" s="477" t="s">
        <v>783</v>
      </c>
      <c r="K268" s="487" t="s">
        <v>773</v>
      </c>
      <c r="M268" s="467"/>
      <c r="N268" s="1100">
        <f>H268-G268</f>
        <v>0</v>
      </c>
      <c r="O268" s="1073">
        <f>(N268/G268)</f>
        <v>0</v>
      </c>
      <c r="P268" s="929"/>
      <c r="Q268" s="929"/>
      <c r="R268" s="929"/>
      <c r="S268" s="1084">
        <f>R268-Q268</f>
        <v>0</v>
      </c>
      <c r="T268" s="929"/>
      <c r="U268" s="1084">
        <f>R268-T268</f>
        <v>0</v>
      </c>
      <c r="V268" s="480" t="s">
        <v>139</v>
      </c>
      <c r="W268" s="480" t="s">
        <v>139</v>
      </c>
      <c r="Z268" s="462"/>
    </row>
    <row r="269" spans="1:26" x14ac:dyDescent="0.3">
      <c r="A269" s="463">
        <f t="shared" si="39"/>
        <v>249</v>
      </c>
      <c r="M269" s="467"/>
      <c r="P269" s="929"/>
      <c r="Q269" s="929"/>
      <c r="R269" s="929"/>
      <c r="T269" s="929"/>
      <c r="U269" s="1072"/>
      <c r="V269" s="480"/>
      <c r="W269" s="480"/>
      <c r="Z269" s="462"/>
    </row>
    <row r="270" spans="1:26" x14ac:dyDescent="0.3">
      <c r="A270" s="463">
        <f t="shared" si="39"/>
        <v>250</v>
      </c>
      <c r="D270" s="463" t="s">
        <v>764</v>
      </c>
      <c r="M270" s="467"/>
      <c r="P270" s="929"/>
      <c r="Q270" s="929"/>
      <c r="R270" s="929"/>
      <c r="T270" s="929"/>
      <c r="U270" s="1072"/>
      <c r="V270" s="480"/>
      <c r="W270" s="480"/>
      <c r="Z270" s="462"/>
    </row>
    <row r="271" spans="1:26" x14ac:dyDescent="0.3">
      <c r="A271" s="463">
        <f t="shared" si="39"/>
        <v>251</v>
      </c>
      <c r="D271" s="492" t="s">
        <v>148</v>
      </c>
      <c r="F271" s="463" t="s">
        <v>761</v>
      </c>
      <c r="G271" s="485">
        <f>G237</f>
        <v>1.3</v>
      </c>
      <c r="H271" s="485">
        <f>I271</f>
        <v>1.34</v>
      </c>
      <c r="I271" s="503">
        <f>I237</f>
        <v>1.34</v>
      </c>
      <c r="J271" s="486" t="s">
        <v>765</v>
      </c>
      <c r="K271" s="487" t="s">
        <v>751</v>
      </c>
      <c r="M271" s="467"/>
      <c r="N271" s="1100">
        <f>H271-G271</f>
        <v>4.0000000000000036E-2</v>
      </c>
      <c r="O271" s="1073">
        <f>(N271/G271)</f>
        <v>3.0769230769230795E-2</v>
      </c>
      <c r="P271" s="929">
        <v>0</v>
      </c>
      <c r="Q271" s="1083">
        <f>(P271*G271)/1000</f>
        <v>0</v>
      </c>
      <c r="R271" s="1083">
        <f>(P271*H271)/1000</f>
        <v>0</v>
      </c>
      <c r="S271" s="1084">
        <f>R271-Q271</f>
        <v>0</v>
      </c>
      <c r="T271" s="1083">
        <f>(P271*I271)/1000</f>
        <v>0</v>
      </c>
      <c r="U271" s="1084">
        <f>R271-T271</f>
        <v>0</v>
      </c>
      <c r="V271" s="480" t="s">
        <v>139</v>
      </c>
      <c r="W271" s="480" t="s">
        <v>139</v>
      </c>
      <c r="Z271" s="462"/>
    </row>
    <row r="272" spans="1:26" x14ac:dyDescent="0.3">
      <c r="A272" s="463">
        <f t="shared" si="39"/>
        <v>252</v>
      </c>
      <c r="D272" s="492" t="s">
        <v>597</v>
      </c>
      <c r="F272" s="463" t="s">
        <v>761</v>
      </c>
      <c r="G272" s="485">
        <f t="shared" ref="G272:G273" si="40">G238</f>
        <v>6.18</v>
      </c>
      <c r="H272" s="485">
        <f t="shared" ref="H272:H273" si="41">I272</f>
        <v>6.47</v>
      </c>
      <c r="I272" s="503">
        <f t="shared" ref="I272:I273" si="42">I238</f>
        <v>6.47</v>
      </c>
      <c r="J272" s="486" t="s">
        <v>765</v>
      </c>
      <c r="K272" s="487" t="s">
        <v>751</v>
      </c>
      <c r="L272" s="487"/>
      <c r="M272" s="488"/>
      <c r="P272" s="929"/>
      <c r="Q272" s="1098"/>
      <c r="R272" s="1098"/>
      <c r="T272" s="1098"/>
      <c r="U272" s="1072"/>
      <c r="V272" s="480"/>
      <c r="W272" s="480"/>
      <c r="Z272" s="462"/>
    </row>
    <row r="273" spans="1:26" x14ac:dyDescent="0.3">
      <c r="A273" s="463">
        <f t="shared" si="39"/>
        <v>253</v>
      </c>
      <c r="D273" s="492" t="s">
        <v>766</v>
      </c>
      <c r="F273" s="463" t="s">
        <v>761</v>
      </c>
      <c r="G273" s="485">
        <f t="shared" si="40"/>
        <v>8.61</v>
      </c>
      <c r="H273" s="485">
        <f t="shared" si="41"/>
        <v>9.0399999999999991</v>
      </c>
      <c r="I273" s="503">
        <f t="shared" si="42"/>
        <v>9.0399999999999991</v>
      </c>
      <c r="J273" s="486" t="s">
        <v>765</v>
      </c>
      <c r="K273" s="487" t="s">
        <v>751</v>
      </c>
      <c r="L273" s="487"/>
      <c r="M273" s="488"/>
      <c r="P273" s="929"/>
      <c r="Q273" s="1098"/>
      <c r="R273" s="1098"/>
      <c r="T273" s="1098"/>
      <c r="U273" s="1072"/>
      <c r="V273" s="480"/>
      <c r="W273" s="480"/>
      <c r="Z273" s="462"/>
    </row>
    <row r="274" spans="1:26" x14ac:dyDescent="0.3">
      <c r="A274" s="463">
        <f t="shared" si="39"/>
        <v>254</v>
      </c>
      <c r="D274" s="463" t="s">
        <v>650</v>
      </c>
      <c r="F274" s="463" t="s">
        <v>761</v>
      </c>
      <c r="G274" s="485">
        <f>G125</f>
        <v>1.96</v>
      </c>
      <c r="H274" s="485">
        <f>I274</f>
        <v>2.06</v>
      </c>
      <c r="I274" s="485">
        <f>'MFR E-14G'!I22</f>
        <v>2.06</v>
      </c>
      <c r="J274" s="486" t="s">
        <v>750</v>
      </c>
      <c r="K274" s="487" t="s">
        <v>751</v>
      </c>
      <c r="M274" s="467"/>
      <c r="N274" s="1093">
        <f>H274-G274</f>
        <v>0.10000000000000009</v>
      </c>
      <c r="O274" s="1073">
        <f>(N274/G274)</f>
        <v>5.1020408163265356E-2</v>
      </c>
      <c r="P274" s="929"/>
      <c r="Q274" s="929"/>
      <c r="R274" s="929"/>
      <c r="T274" s="929"/>
      <c r="U274" s="1072"/>
      <c r="V274" s="480" t="s">
        <v>139</v>
      </c>
      <c r="W274" s="480" t="s">
        <v>139</v>
      </c>
      <c r="Z274" s="462"/>
    </row>
    <row r="275" spans="1:26" x14ac:dyDescent="0.3">
      <c r="A275" s="463">
        <f t="shared" si="39"/>
        <v>255</v>
      </c>
      <c r="G275" s="493"/>
      <c r="H275" s="493"/>
      <c r="I275" s="493"/>
      <c r="M275" s="467"/>
      <c r="N275" s="1082"/>
      <c r="P275" s="929"/>
      <c r="Q275" s="929"/>
      <c r="R275" s="929"/>
      <c r="T275" s="929"/>
      <c r="U275" s="1072"/>
      <c r="V275" s="480"/>
      <c r="W275" s="480"/>
      <c r="Z275" s="462"/>
    </row>
    <row r="276" spans="1:26" x14ac:dyDescent="0.3">
      <c r="A276" s="463">
        <f t="shared" si="39"/>
        <v>256</v>
      </c>
      <c r="C276" s="463" t="s">
        <v>752</v>
      </c>
      <c r="G276" s="487"/>
      <c r="H276" s="487"/>
      <c r="I276" s="487"/>
      <c r="J276" s="486"/>
      <c r="K276" s="487"/>
      <c r="L276" s="487"/>
      <c r="M276" s="488"/>
      <c r="P276" s="929"/>
      <c r="Q276" s="929"/>
      <c r="R276" s="929"/>
      <c r="T276" s="929"/>
      <c r="U276" s="1072"/>
      <c r="V276" s="480"/>
      <c r="W276" s="480"/>
      <c r="Z276" s="462"/>
    </row>
    <row r="277" spans="1:26" x14ac:dyDescent="0.3">
      <c r="A277" s="463">
        <f t="shared" si="39"/>
        <v>257</v>
      </c>
      <c r="D277" s="463" t="s">
        <v>148</v>
      </c>
      <c r="F277" s="463" t="s">
        <v>419</v>
      </c>
      <c r="G277" s="499">
        <v>0.01</v>
      </c>
      <c r="H277" s="499">
        <v>0.01</v>
      </c>
      <c r="I277" s="499"/>
      <c r="J277" s="486"/>
      <c r="K277" s="487"/>
      <c r="L277" s="487"/>
      <c r="M277" s="488"/>
      <c r="N277" s="1091">
        <f>H277-G277</f>
        <v>0</v>
      </c>
      <c r="O277" s="1073">
        <f>(N277/G277)</f>
        <v>0</v>
      </c>
      <c r="P277" s="929"/>
      <c r="Q277" s="1083">
        <f>(P277*G277)/1000</f>
        <v>0</v>
      </c>
      <c r="R277" s="1083">
        <f>(P277*H277)/1000</f>
        <v>0</v>
      </c>
      <c r="S277" s="1084">
        <f>R277-Q277</f>
        <v>0</v>
      </c>
      <c r="T277" s="1083">
        <f>(P277*I277)/1000</f>
        <v>0</v>
      </c>
      <c r="U277" s="1084">
        <f>R277-T277</f>
        <v>0</v>
      </c>
      <c r="V277" s="480" t="s">
        <v>139</v>
      </c>
      <c r="W277" s="480" t="s">
        <v>139</v>
      </c>
      <c r="Z277" s="462"/>
    </row>
    <row r="278" spans="1:26" x14ac:dyDescent="0.3">
      <c r="A278" s="463">
        <f t="shared" si="39"/>
        <v>258</v>
      </c>
      <c r="D278" s="463" t="s">
        <v>216</v>
      </c>
      <c r="F278" s="463" t="s">
        <v>419</v>
      </c>
      <c r="G278" s="499">
        <v>0.02</v>
      </c>
      <c r="H278" s="499">
        <v>0.02</v>
      </c>
      <c r="I278" s="499"/>
      <c r="J278" s="486"/>
      <c r="K278" s="487"/>
      <c r="L278" s="487"/>
      <c r="M278" s="488"/>
      <c r="N278" s="1091">
        <f>H278-G278</f>
        <v>0</v>
      </c>
      <c r="O278" s="1073">
        <f>(N278/G278)</f>
        <v>0</v>
      </c>
      <c r="P278" s="929"/>
      <c r="Q278" s="1083">
        <f>(P278*G278)/1000</f>
        <v>0</v>
      </c>
      <c r="R278" s="1083">
        <f>(P278*H278)/1000</f>
        <v>0</v>
      </c>
      <c r="S278" s="1084">
        <f>R278-Q278</f>
        <v>0</v>
      </c>
      <c r="T278" s="1083">
        <f>(P278*I278)/1000</f>
        <v>0</v>
      </c>
      <c r="U278" s="1084">
        <f>R278-T278</f>
        <v>0</v>
      </c>
      <c r="V278" s="480" t="s">
        <v>139</v>
      </c>
      <c r="W278" s="480" t="s">
        <v>139</v>
      </c>
      <c r="Z278" s="462"/>
    </row>
    <row r="279" spans="1:26" x14ac:dyDescent="0.3">
      <c r="A279" s="463">
        <f t="shared" si="39"/>
        <v>259</v>
      </c>
      <c r="G279" s="499"/>
      <c r="H279" s="499"/>
      <c r="I279" s="499"/>
      <c r="J279" s="486"/>
      <c r="K279" s="487"/>
      <c r="L279" s="487"/>
      <c r="M279" s="488"/>
      <c r="N279" s="1091"/>
      <c r="P279" s="929"/>
      <c r="Q279" s="1083"/>
      <c r="R279" s="1083"/>
      <c r="S279" s="1084"/>
      <c r="T279" s="1083"/>
      <c r="U279" s="1084"/>
      <c r="V279" s="480"/>
      <c r="W279" s="480"/>
      <c r="Z279" s="462"/>
    </row>
    <row r="280" spans="1:26" x14ac:dyDescent="0.3">
      <c r="A280" s="463">
        <f t="shared" si="39"/>
        <v>260</v>
      </c>
      <c r="C280" s="463" t="s">
        <v>754</v>
      </c>
      <c r="F280" s="463" t="s">
        <v>419</v>
      </c>
      <c r="G280" s="500">
        <f>G137</f>
        <v>9.5999999999999992E-3</v>
      </c>
      <c r="H280" s="1222">
        <f>I280</f>
        <v>9.5999999999999992E-3</v>
      </c>
      <c r="I280" s="1223">
        <f>I137</f>
        <v>9.5999999999999992E-3</v>
      </c>
      <c r="J280" s="477" t="s">
        <v>755</v>
      </c>
      <c r="K280" s="501" t="s">
        <v>756</v>
      </c>
      <c r="L280" s="487"/>
      <c r="M280" s="488"/>
      <c r="N280" s="1082"/>
      <c r="P280" s="929"/>
      <c r="Q280" s="929"/>
      <c r="R280" s="929"/>
      <c r="T280" s="929"/>
      <c r="U280" s="1072"/>
      <c r="V280" s="480"/>
      <c r="W280" s="480"/>
      <c r="Z280" s="462"/>
    </row>
    <row r="281" spans="1:26" ht="14.4" thickBot="1" x14ac:dyDescent="0.35">
      <c r="B281" s="467"/>
      <c r="C281" s="467"/>
      <c r="D281" s="467"/>
      <c r="E281" s="467"/>
      <c r="F281" s="467"/>
      <c r="G281" s="467"/>
      <c r="H281" s="467"/>
      <c r="I281" s="467"/>
      <c r="J281" s="479"/>
      <c r="K281" s="467"/>
      <c r="L281" s="467"/>
      <c r="M281" s="467"/>
      <c r="N281" s="1085"/>
      <c r="O281" s="1086"/>
      <c r="P281" s="1087"/>
      <c r="Q281" s="1088">
        <f>SUM(Q248:Q280)</f>
        <v>4086.7288124835522</v>
      </c>
      <c r="R281" s="1088">
        <f>SUM(R248:R280)</f>
        <v>4250.8313632525005</v>
      </c>
      <c r="S281" s="1088">
        <f>SUM(S248:S280)</f>
        <v>164.1025507689485</v>
      </c>
      <c r="T281" s="1088">
        <f>SUM(T248:T280)</f>
        <v>4321.3102878901145</v>
      </c>
      <c r="U281" s="1088">
        <f>SUM(U248:U280)</f>
        <v>-70.478924637614</v>
      </c>
      <c r="V281" s="480"/>
      <c r="W281" s="480"/>
      <c r="Z281" s="462"/>
    </row>
    <row r="282" spans="1:26" ht="14.4" thickTop="1" x14ac:dyDescent="0.3">
      <c r="A282" s="463">
        <f>A280+1</f>
        <v>261</v>
      </c>
      <c r="B282" s="484"/>
      <c r="C282" s="512"/>
      <c r="D282" s="512"/>
      <c r="E282" s="512"/>
      <c r="G282" s="485"/>
      <c r="H282" s="485"/>
      <c r="I282" s="485"/>
      <c r="J282" s="486"/>
      <c r="K282" s="487"/>
      <c r="L282" s="487"/>
      <c r="M282" s="488"/>
      <c r="N282" s="1082"/>
      <c r="P282" s="929"/>
      <c r="Q282" s="929"/>
      <c r="R282" s="929"/>
      <c r="T282" s="929"/>
      <c r="U282" s="1072"/>
      <c r="V282" s="480"/>
      <c r="W282" s="480"/>
      <c r="Z282" s="462"/>
    </row>
    <row r="283" spans="1:26" x14ac:dyDescent="0.3">
      <c r="A283" s="463">
        <f t="shared" si="39"/>
        <v>262</v>
      </c>
      <c r="B283" s="484" t="s">
        <v>795</v>
      </c>
      <c r="C283" s="512" t="s">
        <v>796</v>
      </c>
      <c r="D283" s="512"/>
      <c r="E283" s="512"/>
      <c r="F283" s="463" t="s">
        <v>717</v>
      </c>
      <c r="G283" s="485">
        <v>58</v>
      </c>
      <c r="H283" s="485">
        <v>58</v>
      </c>
      <c r="I283" s="485">
        <v>145.13</v>
      </c>
      <c r="J283" s="486" t="s">
        <v>797</v>
      </c>
      <c r="K283" s="487" t="s">
        <v>798</v>
      </c>
      <c r="L283" s="487"/>
      <c r="M283" s="488"/>
      <c r="N283" s="1082">
        <f t="shared" ref="N283:N287" si="43">H283-G283</f>
        <v>0</v>
      </c>
      <c r="O283" s="1073">
        <f t="shared" ref="O283:O287" si="44">(N283/G283)</f>
        <v>0</v>
      </c>
      <c r="P283" s="929"/>
      <c r="R283" s="1072"/>
      <c r="T283" s="1072"/>
      <c r="U283" s="1072"/>
      <c r="V283" s="480"/>
      <c r="W283" s="480"/>
      <c r="Z283" s="462"/>
    </row>
    <row r="284" spans="1:26" x14ac:dyDescent="0.3">
      <c r="A284" s="463">
        <f t="shared" si="39"/>
        <v>263</v>
      </c>
      <c r="C284" s="512" t="s">
        <v>799</v>
      </c>
      <c r="D284" s="512"/>
      <c r="E284" s="512"/>
      <c r="F284" s="463" t="s">
        <v>717</v>
      </c>
      <c r="G284" s="485">
        <v>12</v>
      </c>
      <c r="H284" s="485">
        <v>12</v>
      </c>
      <c r="I284" s="485">
        <v>6.06</v>
      </c>
      <c r="J284" s="486" t="s">
        <v>797</v>
      </c>
      <c r="K284" s="487" t="s">
        <v>798</v>
      </c>
      <c r="L284" s="487"/>
      <c r="M284" s="488"/>
      <c r="N284" s="1082">
        <f t="shared" si="43"/>
        <v>0</v>
      </c>
      <c r="O284" s="1073">
        <f t="shared" si="44"/>
        <v>0</v>
      </c>
      <c r="P284" s="929"/>
      <c r="Q284" s="929"/>
      <c r="R284" s="929"/>
      <c r="T284" s="929"/>
      <c r="U284" s="1072"/>
      <c r="V284" s="480"/>
      <c r="W284" s="480"/>
      <c r="Z284" s="462"/>
    </row>
    <row r="285" spans="1:26" x14ac:dyDescent="0.3">
      <c r="A285" s="463">
        <f t="shared" si="39"/>
        <v>264</v>
      </c>
      <c r="C285" s="512" t="s">
        <v>800</v>
      </c>
      <c r="D285" s="512"/>
      <c r="E285" s="512"/>
      <c r="F285" s="463" t="s">
        <v>717</v>
      </c>
      <c r="G285" s="485">
        <v>12</v>
      </c>
      <c r="H285" s="485">
        <v>12</v>
      </c>
      <c r="I285" s="485">
        <v>6.06</v>
      </c>
      <c r="J285" s="486" t="s">
        <v>797</v>
      </c>
      <c r="K285" s="487" t="s">
        <v>798</v>
      </c>
      <c r="L285" s="487"/>
      <c r="M285" s="488"/>
      <c r="N285" s="1082">
        <f t="shared" si="43"/>
        <v>0</v>
      </c>
      <c r="O285" s="1073">
        <f t="shared" si="44"/>
        <v>0</v>
      </c>
      <c r="P285" s="929"/>
      <c r="Q285" s="929"/>
      <c r="R285" s="929"/>
      <c r="T285" s="929"/>
      <c r="U285" s="1072"/>
      <c r="V285" s="480"/>
      <c r="W285" s="480"/>
      <c r="Z285" s="462"/>
    </row>
    <row r="286" spans="1:26" x14ac:dyDescent="0.3">
      <c r="A286" s="463">
        <f t="shared" si="39"/>
        <v>265</v>
      </c>
      <c r="C286" s="512" t="s">
        <v>801</v>
      </c>
      <c r="D286" s="512"/>
      <c r="E286" s="512"/>
      <c r="F286" s="463" t="s">
        <v>717</v>
      </c>
      <c r="G286" s="485">
        <v>4</v>
      </c>
      <c r="H286" s="485">
        <v>4</v>
      </c>
      <c r="I286" s="485">
        <v>3.79</v>
      </c>
      <c r="J286" s="486" t="s">
        <v>797</v>
      </c>
      <c r="K286" s="487" t="s">
        <v>798</v>
      </c>
      <c r="L286" s="487"/>
      <c r="M286" s="488"/>
      <c r="N286" s="1082">
        <f t="shared" si="43"/>
        <v>0</v>
      </c>
      <c r="O286" s="1073">
        <f t="shared" si="44"/>
        <v>0</v>
      </c>
      <c r="P286" s="929"/>
      <c r="R286" s="1072"/>
      <c r="T286" s="1072"/>
      <c r="U286" s="1072"/>
      <c r="V286" s="480"/>
      <c r="W286" s="480"/>
      <c r="Z286" s="462"/>
    </row>
    <row r="287" spans="1:26" x14ac:dyDescent="0.3">
      <c r="A287" s="463">
        <f t="shared" si="39"/>
        <v>266</v>
      </c>
      <c r="C287" s="512" t="s">
        <v>802</v>
      </c>
      <c r="D287" s="512"/>
      <c r="E287" s="512"/>
      <c r="F287" s="463" t="s">
        <v>717</v>
      </c>
      <c r="G287" s="485">
        <v>200</v>
      </c>
      <c r="H287" s="485">
        <v>200</v>
      </c>
      <c r="I287" s="485">
        <v>98.91</v>
      </c>
      <c r="J287" s="486" t="s">
        <v>797</v>
      </c>
      <c r="K287" s="487" t="s">
        <v>798</v>
      </c>
      <c r="L287" s="487"/>
      <c r="M287" s="488"/>
      <c r="N287" s="1082">
        <f t="shared" si="43"/>
        <v>0</v>
      </c>
      <c r="O287" s="1073">
        <f t="shared" si="44"/>
        <v>0</v>
      </c>
      <c r="Q287" s="1074"/>
      <c r="U287" s="1072"/>
      <c r="V287" s="489"/>
      <c r="W287" s="489"/>
      <c r="Z287" s="462"/>
    </row>
    <row r="288" spans="1:26" x14ac:dyDescent="0.3">
      <c r="A288" s="463">
        <f t="shared" si="39"/>
        <v>267</v>
      </c>
      <c r="C288" s="512" t="s">
        <v>803</v>
      </c>
      <c r="D288" s="512"/>
      <c r="E288" s="512"/>
      <c r="F288" s="512"/>
      <c r="G288" s="502"/>
      <c r="H288" s="502"/>
      <c r="I288" s="502"/>
      <c r="J288" s="486"/>
      <c r="K288" s="487"/>
      <c r="L288" s="487"/>
      <c r="M288" s="488"/>
      <c r="N288" s="1082"/>
      <c r="Q288" s="1074"/>
      <c r="U288" s="1072"/>
      <c r="V288" s="489"/>
      <c r="W288" s="489"/>
      <c r="Z288" s="462"/>
    </row>
    <row r="289" spans="1:26" x14ac:dyDescent="0.3">
      <c r="A289" s="463">
        <f t="shared" si="39"/>
        <v>268</v>
      </c>
      <c r="C289" s="512"/>
      <c r="D289" s="512" t="s">
        <v>804</v>
      </c>
      <c r="E289" s="512"/>
      <c r="F289" s="463" t="s">
        <v>717</v>
      </c>
      <c r="G289" s="502">
        <v>5</v>
      </c>
      <c r="H289" s="502">
        <f>+G289</f>
        <v>5</v>
      </c>
      <c r="I289" s="502"/>
      <c r="J289" s="486"/>
      <c r="K289" s="487" t="s">
        <v>798</v>
      </c>
      <c r="L289" s="487"/>
      <c r="M289" s="488"/>
      <c r="N289" s="1082">
        <f>H289-G289</f>
        <v>0</v>
      </c>
      <c r="O289" s="1073">
        <f>(N289/G289)</f>
        <v>0</v>
      </c>
      <c r="Q289" s="1074"/>
      <c r="U289" s="1072"/>
      <c r="V289" s="489"/>
      <c r="W289" s="489"/>
      <c r="Z289" s="462"/>
    </row>
    <row r="290" spans="1:26" x14ac:dyDescent="0.3">
      <c r="A290" s="463">
        <f t="shared" si="39"/>
        <v>269</v>
      </c>
      <c r="C290" s="512"/>
      <c r="D290" s="512" t="s">
        <v>805</v>
      </c>
      <c r="E290" s="512"/>
      <c r="F290" s="512" t="s">
        <v>419</v>
      </c>
      <c r="G290" s="513">
        <v>1.4999999999999999E-2</v>
      </c>
      <c r="H290" s="513">
        <f>+G290</f>
        <v>1.4999999999999999E-2</v>
      </c>
      <c r="I290" s="513"/>
      <c r="J290" s="486"/>
      <c r="K290" s="487" t="s">
        <v>798</v>
      </c>
      <c r="L290" s="487"/>
      <c r="M290" s="488"/>
      <c r="N290" s="1091">
        <f>H290-G290</f>
        <v>0</v>
      </c>
      <c r="O290" s="1073">
        <f>(N290/G290)</f>
        <v>0</v>
      </c>
      <c r="Q290" s="1074"/>
      <c r="U290" s="1072"/>
      <c r="V290" s="489"/>
      <c r="W290" s="489"/>
      <c r="Z290" s="462"/>
    </row>
    <row r="291" spans="1:26" x14ac:dyDescent="0.3">
      <c r="A291" s="463">
        <f t="shared" si="39"/>
        <v>270</v>
      </c>
      <c r="C291" s="463" t="s">
        <v>806</v>
      </c>
      <c r="D291" s="512"/>
      <c r="E291" s="512"/>
      <c r="F291" s="512"/>
      <c r="G291" s="485"/>
      <c r="H291" s="485"/>
      <c r="I291" s="485"/>
      <c r="J291" s="486"/>
      <c r="K291" s="487"/>
      <c r="L291" s="487"/>
      <c r="M291" s="488"/>
      <c r="Q291" s="1074"/>
      <c r="U291" s="1072"/>
      <c r="V291" s="489"/>
      <c r="W291" s="489"/>
      <c r="Z291" s="462"/>
    </row>
    <row r="292" spans="1:26" x14ac:dyDescent="0.3">
      <c r="A292" s="463">
        <f t="shared" si="39"/>
        <v>271</v>
      </c>
      <c r="D292" s="463" t="s">
        <v>807</v>
      </c>
      <c r="F292" s="463" t="s">
        <v>717</v>
      </c>
      <c r="G292" s="502">
        <v>25</v>
      </c>
      <c r="H292" s="502">
        <f>+G292</f>
        <v>25</v>
      </c>
      <c r="I292" s="502"/>
      <c r="J292" s="486"/>
      <c r="K292" s="487" t="s">
        <v>808</v>
      </c>
      <c r="L292" s="487"/>
      <c r="M292" s="488"/>
      <c r="O292" s="1073">
        <f>(N292/G292)</f>
        <v>0</v>
      </c>
      <c r="Q292" s="1074"/>
      <c r="U292" s="1072"/>
      <c r="V292" s="489"/>
      <c r="W292" s="489"/>
      <c r="Z292" s="462"/>
    </row>
    <row r="293" spans="1:26" x14ac:dyDescent="0.3">
      <c r="A293" s="463">
        <f t="shared" si="39"/>
        <v>272</v>
      </c>
      <c r="C293" s="512"/>
      <c r="D293" s="463" t="s">
        <v>809</v>
      </c>
      <c r="E293" s="512"/>
      <c r="F293" s="463" t="s">
        <v>717</v>
      </c>
      <c r="G293" s="502">
        <v>30</v>
      </c>
      <c r="H293" s="502">
        <f>+G293</f>
        <v>30</v>
      </c>
      <c r="I293" s="502"/>
      <c r="J293" s="486"/>
      <c r="K293" s="487" t="s">
        <v>808</v>
      </c>
      <c r="L293" s="487"/>
      <c r="M293" s="488"/>
      <c r="O293" s="1073">
        <f>(N293/G293)</f>
        <v>0</v>
      </c>
      <c r="Q293" s="1074"/>
      <c r="U293" s="1072"/>
      <c r="V293" s="489"/>
      <c r="W293" s="489"/>
      <c r="Z293" s="462"/>
    </row>
    <row r="294" spans="1:26" x14ac:dyDescent="0.3">
      <c r="A294" s="463">
        <f t="shared" si="39"/>
        <v>273</v>
      </c>
      <c r="C294" s="512"/>
      <c r="D294" s="463" t="s">
        <v>810</v>
      </c>
      <c r="E294" s="512"/>
      <c r="F294" s="463" t="s">
        <v>717</v>
      </c>
      <c r="G294" s="502">
        <v>40</v>
      </c>
      <c r="H294" s="502">
        <f>+G294</f>
        <v>40</v>
      </c>
      <c r="I294" s="502"/>
      <c r="J294" s="486"/>
      <c r="K294" s="487" t="s">
        <v>808</v>
      </c>
      <c r="L294" s="487"/>
      <c r="M294" s="488"/>
      <c r="O294" s="1073">
        <f>(N294/G294)</f>
        <v>0</v>
      </c>
      <c r="Q294" s="1074"/>
      <c r="U294" s="1072"/>
      <c r="V294" s="489"/>
      <c r="W294" s="489"/>
      <c r="Z294" s="462"/>
    </row>
    <row r="295" spans="1:26" x14ac:dyDescent="0.3">
      <c r="A295" s="463">
        <f t="shared" si="39"/>
        <v>274</v>
      </c>
      <c r="D295" s="463" t="s">
        <v>811</v>
      </c>
      <c r="F295" s="463" t="s">
        <v>717</v>
      </c>
      <c r="G295" s="502">
        <v>0.05</v>
      </c>
      <c r="H295" s="502">
        <f>+G295</f>
        <v>0.05</v>
      </c>
      <c r="I295" s="502"/>
      <c r="J295" s="486"/>
      <c r="K295" s="487" t="s">
        <v>808</v>
      </c>
      <c r="L295" s="487"/>
      <c r="M295" s="488"/>
      <c r="O295" s="1073">
        <f>(N295/G295)</f>
        <v>0</v>
      </c>
      <c r="Q295" s="1074"/>
      <c r="U295" s="1072"/>
      <c r="V295" s="489"/>
      <c r="W295" s="489"/>
      <c r="Z295" s="462"/>
    </row>
    <row r="296" spans="1:26" x14ac:dyDescent="0.3">
      <c r="B296" s="467"/>
      <c r="C296" s="510"/>
      <c r="D296" s="510"/>
      <c r="E296" s="510"/>
      <c r="F296" s="510"/>
      <c r="G296" s="511"/>
      <c r="H296" s="511"/>
      <c r="I296" s="511"/>
      <c r="J296" s="495"/>
      <c r="K296" s="488"/>
      <c r="L296" s="488"/>
      <c r="M296" s="488"/>
      <c r="Q296" s="1074"/>
      <c r="U296" s="1072"/>
      <c r="V296" s="489"/>
      <c r="W296" s="489"/>
      <c r="Z296" s="462"/>
    </row>
    <row r="297" spans="1:26" x14ac:dyDescent="0.3">
      <c r="A297" s="463">
        <f>+A295+1</f>
        <v>275</v>
      </c>
      <c r="B297" s="484"/>
      <c r="C297" s="512"/>
      <c r="D297" s="512"/>
      <c r="E297" s="512"/>
      <c r="G297" s="485"/>
      <c r="H297" s="485"/>
      <c r="I297" s="485"/>
      <c r="J297" s="486"/>
      <c r="K297" s="487"/>
      <c r="L297" s="487"/>
      <c r="M297" s="488"/>
      <c r="N297" s="1082"/>
      <c r="P297" s="929"/>
      <c r="Q297" s="929"/>
      <c r="R297" s="929"/>
      <c r="T297" s="929"/>
      <c r="U297" s="1072"/>
      <c r="V297" s="480"/>
      <c r="W297" s="480"/>
      <c r="Z297" s="462"/>
    </row>
    <row r="298" spans="1:26" x14ac:dyDescent="0.3">
      <c r="A298" s="463">
        <f>+A297+1</f>
        <v>276</v>
      </c>
      <c r="B298" s="484" t="s">
        <v>812</v>
      </c>
      <c r="C298" s="463" t="s">
        <v>813</v>
      </c>
      <c r="F298" s="463" t="s">
        <v>717</v>
      </c>
      <c r="G298" s="485">
        <v>310</v>
      </c>
      <c r="H298" s="485">
        <v>310</v>
      </c>
      <c r="I298" s="485">
        <v>266.13</v>
      </c>
      <c r="J298" s="486" t="s">
        <v>797</v>
      </c>
      <c r="K298" s="487" t="s">
        <v>798</v>
      </c>
      <c r="L298" s="487"/>
      <c r="M298" s="488"/>
      <c r="N298" s="1082">
        <f>H298-G298</f>
        <v>0</v>
      </c>
      <c r="O298" s="1073">
        <f>(N298/G298)</f>
        <v>0</v>
      </c>
      <c r="Q298" s="1074"/>
      <c r="U298" s="1072"/>
      <c r="V298" s="489"/>
      <c r="W298" s="489"/>
      <c r="Z298" s="462"/>
    </row>
    <row r="299" spans="1:26" x14ac:dyDescent="0.3">
      <c r="B299" s="467"/>
      <c r="C299" s="467"/>
      <c r="D299" s="467"/>
      <c r="E299" s="467"/>
      <c r="F299" s="467"/>
      <c r="G299" s="511"/>
      <c r="H299" s="511"/>
      <c r="I299" s="511"/>
      <c r="J299" s="495"/>
      <c r="K299" s="488"/>
      <c r="L299" s="488"/>
      <c r="M299" s="488"/>
      <c r="Q299" s="1074"/>
      <c r="V299" s="489"/>
      <c r="W299" s="489"/>
      <c r="Z299" s="462"/>
    </row>
  </sheetData>
  <printOptions horizontalCentered="1"/>
  <pageMargins left="0.5" right="0.5" top="0.75" bottom="0.5" header="0.5" footer="0.5"/>
  <pageSetup scale="67" firstPageNumber="7" fitToHeight="0" orientation="landscape" r:id="rId1"/>
  <headerFooter alignWithMargins="0">
    <oddHeader xml:space="preserve">&amp;RDEF’s Response to OPC POD 1 (1-26)
Q7
Page &amp;P of &amp;N
</oddHeader>
    <oddFooter>&amp;R20240025-OPCPOD1-00004300</oddFooter>
  </headerFooter>
  <rowBreaks count="5" manualBreakCount="5">
    <brk id="55" max="11" man="1"/>
    <brk id="102" max="11" man="1"/>
    <brk id="138" max="11" man="1"/>
    <brk id="183" max="11" man="1"/>
    <brk id="247" max="11" man="1"/>
  </rowBreaks>
  <ignoredErrors>
    <ignoredError sqref="H38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67B39-38BD-4D3E-8EA3-60955124F7D4}">
  <sheetPr codeName="Sheet9">
    <tabColor rgb="FF92D050"/>
    <pageSetUpPr fitToPage="1"/>
  </sheetPr>
  <dimension ref="A1:AC58"/>
  <sheetViews>
    <sheetView tabSelected="1" workbookViewId="0">
      <selection activeCell="S8" sqref="S8"/>
    </sheetView>
  </sheetViews>
  <sheetFormatPr defaultColWidth="9.109375" defaultRowHeight="13.8" x14ac:dyDescent="0.3"/>
  <cols>
    <col min="1" max="1" width="1.109375" style="515" customWidth="1"/>
    <col min="2" max="2" width="7.33203125" style="515" customWidth="1"/>
    <col min="3" max="3" width="2.6640625" style="515" customWidth="1"/>
    <col min="4" max="4" width="3.88671875" style="515" customWidth="1"/>
    <col min="5" max="5" width="48.5546875" style="515" customWidth="1"/>
    <col min="6" max="6" width="9.109375" style="515" customWidth="1"/>
    <col min="7" max="7" width="18.109375" style="515" customWidth="1"/>
    <col min="8" max="8" width="18" style="515" customWidth="1"/>
    <col min="9" max="9" width="16.6640625" style="515" customWidth="1"/>
    <col min="10" max="10" width="37.88671875" style="515" customWidth="1"/>
    <col min="11" max="27" width="1.109375" style="515" customWidth="1"/>
    <col min="28" max="16384" width="9.109375" style="515"/>
  </cols>
  <sheetData>
    <row r="1" spans="1:29" ht="18" x14ac:dyDescent="0.35">
      <c r="A1" s="514"/>
      <c r="B1" s="459">
        <v>2026</v>
      </c>
      <c r="C1" s="460"/>
      <c r="D1" s="460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514"/>
    </row>
    <row r="2" spans="1:29" x14ac:dyDescent="0.3">
      <c r="A2" s="514"/>
      <c r="J2" s="466" t="s">
        <v>702</v>
      </c>
      <c r="AA2" s="514"/>
    </row>
    <row r="3" spans="1:29" x14ac:dyDescent="0.3">
      <c r="A3" s="514"/>
      <c r="J3" s="469" t="str">
        <f>"DOCKET NO.  " &amp; +"20240025-EI"</f>
        <v>DOCKET NO.  20240025-EI</v>
      </c>
      <c r="AA3" s="514"/>
    </row>
    <row r="4" spans="1:29" x14ac:dyDescent="0.3">
      <c r="A4" s="514"/>
      <c r="J4" s="469" t="s">
        <v>703</v>
      </c>
      <c r="AA4" s="514"/>
    </row>
    <row r="5" spans="1:29" x14ac:dyDescent="0.3">
      <c r="A5" s="514"/>
      <c r="J5" s="466" t="s">
        <v>814</v>
      </c>
      <c r="AA5" s="514"/>
    </row>
    <row r="6" spans="1:29" x14ac:dyDescent="0.3">
      <c r="A6" s="514"/>
      <c r="J6" s="343" t="s">
        <v>204</v>
      </c>
      <c r="AA6" s="514"/>
    </row>
    <row r="7" spans="1:29" x14ac:dyDescent="0.3">
      <c r="A7" s="514"/>
      <c r="J7" s="472"/>
      <c r="AA7" s="514"/>
    </row>
    <row r="8" spans="1:29" s="518" customFormat="1" ht="15.6" x14ac:dyDescent="0.3">
      <c r="A8" s="519"/>
      <c r="B8" s="516" t="s">
        <v>815</v>
      </c>
      <c r="C8" s="516"/>
      <c r="D8" s="517"/>
      <c r="E8" s="517"/>
      <c r="F8" s="517"/>
      <c r="G8" s="517"/>
      <c r="H8" s="517"/>
      <c r="I8" s="517"/>
      <c r="J8" s="517"/>
      <c r="AA8" s="519"/>
    </row>
    <row r="9" spans="1:29" x14ac:dyDescent="0.3">
      <c r="A9" s="514"/>
      <c r="B9" s="520"/>
      <c r="C9" s="520"/>
      <c r="D9" s="521">
        <v>-1</v>
      </c>
      <c r="E9" s="521"/>
      <c r="F9" s="522"/>
      <c r="G9" s="523">
        <f>+D9-1</f>
        <v>-2</v>
      </c>
      <c r="H9" s="523">
        <f>+G9-1</f>
        <v>-3</v>
      </c>
      <c r="I9" s="523">
        <f>+H9-1</f>
        <v>-4</v>
      </c>
      <c r="J9" s="523">
        <f>+I9-1</f>
        <v>-5</v>
      </c>
      <c r="AA9" s="514"/>
    </row>
    <row r="10" spans="1:29" x14ac:dyDescent="0.3">
      <c r="A10" s="514"/>
      <c r="B10" s="524" t="s">
        <v>30</v>
      </c>
      <c r="C10" s="524" t="s">
        <v>816</v>
      </c>
      <c r="D10" s="525"/>
      <c r="E10" s="526"/>
      <c r="F10" s="524"/>
      <c r="G10" s="527" t="s">
        <v>346</v>
      </c>
      <c r="H10" s="527" t="s">
        <v>579</v>
      </c>
      <c r="I10" s="527" t="s">
        <v>272</v>
      </c>
      <c r="J10" s="527" t="s">
        <v>41</v>
      </c>
      <c r="AA10" s="514"/>
    </row>
    <row r="11" spans="1:29" ht="5.4" customHeight="1" x14ac:dyDescent="0.3">
      <c r="A11" s="514"/>
      <c r="C11" s="528"/>
      <c r="D11" s="529"/>
      <c r="E11" s="529"/>
      <c r="F11" s="529"/>
      <c r="G11" s="529"/>
      <c r="H11" s="529"/>
      <c r="I11" s="529"/>
      <c r="J11" s="529"/>
      <c r="AA11" s="514"/>
    </row>
    <row r="12" spans="1:29" ht="12.75" customHeight="1" x14ac:dyDescent="0.3">
      <c r="A12" s="514"/>
      <c r="B12" s="530">
        <v>1</v>
      </c>
      <c r="C12" s="531" t="s">
        <v>817</v>
      </c>
      <c r="AA12" s="514"/>
    </row>
    <row r="13" spans="1:29" x14ac:dyDescent="0.3">
      <c r="A13" s="514"/>
      <c r="B13" s="530">
        <f>+B12+1</f>
        <v>2</v>
      </c>
      <c r="D13" s="532" t="s">
        <v>818</v>
      </c>
      <c r="AA13" s="514"/>
    </row>
    <row r="14" spans="1:29" x14ac:dyDescent="0.3">
      <c r="A14" s="514"/>
      <c r="B14" s="530">
        <f>+B13+1</f>
        <v>3</v>
      </c>
      <c r="E14" s="515" t="s">
        <v>220</v>
      </c>
      <c r="G14" s="533">
        <f>'MFR E-6b'!H53</f>
        <v>3.2432131504564348</v>
      </c>
      <c r="J14" s="534" t="s">
        <v>276</v>
      </c>
      <c r="AA14" s="514"/>
      <c r="AC14" s="686"/>
    </row>
    <row r="15" spans="1:29" x14ac:dyDescent="0.3">
      <c r="A15" s="514"/>
      <c r="B15" s="530">
        <f>+B14+1</f>
        <v>4</v>
      </c>
      <c r="E15" s="515" t="s">
        <v>819</v>
      </c>
      <c r="G15" s="533">
        <f>'MFR E-6b'!H55</f>
        <v>8.5472974790457954</v>
      </c>
      <c r="J15" s="534" t="s">
        <v>276</v>
      </c>
      <c r="AA15" s="514"/>
      <c r="AC15" s="686"/>
    </row>
    <row r="16" spans="1:29" x14ac:dyDescent="0.3">
      <c r="A16" s="514"/>
      <c r="B16" s="530">
        <f>+B15+1</f>
        <v>5</v>
      </c>
      <c r="E16" s="515" t="s">
        <v>820</v>
      </c>
      <c r="G16" s="533">
        <f>'MFR E-6b'!H52</f>
        <v>2.158986448918923</v>
      </c>
      <c r="J16" s="534" t="s">
        <v>276</v>
      </c>
      <c r="AA16" s="514"/>
      <c r="AC16" s="686"/>
    </row>
    <row r="17" spans="1:27" x14ac:dyDescent="0.3">
      <c r="A17" s="514"/>
      <c r="B17" s="530">
        <f>+B16+1</f>
        <v>6</v>
      </c>
      <c r="E17" s="515" t="s">
        <v>556</v>
      </c>
      <c r="G17" s="535">
        <f>SUM(G14:G16)</f>
        <v>13.949497078421153</v>
      </c>
      <c r="AA17" s="514"/>
    </row>
    <row r="18" spans="1:27" x14ac:dyDescent="0.3">
      <c r="A18" s="514"/>
      <c r="B18" s="530">
        <f t="shared" ref="B18:B52" si="0">+B17+1</f>
        <v>7</v>
      </c>
      <c r="G18" s="536"/>
      <c r="AA18" s="514"/>
    </row>
    <row r="19" spans="1:27" x14ac:dyDescent="0.3">
      <c r="A19" s="514"/>
      <c r="B19" s="530">
        <f t="shared" si="0"/>
        <v>8</v>
      </c>
      <c r="D19" s="532" t="s">
        <v>821</v>
      </c>
      <c r="AA19" s="514"/>
    </row>
    <row r="20" spans="1:27" x14ac:dyDescent="0.3">
      <c r="A20" s="514"/>
      <c r="B20" s="530">
        <f t="shared" si="0"/>
        <v>9</v>
      </c>
      <c r="E20" s="537" t="s">
        <v>822</v>
      </c>
      <c r="G20" s="1133">
        <v>1379693</v>
      </c>
      <c r="J20" s="515" t="s">
        <v>823</v>
      </c>
      <c r="AA20" s="514"/>
    </row>
    <row r="21" spans="1:27" x14ac:dyDescent="0.3">
      <c r="A21" s="514"/>
      <c r="B21" s="530">
        <f t="shared" si="0"/>
        <v>10</v>
      </c>
      <c r="E21" s="537" t="s">
        <v>824</v>
      </c>
      <c r="G21" s="1133">
        <v>2809569</v>
      </c>
      <c r="J21" s="515" t="s">
        <v>823</v>
      </c>
      <c r="AA21" s="514"/>
    </row>
    <row r="22" spans="1:27" x14ac:dyDescent="0.3">
      <c r="A22" s="514"/>
      <c r="B22" s="530">
        <f t="shared" si="0"/>
        <v>11</v>
      </c>
      <c r="E22" s="537" t="s">
        <v>825</v>
      </c>
      <c r="G22" s="1134">
        <f>+G20/G21*0</f>
        <v>0</v>
      </c>
      <c r="J22" s="515" t="s">
        <v>826</v>
      </c>
      <c r="AA22" s="514"/>
    </row>
    <row r="23" spans="1:27" x14ac:dyDescent="0.3">
      <c r="A23" s="514"/>
      <c r="B23" s="530">
        <f t="shared" si="0"/>
        <v>12</v>
      </c>
      <c r="G23" s="539"/>
      <c r="AA23" s="514"/>
    </row>
    <row r="24" spans="1:27" x14ac:dyDescent="0.3">
      <c r="A24" s="514"/>
      <c r="B24" s="530">
        <f t="shared" si="0"/>
        <v>13</v>
      </c>
      <c r="D24" s="532" t="s">
        <v>827</v>
      </c>
      <c r="G24" s="539"/>
      <c r="AA24" s="514"/>
    </row>
    <row r="25" spans="1:27" x14ac:dyDescent="0.3">
      <c r="A25" s="514"/>
      <c r="B25" s="530">
        <f t="shared" si="0"/>
        <v>14</v>
      </c>
      <c r="E25" s="515" t="s">
        <v>828</v>
      </c>
      <c r="G25" s="538">
        <f>'MFR E-6b'!H21</f>
        <v>222194.76362305431</v>
      </c>
      <c r="J25" s="534" t="s">
        <v>829</v>
      </c>
      <c r="AA25" s="514"/>
    </row>
    <row r="26" spans="1:27" x14ac:dyDescent="0.3">
      <c r="A26" s="514"/>
      <c r="B26" s="530">
        <f t="shared" si="0"/>
        <v>15</v>
      </c>
      <c r="E26" s="537" t="s">
        <v>830</v>
      </c>
      <c r="G26" s="72">
        <f>'MFR E-6b'!H34</f>
        <v>21696377.792271525</v>
      </c>
      <c r="J26" s="534" t="s">
        <v>276</v>
      </c>
      <c r="AA26" s="514"/>
    </row>
    <row r="27" spans="1:27" x14ac:dyDescent="0.3">
      <c r="A27" s="514"/>
      <c r="B27" s="530">
        <f t="shared" si="0"/>
        <v>16</v>
      </c>
      <c r="E27" s="537" t="s">
        <v>831</v>
      </c>
      <c r="G27" s="533">
        <f>+G25*1000/G26</f>
        <v>10.241099493676884</v>
      </c>
      <c r="J27" s="515" t="s">
        <v>832</v>
      </c>
      <c r="AA27" s="514"/>
    </row>
    <row r="28" spans="1:27" x14ac:dyDescent="0.3">
      <c r="A28" s="514"/>
      <c r="B28" s="530">
        <f t="shared" si="0"/>
        <v>17</v>
      </c>
      <c r="E28" s="537" t="s">
        <v>833</v>
      </c>
      <c r="G28" s="540">
        <f>G22</f>
        <v>0</v>
      </c>
      <c r="J28" s="515" t="s">
        <v>834</v>
      </c>
      <c r="AA28" s="514"/>
    </row>
    <row r="29" spans="1:27" x14ac:dyDescent="0.3">
      <c r="A29" s="514"/>
      <c r="B29" s="530">
        <f t="shared" si="0"/>
        <v>18</v>
      </c>
      <c r="E29" s="537" t="s">
        <v>835</v>
      </c>
      <c r="G29" s="535">
        <f>ROUND(G27*G28,2)</f>
        <v>0</v>
      </c>
      <c r="J29" s="515" t="s">
        <v>836</v>
      </c>
      <c r="AA29" s="514"/>
    </row>
    <row r="30" spans="1:27" x14ac:dyDescent="0.3">
      <c r="A30" s="514"/>
      <c r="B30" s="530">
        <f t="shared" si="0"/>
        <v>19</v>
      </c>
      <c r="E30" s="13"/>
      <c r="G30" s="541"/>
      <c r="AA30" s="514"/>
    </row>
    <row r="31" spans="1:27" ht="14.4" thickBot="1" x14ac:dyDescent="0.35">
      <c r="A31" s="514"/>
      <c r="B31" s="530">
        <f t="shared" si="0"/>
        <v>20</v>
      </c>
      <c r="D31" s="542" t="s">
        <v>837</v>
      </c>
      <c r="E31" s="13"/>
      <c r="G31" s="543">
        <f>ROUND(+G29+G17,2)</f>
        <v>13.95</v>
      </c>
      <c r="J31" s="515" t="s">
        <v>838</v>
      </c>
      <c r="AA31" s="514"/>
    </row>
    <row r="32" spans="1:27" ht="14.4" thickTop="1" x14ac:dyDescent="0.3">
      <c r="A32" s="514"/>
      <c r="B32" s="530">
        <f t="shared" si="0"/>
        <v>21</v>
      </c>
      <c r="AA32" s="514"/>
    </row>
    <row r="33" spans="1:27" x14ac:dyDescent="0.3">
      <c r="A33" s="514"/>
      <c r="B33" s="530">
        <f t="shared" si="0"/>
        <v>22</v>
      </c>
      <c r="AA33" s="514"/>
    </row>
    <row r="34" spans="1:27" x14ac:dyDescent="0.3">
      <c r="A34" s="514"/>
      <c r="B34" s="530">
        <f t="shared" si="0"/>
        <v>23</v>
      </c>
      <c r="AA34" s="514"/>
    </row>
    <row r="35" spans="1:27" x14ac:dyDescent="0.3">
      <c r="A35" s="514"/>
      <c r="B35" s="530">
        <f t="shared" si="0"/>
        <v>24</v>
      </c>
      <c r="C35" s="531" t="s">
        <v>839</v>
      </c>
      <c r="E35" s="537"/>
      <c r="G35" s="538"/>
      <c r="H35" s="538"/>
      <c r="I35" s="538"/>
      <c r="J35" s="534"/>
      <c r="AA35" s="514"/>
    </row>
    <row r="36" spans="1:27" x14ac:dyDescent="0.3">
      <c r="A36" s="514"/>
      <c r="B36" s="530">
        <f t="shared" si="0"/>
        <v>25</v>
      </c>
      <c r="D36" s="532" t="s">
        <v>840</v>
      </c>
      <c r="E36" s="537"/>
      <c r="G36" s="538"/>
      <c r="H36" s="538"/>
      <c r="I36" s="538"/>
      <c r="AA36" s="514"/>
    </row>
    <row r="37" spans="1:27" x14ac:dyDescent="0.3">
      <c r="A37" s="514"/>
      <c r="B37" s="530">
        <f t="shared" si="0"/>
        <v>26</v>
      </c>
      <c r="E37" s="537" t="s">
        <v>841</v>
      </c>
      <c r="G37" s="538">
        <f>SUM('MFR E-6b'!H16:H19,'MFR E-6b'!H21)-(G25*G28)</f>
        <v>1979343.7012048459</v>
      </c>
      <c r="H37" s="538">
        <f>SUM('MFR E-6b'!I16:I19,'MFR E-6b'!I21)</f>
        <v>180216.25934612149</v>
      </c>
      <c r="I37" s="538">
        <f>SUM('MFR E-6b'!K16:K19,'MFR E-6b'!K21)-('E-13c - prior to updates'!N213/1000)</f>
        <v>858262.12919021561</v>
      </c>
      <c r="J37" s="515" t="s">
        <v>842</v>
      </c>
      <c r="AA37" s="514"/>
    </row>
    <row r="38" spans="1:27" x14ac:dyDescent="0.3">
      <c r="A38" s="514"/>
      <c r="B38" s="530">
        <f t="shared" si="0"/>
        <v>27</v>
      </c>
      <c r="E38" s="537" t="s">
        <v>843</v>
      </c>
      <c r="G38" s="1069">
        <f>'MFR E-6b'!H38</f>
        <v>21036571.744844668</v>
      </c>
      <c r="H38" s="1069">
        <f>'MFR E-6b'!I38</f>
        <v>2207981.4668647805</v>
      </c>
      <c r="I38" s="1069">
        <f>'MFR E-6b'!K38</f>
        <v>13274257.005823161</v>
      </c>
      <c r="J38" s="534" t="s">
        <v>276</v>
      </c>
      <c r="AA38" s="514"/>
    </row>
    <row r="39" spans="1:27" ht="14.4" thickBot="1" x14ac:dyDescent="0.35">
      <c r="A39" s="514"/>
      <c r="B39" s="530">
        <f t="shared" si="0"/>
        <v>28</v>
      </c>
      <c r="E39" s="537" t="s">
        <v>844</v>
      </c>
      <c r="G39" s="693">
        <f>+G37/G38*100</f>
        <v>9.409060208158273</v>
      </c>
      <c r="H39" s="693">
        <f>+H37/H38*100</f>
        <v>8.1620367766047988</v>
      </c>
      <c r="I39" s="693">
        <f>+I37/I38*100</f>
        <v>6.4656133206831274</v>
      </c>
      <c r="J39" s="515" t="s">
        <v>845</v>
      </c>
      <c r="AA39" s="514"/>
    </row>
    <row r="40" spans="1:27" ht="14.4" thickTop="1" x14ac:dyDescent="0.3">
      <c r="A40" s="514"/>
      <c r="B40" s="530">
        <f t="shared" si="0"/>
        <v>29</v>
      </c>
      <c r="AA40" s="514"/>
    </row>
    <row r="41" spans="1:27" x14ac:dyDescent="0.3">
      <c r="A41" s="514"/>
      <c r="B41" s="530">
        <f t="shared" si="0"/>
        <v>30</v>
      </c>
      <c r="D41" s="532" t="s">
        <v>846</v>
      </c>
      <c r="AA41" s="514"/>
    </row>
    <row r="42" spans="1:27" x14ac:dyDescent="0.3">
      <c r="A42" s="514"/>
      <c r="B42" s="530">
        <f t="shared" si="0"/>
        <v>31</v>
      </c>
      <c r="E42" s="515" t="s">
        <v>847</v>
      </c>
      <c r="G42" s="930">
        <f>SUM('MFR E-13c'!J26,'MFR E-13c'!J31)/SUM('MFR E-13c'!J28,'MFR E-13c'!J33)</f>
        <v>0.71798975681109467</v>
      </c>
      <c r="J42" s="515" t="s">
        <v>848</v>
      </c>
      <c r="AA42" s="514"/>
    </row>
    <row r="43" spans="1:27" x14ac:dyDescent="0.3">
      <c r="A43" s="514"/>
      <c r="B43" s="530">
        <f t="shared" si="0"/>
        <v>32</v>
      </c>
      <c r="E43" s="515" t="s">
        <v>849</v>
      </c>
      <c r="G43" s="930">
        <f>1-G42</f>
        <v>0.28201024318890533</v>
      </c>
      <c r="H43" s="545"/>
      <c r="J43" s="515" t="s">
        <v>848</v>
      </c>
      <c r="AA43" s="514"/>
    </row>
    <row r="44" spans="1:27" x14ac:dyDescent="0.3">
      <c r="A44" s="514"/>
      <c r="B44" s="530">
        <f t="shared" si="0"/>
        <v>33</v>
      </c>
      <c r="E44" s="515" t="s">
        <v>850</v>
      </c>
      <c r="G44" s="545">
        <v>1</v>
      </c>
      <c r="H44" s="687" t="s">
        <v>851</v>
      </c>
      <c r="J44" s="515" t="s">
        <v>852</v>
      </c>
      <c r="AA44" s="514"/>
    </row>
    <row r="45" spans="1:27" x14ac:dyDescent="0.3">
      <c r="A45" s="514"/>
      <c r="B45" s="530">
        <f t="shared" si="0"/>
        <v>34</v>
      </c>
      <c r="E45" s="515" t="s">
        <v>853</v>
      </c>
      <c r="G45" s="544">
        <v>0.1573</v>
      </c>
      <c r="H45" s="688">
        <v>0.1573</v>
      </c>
      <c r="J45" s="515" t="s">
        <v>854</v>
      </c>
      <c r="AA45" s="514"/>
    </row>
    <row r="46" spans="1:27" x14ac:dyDescent="0.3">
      <c r="A46" s="514"/>
      <c r="B46" s="530">
        <f t="shared" si="0"/>
        <v>35</v>
      </c>
      <c r="E46" s="515" t="s">
        <v>855</v>
      </c>
      <c r="G46" s="544">
        <v>0.19</v>
      </c>
      <c r="H46" s="688">
        <v>0.30459999999999998</v>
      </c>
      <c r="J46" s="515" t="s">
        <v>856</v>
      </c>
      <c r="AA46" s="514"/>
    </row>
    <row r="47" spans="1:27" x14ac:dyDescent="0.3">
      <c r="A47" s="514"/>
      <c r="B47" s="530">
        <f t="shared" si="0"/>
        <v>36</v>
      </c>
      <c r="E47" s="515" t="s">
        <v>857</v>
      </c>
      <c r="G47" s="544">
        <v>-4.2299999999999997E-2</v>
      </c>
      <c r="H47" s="689">
        <v>-4.2299999999999997E-2</v>
      </c>
      <c r="J47" s="515" t="s">
        <v>854</v>
      </c>
      <c r="AA47" s="514"/>
    </row>
    <row r="48" spans="1:27" x14ac:dyDescent="0.3">
      <c r="A48" s="514"/>
      <c r="B48" s="530">
        <f t="shared" si="0"/>
        <v>37</v>
      </c>
      <c r="E48" s="515" t="s">
        <v>858</v>
      </c>
      <c r="G48" s="544">
        <v>-6.7799999999999999E-2</v>
      </c>
      <c r="H48" s="690">
        <v>-6.7799999999999999E-2</v>
      </c>
      <c r="J48" s="515" t="s">
        <v>854</v>
      </c>
      <c r="AA48" s="514"/>
    </row>
    <row r="49" spans="1:27" x14ac:dyDescent="0.3">
      <c r="A49" s="514"/>
      <c r="B49" s="530">
        <f t="shared" si="0"/>
        <v>38</v>
      </c>
      <c r="G49" s="545"/>
      <c r="AA49" s="514"/>
    </row>
    <row r="50" spans="1:27" x14ac:dyDescent="0.3">
      <c r="A50" s="514"/>
      <c r="B50" s="530">
        <f t="shared" si="0"/>
        <v>39</v>
      </c>
      <c r="E50" s="515" t="s">
        <v>859</v>
      </c>
      <c r="G50" s="691">
        <f>ROUND((G39-(1*G43))*(1+G45),3)</f>
        <v>10.563000000000001</v>
      </c>
      <c r="H50" s="691"/>
      <c r="J50" s="515" t="s">
        <v>860</v>
      </c>
      <c r="AA50" s="514"/>
    </row>
    <row r="51" spans="1:27" x14ac:dyDescent="0.3">
      <c r="A51" s="514"/>
      <c r="B51" s="530">
        <f t="shared" si="0"/>
        <v>40</v>
      </c>
      <c r="E51" s="515" t="s">
        <v>861</v>
      </c>
      <c r="G51" s="691">
        <f>ROUND((G39+(1*G42))*(1+G46),3)</f>
        <v>12.051</v>
      </c>
      <c r="H51" s="692"/>
      <c r="J51" s="515" t="s">
        <v>862</v>
      </c>
      <c r="AA51" s="514"/>
    </row>
    <row r="52" spans="1:27" x14ac:dyDescent="0.3">
      <c r="A52" s="514"/>
      <c r="B52" s="530">
        <f t="shared" si="0"/>
        <v>41</v>
      </c>
      <c r="E52" s="515" t="s">
        <v>863</v>
      </c>
      <c r="G52" s="691">
        <f>ROUND((G39-(1*G43))*(1+G47),3)</f>
        <v>8.7409999999999997</v>
      </c>
      <c r="H52" s="691"/>
      <c r="J52" s="515" t="s">
        <v>864</v>
      </c>
      <c r="AA52" s="514"/>
    </row>
    <row r="53" spans="1:27" x14ac:dyDescent="0.3">
      <c r="A53" s="514"/>
      <c r="B53" s="530">
        <f>+B52+1</f>
        <v>42</v>
      </c>
      <c r="E53" s="515" t="s">
        <v>865</v>
      </c>
      <c r="G53" s="691">
        <f>ROUND((G39+(1*G42))*(1+G48),3)</f>
        <v>9.44</v>
      </c>
      <c r="H53" s="692"/>
      <c r="J53" s="515" t="s">
        <v>866</v>
      </c>
      <c r="AA53" s="514"/>
    </row>
    <row r="54" spans="1:27" x14ac:dyDescent="0.3">
      <c r="A54" s="514"/>
      <c r="AA54" s="514"/>
    </row>
    <row r="55" spans="1:27" x14ac:dyDescent="0.3">
      <c r="G55" s="692"/>
      <c r="I55" s="1209"/>
    </row>
    <row r="57" spans="1:27" x14ac:dyDescent="0.3">
      <c r="G57" s="692"/>
    </row>
    <row r="58" spans="1:27" x14ac:dyDescent="0.3">
      <c r="G58" s="692"/>
    </row>
  </sheetData>
  <printOptions horizontalCentered="1"/>
  <pageMargins left="0.5" right="0.5" top="0.75" bottom="0.5" header="0.5" footer="0.5"/>
  <pageSetup scale="77" firstPageNumber="2" fitToHeight="0" orientation="landscape" r:id="rId1"/>
  <headerFooter alignWithMargins="0">
    <oddHeader xml:space="preserve">&amp;RDEF’s Response to OPC POD 1 (1-26)
Q7
Page &amp;P of &amp;N
</oddHeader>
    <oddFooter>&amp;R20240025-OPCPOD1-00004300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7FF81-C39E-4F51-9695-7A50BDC0F70A}">
  <sheetPr codeName="Sheet10">
    <tabColor rgb="FF92D050"/>
    <pageSetUpPr fitToPage="1"/>
  </sheetPr>
  <dimension ref="A1:AC281"/>
  <sheetViews>
    <sheetView tabSelected="1" workbookViewId="0">
      <selection activeCell="S8" sqref="S8"/>
    </sheetView>
  </sheetViews>
  <sheetFormatPr defaultColWidth="9.109375" defaultRowHeight="14.4" x14ac:dyDescent="0.3"/>
  <cols>
    <col min="1" max="1" width="4.6640625" style="1188" customWidth="1"/>
    <col min="2" max="2" width="1.33203125" style="1186" customWidth="1"/>
    <col min="3" max="3" width="4.6640625" style="1186" customWidth="1"/>
    <col min="4" max="4" width="10.44140625" style="1186" customWidth="1"/>
    <col min="5" max="5" width="18" style="1186" customWidth="1"/>
    <col min="6" max="6" width="3.88671875" style="1186" customWidth="1"/>
    <col min="7" max="7" width="10.6640625" style="1186" bestFit="1" customWidth="1"/>
    <col min="8" max="8" width="11" style="1186" bestFit="1" customWidth="1"/>
    <col min="9" max="11" width="10.6640625" style="1186" bestFit="1" customWidth="1"/>
    <col min="12" max="12" width="10.44140625" style="1186" bestFit="1" customWidth="1"/>
    <col min="13" max="13" width="35" style="1186" bestFit="1" customWidth="1"/>
    <col min="14" max="14" width="10.44140625" style="1186" customWidth="1"/>
    <col min="15" max="23" width="0.5546875" style="1186" customWidth="1"/>
    <col min="24" max="24" width="8.33203125" style="1186" customWidth="1"/>
    <col min="25" max="28" width="8.33203125" style="1187" customWidth="1"/>
    <col min="29" max="29" width="1.33203125" style="552" customWidth="1"/>
    <col min="30" max="16384" width="9.109375" style="1187"/>
  </cols>
  <sheetData>
    <row r="1" spans="1:29" x14ac:dyDescent="0.3">
      <c r="A1" s="546" t="s">
        <v>867</v>
      </c>
      <c r="B1" s="547"/>
      <c r="C1" s="547"/>
      <c r="AC1" s="548"/>
    </row>
    <row r="2" spans="1:29" x14ac:dyDescent="0.3">
      <c r="A2" s="1389">
        <v>2026</v>
      </c>
      <c r="B2" s="1389"/>
      <c r="C2" s="1389"/>
      <c r="D2" s="1389"/>
      <c r="E2" s="1389"/>
      <c r="F2" s="1389"/>
      <c r="G2" s="1389"/>
      <c r="H2" s="1389"/>
      <c r="I2" s="1389"/>
      <c r="J2" s="1389"/>
      <c r="K2" s="1389"/>
      <c r="L2" s="1389"/>
      <c r="M2" s="138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216"/>
    </row>
    <row r="3" spans="1:29" x14ac:dyDescent="0.3">
      <c r="A3" s="550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5"/>
      <c r="N3" s="105"/>
      <c r="O3" s="101"/>
      <c r="P3" s="114"/>
      <c r="Q3" s="101"/>
      <c r="R3" s="101"/>
      <c r="S3" s="101"/>
      <c r="T3" s="101"/>
      <c r="U3" s="101"/>
      <c r="V3" s="101"/>
      <c r="W3" s="101"/>
      <c r="X3" s="101"/>
      <c r="AC3" s="216"/>
    </row>
    <row r="4" spans="1:29" x14ac:dyDescent="0.3">
      <c r="A4" s="100"/>
      <c r="B4" s="101"/>
      <c r="C4" s="101"/>
      <c r="D4" s="106"/>
      <c r="E4" s="101"/>
      <c r="F4" s="101"/>
      <c r="G4" s="101"/>
      <c r="H4" s="101"/>
      <c r="I4" s="101"/>
      <c r="J4" s="101"/>
      <c r="K4" s="101"/>
      <c r="L4" s="100"/>
      <c r="M4" s="466" t="s">
        <v>702</v>
      </c>
      <c r="N4" s="101"/>
      <c r="O4" s="100"/>
      <c r="P4" s="101"/>
      <c r="Q4" s="101"/>
      <c r="R4" s="101"/>
      <c r="S4" s="101"/>
      <c r="T4" s="101"/>
      <c r="U4" s="101"/>
      <c r="V4" s="101"/>
      <c r="W4" s="101"/>
      <c r="X4" s="101"/>
      <c r="AC4" s="216"/>
    </row>
    <row r="5" spans="1:29" x14ac:dyDescent="0.3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469" t="str">
        <f>"DOCKET NO.  " &amp; +"20240025-EI"</f>
        <v>DOCKET NO.  20240025-EI</v>
      </c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0" t="s">
        <v>416</v>
      </c>
      <c r="AC5" s="551" t="s">
        <v>416</v>
      </c>
    </row>
    <row r="6" spans="1:29" x14ac:dyDescent="0.3">
      <c r="A6" s="100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469" t="s">
        <v>703</v>
      </c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AC6" s="216"/>
    </row>
    <row r="7" spans="1:29" x14ac:dyDescent="0.3">
      <c r="A7" s="100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466" t="s">
        <v>868</v>
      </c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AC7" s="216"/>
    </row>
    <row r="8" spans="1:29" x14ac:dyDescent="0.3">
      <c r="A8" s="100"/>
      <c r="B8" s="101"/>
      <c r="C8" s="22"/>
      <c r="D8" s="101"/>
      <c r="E8" s="101"/>
      <c r="F8" s="101"/>
      <c r="G8" s="101"/>
      <c r="H8" s="101"/>
      <c r="I8" s="101"/>
      <c r="J8" s="101"/>
      <c r="K8" s="101"/>
      <c r="L8" s="100"/>
      <c r="M8" s="472" t="s">
        <v>869</v>
      </c>
      <c r="N8" s="101"/>
      <c r="O8" s="100"/>
      <c r="P8" s="101"/>
      <c r="Q8" s="101"/>
      <c r="R8" s="101"/>
      <c r="S8" s="101"/>
      <c r="T8" s="101"/>
      <c r="U8" s="101"/>
      <c r="V8" s="101"/>
      <c r="W8" s="101"/>
      <c r="X8" s="101"/>
      <c r="AC8" s="216"/>
    </row>
    <row r="9" spans="1:29" ht="15.6" x14ac:dyDescent="0.3">
      <c r="A9" s="553" t="s">
        <v>870</v>
      </c>
      <c r="B9" s="554"/>
      <c r="C9" s="554"/>
      <c r="D9" s="555"/>
      <c r="E9" s="555"/>
      <c r="F9" s="555"/>
      <c r="G9" s="555"/>
      <c r="H9" s="555"/>
      <c r="I9" s="555"/>
      <c r="J9" s="555"/>
      <c r="K9" s="555"/>
      <c r="L9" s="555"/>
      <c r="M9" s="343" t="s">
        <v>204</v>
      </c>
      <c r="N9" s="517"/>
      <c r="O9" s="518"/>
      <c r="P9" s="518"/>
      <c r="Q9" s="518"/>
      <c r="R9" s="518"/>
      <c r="S9" s="518"/>
      <c r="T9" s="518"/>
      <c r="U9" s="518"/>
      <c r="V9" s="518"/>
      <c r="W9" s="518"/>
      <c r="X9" s="518"/>
    </row>
    <row r="10" spans="1:29" ht="15.6" x14ac:dyDescent="0.3">
      <c r="A10" s="556"/>
      <c r="B10" s="557"/>
      <c r="C10" s="557"/>
      <c r="D10" s="555"/>
      <c r="E10" s="555"/>
      <c r="F10" s="555"/>
      <c r="G10" s="555"/>
      <c r="H10" s="555"/>
      <c r="I10" s="555"/>
      <c r="J10" s="555"/>
      <c r="K10" s="555"/>
      <c r="L10" s="555"/>
      <c r="M10" s="555"/>
      <c r="N10" s="517"/>
      <c r="O10" s="518"/>
      <c r="P10" s="518"/>
      <c r="Q10" s="518"/>
      <c r="R10" s="518"/>
      <c r="S10" s="518"/>
      <c r="T10" s="518"/>
      <c r="U10" s="518"/>
      <c r="V10" s="518"/>
      <c r="W10" s="518"/>
      <c r="X10" s="518"/>
    </row>
    <row r="11" spans="1:29" ht="15.6" x14ac:dyDescent="0.3">
      <c r="A11" s="556"/>
      <c r="B11" s="557"/>
      <c r="C11" s="557"/>
      <c r="D11" s="555"/>
      <c r="E11" s="555"/>
      <c r="F11" s="555"/>
      <c r="G11" s="555"/>
      <c r="H11" s="555"/>
      <c r="I11" s="555"/>
      <c r="J11" s="555"/>
      <c r="K11" s="555"/>
      <c r="L11" s="555"/>
      <c r="M11" s="555"/>
      <c r="N11" s="517"/>
      <c r="O11" s="518"/>
      <c r="P11" s="518"/>
      <c r="Q11" s="518"/>
      <c r="R11" s="518"/>
      <c r="S11" s="518"/>
      <c r="T11" s="518"/>
      <c r="U11" s="518"/>
      <c r="V11" s="518"/>
      <c r="W11" s="518"/>
      <c r="X11" s="518"/>
    </row>
    <row r="12" spans="1:29" ht="15.6" x14ac:dyDescent="0.3">
      <c r="A12" s="1387" t="s">
        <v>529</v>
      </c>
      <c r="B12" s="1387"/>
      <c r="C12" s="1387"/>
      <c r="D12" s="1387"/>
      <c r="E12" s="1387"/>
      <c r="F12" s="1387"/>
      <c r="G12" s="1387"/>
      <c r="H12" s="1387"/>
      <c r="I12" s="1387"/>
      <c r="J12" s="1387"/>
      <c r="K12" s="1387"/>
      <c r="L12" s="1387"/>
      <c r="M12" s="1387"/>
      <c r="N12" s="517"/>
      <c r="O12" s="518"/>
      <c r="P12" s="518"/>
      <c r="Q12" s="518"/>
      <c r="R12" s="518"/>
      <c r="S12" s="518"/>
      <c r="T12" s="518"/>
      <c r="U12" s="518"/>
      <c r="V12" s="518"/>
      <c r="W12" s="518"/>
      <c r="X12" s="518"/>
    </row>
    <row r="13" spans="1:29" x14ac:dyDescent="0.3">
      <c r="A13" s="558"/>
      <c r="B13" s="542"/>
      <c r="C13" s="542"/>
      <c r="D13" s="515"/>
      <c r="E13" s="515"/>
      <c r="F13" s="515"/>
      <c r="G13" s="515"/>
      <c r="H13" s="515"/>
      <c r="I13" s="515"/>
      <c r="J13" s="515"/>
      <c r="K13" s="515"/>
      <c r="L13" s="515"/>
      <c r="M13" s="515"/>
      <c r="N13" s="515"/>
      <c r="O13" s="515"/>
      <c r="P13" s="515"/>
      <c r="Q13" s="515"/>
      <c r="R13" s="515"/>
      <c r="S13" s="515"/>
      <c r="T13" s="515"/>
      <c r="U13" s="515"/>
      <c r="V13" s="515"/>
      <c r="W13" s="515"/>
      <c r="X13" s="515"/>
      <c r="AC13" s="548"/>
    </row>
    <row r="14" spans="1:29" x14ac:dyDescent="0.3">
      <c r="A14" s="559"/>
      <c r="B14" s="560"/>
      <c r="C14" s="560"/>
      <c r="D14" s="1390">
        <v>-1</v>
      </c>
      <c r="E14" s="1390"/>
      <c r="F14" s="562"/>
      <c r="G14" s="561">
        <f>+D14-1</f>
        <v>-2</v>
      </c>
      <c r="H14" s="561">
        <f t="shared" ref="H14:M14" si="0">+G14-1</f>
        <v>-3</v>
      </c>
      <c r="I14" s="561">
        <f t="shared" si="0"/>
        <v>-4</v>
      </c>
      <c r="J14" s="561">
        <f t="shared" si="0"/>
        <v>-5</v>
      </c>
      <c r="K14" s="561">
        <f t="shared" si="0"/>
        <v>-6</v>
      </c>
      <c r="L14" s="561">
        <f t="shared" si="0"/>
        <v>-7</v>
      </c>
      <c r="M14" s="561">
        <f t="shared" si="0"/>
        <v>-8</v>
      </c>
      <c r="N14" s="515"/>
      <c r="O14" s="515"/>
      <c r="P14" s="515"/>
      <c r="Q14" s="515"/>
      <c r="R14" s="515"/>
      <c r="S14" s="515"/>
      <c r="T14" s="515"/>
      <c r="U14" s="515"/>
      <c r="V14" s="515"/>
      <c r="W14" s="515"/>
      <c r="X14" s="515"/>
    </row>
    <row r="15" spans="1:29" x14ac:dyDescent="0.3">
      <c r="A15" s="563"/>
      <c r="B15" s="564"/>
      <c r="C15" s="564"/>
      <c r="D15" s="564"/>
      <c r="E15" s="564"/>
      <c r="F15" s="564"/>
      <c r="G15" s="564"/>
      <c r="H15" s="565"/>
      <c r="I15" s="564"/>
      <c r="J15" s="565"/>
      <c r="K15" s="515"/>
      <c r="L15" s="515"/>
      <c r="M15" s="515"/>
      <c r="N15" s="564"/>
      <c r="O15" s="515"/>
      <c r="P15" s="515"/>
      <c r="Q15" s="515"/>
      <c r="R15" s="515"/>
      <c r="S15" s="515"/>
      <c r="T15" s="515"/>
      <c r="U15" s="515"/>
      <c r="V15" s="515"/>
      <c r="W15" s="515"/>
      <c r="X15" s="515"/>
    </row>
    <row r="16" spans="1:29" ht="27.6" x14ac:dyDescent="0.3">
      <c r="A16" s="563"/>
      <c r="B16" s="564"/>
      <c r="C16" s="564"/>
      <c r="D16" s="564"/>
      <c r="E16" s="564"/>
      <c r="F16" s="564"/>
      <c r="G16" s="565" t="s">
        <v>415</v>
      </c>
      <c r="H16" s="566" t="s">
        <v>216</v>
      </c>
      <c r="I16" s="567" t="s">
        <v>871</v>
      </c>
      <c r="J16" s="565" t="s">
        <v>872</v>
      </c>
      <c r="K16" s="567" t="s">
        <v>415</v>
      </c>
      <c r="L16" s="567" t="s">
        <v>873</v>
      </c>
      <c r="M16" s="568" t="s">
        <v>121</v>
      </c>
      <c r="N16" s="564"/>
      <c r="O16" s="515"/>
      <c r="P16" s="515"/>
      <c r="Q16" s="515"/>
      <c r="R16" s="515"/>
      <c r="S16" s="515"/>
      <c r="T16" s="515"/>
      <c r="U16" s="515"/>
      <c r="V16" s="515"/>
      <c r="W16" s="515"/>
      <c r="X16" s="515"/>
    </row>
    <row r="17" spans="1:24" x14ac:dyDescent="0.3">
      <c r="A17" s="569" t="s">
        <v>30</v>
      </c>
      <c r="B17" s="570"/>
      <c r="C17" s="570"/>
      <c r="D17" s="571"/>
      <c r="E17" s="571"/>
      <c r="F17" s="571"/>
      <c r="G17" s="572" t="s">
        <v>874</v>
      </c>
      <c r="H17" s="573"/>
      <c r="I17" s="573" t="s">
        <v>148</v>
      </c>
      <c r="J17" s="573" t="s">
        <v>149</v>
      </c>
      <c r="K17" s="573" t="s">
        <v>141</v>
      </c>
      <c r="L17" s="573"/>
      <c r="M17" s="524"/>
      <c r="O17" s="515"/>
      <c r="P17" s="515"/>
      <c r="Q17" s="515"/>
      <c r="R17" s="515"/>
      <c r="S17" s="515"/>
      <c r="T17" s="515"/>
      <c r="U17" s="515"/>
      <c r="V17" s="515"/>
      <c r="W17" s="515"/>
      <c r="X17" s="515"/>
    </row>
    <row r="18" spans="1:24" x14ac:dyDescent="0.3">
      <c r="A18" s="1188">
        <v>1</v>
      </c>
      <c r="D18"/>
      <c r="E18"/>
      <c r="F18"/>
      <c r="G18"/>
      <c r="H18"/>
      <c r="I18"/>
      <c r="J18"/>
      <c r="K18"/>
      <c r="L18"/>
      <c r="M18"/>
    </row>
    <row r="19" spans="1:24" ht="15" thickBot="1" x14ac:dyDescent="0.35">
      <c r="D19" s="1321" t="s">
        <v>875</v>
      </c>
      <c r="E19" s="1321"/>
      <c r="F19" s="1321"/>
      <c r="G19" s="1321"/>
      <c r="H19" s="1321"/>
      <c r="I19" s="1321"/>
      <c r="J19" s="1321"/>
      <c r="K19" s="1321"/>
      <c r="L19" s="1321"/>
      <c r="M19" s="1321"/>
      <c r="N19" s="101"/>
    </row>
    <row r="20" spans="1:24" x14ac:dyDescent="0.3">
      <c r="D20"/>
      <c r="E20"/>
      <c r="F20" s="1320"/>
      <c r="G20" s="1319">
        <v>661716793.07336259</v>
      </c>
      <c r="H20" s="1319">
        <v>363891200.96452659</v>
      </c>
      <c r="I20" s="1319">
        <v>717473111.10269248</v>
      </c>
      <c r="J20" s="1319">
        <v>0</v>
      </c>
      <c r="K20" s="1319">
        <v>318301827.70218319</v>
      </c>
      <c r="L20" s="1319">
        <v>-15455525.904785335</v>
      </c>
      <c r="M20" s="1318">
        <v>2045927406.9379795</v>
      </c>
      <c r="N20" s="101"/>
    </row>
    <row r="21" spans="1:24" x14ac:dyDescent="0.3">
      <c r="A21" s="1188">
        <v>2</v>
      </c>
      <c r="D21"/>
      <c r="E21"/>
      <c r="F21" s="1320"/>
      <c r="G21" s="1317"/>
      <c r="H21" s="1317"/>
      <c r="I21" s="1317"/>
      <c r="J21" s="1317"/>
      <c r="K21" s="1317"/>
      <c r="L21" s="1317"/>
      <c r="M21" s="1320"/>
      <c r="N21" s="101"/>
    </row>
    <row r="22" spans="1:24" ht="15" thickBot="1" x14ac:dyDescent="0.35">
      <c r="D22" s="1321" t="s">
        <v>876</v>
      </c>
      <c r="E22" s="1321"/>
      <c r="F22" s="1321"/>
      <c r="G22" s="1321"/>
      <c r="H22" s="1321"/>
      <c r="I22" s="1321"/>
      <c r="J22" s="1321"/>
      <c r="K22" s="1321"/>
      <c r="L22" s="1321"/>
      <c r="M22" s="1321"/>
      <c r="N22" s="101"/>
    </row>
    <row r="23" spans="1:24" x14ac:dyDescent="0.3">
      <c r="D23"/>
      <c r="E23"/>
      <c r="F23" s="1320"/>
      <c r="G23" s="1316" t="s">
        <v>877</v>
      </c>
      <c r="H23" s="1316" t="s">
        <v>878</v>
      </c>
      <c r="I23" s="1316" t="s">
        <v>879</v>
      </c>
      <c r="J23" s="1316" t="s">
        <v>879</v>
      </c>
      <c r="K23" s="1316" t="s">
        <v>880</v>
      </c>
      <c r="L23" s="1316" t="s">
        <v>881</v>
      </c>
      <c r="M23"/>
      <c r="N23" s="101"/>
    </row>
    <row r="24" spans="1:24" ht="15.6" x14ac:dyDescent="0.3">
      <c r="A24" s="1188">
        <v>3</v>
      </c>
      <c r="D24"/>
      <c r="E24"/>
      <c r="F24" s="1320"/>
      <c r="G24" s="1317"/>
      <c r="H24" s="1317"/>
      <c r="I24" s="1317"/>
      <c r="J24" s="1317"/>
      <c r="K24" s="1317"/>
      <c r="L24" s="1317"/>
      <c r="M24" s="1320"/>
      <c r="N24" s="517"/>
    </row>
    <row r="25" spans="1:24" ht="16.2" thickBot="1" x14ac:dyDescent="0.35">
      <c r="A25" s="1188">
        <v>4</v>
      </c>
      <c r="D25" s="1321" t="s">
        <v>882</v>
      </c>
      <c r="E25" s="1321"/>
      <c r="F25" s="1321"/>
      <c r="G25" s="1321"/>
      <c r="H25" s="1321"/>
      <c r="I25" s="1321"/>
      <c r="J25" s="1321"/>
      <c r="K25" s="1321"/>
      <c r="L25" s="1321"/>
      <c r="M25" s="1321"/>
      <c r="N25" s="517"/>
    </row>
    <row r="26" spans="1:24" ht="15.6" x14ac:dyDescent="0.3">
      <c r="A26" s="1188">
        <v>5</v>
      </c>
      <c r="D26">
        <v>1</v>
      </c>
      <c r="E26" t="s">
        <v>883</v>
      </c>
      <c r="F26" s="1315"/>
      <c r="G26" s="1314">
        <v>2.490299254061072</v>
      </c>
      <c r="H26" s="1314">
        <v>1.6447207459538091</v>
      </c>
      <c r="I26" s="1314">
        <v>1.679985104055159</v>
      </c>
      <c r="J26" s="1314">
        <v>1.679985104055159</v>
      </c>
      <c r="K26" s="1314">
        <v>1.3622293597931883</v>
      </c>
      <c r="L26" s="1314">
        <v>1</v>
      </c>
      <c r="M26" s="1320"/>
      <c r="N26" s="517"/>
    </row>
    <row r="27" spans="1:24" ht="15.6" x14ac:dyDescent="0.3">
      <c r="A27" s="1188">
        <v>6</v>
      </c>
      <c r="D27">
        <v>2</v>
      </c>
      <c r="E27" t="s">
        <v>560</v>
      </c>
      <c r="F27" s="1315"/>
      <c r="G27" s="1314">
        <v>0.78203961486374551</v>
      </c>
      <c r="H27" s="1314">
        <v>0.96960809507935608</v>
      </c>
      <c r="I27" s="1314">
        <v>0.96774178609498318</v>
      </c>
      <c r="J27" s="1314">
        <v>0.96774178609498318</v>
      </c>
      <c r="K27" s="1314">
        <v>0.99944772468847709</v>
      </c>
      <c r="L27" s="1314">
        <v>1</v>
      </c>
      <c r="M27" s="1320"/>
      <c r="N27" s="517"/>
    </row>
    <row r="28" spans="1:24" x14ac:dyDescent="0.3">
      <c r="A28" s="1188">
        <v>7</v>
      </c>
      <c r="D28">
        <v>3</v>
      </c>
      <c r="E28" t="s">
        <v>884</v>
      </c>
      <c r="F28" s="1315"/>
      <c r="G28" s="1314">
        <v>0.52989903387328763</v>
      </c>
      <c r="H28" s="1314">
        <v>0.55449388383653153</v>
      </c>
      <c r="I28" s="1314">
        <v>0.48625107454688149</v>
      </c>
      <c r="J28" s="1314">
        <v>0.48625107454688149</v>
      </c>
      <c r="K28" s="1314">
        <v>0.79790281105090721</v>
      </c>
      <c r="L28" s="1314">
        <v>1</v>
      </c>
      <c r="M28" s="1320"/>
      <c r="N28" s="515"/>
    </row>
    <row r="29" spans="1:24" x14ac:dyDescent="0.3">
      <c r="A29" s="1188">
        <v>8</v>
      </c>
      <c r="D29">
        <v>4</v>
      </c>
      <c r="E29" t="s">
        <v>238</v>
      </c>
      <c r="F29" s="1315"/>
      <c r="G29" s="1314">
        <v>0</v>
      </c>
      <c r="H29" s="1314">
        <v>0</v>
      </c>
      <c r="I29" s="1314">
        <v>0</v>
      </c>
      <c r="J29" s="1314">
        <v>0</v>
      </c>
      <c r="K29" s="1314">
        <v>0</v>
      </c>
      <c r="L29" s="1314">
        <v>0</v>
      </c>
      <c r="M29" s="1320"/>
      <c r="N29" s="515"/>
    </row>
    <row r="30" spans="1:24" x14ac:dyDescent="0.3">
      <c r="D30">
        <v>5</v>
      </c>
      <c r="E30" t="s">
        <v>238</v>
      </c>
      <c r="F30" s="1315"/>
      <c r="G30" s="1314">
        <v>0</v>
      </c>
      <c r="H30" s="1314">
        <v>0</v>
      </c>
      <c r="I30" s="1314">
        <v>0</v>
      </c>
      <c r="J30" s="1314">
        <v>0</v>
      </c>
      <c r="K30" s="1314">
        <v>0</v>
      </c>
      <c r="L30" s="1314">
        <v>0</v>
      </c>
      <c r="M30" s="1320"/>
      <c r="N30" s="564"/>
    </row>
    <row r="31" spans="1:24" x14ac:dyDescent="0.3">
      <c r="D31">
        <v>6</v>
      </c>
      <c r="E31" t="s">
        <v>238</v>
      </c>
      <c r="F31" s="1315"/>
      <c r="G31" s="1314">
        <v>0</v>
      </c>
      <c r="H31" s="1314">
        <v>0</v>
      </c>
      <c r="I31" s="1314">
        <v>0</v>
      </c>
      <c r="J31" s="1314">
        <v>0</v>
      </c>
      <c r="K31" s="1314">
        <v>0</v>
      </c>
      <c r="L31" s="1314">
        <v>0</v>
      </c>
      <c r="M31" s="1320"/>
    </row>
    <row r="32" spans="1:24" x14ac:dyDescent="0.3">
      <c r="A32" s="1188">
        <v>9</v>
      </c>
      <c r="D32"/>
      <c r="E32"/>
      <c r="F32" s="1320"/>
      <c r="G32" s="1317"/>
      <c r="H32" s="1317"/>
      <c r="I32" s="1317"/>
      <c r="J32" s="1317"/>
      <c r="K32" s="1317"/>
      <c r="L32" s="1317"/>
      <c r="M32" s="1320"/>
    </row>
    <row r="33" spans="1:27" ht="15" thickBot="1" x14ac:dyDescent="0.35">
      <c r="A33" s="1188">
        <v>10</v>
      </c>
      <c r="D33" s="1321" t="s">
        <v>885</v>
      </c>
      <c r="E33" s="1321"/>
      <c r="F33" s="1321"/>
      <c r="G33" s="1321"/>
      <c r="H33" s="1321"/>
      <c r="I33" s="1321"/>
      <c r="J33" s="1321"/>
      <c r="K33" s="1321"/>
      <c r="L33" s="1321"/>
      <c r="M33" s="1321"/>
    </row>
    <row r="34" spans="1:27" x14ac:dyDescent="0.3">
      <c r="A34" s="1188">
        <v>11</v>
      </c>
      <c r="D34">
        <v>1</v>
      </c>
      <c r="E34" t="s">
        <v>883</v>
      </c>
      <c r="F34" s="1315"/>
      <c r="G34" s="1173"/>
      <c r="H34" s="1313"/>
      <c r="I34" s="1317"/>
      <c r="J34" s="1317"/>
      <c r="K34" s="1317"/>
      <c r="L34" s="1317"/>
      <c r="M34" s="1319">
        <v>3245769.4175581345</v>
      </c>
      <c r="N34" s="101"/>
    </row>
    <row r="35" spans="1:27" x14ac:dyDescent="0.3">
      <c r="A35" s="1188">
        <v>12</v>
      </c>
      <c r="D35">
        <v>2</v>
      </c>
      <c r="E35" t="s">
        <v>560</v>
      </c>
      <c r="F35" s="1315"/>
      <c r="G35" s="1173"/>
      <c r="H35" s="1173"/>
      <c r="I35" s="1173"/>
      <c r="J35" s="1173"/>
      <c r="K35" s="1173"/>
      <c r="L35" s="1173"/>
      <c r="M35" s="1319">
        <v>14168042.284422176</v>
      </c>
      <c r="N35" s="101"/>
    </row>
    <row r="36" spans="1:27" x14ac:dyDescent="0.3">
      <c r="A36" s="1188">
        <v>13</v>
      </c>
      <c r="D36">
        <v>3</v>
      </c>
      <c r="E36" t="s">
        <v>884</v>
      </c>
      <c r="F36" s="1315"/>
      <c r="G36" s="1173"/>
      <c r="H36" s="1173"/>
      <c r="I36" s="1173"/>
      <c r="J36" s="1173"/>
      <c r="K36" s="1173"/>
      <c r="L36" s="1173"/>
      <c r="M36" s="1319">
        <v>3406409.2980197053</v>
      </c>
      <c r="N36" s="101"/>
    </row>
    <row r="37" spans="1:27" x14ac:dyDescent="0.3">
      <c r="A37" s="1188">
        <v>14</v>
      </c>
      <c r="D37">
        <v>4</v>
      </c>
      <c r="E37" t="s">
        <v>238</v>
      </c>
      <c r="F37" s="1315"/>
      <c r="G37" s="1173"/>
      <c r="H37" s="1173"/>
      <c r="I37" s="1173"/>
      <c r="J37" s="1173"/>
      <c r="K37" s="1173"/>
      <c r="L37" s="1173"/>
      <c r="M37" s="1319">
        <v>0</v>
      </c>
      <c r="N37" s="101"/>
    </row>
    <row r="38" spans="1:27" x14ac:dyDescent="0.3">
      <c r="D38">
        <v>5</v>
      </c>
      <c r="E38" t="s">
        <v>238</v>
      </c>
      <c r="F38" s="1315"/>
      <c r="G38" s="1173"/>
      <c r="H38" s="1173"/>
      <c r="I38" s="1173"/>
      <c r="J38" s="1173"/>
      <c r="K38" s="1173"/>
      <c r="L38" s="1173"/>
      <c r="M38" s="1319">
        <v>0</v>
      </c>
      <c r="N38" s="101"/>
    </row>
    <row r="39" spans="1:27" ht="15.6" x14ac:dyDescent="0.3">
      <c r="D39">
        <v>6</v>
      </c>
      <c r="E39" t="s">
        <v>238</v>
      </c>
      <c r="F39" s="1315"/>
      <c r="G39" s="1173"/>
      <c r="H39" s="1173"/>
      <c r="I39" s="1173"/>
      <c r="J39" s="1173"/>
      <c r="K39" s="1173"/>
      <c r="L39" s="1173"/>
      <c r="M39" s="1319">
        <v>0</v>
      </c>
      <c r="N39" s="517"/>
    </row>
    <row r="40" spans="1:27" ht="15.6" x14ac:dyDescent="0.3">
      <c r="A40" s="1188">
        <v>15</v>
      </c>
      <c r="D40"/>
      <c r="E40"/>
      <c r="F40" s="1320"/>
      <c r="G40" s="1317"/>
      <c r="H40" s="1317"/>
      <c r="I40" s="1317"/>
      <c r="J40" s="1317"/>
      <c r="K40" s="1317"/>
      <c r="L40" s="1317"/>
      <c r="M40" s="1320"/>
      <c r="N40" s="517"/>
    </row>
    <row r="41" spans="1:27" ht="16.2" thickBot="1" x14ac:dyDescent="0.35">
      <c r="D41" s="1321" t="s">
        <v>886</v>
      </c>
      <c r="E41" s="1321"/>
      <c r="F41" s="1321"/>
      <c r="G41" s="1321"/>
      <c r="H41" s="1321"/>
      <c r="I41" s="1321"/>
      <c r="J41" s="1321"/>
      <c r="K41" s="1321"/>
      <c r="L41" s="1321"/>
      <c r="M41" s="1321"/>
      <c r="N41" s="517"/>
    </row>
    <row r="42" spans="1:27" ht="15.6" x14ac:dyDescent="0.3">
      <c r="D42"/>
      <c r="E42"/>
      <c r="F42" s="1320"/>
      <c r="G42" s="1312">
        <v>3.1558471959512713</v>
      </c>
      <c r="H42" s="1312">
        <v>1.7357357495366936</v>
      </c>
      <c r="I42" s="1312">
        <v>3.4460398432019179</v>
      </c>
      <c r="J42" s="1312">
        <v>0</v>
      </c>
      <c r="K42" s="1312">
        <v>1.4943969781831823</v>
      </c>
      <c r="L42" s="1312">
        <v>-7.423324615423306E-2</v>
      </c>
      <c r="M42" s="1320"/>
      <c r="N42" s="517"/>
    </row>
    <row r="43" spans="1:27" x14ac:dyDescent="0.3">
      <c r="A43" s="1188">
        <v>16</v>
      </c>
      <c r="D43"/>
      <c r="E43"/>
      <c r="F43" s="1320"/>
      <c r="G43" s="1317"/>
      <c r="H43" s="1317"/>
      <c r="I43" s="1317"/>
      <c r="J43" s="1317"/>
      <c r="K43" s="1317"/>
      <c r="L43" s="1317"/>
      <c r="M43" s="1320"/>
      <c r="N43" s="515"/>
    </row>
    <row r="44" spans="1:27" ht="15" thickBot="1" x14ac:dyDescent="0.35">
      <c r="A44" s="1188">
        <v>17</v>
      </c>
      <c r="D44" s="1321" t="s">
        <v>887</v>
      </c>
      <c r="E44" s="1321"/>
      <c r="F44" s="1321"/>
      <c r="G44" s="1321"/>
      <c r="H44" s="1321"/>
      <c r="I44" s="1321"/>
      <c r="J44" s="1321"/>
      <c r="K44" s="1321"/>
      <c r="L44" s="1321"/>
      <c r="M44" s="1321"/>
      <c r="N44" s="515"/>
      <c r="Z44" s="1187" t="s">
        <v>888</v>
      </c>
    </row>
    <row r="45" spans="1:27" x14ac:dyDescent="0.3">
      <c r="A45" s="1188">
        <v>18</v>
      </c>
      <c r="D45">
        <v>1</v>
      </c>
      <c r="E45" t="s">
        <v>883</v>
      </c>
      <c r="F45" s="1311"/>
      <c r="G45" s="1312">
        <v>7.8590039180081765</v>
      </c>
      <c r="H45" s="1312">
        <v>2.854800596756685</v>
      </c>
      <c r="I45" s="1312">
        <v>5.7892956045597979</v>
      </c>
      <c r="J45" s="1312">
        <v>0</v>
      </c>
      <c r="K45" s="1312">
        <v>2.0357114388673514</v>
      </c>
      <c r="L45" s="1312">
        <v>-7.423324615423306E-2</v>
      </c>
      <c r="M45" s="1310">
        <v>18.46457831203778</v>
      </c>
      <c r="N45" s="564"/>
      <c r="X45" s="1200">
        <f>M45/M46</f>
        <v>2.0734611626194064</v>
      </c>
      <c r="Z45" s="1200">
        <v>1.4</v>
      </c>
      <c r="AA45" s="1290">
        <v>14.414773507144494</v>
      </c>
    </row>
    <row r="46" spans="1:27" x14ac:dyDescent="0.3">
      <c r="A46" s="1188">
        <v>19</v>
      </c>
      <c r="D46">
        <v>2</v>
      </c>
      <c r="E46" t="s">
        <v>560</v>
      </c>
      <c r="F46" s="1311"/>
      <c r="G46" s="1312">
        <v>2.4679975256905635</v>
      </c>
      <c r="H46" s="1312">
        <v>1.6829834336694118</v>
      </c>
      <c r="I46" s="1312">
        <v>3.3348767528146999</v>
      </c>
      <c r="J46" s="1312">
        <v>0</v>
      </c>
      <c r="K46" s="1312">
        <v>1.4935716596265172</v>
      </c>
      <c r="L46" s="1312">
        <v>-7.423324615423306E-2</v>
      </c>
      <c r="M46" s="1310">
        <v>8.9051961256469596</v>
      </c>
      <c r="X46" s="1200">
        <f>M46/M46</f>
        <v>1</v>
      </c>
      <c r="Z46" s="1200">
        <v>1</v>
      </c>
      <c r="AA46" s="1290">
        <v>10.296266790817496</v>
      </c>
    </row>
    <row r="47" spans="1:27" x14ac:dyDescent="0.3">
      <c r="A47" s="1188">
        <v>20</v>
      </c>
      <c r="D47">
        <v>3</v>
      </c>
      <c r="E47" t="s">
        <v>884</v>
      </c>
      <c r="F47" s="1311"/>
      <c r="G47" s="1312">
        <v>1.6722803801863024</v>
      </c>
      <c r="H47" s="1312">
        <v>0.96245485707451439</v>
      </c>
      <c r="I47" s="1312">
        <v>1.6756405766882996</v>
      </c>
      <c r="J47" s="1312">
        <v>0</v>
      </c>
      <c r="K47" s="1312">
        <v>1.1923835497183424</v>
      </c>
      <c r="L47" s="1312">
        <v>-7.423324615423306E-2</v>
      </c>
      <c r="M47" s="1310">
        <v>5.4285261175132256</v>
      </c>
      <c r="X47" s="1200">
        <f>M47/M46</f>
        <v>0.60959085470100693</v>
      </c>
      <c r="Z47" s="1200">
        <f>AA47/AA46</f>
        <v>0.60959085470100693</v>
      </c>
      <c r="AA47" s="1290">
        <v>6.2765100732440313</v>
      </c>
    </row>
    <row r="48" spans="1:27" x14ac:dyDescent="0.3">
      <c r="A48" s="1188">
        <v>21</v>
      </c>
      <c r="D48">
        <v>4</v>
      </c>
      <c r="E48" t="s">
        <v>238</v>
      </c>
      <c r="F48" s="1311"/>
      <c r="G48" s="1312">
        <v>0</v>
      </c>
      <c r="H48" s="1312">
        <v>0</v>
      </c>
      <c r="I48" s="1312">
        <v>0</v>
      </c>
      <c r="J48" s="1312">
        <v>0</v>
      </c>
      <c r="K48" s="1312">
        <v>0</v>
      </c>
      <c r="L48" s="1312">
        <v>0</v>
      </c>
      <c r="M48" s="1309">
        <v>0</v>
      </c>
    </row>
    <row r="49" spans="1:29" x14ac:dyDescent="0.3">
      <c r="D49">
        <v>5</v>
      </c>
      <c r="E49" t="s">
        <v>238</v>
      </c>
      <c r="F49" s="1311"/>
      <c r="G49" s="1312">
        <v>0</v>
      </c>
      <c r="H49" s="1312">
        <v>0</v>
      </c>
      <c r="I49" s="1312">
        <v>0</v>
      </c>
      <c r="J49" s="1312">
        <v>0</v>
      </c>
      <c r="K49" s="1312">
        <v>0</v>
      </c>
      <c r="L49" s="1312">
        <v>0</v>
      </c>
      <c r="M49" s="1309">
        <v>0</v>
      </c>
      <c r="N49" s="101"/>
    </row>
    <row r="50" spans="1:29" x14ac:dyDescent="0.3">
      <c r="D50">
        <v>6</v>
      </c>
      <c r="E50" t="s">
        <v>238</v>
      </c>
      <c r="F50" s="1311"/>
      <c r="G50" s="1312">
        <v>0</v>
      </c>
      <c r="H50" s="1312">
        <v>0</v>
      </c>
      <c r="I50" s="1312">
        <v>0</v>
      </c>
      <c r="J50" s="1312">
        <v>0</v>
      </c>
      <c r="K50" s="1312">
        <v>0</v>
      </c>
      <c r="L50" s="1312">
        <v>0</v>
      </c>
      <c r="M50" s="1309">
        <v>0</v>
      </c>
      <c r="N50" s="101"/>
    </row>
    <row r="51" spans="1:29" x14ac:dyDescent="0.3">
      <c r="A51" s="1188">
        <v>22</v>
      </c>
      <c r="D51"/>
      <c r="E51"/>
      <c r="F51" s="1320"/>
      <c r="G51" s="1317"/>
      <c r="H51" s="1317"/>
      <c r="I51" s="1317"/>
      <c r="J51" s="1317"/>
      <c r="K51" s="1317"/>
      <c r="L51" s="1317"/>
      <c r="M51" s="1320"/>
      <c r="N51" s="101"/>
    </row>
    <row r="52" spans="1:29" ht="15" thickBot="1" x14ac:dyDescent="0.35">
      <c r="A52" s="1188">
        <v>23</v>
      </c>
      <c r="D52" s="1321" t="s">
        <v>433</v>
      </c>
      <c r="E52" s="1321"/>
      <c r="F52" s="1321"/>
      <c r="G52" s="1321"/>
      <c r="H52" s="1321"/>
      <c r="I52" s="1321"/>
      <c r="J52" s="1321"/>
      <c r="K52" s="1321"/>
      <c r="L52" s="1321"/>
      <c r="M52" s="1321"/>
      <c r="N52" s="101"/>
    </row>
    <row r="53" spans="1:29" x14ac:dyDescent="0.3">
      <c r="D53"/>
      <c r="E53" t="s">
        <v>889</v>
      </c>
      <c r="F53" s="1320"/>
      <c r="G53" s="1308">
        <v>661716793.07336259</v>
      </c>
      <c r="H53" s="1308">
        <v>363891200.96452665</v>
      </c>
      <c r="I53" s="1308">
        <v>717473111.10269225</v>
      </c>
      <c r="J53" s="1308">
        <v>0</v>
      </c>
      <c r="K53" s="1308">
        <v>318301827.70218319</v>
      </c>
      <c r="L53" s="1308">
        <v>-15455525.904785333</v>
      </c>
      <c r="M53" s="1307">
        <v>2045927406.9379795</v>
      </c>
      <c r="N53" s="101"/>
    </row>
    <row r="54" spans="1:29" x14ac:dyDescent="0.3">
      <c r="D54" s="1187"/>
      <c r="E54" s="1187" t="s">
        <v>168</v>
      </c>
      <c r="F54" s="1190"/>
      <c r="G54" s="1191" t="b">
        <v>1</v>
      </c>
      <c r="H54" s="1191" t="b">
        <v>1</v>
      </c>
      <c r="I54" s="1191" t="b">
        <v>1</v>
      </c>
      <c r="J54" s="1191" t="b">
        <v>1</v>
      </c>
      <c r="K54" s="1191" t="b">
        <v>1</v>
      </c>
      <c r="L54" s="1191" t="b">
        <v>1</v>
      </c>
      <c r="M54" s="1191" t="b">
        <v>1</v>
      </c>
      <c r="N54" s="1188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1:29" ht="15" thickBot="1" x14ac:dyDescent="0.35">
      <c r="A55" s="123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23"/>
    </row>
    <row r="56" spans="1:29" x14ac:dyDescent="0.3">
      <c r="A56" s="100"/>
      <c r="B56" s="101"/>
      <c r="C56" s="101"/>
      <c r="D56" s="106"/>
      <c r="E56" s="101"/>
      <c r="F56" s="101"/>
      <c r="G56" s="101"/>
      <c r="H56" s="101"/>
      <c r="I56" s="101"/>
      <c r="J56" s="101"/>
      <c r="K56" s="101"/>
      <c r="L56" s="100"/>
      <c r="M56" s="466" t="s">
        <v>702</v>
      </c>
      <c r="N56" s="101"/>
      <c r="O56" s="100"/>
      <c r="P56" s="101"/>
      <c r="Q56" s="101"/>
      <c r="R56" s="101"/>
      <c r="S56" s="101"/>
      <c r="T56" s="101"/>
      <c r="U56" s="101"/>
      <c r="V56" s="101"/>
      <c r="W56" s="101"/>
      <c r="X56" s="101"/>
      <c r="AC56" s="216"/>
    </row>
    <row r="57" spans="1:29" x14ac:dyDescent="0.3">
      <c r="A57" s="100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469" t="str">
        <f>M5</f>
        <v>DOCKET NO.  20240025-EI</v>
      </c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0" t="s">
        <v>416</v>
      </c>
      <c r="AC57" s="551" t="s">
        <v>416</v>
      </c>
    </row>
    <row r="58" spans="1:29" x14ac:dyDescent="0.3">
      <c r="A58" s="100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469" t="s">
        <v>703</v>
      </c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AC58" s="216"/>
    </row>
    <row r="59" spans="1:29" x14ac:dyDescent="0.3">
      <c r="A59" s="100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466" t="s">
        <v>868</v>
      </c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AC59" s="216"/>
    </row>
    <row r="60" spans="1:29" x14ac:dyDescent="0.3">
      <c r="A60" s="100"/>
      <c r="B60" s="101"/>
      <c r="C60" s="22"/>
      <c r="D60" s="101"/>
      <c r="E60" s="101"/>
      <c r="F60" s="101"/>
      <c r="G60" s="101"/>
      <c r="H60" s="101"/>
      <c r="I60" s="101"/>
      <c r="J60" s="101"/>
      <c r="K60" s="101"/>
      <c r="L60" s="100"/>
      <c r="M60" s="472" t="s">
        <v>890</v>
      </c>
      <c r="N60" s="101"/>
      <c r="O60" s="100"/>
      <c r="P60" s="101"/>
      <c r="Q60" s="101"/>
      <c r="R60" s="101"/>
      <c r="S60" s="101"/>
      <c r="T60" s="101"/>
      <c r="U60" s="101"/>
      <c r="V60" s="101"/>
      <c r="W60" s="101"/>
      <c r="X60" s="101"/>
      <c r="AC60" s="216"/>
    </row>
    <row r="61" spans="1:29" ht="15.6" x14ac:dyDescent="0.3">
      <c r="A61" s="553" t="s">
        <v>870</v>
      </c>
      <c r="B61" s="554"/>
      <c r="C61" s="554"/>
      <c r="D61" s="555"/>
      <c r="E61" s="555"/>
      <c r="F61" s="555"/>
      <c r="G61" s="555"/>
      <c r="H61" s="555"/>
      <c r="I61" s="555"/>
      <c r="J61" s="555"/>
      <c r="K61" s="555"/>
      <c r="L61" s="555"/>
      <c r="M61" s="343" t="s">
        <v>204</v>
      </c>
      <c r="N61" s="517"/>
      <c r="O61" s="518"/>
      <c r="P61" s="518"/>
      <c r="Q61" s="518"/>
      <c r="R61" s="518"/>
      <c r="S61" s="518"/>
      <c r="T61" s="518"/>
      <c r="U61" s="518"/>
      <c r="V61" s="518"/>
      <c r="W61" s="518"/>
      <c r="X61" s="518"/>
    </row>
    <row r="62" spans="1:29" ht="15.6" x14ac:dyDescent="0.3">
      <c r="A62" s="556"/>
      <c r="B62" s="557"/>
      <c r="C62" s="557"/>
      <c r="D62" s="555"/>
      <c r="E62" s="555"/>
      <c r="F62" s="555"/>
      <c r="G62" s="555"/>
      <c r="H62" s="555"/>
      <c r="I62" s="555"/>
      <c r="J62" s="555"/>
      <c r="K62" s="555"/>
      <c r="L62" s="555"/>
      <c r="M62" s="555"/>
      <c r="N62" s="517"/>
      <c r="O62" s="518"/>
      <c r="P62" s="518"/>
      <c r="Q62" s="518"/>
      <c r="R62" s="518"/>
      <c r="S62" s="518"/>
      <c r="T62" s="518"/>
      <c r="U62" s="518"/>
      <c r="V62" s="518"/>
      <c r="W62" s="518"/>
      <c r="X62" s="518"/>
    </row>
    <row r="63" spans="1:29" ht="15.6" x14ac:dyDescent="0.3">
      <c r="A63" s="556"/>
      <c r="B63" s="557"/>
      <c r="C63" s="557"/>
      <c r="D63" s="555"/>
      <c r="E63" s="555"/>
      <c r="F63" s="555"/>
      <c r="G63" s="555"/>
      <c r="H63" s="555"/>
      <c r="I63" s="555"/>
      <c r="J63" s="555"/>
      <c r="K63" s="555"/>
      <c r="L63" s="555"/>
      <c r="M63" s="555"/>
      <c r="N63" s="517"/>
      <c r="O63" s="518"/>
      <c r="P63" s="518"/>
      <c r="Q63" s="518"/>
      <c r="R63" s="518"/>
      <c r="S63" s="518"/>
      <c r="T63" s="518"/>
      <c r="U63" s="518"/>
      <c r="V63" s="518"/>
      <c r="W63" s="518"/>
      <c r="X63" s="518"/>
    </row>
    <row r="64" spans="1:29" ht="15.6" x14ac:dyDescent="0.3">
      <c r="A64" s="1387" t="s">
        <v>577</v>
      </c>
      <c r="B64" s="1387"/>
      <c r="C64" s="1387"/>
      <c r="D64" s="1387"/>
      <c r="E64" s="1387"/>
      <c r="F64" s="1387"/>
      <c r="G64" s="1387"/>
      <c r="H64" s="1387"/>
      <c r="I64" s="1387"/>
      <c r="J64" s="1387"/>
      <c r="K64" s="1387"/>
      <c r="L64" s="1387"/>
      <c r="M64" s="1387"/>
      <c r="N64" s="517"/>
      <c r="O64" s="518"/>
      <c r="P64" s="518"/>
      <c r="Q64" s="518"/>
      <c r="R64" s="518"/>
      <c r="S64" s="518"/>
      <c r="T64" s="518"/>
      <c r="U64" s="518"/>
      <c r="V64" s="518"/>
      <c r="W64" s="518"/>
      <c r="X64" s="518"/>
    </row>
    <row r="65" spans="1:24" x14ac:dyDescent="0.3">
      <c r="A65" s="558"/>
      <c r="B65" s="542"/>
      <c r="C65" s="542"/>
      <c r="D65" s="515"/>
      <c r="E65" s="515"/>
      <c r="F65" s="515"/>
      <c r="G65" s="515"/>
      <c r="H65" s="515"/>
      <c r="I65" s="515"/>
      <c r="J65" s="515"/>
      <c r="K65" s="515"/>
      <c r="L65" s="515"/>
      <c r="M65" s="515"/>
      <c r="N65" s="515"/>
      <c r="O65" s="515"/>
      <c r="P65" s="515"/>
      <c r="Q65" s="515"/>
      <c r="R65" s="515"/>
      <c r="S65" s="515"/>
      <c r="T65" s="515"/>
      <c r="U65" s="515"/>
      <c r="V65" s="515"/>
      <c r="W65" s="515"/>
      <c r="X65" s="515"/>
    </row>
    <row r="66" spans="1:24" x14ac:dyDescent="0.3">
      <c r="A66" s="559"/>
      <c r="B66" s="560"/>
      <c r="C66" s="560"/>
      <c r="D66" s="1390">
        <v>-1</v>
      </c>
      <c r="E66" s="1390"/>
      <c r="F66" s="562"/>
      <c r="G66" s="561">
        <f>+D66-1</f>
        <v>-2</v>
      </c>
      <c r="H66" s="561">
        <f t="shared" ref="H66:M66" si="1">+G66-1</f>
        <v>-3</v>
      </c>
      <c r="I66" s="561">
        <f t="shared" si="1"/>
        <v>-4</v>
      </c>
      <c r="J66" s="561">
        <f t="shared" si="1"/>
        <v>-5</v>
      </c>
      <c r="K66" s="561">
        <f t="shared" si="1"/>
        <v>-6</v>
      </c>
      <c r="L66" s="561">
        <f t="shared" si="1"/>
        <v>-7</v>
      </c>
      <c r="M66" s="561">
        <f t="shared" si="1"/>
        <v>-8</v>
      </c>
      <c r="N66" s="515"/>
      <c r="O66" s="515"/>
      <c r="P66" s="515"/>
      <c r="Q66" s="515"/>
      <c r="R66" s="515"/>
      <c r="S66" s="515"/>
      <c r="T66" s="515"/>
      <c r="U66" s="515"/>
      <c r="V66" s="515"/>
      <c r="W66" s="515"/>
      <c r="X66" s="515"/>
    </row>
    <row r="67" spans="1:24" x14ac:dyDescent="0.3">
      <c r="A67" s="563"/>
      <c r="B67" s="564"/>
      <c r="C67" s="564"/>
      <c r="D67" s="564"/>
      <c r="E67" s="564"/>
      <c r="F67" s="564"/>
      <c r="G67" s="564"/>
      <c r="H67" s="565"/>
      <c r="I67" s="564"/>
      <c r="J67" s="565"/>
      <c r="K67" s="515"/>
      <c r="L67" s="515"/>
      <c r="M67" s="515"/>
      <c r="N67" s="564"/>
      <c r="O67" s="515"/>
      <c r="P67" s="515"/>
      <c r="Q67" s="515"/>
      <c r="R67" s="515"/>
      <c r="S67" s="515"/>
      <c r="T67" s="515"/>
      <c r="U67" s="515"/>
      <c r="V67" s="515"/>
      <c r="W67" s="515"/>
      <c r="X67" s="515"/>
    </row>
    <row r="68" spans="1:24" ht="27.6" x14ac:dyDescent="0.3">
      <c r="A68" s="563"/>
      <c r="B68" s="564"/>
      <c r="C68" s="564"/>
      <c r="D68" s="564"/>
      <c r="E68" s="564"/>
      <c r="F68" s="564"/>
      <c r="G68" s="565" t="s">
        <v>415</v>
      </c>
      <c r="H68" s="566" t="s">
        <v>216</v>
      </c>
      <c r="I68" s="567" t="s">
        <v>871</v>
      </c>
      <c r="J68" s="565" t="s">
        <v>872</v>
      </c>
      <c r="K68" s="567" t="s">
        <v>415</v>
      </c>
      <c r="L68" s="567" t="s">
        <v>873</v>
      </c>
      <c r="M68" s="568" t="s">
        <v>121</v>
      </c>
      <c r="N68" s="564"/>
      <c r="O68" s="515"/>
      <c r="P68" s="515"/>
      <c r="Q68" s="515"/>
      <c r="R68" s="515"/>
      <c r="S68" s="515"/>
      <c r="T68" s="515"/>
      <c r="U68" s="515"/>
      <c r="V68" s="515"/>
      <c r="W68" s="515"/>
      <c r="X68" s="515"/>
    </row>
    <row r="69" spans="1:24" x14ac:dyDescent="0.3">
      <c r="A69" s="569" t="s">
        <v>30</v>
      </c>
      <c r="B69" s="570"/>
      <c r="C69" s="570"/>
      <c r="D69" s="571"/>
      <c r="E69" s="571"/>
      <c r="F69" s="571"/>
      <c r="G69" s="572" t="s">
        <v>874</v>
      </c>
      <c r="H69" s="573"/>
      <c r="I69" s="573" t="s">
        <v>148</v>
      </c>
      <c r="J69" s="573" t="s">
        <v>149</v>
      </c>
      <c r="K69" s="573" t="s">
        <v>141</v>
      </c>
      <c r="L69" s="573"/>
      <c r="M69" s="524"/>
      <c r="N69" s="567"/>
      <c r="O69" s="515"/>
      <c r="P69" s="515"/>
      <c r="Q69" s="515"/>
      <c r="R69" s="515"/>
      <c r="S69" s="515"/>
      <c r="T69" s="515"/>
      <c r="U69" s="515"/>
      <c r="V69" s="515"/>
      <c r="W69" s="515"/>
      <c r="X69" s="515"/>
    </row>
    <row r="70" spans="1:24" ht="15" thickBot="1" x14ac:dyDescent="0.35">
      <c r="D70" s="1189" t="s">
        <v>875</v>
      </c>
      <c r="E70" s="1189"/>
      <c r="F70" s="1189"/>
      <c r="G70" s="1189"/>
      <c r="H70" s="1189"/>
      <c r="I70" s="1189"/>
      <c r="J70" s="1189"/>
      <c r="K70" s="1189"/>
      <c r="L70" s="1189"/>
      <c r="M70" s="1189"/>
      <c r="N70" s="567"/>
    </row>
    <row r="71" spans="1:24" x14ac:dyDescent="0.3">
      <c r="A71" s="1188">
        <v>1</v>
      </c>
      <c r="D71" s="1187"/>
      <c r="E71" s="1187"/>
      <c r="F71" s="1190"/>
      <c r="G71" s="1191">
        <v>3181965.702812722</v>
      </c>
      <c r="H71" s="1191">
        <v>1866164.1620735545</v>
      </c>
      <c r="I71" s="1191">
        <v>3582396.9894183376</v>
      </c>
      <c r="J71" s="1191">
        <v>0</v>
      </c>
      <c r="K71" s="1191">
        <v>1749813.2991645578</v>
      </c>
      <c r="L71" s="1191">
        <v>1061214.686530828</v>
      </c>
      <c r="M71" s="1192">
        <v>11441554.84</v>
      </c>
      <c r="N71" s="567"/>
      <c r="X71" s="574"/>
    </row>
    <row r="72" spans="1:24" x14ac:dyDescent="0.3">
      <c r="D72" s="1187"/>
      <c r="E72" s="1187"/>
      <c r="F72" s="1190"/>
      <c r="G72" s="1193"/>
      <c r="H72" s="1193"/>
      <c r="I72" s="1193"/>
      <c r="J72" s="1193"/>
      <c r="K72" s="1193"/>
      <c r="L72" s="1193"/>
      <c r="M72" s="1190"/>
      <c r="N72" s="567"/>
      <c r="X72" s="574"/>
    </row>
    <row r="73" spans="1:24" ht="15" thickBot="1" x14ac:dyDescent="0.35">
      <c r="D73" s="1189" t="s">
        <v>876</v>
      </c>
      <c r="E73" s="1189"/>
      <c r="F73" s="1189"/>
      <c r="G73" s="1189"/>
      <c r="H73" s="1189"/>
      <c r="I73" s="1189"/>
      <c r="J73" s="1189"/>
      <c r="K73" s="1189"/>
      <c r="L73" s="1189"/>
      <c r="M73" s="1189"/>
      <c r="N73" s="567"/>
    </row>
    <row r="74" spans="1:24" x14ac:dyDescent="0.3">
      <c r="A74" s="1188">
        <v>2</v>
      </c>
      <c r="D74" s="1187"/>
      <c r="E74" s="1187"/>
      <c r="F74" s="1190"/>
      <c r="G74" s="1194" t="s">
        <v>877</v>
      </c>
      <c r="H74" s="1194" t="s">
        <v>878</v>
      </c>
      <c r="I74" s="1194" t="s">
        <v>879</v>
      </c>
      <c r="J74" s="1194" t="s">
        <v>879</v>
      </c>
      <c r="K74" s="1194" t="s">
        <v>880</v>
      </c>
      <c r="L74" s="1194" t="s">
        <v>881</v>
      </c>
      <c r="M74" s="1187"/>
      <c r="N74" s="567"/>
      <c r="X74" s="574"/>
    </row>
    <row r="75" spans="1:24" x14ac:dyDescent="0.3">
      <c r="D75" s="1187"/>
      <c r="E75" s="1187"/>
      <c r="F75" s="1190"/>
      <c r="G75" s="1193"/>
      <c r="H75" s="1193"/>
      <c r="I75" s="1193"/>
      <c r="J75" s="1193"/>
      <c r="K75" s="1193"/>
      <c r="L75" s="1193"/>
      <c r="M75" s="1190"/>
      <c r="N75" s="567"/>
      <c r="X75" s="574"/>
    </row>
    <row r="76" spans="1:24" ht="15" thickBot="1" x14ac:dyDescent="0.35">
      <c r="D76" s="1189" t="s">
        <v>882</v>
      </c>
      <c r="E76" s="1189"/>
      <c r="F76" s="1189"/>
      <c r="G76" s="1189"/>
      <c r="H76" s="1189"/>
      <c r="I76" s="1189"/>
      <c r="J76" s="1189"/>
      <c r="K76" s="1189"/>
      <c r="L76" s="1189"/>
      <c r="M76" s="1189"/>
      <c r="N76" s="567"/>
    </row>
    <row r="77" spans="1:24" x14ac:dyDescent="0.3">
      <c r="A77" s="1188">
        <v>3</v>
      </c>
      <c r="D77" s="1187">
        <v>1</v>
      </c>
      <c r="E77" s="1187" t="s">
        <v>883</v>
      </c>
      <c r="F77" s="1195"/>
      <c r="G77" s="1196">
        <v>2.490299254061072</v>
      </c>
      <c r="H77" s="1196">
        <v>1.6447207459538091</v>
      </c>
      <c r="I77" s="1196">
        <v>0.85753774971865815</v>
      </c>
      <c r="J77" s="1196">
        <v>0.85753774971865815</v>
      </c>
      <c r="K77" s="1202">
        <v>1.3622293597931883</v>
      </c>
      <c r="L77" s="1196">
        <v>1</v>
      </c>
      <c r="M77" s="1190"/>
      <c r="N77" s="567"/>
      <c r="X77" s="574"/>
    </row>
    <row r="78" spans="1:24" x14ac:dyDescent="0.3">
      <c r="A78" s="1188">
        <v>4</v>
      </c>
      <c r="D78" s="1187">
        <v>2</v>
      </c>
      <c r="E78" s="1187" t="s">
        <v>560</v>
      </c>
      <c r="F78" s="1195"/>
      <c r="G78" s="1196">
        <v>0.78203961486374551</v>
      </c>
      <c r="H78" s="1196">
        <v>0.96960809507935608</v>
      </c>
      <c r="I78" s="1196">
        <v>1.1225175683621031</v>
      </c>
      <c r="J78" s="1196">
        <v>1.1225175683621031</v>
      </c>
      <c r="K78" s="1202">
        <v>0.99944772468847709</v>
      </c>
      <c r="L78" s="1196">
        <v>1</v>
      </c>
      <c r="M78" s="1190"/>
      <c r="N78" s="567"/>
      <c r="X78" s="574"/>
    </row>
    <row r="79" spans="1:24" x14ac:dyDescent="0.3">
      <c r="A79" s="1188">
        <v>5</v>
      </c>
      <c r="D79" s="1187">
        <v>3</v>
      </c>
      <c r="E79" s="1187" t="s">
        <v>561</v>
      </c>
      <c r="F79" s="1195"/>
      <c r="G79" s="1196">
        <v>0.52989903387328763</v>
      </c>
      <c r="H79" s="1196">
        <v>0.55449388383653153</v>
      </c>
      <c r="I79" s="1196">
        <v>0.59336797534990238</v>
      </c>
      <c r="J79" s="1196">
        <v>0.59336797534990238</v>
      </c>
      <c r="K79" s="1202">
        <v>0.79790281105090721</v>
      </c>
      <c r="L79" s="1196">
        <v>1</v>
      </c>
      <c r="M79" s="1190"/>
      <c r="N79" s="567"/>
      <c r="X79" s="574"/>
    </row>
    <row r="80" spans="1:24" x14ac:dyDescent="0.3">
      <c r="A80" s="1188">
        <v>6</v>
      </c>
      <c r="D80" s="1187">
        <v>4</v>
      </c>
      <c r="E80" s="1187" t="s">
        <v>238</v>
      </c>
      <c r="F80" s="1195"/>
      <c r="G80" s="1196">
        <v>0</v>
      </c>
      <c r="H80" s="1196">
        <v>0</v>
      </c>
      <c r="I80" s="1196">
        <v>0</v>
      </c>
      <c r="J80" s="1196">
        <v>0</v>
      </c>
      <c r="K80" s="1196">
        <v>0</v>
      </c>
      <c r="L80" s="1196">
        <v>0</v>
      </c>
      <c r="M80" s="1190"/>
      <c r="N80" s="567"/>
      <c r="X80" s="574"/>
    </row>
    <row r="81" spans="1:27" x14ac:dyDescent="0.3">
      <c r="A81" s="1188">
        <v>7</v>
      </c>
      <c r="D81" s="1187">
        <v>5</v>
      </c>
      <c r="E81" s="1187" t="s">
        <v>238</v>
      </c>
      <c r="F81" s="1195"/>
      <c r="G81" s="1196">
        <v>0</v>
      </c>
      <c r="H81" s="1196">
        <v>0</v>
      </c>
      <c r="I81" s="1196">
        <v>0</v>
      </c>
      <c r="J81" s="1196">
        <v>0</v>
      </c>
      <c r="K81" s="1196">
        <v>0</v>
      </c>
      <c r="L81" s="1196">
        <v>0</v>
      </c>
      <c r="M81" s="1190"/>
      <c r="N81" s="567"/>
      <c r="X81" s="574"/>
    </row>
    <row r="82" spans="1:27" x14ac:dyDescent="0.3">
      <c r="A82" s="1188">
        <v>8</v>
      </c>
      <c r="D82" s="1187">
        <v>6</v>
      </c>
      <c r="E82" s="1187" t="s">
        <v>238</v>
      </c>
      <c r="F82" s="1195"/>
      <c r="G82" s="1196">
        <v>0</v>
      </c>
      <c r="H82" s="1196">
        <v>0</v>
      </c>
      <c r="I82" s="1196">
        <v>0</v>
      </c>
      <c r="J82" s="1196">
        <v>0</v>
      </c>
      <c r="K82" s="1196">
        <v>0</v>
      </c>
      <c r="L82" s="1196">
        <v>0</v>
      </c>
      <c r="M82" s="1190"/>
      <c r="N82" s="567"/>
      <c r="X82" s="574"/>
    </row>
    <row r="83" spans="1:27" x14ac:dyDescent="0.3">
      <c r="D83" s="1187"/>
      <c r="E83" s="1187"/>
      <c r="F83" s="1190"/>
      <c r="G83" s="1193"/>
      <c r="H83" s="1193"/>
      <c r="I83" s="1193"/>
      <c r="J83" s="1193"/>
      <c r="K83" s="1193"/>
      <c r="L83" s="1193"/>
      <c r="M83" s="1190"/>
      <c r="N83" s="567"/>
      <c r="X83" s="574"/>
    </row>
    <row r="84" spans="1:27" ht="15" thickBot="1" x14ac:dyDescent="0.35">
      <c r="D84" s="1189" t="s">
        <v>891</v>
      </c>
      <c r="E84" s="1189"/>
      <c r="F84" s="1189"/>
      <c r="G84" s="1189"/>
      <c r="H84" s="1189"/>
      <c r="I84" s="1189"/>
      <c r="J84" s="1189"/>
      <c r="K84" s="1189"/>
      <c r="L84" s="1189"/>
      <c r="M84" s="1189"/>
      <c r="N84" s="567"/>
    </row>
    <row r="85" spans="1:27" x14ac:dyDescent="0.3">
      <c r="A85" s="1188">
        <v>9</v>
      </c>
      <c r="D85" s="1187">
        <v>1</v>
      </c>
      <c r="E85" s="1187" t="s">
        <v>883</v>
      </c>
      <c r="F85" s="1195"/>
      <c r="G85" s="1193"/>
      <c r="H85" s="1197"/>
      <c r="I85" s="1193"/>
      <c r="J85" s="1193"/>
      <c r="K85" s="1193"/>
      <c r="L85" s="1193"/>
      <c r="M85" s="1191">
        <v>17943.969247436118</v>
      </c>
      <c r="N85" s="567"/>
      <c r="X85" s="574"/>
    </row>
    <row r="86" spans="1:27" x14ac:dyDescent="0.3">
      <c r="A86" s="1188">
        <v>10</v>
      </c>
      <c r="D86" s="1187">
        <v>2</v>
      </c>
      <c r="E86" s="1187" t="s">
        <v>560</v>
      </c>
      <c r="F86" s="1195"/>
      <c r="G86" s="1193"/>
      <c r="H86" s="1193"/>
      <c r="I86" s="1193"/>
      <c r="J86" s="1193"/>
      <c r="K86" s="1193"/>
      <c r="L86" s="1193"/>
      <c r="M86" s="1191">
        <v>98411.437643373472</v>
      </c>
      <c r="N86" s="567"/>
      <c r="X86" s="574"/>
    </row>
    <row r="87" spans="1:27" x14ac:dyDescent="0.3">
      <c r="A87" s="1188">
        <v>11</v>
      </c>
      <c r="D87" s="1187">
        <v>3</v>
      </c>
      <c r="E87" s="1187" t="s">
        <v>561</v>
      </c>
      <c r="F87" s="1195"/>
      <c r="G87" s="1193"/>
      <c r="H87" s="1193"/>
      <c r="I87" s="1193"/>
      <c r="J87" s="1193"/>
      <c r="K87" s="1193"/>
      <c r="L87" s="1193"/>
      <c r="M87" s="1191">
        <v>23364.593109191119</v>
      </c>
      <c r="N87" s="567"/>
      <c r="X87" s="574"/>
    </row>
    <row r="88" spans="1:27" x14ac:dyDescent="0.3">
      <c r="A88" s="1188">
        <v>12</v>
      </c>
      <c r="D88" s="1187">
        <v>4</v>
      </c>
      <c r="E88" s="1187" t="s">
        <v>238</v>
      </c>
      <c r="F88" s="1195"/>
      <c r="G88" s="1193"/>
      <c r="H88" s="1193"/>
      <c r="I88" s="1193"/>
      <c r="J88" s="1193"/>
      <c r="K88" s="1193"/>
      <c r="L88" s="1193"/>
      <c r="M88" s="1191">
        <v>0</v>
      </c>
      <c r="N88" s="567"/>
      <c r="X88" s="574"/>
    </row>
    <row r="89" spans="1:27" x14ac:dyDescent="0.3">
      <c r="A89" s="1188">
        <v>13</v>
      </c>
      <c r="D89" s="1187">
        <v>5</v>
      </c>
      <c r="E89" s="1187" t="s">
        <v>238</v>
      </c>
      <c r="F89" s="1195"/>
      <c r="G89" s="1193"/>
      <c r="H89" s="1193"/>
      <c r="I89" s="1193"/>
      <c r="J89" s="1193"/>
      <c r="K89" s="1193"/>
      <c r="L89" s="1193"/>
      <c r="M89" s="1191">
        <v>0</v>
      </c>
      <c r="N89" s="567"/>
      <c r="X89" s="574"/>
    </row>
    <row r="90" spans="1:27" x14ac:dyDescent="0.3">
      <c r="A90" s="1188">
        <v>14</v>
      </c>
      <c r="D90" s="1187">
        <v>6</v>
      </c>
      <c r="E90" s="1187" t="s">
        <v>238</v>
      </c>
      <c r="F90" s="1195"/>
      <c r="G90" s="1193"/>
      <c r="H90" s="1193"/>
      <c r="I90" s="1193"/>
      <c r="J90" s="1193"/>
      <c r="K90" s="1193"/>
      <c r="L90" s="1193"/>
      <c r="M90" s="1191">
        <v>0</v>
      </c>
      <c r="N90" s="567"/>
      <c r="X90" s="574"/>
    </row>
    <row r="91" spans="1:27" x14ac:dyDescent="0.3">
      <c r="D91" s="1187"/>
      <c r="E91" s="1187"/>
      <c r="F91" s="1190"/>
      <c r="G91" s="1193"/>
      <c r="H91" s="1193"/>
      <c r="I91" s="1193"/>
      <c r="J91" s="1193"/>
      <c r="K91" s="1193"/>
      <c r="L91" s="1193"/>
      <c r="M91" s="1190"/>
      <c r="N91" s="567"/>
      <c r="X91" s="574"/>
    </row>
    <row r="92" spans="1:27" ht="15" thickBot="1" x14ac:dyDescent="0.35">
      <c r="D92" s="1189" t="s">
        <v>886</v>
      </c>
      <c r="E92" s="1189"/>
      <c r="F92" s="1189"/>
      <c r="G92" s="1189"/>
      <c r="H92" s="1189"/>
      <c r="I92" s="1189"/>
      <c r="J92" s="1189"/>
      <c r="K92" s="1189"/>
      <c r="L92" s="1189"/>
      <c r="M92" s="1189"/>
      <c r="N92" s="567"/>
    </row>
    <row r="93" spans="1:27" x14ac:dyDescent="0.3">
      <c r="A93" s="1188">
        <v>15</v>
      </c>
      <c r="D93" s="1187"/>
      <c r="E93" s="1187"/>
      <c r="F93" s="1190"/>
      <c r="G93" s="1198">
        <v>2.374098611361029</v>
      </c>
      <c r="H93" s="1198">
        <v>1.3533827457718819</v>
      </c>
      <c r="I93" s="1198">
        <v>2.5639829583583769</v>
      </c>
      <c r="J93" s="1198">
        <v>0</v>
      </c>
      <c r="K93" s="1198">
        <v>1.2371105856138533</v>
      </c>
      <c r="L93" s="1198">
        <v>0.75952954947811535</v>
      </c>
      <c r="M93" s="1190"/>
      <c r="N93" s="567"/>
      <c r="X93" s="574"/>
    </row>
    <row r="94" spans="1:27" x14ac:dyDescent="0.3">
      <c r="D94" s="1187"/>
      <c r="E94" s="1187"/>
      <c r="F94" s="1190"/>
      <c r="G94" s="1193"/>
      <c r="H94" s="1193"/>
      <c r="I94" s="1193"/>
      <c r="J94" s="1193"/>
      <c r="K94" s="1193"/>
      <c r="L94" s="1193"/>
      <c r="M94" s="1190"/>
      <c r="N94" s="567"/>
      <c r="X94" s="574"/>
    </row>
    <row r="95" spans="1:27" ht="15" thickBot="1" x14ac:dyDescent="0.35">
      <c r="D95" s="1189" t="s">
        <v>887</v>
      </c>
      <c r="E95" s="1189"/>
      <c r="F95" s="1189"/>
      <c r="G95" s="1189"/>
      <c r="H95" s="1189"/>
      <c r="I95" s="1189"/>
      <c r="J95" s="1189"/>
      <c r="K95" s="1189"/>
      <c r="L95" s="1189"/>
      <c r="M95" s="1189"/>
      <c r="N95" s="567"/>
      <c r="Z95" s="1187" t="s">
        <v>888</v>
      </c>
    </row>
    <row r="96" spans="1:27" x14ac:dyDescent="0.3">
      <c r="A96" s="1188">
        <v>16</v>
      </c>
      <c r="D96" s="1187">
        <v>1</v>
      </c>
      <c r="E96" s="1187" t="s">
        <v>883</v>
      </c>
      <c r="F96" s="1199"/>
      <c r="G96" s="1198">
        <v>5.9122160009397975</v>
      </c>
      <c r="H96" s="1198">
        <v>2.2259366791869439</v>
      </c>
      <c r="I96" s="1198">
        <v>2.1987121764276303</v>
      </c>
      <c r="J96" s="1198">
        <v>0</v>
      </c>
      <c r="K96" s="1198">
        <v>1.6852283610341356</v>
      </c>
      <c r="L96" s="1198">
        <v>0.75952954947811535</v>
      </c>
      <c r="M96" s="1203">
        <v>12.781622767066622</v>
      </c>
      <c r="N96" s="567"/>
      <c r="X96" s="1200">
        <f>M96/M97</f>
        <v>1.58916844422032</v>
      </c>
      <c r="Z96" s="1200">
        <f>AA96/AA97</f>
        <v>1.3999999999999997</v>
      </c>
      <c r="AA96">
        <v>11.771546504771667</v>
      </c>
    </row>
    <row r="97" spans="1:29" x14ac:dyDescent="0.3">
      <c r="A97" s="1188">
        <v>17</v>
      </c>
      <c r="D97" s="1187">
        <v>2</v>
      </c>
      <c r="E97" s="1187" t="s">
        <v>560</v>
      </c>
      <c r="F97" s="1199"/>
      <c r="G97" s="1198">
        <v>1.8566391636773321</v>
      </c>
      <c r="H97" s="1198">
        <v>1.3122508660411429</v>
      </c>
      <c r="I97" s="1198">
        <v>2.8781159157383169</v>
      </c>
      <c r="J97" s="1198">
        <v>0</v>
      </c>
      <c r="K97" s="1198">
        <v>1.2364273599797952</v>
      </c>
      <c r="L97" s="1198">
        <v>0.75952954947811535</v>
      </c>
      <c r="M97" s="1203">
        <v>8.0429628549147036</v>
      </c>
      <c r="X97" s="1200">
        <f>M97/M97</f>
        <v>1</v>
      </c>
      <c r="Z97" s="1200">
        <v>1</v>
      </c>
      <c r="AA97">
        <v>8.4082475034083348</v>
      </c>
    </row>
    <row r="98" spans="1:29" x14ac:dyDescent="0.3">
      <c r="A98" s="1188">
        <v>18</v>
      </c>
      <c r="D98" s="1187">
        <v>3</v>
      </c>
      <c r="E98" s="1187" t="s">
        <v>561</v>
      </c>
      <c r="F98" s="1199"/>
      <c r="G98" s="1198">
        <v>1.258032560480123</v>
      </c>
      <c r="H98" s="1198">
        <v>0.75044245502039997</v>
      </c>
      <c r="I98" s="1198">
        <v>1.5213853768327632</v>
      </c>
      <c r="J98" s="1198">
        <v>0</v>
      </c>
      <c r="K98" s="1198">
        <v>0.98709401384212758</v>
      </c>
      <c r="L98" s="1198">
        <v>0.75952954947811535</v>
      </c>
      <c r="M98" s="1203">
        <v>5.2764839556535286</v>
      </c>
      <c r="X98" s="1200">
        <f>M98/M97</f>
        <v>0.65603733982549717</v>
      </c>
      <c r="Z98" s="1200">
        <f>AA98/AA97</f>
        <v>0.65603733982549717</v>
      </c>
      <c r="AA98">
        <v>5.5161243247303817</v>
      </c>
    </row>
    <row r="99" spans="1:29" x14ac:dyDescent="0.3">
      <c r="A99" s="1188">
        <v>19</v>
      </c>
      <c r="D99" s="1187">
        <v>4</v>
      </c>
      <c r="E99" s="1187" t="s">
        <v>238</v>
      </c>
      <c r="F99" s="1199"/>
      <c r="G99" s="1198">
        <v>0</v>
      </c>
      <c r="H99" s="1198">
        <v>0</v>
      </c>
      <c r="I99" s="1198">
        <v>0</v>
      </c>
      <c r="J99" s="1198">
        <v>0</v>
      </c>
      <c r="K99" s="1198">
        <v>0</v>
      </c>
      <c r="L99" s="1198">
        <v>0</v>
      </c>
      <c r="M99" s="1201">
        <v>0</v>
      </c>
      <c r="X99" s="574"/>
    </row>
    <row r="100" spans="1:29" x14ac:dyDescent="0.3">
      <c r="A100" s="1188">
        <v>20</v>
      </c>
      <c r="D100" s="1187">
        <v>5</v>
      </c>
      <c r="E100" s="1187" t="s">
        <v>238</v>
      </c>
      <c r="F100" s="1199"/>
      <c r="G100" s="1198">
        <v>0</v>
      </c>
      <c r="H100" s="1198">
        <v>0</v>
      </c>
      <c r="I100" s="1198">
        <v>0</v>
      </c>
      <c r="J100" s="1198">
        <v>0</v>
      </c>
      <c r="K100" s="1198">
        <v>0</v>
      </c>
      <c r="L100" s="1198">
        <v>0</v>
      </c>
      <c r="M100" s="1201">
        <v>0</v>
      </c>
      <c r="X100" s="574"/>
    </row>
    <row r="101" spans="1:29" x14ac:dyDescent="0.3">
      <c r="A101" s="1188">
        <v>21</v>
      </c>
      <c r="D101" s="1187">
        <v>6</v>
      </c>
      <c r="E101" s="1187" t="s">
        <v>238</v>
      </c>
      <c r="F101" s="1199"/>
      <c r="G101" s="1198">
        <v>0</v>
      </c>
      <c r="H101" s="1198">
        <v>0</v>
      </c>
      <c r="I101" s="1198">
        <v>0</v>
      </c>
      <c r="J101" s="1198">
        <v>0</v>
      </c>
      <c r="K101" s="1198">
        <v>0</v>
      </c>
      <c r="L101" s="1198">
        <v>0</v>
      </c>
      <c r="M101" s="1201">
        <v>0</v>
      </c>
      <c r="X101" s="574"/>
    </row>
    <row r="102" spans="1:29" x14ac:dyDescent="0.3">
      <c r="D102" s="1187"/>
      <c r="E102" s="1187"/>
      <c r="F102" s="1190"/>
      <c r="G102" s="1193"/>
      <c r="H102" s="1193"/>
      <c r="I102" s="1193"/>
      <c r="J102" s="1193"/>
      <c r="K102" s="1193"/>
      <c r="L102" s="1193"/>
      <c r="M102" s="1190"/>
      <c r="X102" s="574"/>
    </row>
    <row r="103" spans="1:29" ht="15" thickBot="1" x14ac:dyDescent="0.35">
      <c r="D103" s="1189" t="s">
        <v>433</v>
      </c>
      <c r="E103" s="1189"/>
      <c r="F103" s="1189"/>
      <c r="G103" s="1189"/>
      <c r="H103" s="1189"/>
      <c r="I103" s="1189"/>
      <c r="J103" s="1189"/>
      <c r="K103" s="1189"/>
      <c r="L103" s="1189"/>
      <c r="M103" s="1189"/>
    </row>
    <row r="104" spans="1:29" x14ac:dyDescent="0.3">
      <c r="A104" s="1188">
        <v>22</v>
      </c>
      <c r="D104" s="1187"/>
      <c r="E104" s="1187" t="s">
        <v>889</v>
      </c>
      <c r="F104" s="1190"/>
      <c r="G104" s="1191">
        <v>3181965.7028127229</v>
      </c>
      <c r="H104" s="1191">
        <v>1866164.1620735547</v>
      </c>
      <c r="I104" s="1191">
        <v>3582396.9894183371</v>
      </c>
      <c r="J104" s="1191">
        <v>0</v>
      </c>
      <c r="K104" s="1191">
        <v>1749813.2991645578</v>
      </c>
      <c r="L104" s="1191">
        <v>1061214.686530828</v>
      </c>
      <c r="M104" s="1192">
        <v>11441554.840000002</v>
      </c>
    </row>
    <row r="105" spans="1:29" x14ac:dyDescent="0.3">
      <c r="A105" s="1188">
        <v>23</v>
      </c>
      <c r="D105" s="1187"/>
      <c r="E105" s="1187" t="s">
        <v>168</v>
      </c>
      <c r="F105" s="1190"/>
      <c r="G105" s="1191" t="b">
        <v>1</v>
      </c>
      <c r="H105" s="1191" t="b">
        <v>1</v>
      </c>
      <c r="I105" s="1191" t="b">
        <v>1</v>
      </c>
      <c r="J105" s="1191" t="b">
        <v>1</v>
      </c>
      <c r="K105" s="1191" t="b">
        <v>1</v>
      </c>
      <c r="L105" s="1191" t="b">
        <v>1</v>
      </c>
      <c r="M105" s="1191" t="b">
        <v>1</v>
      </c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7" spans="1:29" ht="15" thickBot="1" x14ac:dyDescent="0.35">
      <c r="A107" s="123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23"/>
    </row>
    <row r="109" spans="1:29" x14ac:dyDescent="0.3">
      <c r="A109" s="100"/>
      <c r="B109" s="101"/>
      <c r="C109" s="101"/>
      <c r="D109" s="106"/>
      <c r="E109" s="101"/>
      <c r="F109" s="101"/>
      <c r="G109" s="101"/>
      <c r="H109" s="101"/>
      <c r="I109" s="101"/>
      <c r="J109" s="101"/>
      <c r="K109" s="101"/>
      <c r="L109" s="100"/>
      <c r="M109" s="466" t="s">
        <v>702</v>
      </c>
      <c r="N109" s="101"/>
      <c r="O109" s="100"/>
      <c r="P109" s="101"/>
      <c r="Q109" s="101"/>
      <c r="R109" s="101"/>
      <c r="S109" s="101"/>
      <c r="T109" s="101"/>
      <c r="U109" s="101"/>
      <c r="V109" s="101"/>
      <c r="W109" s="101"/>
      <c r="X109" s="101"/>
      <c r="AC109" s="216"/>
    </row>
    <row r="110" spans="1:29" x14ac:dyDescent="0.3">
      <c r="A110" s="100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469" t="str">
        <f>M57</f>
        <v>DOCKET NO.  20240025-EI</v>
      </c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0" t="s">
        <v>416</v>
      </c>
      <c r="AC110" s="551" t="s">
        <v>416</v>
      </c>
    </row>
    <row r="111" spans="1:29" x14ac:dyDescent="0.3">
      <c r="A111" s="100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469" t="s">
        <v>703</v>
      </c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AC111" s="216"/>
    </row>
    <row r="112" spans="1:29" x14ac:dyDescent="0.3">
      <c r="A112" s="100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466" t="s">
        <v>868</v>
      </c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AC112" s="216"/>
    </row>
    <row r="113" spans="1:29" x14ac:dyDescent="0.3">
      <c r="A113" s="100"/>
      <c r="B113" s="101"/>
      <c r="C113" s="22"/>
      <c r="D113" s="101"/>
      <c r="E113" s="101"/>
      <c r="F113" s="101"/>
      <c r="G113" s="101"/>
      <c r="H113" s="101"/>
      <c r="I113" s="101"/>
      <c r="J113" s="101"/>
      <c r="K113" s="101"/>
      <c r="L113" s="100"/>
      <c r="M113" s="472" t="s">
        <v>892</v>
      </c>
      <c r="N113" s="101"/>
      <c r="O113" s="100"/>
      <c r="P113" s="101"/>
      <c r="Q113" s="101"/>
      <c r="R113" s="101"/>
      <c r="S113" s="101"/>
      <c r="T113" s="101"/>
      <c r="U113" s="101"/>
      <c r="V113" s="101"/>
      <c r="W113" s="101"/>
      <c r="X113" s="101"/>
      <c r="AC113" s="216"/>
    </row>
    <row r="114" spans="1:29" ht="15.6" x14ac:dyDescent="0.3">
      <c r="A114" s="553" t="s">
        <v>870</v>
      </c>
      <c r="B114" s="554"/>
      <c r="C114" s="554"/>
      <c r="D114" s="555"/>
      <c r="E114" s="555"/>
      <c r="F114" s="555"/>
      <c r="G114" s="555"/>
      <c r="H114" s="555"/>
      <c r="I114" s="555"/>
      <c r="J114" s="555"/>
      <c r="K114" s="555"/>
      <c r="L114" s="555"/>
      <c r="M114" s="343" t="s">
        <v>204</v>
      </c>
      <c r="N114" s="517"/>
      <c r="O114" s="518"/>
      <c r="P114" s="518"/>
      <c r="Q114" s="518"/>
      <c r="R114" s="518"/>
      <c r="S114" s="518"/>
      <c r="T114" s="518"/>
      <c r="U114" s="518"/>
      <c r="V114" s="518"/>
      <c r="W114" s="518"/>
      <c r="X114" s="518"/>
    </row>
    <row r="115" spans="1:29" ht="15.6" x14ac:dyDescent="0.3">
      <c r="A115" s="556"/>
      <c r="B115" s="557"/>
      <c r="C115" s="557"/>
      <c r="D115" s="555"/>
      <c r="E115" s="555"/>
      <c r="F115" s="555"/>
      <c r="G115" s="555"/>
      <c r="H115" s="555"/>
      <c r="I115" s="555"/>
      <c r="J115" s="555"/>
      <c r="K115" s="555"/>
      <c r="L115" s="555"/>
      <c r="M115" s="555"/>
      <c r="N115" s="517"/>
      <c r="O115" s="518"/>
      <c r="P115" s="518"/>
      <c r="Q115" s="518"/>
      <c r="R115" s="518"/>
      <c r="S115" s="518"/>
      <c r="T115" s="518"/>
      <c r="U115" s="518"/>
      <c r="V115" s="518"/>
      <c r="W115" s="518"/>
      <c r="X115" s="518"/>
    </row>
    <row r="116" spans="1:29" ht="15.6" x14ac:dyDescent="0.3">
      <c r="A116" s="556"/>
      <c r="B116" s="557"/>
      <c r="C116" s="557"/>
      <c r="D116" s="555"/>
      <c r="E116" s="555"/>
      <c r="F116" s="555"/>
      <c r="G116" s="555"/>
      <c r="H116" s="555"/>
      <c r="I116" s="555"/>
      <c r="J116" s="555"/>
      <c r="K116" s="555"/>
      <c r="L116" s="555"/>
      <c r="M116" s="555"/>
      <c r="N116" s="517"/>
      <c r="O116" s="518"/>
      <c r="P116" s="518"/>
      <c r="Q116" s="518"/>
      <c r="R116" s="518"/>
      <c r="S116" s="518"/>
      <c r="T116" s="518"/>
      <c r="U116" s="518"/>
      <c r="V116" s="518"/>
      <c r="W116" s="518"/>
      <c r="X116" s="518"/>
    </row>
    <row r="117" spans="1:29" ht="15.6" x14ac:dyDescent="0.3">
      <c r="A117" s="1387" t="s">
        <v>591</v>
      </c>
      <c r="B117" s="1387"/>
      <c r="C117" s="1387"/>
      <c r="D117" s="1387"/>
      <c r="E117" s="1387"/>
      <c r="F117" s="1387"/>
      <c r="G117" s="1387"/>
      <c r="H117" s="1387"/>
      <c r="I117" s="1387"/>
      <c r="J117" s="1387"/>
      <c r="K117" s="1387"/>
      <c r="L117" s="1387"/>
      <c r="M117" s="1387"/>
      <c r="N117" s="517"/>
      <c r="O117" s="518"/>
      <c r="P117" s="518"/>
      <c r="Q117" s="518"/>
      <c r="R117" s="518"/>
      <c r="S117" s="518"/>
      <c r="T117" s="518"/>
      <c r="U117" s="518"/>
      <c r="V117" s="518"/>
      <c r="W117" s="518"/>
      <c r="X117" s="518"/>
    </row>
    <row r="118" spans="1:29" x14ac:dyDescent="0.3">
      <c r="A118" s="558"/>
      <c r="B118" s="542"/>
      <c r="C118" s="542"/>
      <c r="D118" s="515"/>
      <c r="E118" s="515"/>
      <c r="F118" s="515"/>
      <c r="G118" s="515"/>
      <c r="H118" s="515"/>
      <c r="I118" s="515"/>
      <c r="J118" s="515"/>
      <c r="K118" s="515"/>
      <c r="L118" s="515"/>
      <c r="M118" s="515"/>
      <c r="N118" s="515"/>
      <c r="O118" s="515"/>
      <c r="P118" s="515"/>
      <c r="Q118" s="515"/>
      <c r="R118" s="515"/>
      <c r="S118" s="515"/>
      <c r="T118" s="515"/>
      <c r="U118" s="515"/>
      <c r="V118" s="515"/>
      <c r="W118" s="515"/>
      <c r="X118" s="515"/>
    </row>
    <row r="119" spans="1:29" x14ac:dyDescent="0.3">
      <c r="A119" s="559"/>
      <c r="B119" s="560"/>
      <c r="C119" s="560"/>
      <c r="D119" s="1390">
        <v>-1</v>
      </c>
      <c r="E119" s="1390"/>
      <c r="F119" s="562"/>
      <c r="G119" s="561">
        <f>+D119-1</f>
        <v>-2</v>
      </c>
      <c r="H119" s="561">
        <f t="shared" ref="H119:M119" si="2">+G119-1</f>
        <v>-3</v>
      </c>
      <c r="I119" s="561">
        <f t="shared" si="2"/>
        <v>-4</v>
      </c>
      <c r="J119" s="561">
        <f t="shared" si="2"/>
        <v>-5</v>
      </c>
      <c r="K119" s="561">
        <f t="shared" si="2"/>
        <v>-6</v>
      </c>
      <c r="L119" s="561">
        <f t="shared" si="2"/>
        <v>-7</v>
      </c>
      <c r="M119" s="561">
        <f t="shared" si="2"/>
        <v>-8</v>
      </c>
      <c r="N119" s="515"/>
      <c r="O119" s="515"/>
      <c r="P119" s="515"/>
      <c r="Q119" s="515"/>
      <c r="R119" s="515"/>
      <c r="S119" s="515"/>
      <c r="T119" s="515"/>
      <c r="U119" s="515"/>
      <c r="V119" s="515"/>
      <c r="W119" s="515"/>
      <c r="X119" s="515"/>
    </row>
    <row r="120" spans="1:29" x14ac:dyDescent="0.3">
      <c r="A120" s="563"/>
      <c r="B120" s="564"/>
      <c r="C120" s="564"/>
      <c r="D120" s="564"/>
      <c r="E120" s="564"/>
      <c r="F120" s="564"/>
      <c r="G120" s="564"/>
      <c r="H120" s="565"/>
      <c r="I120" s="564"/>
      <c r="J120" s="565"/>
      <c r="K120" s="515"/>
      <c r="L120" s="515"/>
      <c r="M120" s="515"/>
      <c r="N120" s="564"/>
      <c r="O120" s="515"/>
      <c r="P120" s="515"/>
      <c r="Q120" s="515"/>
      <c r="R120" s="515"/>
      <c r="S120" s="515"/>
      <c r="T120" s="515"/>
      <c r="U120" s="515"/>
      <c r="V120" s="515"/>
      <c r="W120" s="515"/>
      <c r="X120" s="515"/>
    </row>
    <row r="121" spans="1:29" ht="27.6" x14ac:dyDescent="0.3">
      <c r="A121" s="563"/>
      <c r="B121" s="564"/>
      <c r="C121" s="564"/>
      <c r="D121" s="564"/>
      <c r="E121" s="564"/>
      <c r="F121" s="564"/>
      <c r="G121" s="565" t="s">
        <v>415</v>
      </c>
      <c r="H121" s="566" t="s">
        <v>216</v>
      </c>
      <c r="I121" s="567" t="s">
        <v>871</v>
      </c>
      <c r="J121" s="565" t="s">
        <v>872</v>
      </c>
      <c r="K121" s="567" t="s">
        <v>415</v>
      </c>
      <c r="L121" s="567" t="s">
        <v>873</v>
      </c>
      <c r="M121" s="568" t="s">
        <v>121</v>
      </c>
      <c r="N121" s="564"/>
      <c r="O121" s="515"/>
      <c r="P121" s="515"/>
      <c r="Q121" s="515"/>
      <c r="R121" s="515"/>
      <c r="S121" s="515"/>
      <c r="T121" s="515"/>
      <c r="U121" s="515"/>
      <c r="V121" s="515"/>
      <c r="W121" s="515"/>
      <c r="X121" s="515"/>
    </row>
    <row r="122" spans="1:29" x14ac:dyDescent="0.3">
      <c r="A122" s="569" t="s">
        <v>30</v>
      </c>
      <c r="B122" s="570"/>
      <c r="C122" s="570"/>
      <c r="D122" s="571"/>
      <c r="E122" s="571"/>
      <c r="F122" s="571"/>
      <c r="G122" s="572" t="s">
        <v>874</v>
      </c>
      <c r="H122" s="572" t="s">
        <v>874</v>
      </c>
      <c r="I122" s="573" t="s">
        <v>148</v>
      </c>
      <c r="J122" s="573" t="s">
        <v>149</v>
      </c>
      <c r="K122" s="573" t="s">
        <v>141</v>
      </c>
      <c r="L122" s="573"/>
      <c r="M122" s="524"/>
      <c r="N122" s="101"/>
      <c r="O122" s="515"/>
      <c r="P122" s="515"/>
      <c r="Q122" s="515"/>
      <c r="R122" s="515"/>
      <c r="S122" s="515"/>
      <c r="T122" s="515"/>
      <c r="U122" s="515"/>
      <c r="V122" s="515"/>
      <c r="W122" s="515"/>
      <c r="X122" s="515"/>
    </row>
    <row r="123" spans="1:29" ht="15" thickBot="1" x14ac:dyDescent="0.35">
      <c r="D123" s="1189" t="s">
        <v>875</v>
      </c>
      <c r="E123" s="1189"/>
      <c r="F123" s="1189"/>
      <c r="G123" s="1189"/>
      <c r="H123" s="1189"/>
      <c r="I123" s="1189"/>
      <c r="J123" s="1189"/>
      <c r="K123" s="1189"/>
      <c r="L123" s="1189"/>
      <c r="M123" s="1189"/>
      <c r="N123" s="101"/>
    </row>
    <row r="124" spans="1:29" x14ac:dyDescent="0.3">
      <c r="A124" s="1188">
        <v>1</v>
      </c>
      <c r="D124" s="1187"/>
      <c r="E124" s="1187"/>
      <c r="F124" s="1190"/>
      <c r="G124" s="1191">
        <v>88296939.930345207</v>
      </c>
      <c r="H124" s="1191">
        <v>48556296.010135047</v>
      </c>
      <c r="I124" s="1191">
        <v>74466411.448771924</v>
      </c>
      <c r="J124" s="1191">
        <v>0</v>
      </c>
      <c r="K124" s="1191">
        <v>133320635.16331328</v>
      </c>
      <c r="L124" s="1191">
        <v>3989537.3474345244</v>
      </c>
      <c r="M124" s="1192">
        <v>348629819.89999998</v>
      </c>
      <c r="N124" s="101"/>
      <c r="X124" s="574"/>
    </row>
    <row r="125" spans="1:29" x14ac:dyDescent="0.3">
      <c r="D125" s="1187"/>
      <c r="E125" s="1187"/>
      <c r="F125" s="1190"/>
      <c r="G125" s="1193"/>
      <c r="H125" s="1193"/>
      <c r="I125" s="1193"/>
      <c r="J125" s="1193"/>
      <c r="K125" s="1193"/>
      <c r="L125" s="1193"/>
      <c r="M125" s="1190"/>
      <c r="N125" s="101"/>
      <c r="X125" s="574"/>
    </row>
    <row r="126" spans="1:29" ht="16.2" thickBot="1" x14ac:dyDescent="0.35">
      <c r="D126" s="1189" t="s">
        <v>876</v>
      </c>
      <c r="E126" s="1189"/>
      <c r="F126" s="1189"/>
      <c r="G126" s="1189"/>
      <c r="H126" s="1189"/>
      <c r="I126" s="1189"/>
      <c r="J126" s="1189"/>
      <c r="K126" s="1189"/>
      <c r="L126" s="1189"/>
      <c r="M126" s="1189"/>
      <c r="N126" s="517"/>
    </row>
    <row r="127" spans="1:29" ht="15.6" x14ac:dyDescent="0.3">
      <c r="A127" s="1188">
        <v>2</v>
      </c>
      <c r="D127" s="1187"/>
      <c r="E127" s="1187"/>
      <c r="F127" s="1190"/>
      <c r="G127" s="1194" t="s">
        <v>877</v>
      </c>
      <c r="H127" s="1194" t="s">
        <v>878</v>
      </c>
      <c r="I127" s="1194" t="s">
        <v>879</v>
      </c>
      <c r="J127" s="1194" t="s">
        <v>879</v>
      </c>
      <c r="K127" s="1194" t="s">
        <v>880</v>
      </c>
      <c r="L127" s="1194" t="s">
        <v>881</v>
      </c>
      <c r="M127" s="1187"/>
      <c r="N127" s="517"/>
      <c r="X127" s="574"/>
    </row>
    <row r="128" spans="1:29" x14ac:dyDescent="0.3">
      <c r="D128" s="1187"/>
      <c r="E128" s="1187"/>
      <c r="F128" s="1190"/>
      <c r="G128" s="1193"/>
      <c r="H128" s="1193"/>
      <c r="I128" s="1193"/>
      <c r="J128" s="1193"/>
      <c r="K128" s="1193"/>
      <c r="L128" s="1193"/>
      <c r="M128" s="1190"/>
      <c r="N128" s="101"/>
      <c r="X128" s="574"/>
    </row>
    <row r="129" spans="1:24" ht="15" thickBot="1" x14ac:dyDescent="0.35">
      <c r="D129" s="1189" t="s">
        <v>882</v>
      </c>
      <c r="E129" s="1189"/>
      <c r="F129" s="1189"/>
      <c r="G129" s="1189"/>
      <c r="H129" s="1189"/>
      <c r="I129" s="1189"/>
      <c r="J129" s="1189"/>
      <c r="K129" s="1189"/>
      <c r="L129" s="1189"/>
      <c r="M129" s="1189"/>
      <c r="N129" s="101"/>
    </row>
    <row r="130" spans="1:24" x14ac:dyDescent="0.3">
      <c r="A130" s="1188">
        <v>3</v>
      </c>
      <c r="D130" s="1187">
        <v>1</v>
      </c>
      <c r="E130" s="1187" t="s">
        <v>883</v>
      </c>
      <c r="F130" s="1195"/>
      <c r="G130" s="1196">
        <v>2.490299254061072</v>
      </c>
      <c r="H130" s="1196">
        <v>1.6447207459538091</v>
      </c>
      <c r="I130" s="1196">
        <v>0.85753774971865815</v>
      </c>
      <c r="J130" s="1196">
        <v>0.85753774971865815</v>
      </c>
      <c r="K130" s="1202">
        <v>1.3622293597931883</v>
      </c>
      <c r="L130" s="1196">
        <v>1</v>
      </c>
      <c r="M130" s="1190"/>
      <c r="N130" s="101"/>
      <c r="X130" s="574"/>
    </row>
    <row r="131" spans="1:24" x14ac:dyDescent="0.3">
      <c r="A131" s="1188">
        <v>4</v>
      </c>
      <c r="D131" s="1187">
        <v>2</v>
      </c>
      <c r="E131" s="1187" t="s">
        <v>560</v>
      </c>
      <c r="F131" s="1195"/>
      <c r="G131" s="1196">
        <v>0.78203961486374551</v>
      </c>
      <c r="H131" s="1196">
        <v>0.96960809507935608</v>
      </c>
      <c r="I131" s="1196">
        <v>1.1225175683621031</v>
      </c>
      <c r="J131" s="1196">
        <v>1.1225175683621031</v>
      </c>
      <c r="K131" s="1202">
        <v>0.99944772468847709</v>
      </c>
      <c r="L131" s="1196">
        <v>1</v>
      </c>
      <c r="M131" s="1190"/>
      <c r="N131" s="101"/>
      <c r="X131" s="574"/>
    </row>
    <row r="132" spans="1:24" ht="15.6" x14ac:dyDescent="0.3">
      <c r="A132" s="1188">
        <v>5</v>
      </c>
      <c r="D132" s="1187">
        <v>3</v>
      </c>
      <c r="E132" s="1187" t="s">
        <v>561</v>
      </c>
      <c r="F132" s="1195"/>
      <c r="G132" s="1196">
        <v>0.52989903387328763</v>
      </c>
      <c r="H132" s="1196">
        <v>0.55449388383653153</v>
      </c>
      <c r="I132" s="1196">
        <v>0.59336797534990238</v>
      </c>
      <c r="J132" s="1196">
        <v>0.59336797534990238</v>
      </c>
      <c r="K132" s="1202">
        <v>0.79790281105090721</v>
      </c>
      <c r="L132" s="1196">
        <v>1</v>
      </c>
      <c r="M132" s="1190"/>
      <c r="N132" s="517"/>
      <c r="X132" s="574"/>
    </row>
    <row r="133" spans="1:24" ht="15.6" x14ac:dyDescent="0.3">
      <c r="A133" s="1188">
        <v>6</v>
      </c>
      <c r="D133" s="1187">
        <v>4</v>
      </c>
      <c r="E133" s="1187" t="s">
        <v>238</v>
      </c>
      <c r="F133" s="1195"/>
      <c r="G133" s="1196">
        <v>0</v>
      </c>
      <c r="H133" s="1196">
        <v>0</v>
      </c>
      <c r="I133" s="1196">
        <v>0</v>
      </c>
      <c r="J133" s="1196">
        <v>0</v>
      </c>
      <c r="K133" s="1196">
        <v>0</v>
      </c>
      <c r="L133" s="1196">
        <v>0</v>
      </c>
      <c r="M133" s="1190"/>
      <c r="N133" s="517"/>
      <c r="X133" s="574"/>
    </row>
    <row r="134" spans="1:24" x14ac:dyDescent="0.3">
      <c r="A134" s="1188">
        <v>7</v>
      </c>
      <c r="D134" s="1187">
        <v>5</v>
      </c>
      <c r="E134" s="1187" t="s">
        <v>238</v>
      </c>
      <c r="F134" s="1195"/>
      <c r="G134" s="1196">
        <v>0</v>
      </c>
      <c r="H134" s="1196">
        <v>0</v>
      </c>
      <c r="I134" s="1196">
        <v>0</v>
      </c>
      <c r="J134" s="1196">
        <v>0</v>
      </c>
      <c r="K134" s="1196">
        <v>0</v>
      </c>
      <c r="L134" s="1196">
        <v>0</v>
      </c>
      <c r="M134" s="1190"/>
      <c r="N134" s="101"/>
      <c r="X134" s="574"/>
    </row>
    <row r="135" spans="1:24" x14ac:dyDescent="0.3">
      <c r="A135" s="1188">
        <v>8</v>
      </c>
      <c r="D135" s="1187">
        <v>6</v>
      </c>
      <c r="E135" s="1187" t="s">
        <v>238</v>
      </c>
      <c r="F135" s="1195"/>
      <c r="G135" s="1196">
        <v>0</v>
      </c>
      <c r="H135" s="1196">
        <v>0</v>
      </c>
      <c r="I135" s="1196">
        <v>0</v>
      </c>
      <c r="J135" s="1196">
        <v>0</v>
      </c>
      <c r="K135" s="1196">
        <v>0</v>
      </c>
      <c r="L135" s="1196">
        <v>0</v>
      </c>
      <c r="M135" s="1190"/>
      <c r="N135" s="101"/>
      <c r="X135" s="574"/>
    </row>
    <row r="136" spans="1:24" x14ac:dyDescent="0.3">
      <c r="D136" s="1187"/>
      <c r="E136" s="1187"/>
      <c r="F136" s="1190"/>
      <c r="G136" s="1193"/>
      <c r="H136" s="1193"/>
      <c r="I136" s="1193"/>
      <c r="J136" s="1193"/>
      <c r="K136" s="1193"/>
      <c r="L136" s="1193"/>
      <c r="M136" s="1190"/>
      <c r="N136" s="101"/>
      <c r="X136" s="574"/>
    </row>
    <row r="137" spans="1:24" ht="15" thickBot="1" x14ac:dyDescent="0.35">
      <c r="D137" s="1189" t="s">
        <v>891</v>
      </c>
      <c r="E137" s="1189"/>
      <c r="F137" s="1189"/>
      <c r="G137" s="1189"/>
      <c r="H137" s="1189"/>
      <c r="I137" s="1189"/>
      <c r="J137" s="1189"/>
      <c r="K137" s="1189"/>
      <c r="L137" s="1189"/>
      <c r="M137" s="1189"/>
      <c r="N137" s="101"/>
    </row>
    <row r="138" spans="1:24" ht="15.6" x14ac:dyDescent="0.3">
      <c r="A138" s="1188">
        <v>9</v>
      </c>
      <c r="D138" s="1187">
        <v>1</v>
      </c>
      <c r="E138" s="1187" t="s">
        <v>883</v>
      </c>
      <c r="F138" s="1195"/>
      <c r="G138" s="1193"/>
      <c r="H138" s="1197"/>
      <c r="I138" s="1193"/>
      <c r="J138" s="1193"/>
      <c r="K138" s="1193"/>
      <c r="L138" s="1193"/>
      <c r="M138" s="1191">
        <v>1261927.4888269855</v>
      </c>
      <c r="N138" s="517"/>
      <c r="X138" s="574"/>
    </row>
    <row r="139" spans="1:24" ht="15.6" x14ac:dyDescent="0.3">
      <c r="A139" s="1188">
        <v>10</v>
      </c>
      <c r="D139" s="1187">
        <v>2</v>
      </c>
      <c r="E139" s="1187" t="s">
        <v>560</v>
      </c>
      <c r="F139" s="1195"/>
      <c r="G139" s="1193"/>
      <c r="H139" s="1193"/>
      <c r="I139" s="1193"/>
      <c r="J139" s="1193"/>
      <c r="K139" s="1193"/>
      <c r="L139" s="1193"/>
      <c r="M139" s="1191">
        <v>6920882.2565776575</v>
      </c>
      <c r="N139" s="517"/>
      <c r="X139" s="574"/>
    </row>
    <row r="140" spans="1:24" x14ac:dyDescent="0.3">
      <c r="A140" s="1188">
        <v>11</v>
      </c>
      <c r="D140" s="1187">
        <v>3</v>
      </c>
      <c r="E140" s="1187" t="s">
        <v>561</v>
      </c>
      <c r="F140" s="1195"/>
      <c r="G140" s="1193"/>
      <c r="H140" s="1193"/>
      <c r="I140" s="1193"/>
      <c r="J140" s="1193"/>
      <c r="K140" s="1193"/>
      <c r="L140" s="1193"/>
      <c r="M140" s="1191">
        <v>1643138.2545954068</v>
      </c>
      <c r="N140" s="101"/>
      <c r="X140" s="574"/>
    </row>
    <row r="141" spans="1:24" x14ac:dyDescent="0.3">
      <c r="A141" s="1188">
        <v>12</v>
      </c>
      <c r="D141" s="1187">
        <v>4</v>
      </c>
      <c r="E141" s="1187" t="s">
        <v>238</v>
      </c>
      <c r="F141" s="1195"/>
      <c r="G141" s="1193"/>
      <c r="H141" s="1193"/>
      <c r="I141" s="1193"/>
      <c r="J141" s="1193"/>
      <c r="K141" s="1193"/>
      <c r="L141" s="1193"/>
      <c r="M141" s="1191">
        <v>0</v>
      </c>
      <c r="N141" s="101"/>
      <c r="X141" s="574"/>
    </row>
    <row r="142" spans="1:24" x14ac:dyDescent="0.3">
      <c r="A142" s="1188">
        <v>13</v>
      </c>
      <c r="D142" s="1187">
        <v>5</v>
      </c>
      <c r="E142" s="1187" t="s">
        <v>238</v>
      </c>
      <c r="F142" s="1195"/>
      <c r="G142" s="1193"/>
      <c r="H142" s="1193"/>
      <c r="I142" s="1193"/>
      <c r="J142" s="1193"/>
      <c r="K142" s="1193"/>
      <c r="L142" s="1193"/>
      <c r="M142" s="1191">
        <v>0</v>
      </c>
      <c r="N142" s="101"/>
      <c r="X142" s="574"/>
    </row>
    <row r="143" spans="1:24" x14ac:dyDescent="0.3">
      <c r="A143" s="1188">
        <v>14</v>
      </c>
      <c r="D143" s="1187">
        <v>6</v>
      </c>
      <c r="E143" s="1187" t="s">
        <v>238</v>
      </c>
      <c r="F143" s="1195"/>
      <c r="G143" s="1193"/>
      <c r="H143" s="1193"/>
      <c r="I143" s="1193"/>
      <c r="J143" s="1193"/>
      <c r="K143" s="1193"/>
      <c r="L143" s="1193"/>
      <c r="M143" s="1191">
        <v>0</v>
      </c>
      <c r="N143" s="101"/>
      <c r="X143" s="574"/>
    </row>
    <row r="144" spans="1:24" ht="15.6" x14ac:dyDescent="0.3">
      <c r="D144" s="1187"/>
      <c r="E144" s="1187"/>
      <c r="F144" s="1190"/>
      <c r="G144" s="1193"/>
      <c r="H144" s="1193"/>
      <c r="I144" s="1193"/>
      <c r="J144" s="1193"/>
      <c r="K144" s="1193"/>
      <c r="L144" s="1193"/>
      <c r="M144" s="1190"/>
      <c r="N144" s="517"/>
      <c r="X144" s="574"/>
    </row>
    <row r="145" spans="1:27" ht="16.2" thickBot="1" x14ac:dyDescent="0.35">
      <c r="D145" s="1189" t="s">
        <v>886</v>
      </c>
      <c r="E145" s="1189"/>
      <c r="F145" s="1189"/>
      <c r="G145" s="1189"/>
      <c r="H145" s="1189"/>
      <c r="I145" s="1189"/>
      <c r="J145" s="1189"/>
      <c r="K145" s="1189"/>
      <c r="L145" s="1189"/>
      <c r="M145" s="1189"/>
      <c r="N145" s="517"/>
    </row>
    <row r="146" spans="1:27" x14ac:dyDescent="0.3">
      <c r="A146" s="1188">
        <v>15</v>
      </c>
      <c r="D146" s="1187"/>
      <c r="E146" s="1187"/>
      <c r="F146" s="1190"/>
      <c r="G146" s="1198">
        <v>0.93677011624654993</v>
      </c>
      <c r="H146" s="1198">
        <v>0.50072636165872164</v>
      </c>
      <c r="I146" s="1198">
        <v>0.75785472759240791</v>
      </c>
      <c r="J146" s="1198">
        <v>0</v>
      </c>
      <c r="K146" s="1198">
        <v>1.340288525778776</v>
      </c>
      <c r="L146" s="1198">
        <v>4.060206045701141E-2</v>
      </c>
      <c r="M146" s="1190"/>
      <c r="N146" s="101"/>
      <c r="X146" s="574"/>
    </row>
    <row r="147" spans="1:27" x14ac:dyDescent="0.3">
      <c r="D147" s="1187"/>
      <c r="E147" s="1187"/>
      <c r="F147" s="1190"/>
      <c r="G147" s="1193"/>
      <c r="H147" s="1193"/>
      <c r="I147" s="1193"/>
      <c r="J147" s="1193"/>
      <c r="K147" s="1193"/>
      <c r="L147" s="1193"/>
      <c r="M147" s="1190"/>
      <c r="N147" s="101"/>
      <c r="X147" s="574"/>
    </row>
    <row r="148" spans="1:27" ht="15" thickBot="1" x14ac:dyDescent="0.35">
      <c r="D148" s="1189" t="s">
        <v>887</v>
      </c>
      <c r="E148" s="1189"/>
      <c r="F148" s="1189"/>
      <c r="G148" s="1189"/>
      <c r="H148" s="1189"/>
      <c r="I148" s="1189"/>
      <c r="J148" s="1189"/>
      <c r="K148" s="1189"/>
      <c r="L148" s="1189"/>
      <c r="M148" s="1189"/>
      <c r="N148" s="101"/>
      <c r="Z148" s="1187" t="s">
        <v>888</v>
      </c>
    </row>
    <row r="149" spans="1:27" x14ac:dyDescent="0.3">
      <c r="A149" s="1188">
        <v>16</v>
      </c>
      <c r="D149" s="1187">
        <v>1</v>
      </c>
      <c r="E149" s="1187" t="s">
        <v>883</v>
      </c>
      <c r="F149" s="1199"/>
      <c r="G149" s="1198">
        <v>2.3328379217154871</v>
      </c>
      <c r="H149" s="1198">
        <v>0.82355503506606942</v>
      </c>
      <c r="I149" s="1198">
        <v>0.64988903771324014</v>
      </c>
      <c r="J149" s="1198">
        <v>0</v>
      </c>
      <c r="K149" s="1198">
        <v>1.8257803804097781</v>
      </c>
      <c r="L149" s="1198">
        <v>4.060206045701141E-2</v>
      </c>
      <c r="M149" s="1203">
        <v>5.672664435361586</v>
      </c>
      <c r="N149" s="101"/>
      <c r="X149" s="1200">
        <f>M149/M150</f>
        <v>1.6447486106046232</v>
      </c>
      <c r="Z149" s="1200">
        <f>AA149/AA150</f>
        <v>1.4</v>
      </c>
      <c r="AA149" s="1291">
        <v>5.0148050550174013</v>
      </c>
    </row>
    <row r="150" spans="1:27" ht="15.6" x14ac:dyDescent="0.3">
      <c r="A150" s="1188">
        <v>17</v>
      </c>
      <c r="D150" s="1187">
        <v>2</v>
      </c>
      <c r="E150" s="1187" t="s">
        <v>560</v>
      </c>
      <c r="F150" s="1199"/>
      <c r="G150" s="1198">
        <v>0.73259134092531797</v>
      </c>
      <c r="H150" s="1198">
        <v>0.48550833368392982</v>
      </c>
      <c r="I150" s="1198">
        <v>0.85070524598875374</v>
      </c>
      <c r="J150" s="1198">
        <v>0</v>
      </c>
      <c r="K150" s="1198">
        <v>1.339548317515671</v>
      </c>
      <c r="L150" s="1198">
        <v>4.060206045701141E-2</v>
      </c>
      <c r="M150" s="1203">
        <v>3.4489552985706839</v>
      </c>
      <c r="N150" s="517"/>
      <c r="X150" s="1200">
        <f>M150/M150</f>
        <v>1</v>
      </c>
      <c r="Z150" s="1200">
        <v>1</v>
      </c>
      <c r="AA150" s="1291">
        <v>3.5820036107267152</v>
      </c>
    </row>
    <row r="151" spans="1:27" ht="15.6" x14ac:dyDescent="0.3">
      <c r="A151" s="1188">
        <v>18</v>
      </c>
      <c r="D151" s="1187">
        <v>3</v>
      </c>
      <c r="E151" s="1187" t="s">
        <v>561</v>
      </c>
      <c r="F151" s="1199"/>
      <c r="G151" s="1198">
        <v>0.49639357956041413</v>
      </c>
      <c r="H151" s="1198">
        <v>0.27764970501548025</v>
      </c>
      <c r="I151" s="1198">
        <v>0.44968672532085885</v>
      </c>
      <c r="J151" s="1198">
        <v>0</v>
      </c>
      <c r="K151" s="1198">
        <v>1.0694199823381616</v>
      </c>
      <c r="L151" s="1198">
        <v>4.060206045701141E-2</v>
      </c>
      <c r="M151" s="1203">
        <v>2.3337520526919264</v>
      </c>
      <c r="N151" s="517"/>
      <c r="X151" s="1200">
        <f>M151/M150</f>
        <v>0.67665476953530823</v>
      </c>
      <c r="Z151" s="1200">
        <f>AA151/AA150</f>
        <v>0.67665476953530823</v>
      </c>
      <c r="AA151" s="1291">
        <v>2.4237798276909275</v>
      </c>
    </row>
    <row r="152" spans="1:27" x14ac:dyDescent="0.3">
      <c r="A152" s="1188">
        <v>19</v>
      </c>
      <c r="D152" s="1187">
        <v>4</v>
      </c>
      <c r="E152" s="1187" t="s">
        <v>238</v>
      </c>
      <c r="F152" s="1199"/>
      <c r="G152" s="1198">
        <v>0</v>
      </c>
      <c r="H152" s="1198">
        <v>0</v>
      </c>
      <c r="I152" s="1198">
        <v>0</v>
      </c>
      <c r="J152" s="1198">
        <v>0</v>
      </c>
      <c r="K152" s="1198">
        <v>0</v>
      </c>
      <c r="L152" s="1198">
        <v>0</v>
      </c>
      <c r="M152" s="1201">
        <v>0</v>
      </c>
      <c r="N152" s="101"/>
      <c r="X152" s="574"/>
    </row>
    <row r="153" spans="1:27" x14ac:dyDescent="0.3">
      <c r="A153" s="1188">
        <v>20</v>
      </c>
      <c r="D153" s="1187">
        <v>5</v>
      </c>
      <c r="E153" s="1187" t="s">
        <v>238</v>
      </c>
      <c r="F153" s="1199"/>
      <c r="G153" s="1198">
        <v>0</v>
      </c>
      <c r="H153" s="1198">
        <v>0</v>
      </c>
      <c r="I153" s="1198">
        <v>0</v>
      </c>
      <c r="J153" s="1198">
        <v>0</v>
      </c>
      <c r="K153" s="1198">
        <v>0</v>
      </c>
      <c r="L153" s="1198">
        <v>0</v>
      </c>
      <c r="M153" s="1201">
        <v>0</v>
      </c>
      <c r="N153" s="101"/>
    </row>
    <row r="154" spans="1:27" x14ac:dyDescent="0.3">
      <c r="A154" s="1188">
        <v>21</v>
      </c>
      <c r="D154" s="1187">
        <v>6</v>
      </c>
      <c r="E154" s="1187" t="s">
        <v>238</v>
      </c>
      <c r="F154" s="1199"/>
      <c r="G154" s="1198">
        <v>0</v>
      </c>
      <c r="H154" s="1198">
        <v>0</v>
      </c>
      <c r="I154" s="1198">
        <v>0</v>
      </c>
      <c r="J154" s="1198">
        <v>0</v>
      </c>
      <c r="K154" s="1198">
        <v>0</v>
      </c>
      <c r="L154" s="1198">
        <v>0</v>
      </c>
      <c r="M154" s="1201">
        <v>0</v>
      </c>
      <c r="N154" s="101"/>
      <c r="X154" s="574"/>
    </row>
    <row r="155" spans="1:27" x14ac:dyDescent="0.3">
      <c r="D155" s="1187"/>
      <c r="E155" s="1187"/>
      <c r="F155" s="1190"/>
      <c r="G155" s="1193"/>
      <c r="H155" s="1193"/>
      <c r="I155" s="1193"/>
      <c r="J155" s="1193"/>
      <c r="K155" s="1193"/>
      <c r="L155" s="1193"/>
      <c r="M155" s="1190"/>
      <c r="N155" s="101"/>
      <c r="X155" s="574"/>
    </row>
    <row r="156" spans="1:27" ht="16.2" thickBot="1" x14ac:dyDescent="0.35">
      <c r="D156" s="1189" t="s">
        <v>433</v>
      </c>
      <c r="E156" s="1189"/>
      <c r="F156" s="1189"/>
      <c r="G156" s="1189"/>
      <c r="H156" s="1189"/>
      <c r="I156" s="1189"/>
      <c r="J156" s="1189"/>
      <c r="K156" s="1189"/>
      <c r="L156" s="1189"/>
      <c r="M156" s="1189"/>
      <c r="N156" s="517"/>
    </row>
    <row r="157" spans="1:27" ht="15.6" x14ac:dyDescent="0.3">
      <c r="A157" s="1188">
        <v>22</v>
      </c>
      <c r="D157" s="1187"/>
      <c r="E157" s="1187" t="s">
        <v>889</v>
      </c>
      <c r="F157" s="1190"/>
      <c r="G157" s="1210">
        <v>88296939.930345207</v>
      </c>
      <c r="H157" s="1210">
        <v>48556296.010135047</v>
      </c>
      <c r="I157" s="1210">
        <v>74466411.448771924</v>
      </c>
      <c r="J157" s="1210">
        <v>0</v>
      </c>
      <c r="K157" s="1210">
        <v>133320635.1633133</v>
      </c>
      <c r="L157" s="1210">
        <v>3989537.347434524</v>
      </c>
      <c r="M157" s="1211">
        <v>348629819.89999998</v>
      </c>
      <c r="N157" s="517"/>
    </row>
    <row r="158" spans="1:27" x14ac:dyDescent="0.3">
      <c r="A158" s="1188">
        <v>23</v>
      </c>
      <c r="D158" s="1187"/>
      <c r="E158" s="1187" t="s">
        <v>168</v>
      </c>
      <c r="F158" s="1190"/>
      <c r="G158" s="1191" t="b">
        <v>1</v>
      </c>
      <c r="H158" s="1191" t="b">
        <v>1</v>
      </c>
      <c r="I158" s="1191" t="b">
        <v>1</v>
      </c>
      <c r="J158" s="1191" t="b">
        <v>1</v>
      </c>
      <c r="K158" s="1191" t="b">
        <v>1</v>
      </c>
      <c r="L158" s="1191" t="b">
        <v>1</v>
      </c>
      <c r="M158" s="1191" t="b">
        <v>1</v>
      </c>
      <c r="N158" s="101"/>
    </row>
    <row r="160" spans="1:27" ht="15" thickBot="1" x14ac:dyDescent="0.35">
      <c r="D160" s="1189" t="s">
        <v>893</v>
      </c>
      <c r="E160" s="1189"/>
      <c r="F160" s="1189"/>
      <c r="G160" s="1189"/>
      <c r="H160" s="1189"/>
      <c r="I160" s="1189"/>
      <c r="J160" s="1189"/>
      <c r="K160" s="1189"/>
      <c r="L160" s="1189"/>
      <c r="M160" s="1189"/>
    </row>
    <row r="161" spans="1:29" x14ac:dyDescent="0.3">
      <c r="A161" s="1188">
        <v>24</v>
      </c>
      <c r="D161" s="1187">
        <v>1</v>
      </c>
      <c r="E161" s="1187" t="s">
        <v>883</v>
      </c>
      <c r="G161" s="1198">
        <v>0</v>
      </c>
      <c r="H161" s="1198">
        <v>0</v>
      </c>
      <c r="I161" s="1198">
        <v>0</v>
      </c>
      <c r="J161" s="1198">
        <v>0</v>
      </c>
      <c r="K161" s="1198">
        <v>0</v>
      </c>
      <c r="L161" s="1198">
        <v>0</v>
      </c>
      <c r="M161" s="1204">
        <v>2.71</v>
      </c>
      <c r="X161" s="1200">
        <f>M161/SUM($M$161:$M$163)</f>
        <v>0.24980322606010869</v>
      </c>
    </row>
    <row r="162" spans="1:29" x14ac:dyDescent="0.3">
      <c r="A162" s="1188">
        <v>25</v>
      </c>
      <c r="D162" s="1187">
        <v>2</v>
      </c>
      <c r="E162" s="1187" t="s">
        <v>599</v>
      </c>
      <c r="G162" s="1198">
        <v>0</v>
      </c>
      <c r="H162" s="1198">
        <v>0</v>
      </c>
      <c r="I162" s="1198">
        <v>0</v>
      </c>
      <c r="J162" s="1198">
        <v>0</v>
      </c>
      <c r="K162" s="1198">
        <v>0</v>
      </c>
      <c r="L162" s="1198">
        <v>0</v>
      </c>
      <c r="M162" s="1204">
        <v>4.84</v>
      </c>
      <c r="X162" s="1200">
        <f>M162/SUM($M$161:$M$163)</f>
        <v>0.44614303104462216</v>
      </c>
    </row>
    <row r="163" spans="1:29" x14ac:dyDescent="0.3">
      <c r="A163" s="1188">
        <v>26</v>
      </c>
      <c r="D163" s="1187">
        <v>3</v>
      </c>
      <c r="E163" s="1187" t="s">
        <v>145</v>
      </c>
      <c r="G163" s="1198">
        <v>0</v>
      </c>
      <c r="H163" s="1198">
        <v>0</v>
      </c>
      <c r="I163" s="1198">
        <v>0</v>
      </c>
      <c r="J163" s="1198">
        <v>0</v>
      </c>
      <c r="K163" s="1198">
        <v>0</v>
      </c>
      <c r="L163" s="1198">
        <v>0</v>
      </c>
      <c r="M163" s="1204">
        <v>3.2985388389175916</v>
      </c>
      <c r="X163" s="1200">
        <f>M163/SUM($M$161:$M$163)</f>
        <v>0.30405374289526921</v>
      </c>
    </row>
    <row r="165" spans="1:29" ht="15" thickBot="1" x14ac:dyDescent="0.35">
      <c r="A165" s="123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23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</row>
    <row r="167" spans="1:29" x14ac:dyDescent="0.3">
      <c r="A167" s="100"/>
      <c r="B167" s="101"/>
      <c r="C167" s="101"/>
      <c r="D167" s="106"/>
      <c r="E167" s="101"/>
      <c r="F167" s="101"/>
      <c r="G167" s="101"/>
      <c r="H167" s="101"/>
      <c r="I167" s="101"/>
      <c r="J167" s="101"/>
      <c r="K167" s="101"/>
      <c r="L167" s="100"/>
      <c r="M167" s="466" t="s">
        <v>702</v>
      </c>
      <c r="N167" s="101"/>
      <c r="O167" s="100"/>
      <c r="P167" s="101"/>
      <c r="Q167" s="101"/>
      <c r="R167" s="101"/>
      <c r="S167" s="101"/>
      <c r="T167" s="101"/>
      <c r="U167" s="101"/>
      <c r="V167" s="101"/>
      <c r="W167" s="101"/>
      <c r="X167" s="101"/>
      <c r="AC167" s="216"/>
    </row>
    <row r="168" spans="1:29" x14ac:dyDescent="0.3">
      <c r="A168" s="100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469" t="str">
        <f>M110</f>
        <v>DOCKET NO.  20240025-EI</v>
      </c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0" t="s">
        <v>416</v>
      </c>
      <c r="AC168" s="551" t="s">
        <v>416</v>
      </c>
    </row>
    <row r="169" spans="1:29" x14ac:dyDescent="0.3">
      <c r="A169" s="100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469" t="s">
        <v>703</v>
      </c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AC169" s="216"/>
    </row>
    <row r="170" spans="1:29" x14ac:dyDescent="0.3">
      <c r="A170" s="100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466" t="s">
        <v>868</v>
      </c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AC170" s="216"/>
    </row>
    <row r="171" spans="1:29" x14ac:dyDescent="0.3">
      <c r="A171" s="100"/>
      <c r="B171" s="101"/>
      <c r="C171" s="22"/>
      <c r="D171" s="101"/>
      <c r="E171" s="101"/>
      <c r="F171" s="101"/>
      <c r="G171" s="101"/>
      <c r="H171" s="101"/>
      <c r="I171" s="101"/>
      <c r="J171" s="101"/>
      <c r="K171" s="101"/>
      <c r="L171" s="100"/>
      <c r="M171" s="472" t="s">
        <v>894</v>
      </c>
      <c r="N171" s="101"/>
      <c r="O171" s="100"/>
      <c r="P171" s="101"/>
      <c r="Q171" s="101"/>
      <c r="R171" s="101"/>
      <c r="S171" s="101"/>
      <c r="T171" s="101"/>
      <c r="U171" s="101"/>
      <c r="V171" s="101"/>
      <c r="W171" s="101"/>
      <c r="X171" s="101"/>
      <c r="AC171" s="216"/>
    </row>
    <row r="172" spans="1:29" ht="15.6" x14ac:dyDescent="0.3">
      <c r="A172" s="553" t="s">
        <v>870</v>
      </c>
      <c r="B172" s="554"/>
      <c r="C172" s="554"/>
      <c r="D172" s="555"/>
      <c r="E172" s="555"/>
      <c r="F172" s="555"/>
      <c r="G172" s="555"/>
      <c r="H172" s="555"/>
      <c r="I172" s="555"/>
      <c r="J172" s="555"/>
      <c r="K172" s="555"/>
      <c r="L172" s="555"/>
      <c r="M172" s="343" t="s">
        <v>204</v>
      </c>
      <c r="N172" s="517"/>
      <c r="O172" s="518"/>
      <c r="P172" s="518"/>
      <c r="Q172" s="518"/>
      <c r="R172" s="518"/>
      <c r="S172" s="518"/>
      <c r="T172" s="518"/>
      <c r="U172" s="518"/>
      <c r="V172" s="518"/>
      <c r="W172" s="518"/>
      <c r="X172" s="518"/>
    </row>
    <row r="173" spans="1:29" ht="15.6" x14ac:dyDescent="0.3">
      <c r="A173" s="556"/>
      <c r="B173" s="557"/>
      <c r="C173" s="557"/>
      <c r="D173" s="555"/>
      <c r="E173" s="555"/>
      <c r="F173" s="555"/>
      <c r="G173" s="555"/>
      <c r="H173" s="555"/>
      <c r="I173" s="555"/>
      <c r="J173" s="555"/>
      <c r="K173" s="555"/>
      <c r="L173" s="555"/>
      <c r="M173" s="555"/>
      <c r="N173" s="517"/>
      <c r="O173" s="518"/>
      <c r="P173" s="518"/>
      <c r="Q173" s="518"/>
      <c r="R173" s="518"/>
      <c r="S173" s="518"/>
      <c r="T173" s="518"/>
      <c r="U173" s="518"/>
      <c r="V173" s="518"/>
      <c r="W173" s="518"/>
      <c r="X173" s="518"/>
    </row>
    <row r="174" spans="1:29" ht="15.6" x14ac:dyDescent="0.3">
      <c r="A174" s="556"/>
      <c r="B174" s="557"/>
      <c r="C174" s="557"/>
      <c r="D174" s="555"/>
      <c r="E174" s="555"/>
      <c r="F174" s="555"/>
      <c r="G174" s="555"/>
      <c r="H174" s="555"/>
      <c r="I174" s="555"/>
      <c r="J174" s="555"/>
      <c r="K174" s="555"/>
      <c r="L174" s="555"/>
      <c r="M174" s="555"/>
      <c r="N174" s="517"/>
      <c r="O174" s="518"/>
      <c r="P174" s="518"/>
      <c r="Q174" s="518"/>
      <c r="R174" s="518"/>
      <c r="S174" s="518"/>
      <c r="T174" s="518"/>
      <c r="U174" s="518"/>
      <c r="V174" s="518"/>
      <c r="W174" s="518"/>
      <c r="X174" s="518"/>
    </row>
    <row r="175" spans="1:29" ht="15.6" x14ac:dyDescent="0.3">
      <c r="A175" s="1387" t="s">
        <v>895</v>
      </c>
      <c r="B175" s="1387"/>
      <c r="C175" s="1387"/>
      <c r="D175" s="1387"/>
      <c r="E175" s="1387"/>
      <c r="F175" s="1387"/>
      <c r="G175" s="1387"/>
      <c r="H175" s="1387"/>
      <c r="I175" s="1387"/>
      <c r="J175" s="1387"/>
      <c r="K175" s="1387"/>
      <c r="L175" s="1387"/>
      <c r="M175" s="1387"/>
      <c r="N175" s="517"/>
      <c r="O175" s="518"/>
      <c r="P175" s="518"/>
      <c r="Q175" s="518"/>
      <c r="R175" s="518"/>
      <c r="S175" s="518"/>
      <c r="T175" s="518"/>
      <c r="U175" s="518"/>
      <c r="V175" s="518"/>
      <c r="W175" s="518"/>
      <c r="X175" s="518"/>
    </row>
    <row r="176" spans="1:29" x14ac:dyDescent="0.3">
      <c r="A176" s="558"/>
      <c r="B176" s="542"/>
      <c r="C176" s="542"/>
      <c r="D176" s="515"/>
      <c r="E176" s="515"/>
      <c r="F176" s="515"/>
      <c r="G176" s="515"/>
      <c r="H176" s="515"/>
      <c r="I176" s="515"/>
      <c r="J176" s="515"/>
      <c r="K176" s="515"/>
      <c r="L176" s="515"/>
      <c r="M176" s="515"/>
      <c r="N176" s="515"/>
      <c r="O176" s="515"/>
      <c r="P176" s="515"/>
      <c r="Q176" s="515"/>
      <c r="R176" s="515"/>
      <c r="S176" s="515"/>
      <c r="T176" s="515"/>
      <c r="U176" s="515"/>
      <c r="V176" s="515"/>
      <c r="W176" s="515"/>
      <c r="X176" s="515"/>
    </row>
    <row r="177" spans="1:24" x14ac:dyDescent="0.3">
      <c r="A177" s="559"/>
      <c r="B177" s="560"/>
      <c r="C177" s="560"/>
      <c r="D177" s="561">
        <v>-1</v>
      </c>
      <c r="E177" s="561"/>
      <c r="F177" s="562"/>
      <c r="G177" s="561">
        <f>+D177-1</f>
        <v>-2</v>
      </c>
      <c r="H177" s="561">
        <f t="shared" ref="H177:M177" si="3">+G177-1</f>
        <v>-3</v>
      </c>
      <c r="I177" s="561">
        <f t="shared" si="3"/>
        <v>-4</v>
      </c>
      <c r="J177" s="561">
        <f t="shared" si="3"/>
        <v>-5</v>
      </c>
      <c r="K177" s="561">
        <f t="shared" si="3"/>
        <v>-6</v>
      </c>
      <c r="L177" s="561">
        <f t="shared" si="3"/>
        <v>-7</v>
      </c>
      <c r="M177" s="561">
        <f t="shared" si="3"/>
        <v>-8</v>
      </c>
      <c r="N177" s="515"/>
      <c r="O177" s="515"/>
      <c r="P177" s="515"/>
      <c r="Q177" s="515"/>
      <c r="R177" s="515"/>
      <c r="S177" s="515"/>
      <c r="T177" s="515"/>
      <c r="U177" s="515"/>
      <c r="V177" s="515"/>
      <c r="W177" s="515"/>
      <c r="X177" s="515"/>
    </row>
    <row r="178" spans="1:24" x14ac:dyDescent="0.3">
      <c r="A178" s="563"/>
      <c r="B178" s="564"/>
      <c r="C178" s="564"/>
      <c r="D178" s="564"/>
      <c r="E178" s="564"/>
      <c r="F178" s="564"/>
      <c r="G178" s="564"/>
      <c r="H178" s="565"/>
      <c r="I178" s="564"/>
      <c r="J178" s="565"/>
      <c r="K178" s="515"/>
      <c r="L178" s="515"/>
      <c r="M178" s="515"/>
      <c r="N178" s="564"/>
      <c r="O178" s="515"/>
      <c r="P178" s="515"/>
      <c r="Q178" s="515"/>
      <c r="R178" s="515"/>
      <c r="S178" s="515"/>
      <c r="T178" s="515"/>
      <c r="U178" s="515"/>
      <c r="V178" s="515"/>
      <c r="W178" s="515"/>
      <c r="X178" s="515"/>
    </row>
    <row r="179" spans="1:24" ht="27.6" x14ac:dyDescent="0.3">
      <c r="A179" s="563"/>
      <c r="B179" s="564"/>
      <c r="C179" s="564"/>
      <c r="D179" s="564"/>
      <c r="E179" s="564"/>
      <c r="F179" s="564"/>
      <c r="G179" s="565" t="s">
        <v>415</v>
      </c>
      <c r="H179" s="566" t="s">
        <v>216</v>
      </c>
      <c r="I179" s="567" t="s">
        <v>871</v>
      </c>
      <c r="J179" s="565" t="s">
        <v>872</v>
      </c>
      <c r="K179" s="567" t="s">
        <v>415</v>
      </c>
      <c r="L179" s="567" t="s">
        <v>873</v>
      </c>
      <c r="M179" s="568" t="s">
        <v>121</v>
      </c>
      <c r="N179" s="564"/>
      <c r="O179" s="515"/>
      <c r="P179" s="515"/>
      <c r="Q179" s="515"/>
      <c r="R179" s="515"/>
      <c r="S179" s="515"/>
      <c r="T179" s="515"/>
      <c r="U179" s="515"/>
      <c r="V179" s="515"/>
      <c r="W179" s="515"/>
      <c r="X179" s="515"/>
    </row>
    <row r="180" spans="1:24" x14ac:dyDescent="0.3">
      <c r="A180" s="569" t="s">
        <v>30</v>
      </c>
      <c r="B180" s="570"/>
      <c r="C180" s="570"/>
      <c r="D180" s="571"/>
      <c r="E180" s="571"/>
      <c r="F180" s="571"/>
      <c r="G180" s="572" t="s">
        <v>874</v>
      </c>
      <c r="H180" s="572" t="s">
        <v>874</v>
      </c>
      <c r="I180" s="573" t="s">
        <v>148</v>
      </c>
      <c r="J180" s="573" t="s">
        <v>149</v>
      </c>
      <c r="K180" s="573" t="s">
        <v>141</v>
      </c>
      <c r="L180" s="573"/>
      <c r="M180" s="524"/>
      <c r="N180" s="567"/>
      <c r="O180" s="515"/>
      <c r="P180" s="515"/>
      <c r="Q180" s="515"/>
      <c r="R180" s="515"/>
      <c r="S180" s="515"/>
      <c r="T180" s="515"/>
      <c r="U180" s="515"/>
      <c r="V180" s="515"/>
      <c r="W180" s="515"/>
      <c r="X180" s="515"/>
    </row>
    <row r="181" spans="1:24" ht="15" thickBot="1" x14ac:dyDescent="0.35">
      <c r="D181" s="1189" t="s">
        <v>875</v>
      </c>
      <c r="E181" s="1189"/>
      <c r="F181" s="1189"/>
      <c r="G181" s="1189"/>
      <c r="H181" s="1189"/>
      <c r="I181" s="1189"/>
      <c r="J181" s="1189"/>
      <c r="K181" s="1189"/>
      <c r="L181" s="1189"/>
      <c r="M181" s="1189"/>
      <c r="N181" s="515"/>
    </row>
    <row r="182" spans="1:24" x14ac:dyDescent="0.3">
      <c r="A182" s="1188">
        <v>1</v>
      </c>
      <c r="D182" s="1187"/>
      <c r="E182" s="1187"/>
      <c r="F182" s="1190"/>
      <c r="G182" s="1191">
        <v>260251.58400185779</v>
      </c>
      <c r="H182" s="1191">
        <v>143117.46902407991</v>
      </c>
      <c r="I182" s="1191">
        <v>273415.93418999191</v>
      </c>
      <c r="J182" s="1191">
        <v>0</v>
      </c>
      <c r="K182" s="1191">
        <v>821482.69693668257</v>
      </c>
      <c r="L182" s="1191">
        <v>-2997.4141526124422</v>
      </c>
      <c r="M182" s="1192">
        <v>1495270.2699999998</v>
      </c>
      <c r="N182" s="564"/>
      <c r="X182" s="574"/>
    </row>
    <row r="183" spans="1:24" x14ac:dyDescent="0.3">
      <c r="D183" s="1187"/>
      <c r="E183" s="1187"/>
      <c r="F183" s="1190"/>
      <c r="G183" s="1193"/>
      <c r="H183" s="1193"/>
      <c r="I183" s="1193"/>
      <c r="J183" s="1193"/>
      <c r="K183" s="1193"/>
      <c r="L183" s="1193"/>
      <c r="M183" s="1190"/>
      <c r="N183" s="564"/>
      <c r="X183" s="574"/>
    </row>
    <row r="184" spans="1:24" ht="15" thickBot="1" x14ac:dyDescent="0.35">
      <c r="D184" s="1189" t="s">
        <v>876</v>
      </c>
      <c r="E184" s="1189"/>
      <c r="F184" s="1189"/>
      <c r="G184" s="1189"/>
      <c r="H184" s="1189"/>
      <c r="I184" s="1189"/>
      <c r="J184" s="1189"/>
      <c r="K184" s="1189"/>
      <c r="L184" s="1189"/>
      <c r="M184" s="1189"/>
      <c r="N184" s="101"/>
    </row>
    <row r="185" spans="1:24" x14ac:dyDescent="0.3">
      <c r="A185" s="1188">
        <v>2</v>
      </c>
      <c r="D185" s="1187"/>
      <c r="E185" s="1187"/>
      <c r="F185" s="1190"/>
      <c r="G185" s="1194" t="s">
        <v>877</v>
      </c>
      <c r="H185" s="1194" t="s">
        <v>878</v>
      </c>
      <c r="I185" s="1194" t="s">
        <v>879</v>
      </c>
      <c r="J185" s="1194" t="s">
        <v>879</v>
      </c>
      <c r="K185" s="1194" t="s">
        <v>880</v>
      </c>
      <c r="L185" s="1194" t="s">
        <v>881</v>
      </c>
      <c r="M185" s="1187"/>
      <c r="N185" s="101"/>
      <c r="X185" s="574"/>
    </row>
    <row r="186" spans="1:24" x14ac:dyDescent="0.3">
      <c r="D186" s="1187"/>
      <c r="E186" s="1187"/>
      <c r="F186" s="1190"/>
      <c r="G186" s="1193"/>
      <c r="H186" s="1193"/>
      <c r="I186" s="1193"/>
      <c r="J186" s="1193"/>
      <c r="K186" s="1193"/>
      <c r="L186" s="1193"/>
      <c r="M186" s="1190"/>
      <c r="N186" s="101"/>
      <c r="X186" s="574"/>
    </row>
    <row r="187" spans="1:24" ht="15" thickBot="1" x14ac:dyDescent="0.35">
      <c r="D187" s="1189" t="s">
        <v>882</v>
      </c>
      <c r="E187" s="1189"/>
      <c r="F187" s="1189"/>
      <c r="G187" s="1189"/>
      <c r="H187" s="1189"/>
      <c r="I187" s="1189"/>
      <c r="J187" s="1189"/>
      <c r="K187" s="1189"/>
      <c r="L187" s="1189"/>
      <c r="M187" s="1189"/>
      <c r="N187" s="101"/>
    </row>
    <row r="188" spans="1:24" ht="15.6" x14ac:dyDescent="0.3">
      <c r="A188" s="1188">
        <v>3</v>
      </c>
      <c r="D188" s="1187">
        <v>1</v>
      </c>
      <c r="E188" s="1187" t="s">
        <v>883</v>
      </c>
      <c r="F188" s="1195"/>
      <c r="G188" s="1196">
        <v>2.490299254061072</v>
      </c>
      <c r="H188" s="1196">
        <v>1.6447207459538091</v>
      </c>
      <c r="I188" s="1196">
        <v>0.91826446983474097</v>
      </c>
      <c r="J188" s="1196">
        <v>0.91826446983474097</v>
      </c>
      <c r="K188" s="1202">
        <v>1.3622293597931883</v>
      </c>
      <c r="L188" s="1196">
        <v>1</v>
      </c>
      <c r="M188" s="1190"/>
      <c r="N188" s="517"/>
      <c r="X188" s="574"/>
    </row>
    <row r="189" spans="1:24" ht="15.6" x14ac:dyDescent="0.3">
      <c r="A189" s="1188">
        <v>4</v>
      </c>
      <c r="D189" s="1187">
        <v>2</v>
      </c>
      <c r="E189" s="1187" t="s">
        <v>560</v>
      </c>
      <c r="F189" s="1195"/>
      <c r="G189" s="1196">
        <v>0.78203961486374551</v>
      </c>
      <c r="H189" s="1196">
        <v>0.96960809507935608</v>
      </c>
      <c r="I189" s="1196">
        <v>1.0668147111832031</v>
      </c>
      <c r="J189" s="1196">
        <v>1.0668147111832031</v>
      </c>
      <c r="K189" s="1202">
        <v>0.99944772468847709</v>
      </c>
      <c r="L189" s="1196">
        <v>1</v>
      </c>
      <c r="M189" s="1190"/>
      <c r="N189" s="517"/>
      <c r="X189" s="574"/>
    </row>
    <row r="190" spans="1:24" x14ac:dyDescent="0.3">
      <c r="A190" s="1188">
        <v>5</v>
      </c>
      <c r="D190" s="1187">
        <v>3</v>
      </c>
      <c r="E190" s="1187" t="s">
        <v>561</v>
      </c>
      <c r="F190" s="1195"/>
      <c r="G190" s="1196">
        <v>0.52989903387328763</v>
      </c>
      <c r="H190" s="1196">
        <v>0.55449388383653153</v>
      </c>
      <c r="I190" s="1196">
        <v>0.83527839063120013</v>
      </c>
      <c r="J190" s="1196">
        <v>0.83527839063120013</v>
      </c>
      <c r="K190" s="1202">
        <v>0.79790281105090721</v>
      </c>
      <c r="L190" s="1196">
        <v>1</v>
      </c>
      <c r="M190" s="1190"/>
      <c r="N190" s="101"/>
      <c r="X190" s="574"/>
    </row>
    <row r="191" spans="1:24" x14ac:dyDescent="0.3">
      <c r="A191" s="1188">
        <v>6</v>
      </c>
      <c r="D191" s="1187">
        <v>4</v>
      </c>
      <c r="E191" s="1187" t="s">
        <v>238</v>
      </c>
      <c r="F191" s="1195"/>
      <c r="G191" s="1196">
        <v>0</v>
      </c>
      <c r="H191" s="1196">
        <v>0</v>
      </c>
      <c r="I191" s="1196">
        <v>0</v>
      </c>
      <c r="J191" s="1196">
        <v>0</v>
      </c>
      <c r="K191" s="1196">
        <v>0</v>
      </c>
      <c r="L191" s="1196">
        <v>0</v>
      </c>
      <c r="M191" s="1190"/>
      <c r="N191" s="101"/>
      <c r="X191" s="574"/>
    </row>
    <row r="192" spans="1:24" x14ac:dyDescent="0.3">
      <c r="A192" s="1188">
        <v>7</v>
      </c>
      <c r="D192" s="1187">
        <v>5</v>
      </c>
      <c r="E192" s="1187" t="s">
        <v>238</v>
      </c>
      <c r="F192" s="1195"/>
      <c r="G192" s="1196">
        <v>0</v>
      </c>
      <c r="H192" s="1196">
        <v>0</v>
      </c>
      <c r="I192" s="1196">
        <v>0</v>
      </c>
      <c r="J192" s="1196">
        <v>0</v>
      </c>
      <c r="K192" s="1196">
        <v>0</v>
      </c>
      <c r="L192" s="1196">
        <v>0</v>
      </c>
      <c r="M192" s="1190"/>
      <c r="N192" s="101"/>
      <c r="X192" s="574"/>
    </row>
    <row r="193" spans="1:27" x14ac:dyDescent="0.3">
      <c r="A193" s="1188">
        <v>8</v>
      </c>
      <c r="D193" s="1187">
        <v>6</v>
      </c>
      <c r="E193" s="1187" t="s">
        <v>238</v>
      </c>
      <c r="F193" s="1195"/>
      <c r="G193" s="1196">
        <v>0</v>
      </c>
      <c r="H193" s="1196">
        <v>0</v>
      </c>
      <c r="I193" s="1196">
        <v>0</v>
      </c>
      <c r="J193" s="1196">
        <v>0</v>
      </c>
      <c r="K193" s="1196">
        <v>0</v>
      </c>
      <c r="L193" s="1196">
        <v>0</v>
      </c>
      <c r="M193" s="1190"/>
      <c r="N193" s="101"/>
      <c r="X193" s="574"/>
    </row>
    <row r="194" spans="1:27" ht="15.6" x14ac:dyDescent="0.3">
      <c r="D194" s="1187"/>
      <c r="E194" s="1187"/>
      <c r="F194" s="1190"/>
      <c r="G194" s="1193"/>
      <c r="H194" s="1193"/>
      <c r="I194" s="1193"/>
      <c r="J194" s="1193"/>
      <c r="K194" s="1193"/>
      <c r="L194" s="1193"/>
      <c r="M194" s="1190"/>
      <c r="N194" s="517"/>
      <c r="X194" s="574"/>
    </row>
    <row r="195" spans="1:27" ht="16.2" thickBot="1" x14ac:dyDescent="0.35">
      <c r="D195" s="1189" t="s">
        <v>891</v>
      </c>
      <c r="E195" s="1189"/>
      <c r="F195" s="1189"/>
      <c r="G195" s="1189"/>
      <c r="H195" s="1189"/>
      <c r="I195" s="1189"/>
      <c r="J195" s="1189"/>
      <c r="K195" s="1189"/>
      <c r="L195" s="1189"/>
      <c r="M195" s="1189"/>
      <c r="N195" s="517"/>
    </row>
    <row r="196" spans="1:27" x14ac:dyDescent="0.3">
      <c r="A196" s="1188">
        <v>9</v>
      </c>
      <c r="D196" s="1187">
        <v>1</v>
      </c>
      <c r="E196" s="1187" t="s">
        <v>883</v>
      </c>
      <c r="F196" s="1195"/>
      <c r="G196" s="1193"/>
      <c r="H196" s="1197"/>
      <c r="I196" s="1193"/>
      <c r="J196" s="1193"/>
      <c r="K196" s="1193"/>
      <c r="L196" s="1193"/>
      <c r="M196" s="1191">
        <v>8606.9031854657169</v>
      </c>
      <c r="N196" s="101"/>
      <c r="X196" s="574"/>
    </row>
    <row r="197" spans="1:27" x14ac:dyDescent="0.3">
      <c r="A197" s="1188">
        <v>10</v>
      </c>
      <c r="D197" s="1187">
        <v>2</v>
      </c>
      <c r="E197" s="1187" t="s">
        <v>560</v>
      </c>
      <c r="F197" s="1195"/>
      <c r="G197" s="1193"/>
      <c r="H197" s="1193"/>
      <c r="I197" s="1193"/>
      <c r="J197" s="1193"/>
      <c r="K197" s="1193"/>
      <c r="L197" s="1193"/>
      <c r="M197" s="1191">
        <v>44306.54977402059</v>
      </c>
      <c r="N197" s="101"/>
      <c r="X197" s="574"/>
    </row>
    <row r="198" spans="1:27" x14ac:dyDescent="0.3">
      <c r="A198" s="1188">
        <v>11</v>
      </c>
      <c r="D198" s="1187">
        <v>3</v>
      </c>
      <c r="E198" s="1187" t="s">
        <v>561</v>
      </c>
      <c r="F198" s="1195"/>
      <c r="G198" s="1193"/>
      <c r="H198" s="1193"/>
      <c r="I198" s="1193"/>
      <c r="J198" s="1193"/>
      <c r="K198" s="1193"/>
      <c r="L198" s="1193"/>
      <c r="M198" s="1191">
        <v>13700.931774391835</v>
      </c>
      <c r="N198" s="101"/>
      <c r="X198" s="574"/>
    </row>
    <row r="199" spans="1:27" x14ac:dyDescent="0.3">
      <c r="A199" s="1188">
        <v>12</v>
      </c>
      <c r="D199" s="1187">
        <v>4</v>
      </c>
      <c r="E199" s="1187" t="s">
        <v>238</v>
      </c>
      <c r="F199" s="1195"/>
      <c r="G199" s="1193"/>
      <c r="H199" s="1193"/>
      <c r="I199" s="1193"/>
      <c r="J199" s="1193"/>
      <c r="K199" s="1193"/>
      <c r="L199" s="1193"/>
      <c r="M199" s="1191">
        <v>0</v>
      </c>
      <c r="N199" s="101"/>
      <c r="X199" s="574"/>
    </row>
    <row r="200" spans="1:27" ht="15.6" x14ac:dyDescent="0.3">
      <c r="A200" s="1188">
        <v>13</v>
      </c>
      <c r="D200" s="1187">
        <v>5</v>
      </c>
      <c r="E200" s="1187" t="s">
        <v>238</v>
      </c>
      <c r="F200" s="1195"/>
      <c r="G200" s="1193"/>
      <c r="H200" s="1193"/>
      <c r="I200" s="1193"/>
      <c r="J200" s="1193"/>
      <c r="K200" s="1193"/>
      <c r="L200" s="1193"/>
      <c r="M200" s="1191">
        <v>0</v>
      </c>
      <c r="N200" s="517"/>
      <c r="X200" s="574"/>
    </row>
    <row r="201" spans="1:27" ht="15.6" x14ac:dyDescent="0.3">
      <c r="A201" s="1188">
        <v>14</v>
      </c>
      <c r="D201" s="1187">
        <v>6</v>
      </c>
      <c r="E201" s="1187" t="s">
        <v>238</v>
      </c>
      <c r="F201" s="1195"/>
      <c r="G201" s="1193"/>
      <c r="H201" s="1193"/>
      <c r="I201" s="1193"/>
      <c r="J201" s="1193"/>
      <c r="K201" s="1193"/>
      <c r="L201" s="1193"/>
      <c r="M201" s="1191">
        <v>0</v>
      </c>
      <c r="N201" s="517"/>
      <c r="X201" s="574"/>
    </row>
    <row r="202" spans="1:27" x14ac:dyDescent="0.3">
      <c r="D202" s="1187"/>
      <c r="E202" s="1187"/>
      <c r="F202" s="1190"/>
      <c r="G202" s="1193"/>
      <c r="H202" s="1193"/>
      <c r="I202" s="1193"/>
      <c r="J202" s="1193"/>
      <c r="K202" s="1193"/>
      <c r="L202" s="1193"/>
      <c r="M202" s="1190"/>
      <c r="N202" s="101"/>
      <c r="X202" s="574"/>
    </row>
    <row r="203" spans="1:27" ht="15" thickBot="1" x14ac:dyDescent="0.35">
      <c r="D203" s="1189" t="s">
        <v>886</v>
      </c>
      <c r="E203" s="1189"/>
      <c r="F203" s="1189"/>
      <c r="G203" s="1189"/>
      <c r="H203" s="1189"/>
      <c r="I203" s="1189"/>
      <c r="J203" s="1189"/>
      <c r="K203" s="1189"/>
      <c r="L203" s="1189"/>
      <c r="M203" s="1189"/>
      <c r="N203" s="101"/>
    </row>
    <row r="204" spans="1:27" x14ac:dyDescent="0.3">
      <c r="A204" s="1188">
        <v>15</v>
      </c>
      <c r="D204" s="1187"/>
      <c r="E204" s="1187"/>
      <c r="F204" s="1190"/>
      <c r="G204" s="1198">
        <v>0.41085855879858602</v>
      </c>
      <c r="H204" s="1198">
        <v>0.22115713227005315</v>
      </c>
      <c r="I204" s="1198">
        <v>0.41044578476897514</v>
      </c>
      <c r="J204" s="1198">
        <v>0</v>
      </c>
      <c r="K204" s="1198">
        <v>1.2272169654547864</v>
      </c>
      <c r="L204" s="1198">
        <v>-4.4996499848898924E-3</v>
      </c>
      <c r="M204" s="1190"/>
      <c r="N204" s="101"/>
      <c r="X204" s="574"/>
    </row>
    <row r="205" spans="1:27" x14ac:dyDescent="0.3">
      <c r="D205" s="1187"/>
      <c r="E205" s="1187"/>
      <c r="F205" s="1190"/>
      <c r="G205" s="1193"/>
      <c r="H205" s="1193"/>
      <c r="I205" s="1193"/>
      <c r="J205" s="1193"/>
      <c r="K205" s="1193"/>
      <c r="L205" s="1193"/>
      <c r="M205" s="1190"/>
      <c r="N205" s="101"/>
      <c r="X205" s="574"/>
    </row>
    <row r="206" spans="1:27" ht="16.2" thickBot="1" x14ac:dyDescent="0.35">
      <c r="D206" s="1189" t="s">
        <v>887</v>
      </c>
      <c r="E206" s="1189"/>
      <c r="F206" s="1189"/>
      <c r="G206" s="1189"/>
      <c r="H206" s="1189"/>
      <c r="I206" s="1189"/>
      <c r="J206" s="1189"/>
      <c r="K206" s="1189"/>
      <c r="L206" s="1189"/>
      <c r="M206" s="1189"/>
      <c r="N206" s="517"/>
      <c r="Z206" s="1187" t="s">
        <v>888</v>
      </c>
    </row>
    <row r="207" spans="1:27" ht="15.6" x14ac:dyDescent="0.3">
      <c r="A207" s="1188">
        <v>16</v>
      </c>
      <c r="D207" s="1187">
        <v>1</v>
      </c>
      <c r="E207" s="1187" t="s">
        <v>883</v>
      </c>
      <c r="F207" s="1199"/>
      <c r="G207" s="1198">
        <v>1.0231607625007257</v>
      </c>
      <c r="H207" s="1198">
        <v>0.36374172356020706</v>
      </c>
      <c r="I207" s="1198">
        <v>0.37689778094678716</v>
      </c>
      <c r="J207" s="1198">
        <v>0</v>
      </c>
      <c r="K207" s="1198">
        <v>1.6717509811788129</v>
      </c>
      <c r="L207" s="1198">
        <v>-4.4996499848898924E-3</v>
      </c>
      <c r="M207" s="1203">
        <v>3.431051598201643</v>
      </c>
      <c r="N207" s="517"/>
      <c r="X207" s="1200">
        <f>M207/M208</f>
        <v>1.5626568816455568</v>
      </c>
      <c r="Z207" s="1200">
        <f>AA207/AA208</f>
        <v>1.3999999999999997</v>
      </c>
      <c r="AA207" s="1291">
        <v>3.1255505334481031</v>
      </c>
    </row>
    <row r="208" spans="1:27" x14ac:dyDescent="0.3">
      <c r="A208" s="1188">
        <v>17</v>
      </c>
      <c r="D208" s="1187">
        <v>2</v>
      </c>
      <c r="E208" s="1187" t="s">
        <v>560</v>
      </c>
      <c r="F208" s="1199"/>
      <c r="G208" s="1198">
        <v>0.32130766908631975</v>
      </c>
      <c r="H208" s="1198">
        <v>0.21443574573357943</v>
      </c>
      <c r="I208" s="1198">
        <v>0.43786960133467739</v>
      </c>
      <c r="J208" s="1198">
        <v>0</v>
      </c>
      <c r="K208" s="1198">
        <v>1.2265392038228837</v>
      </c>
      <c r="L208" s="1198">
        <v>-4.4996499848898924E-3</v>
      </c>
      <c r="M208" s="1203">
        <v>2.1956525699925704</v>
      </c>
      <c r="N208" s="101"/>
      <c r="X208" s="1200">
        <f>M208/M208</f>
        <v>1</v>
      </c>
      <c r="Z208" s="1200">
        <v>1</v>
      </c>
      <c r="AA208" s="1291">
        <v>2.2325360953200741</v>
      </c>
    </row>
    <row r="209" spans="1:28" x14ac:dyDescent="0.3">
      <c r="A209" s="1188">
        <v>18</v>
      </c>
      <c r="D209" s="1187">
        <v>3</v>
      </c>
      <c r="E209" s="1187" t="s">
        <v>561</v>
      </c>
      <c r="F209" s="1199"/>
      <c r="G209" s="1198">
        <v>0.21771355336594206</v>
      </c>
      <c r="H209" s="1198">
        <v>0.12263027721057129</v>
      </c>
      <c r="I209" s="1198">
        <v>0.34283649454318949</v>
      </c>
      <c r="J209" s="1198">
        <v>0</v>
      </c>
      <c r="K209" s="1198">
        <v>0.9791998665057382</v>
      </c>
      <c r="L209" s="1198">
        <v>-4.4996499848898924E-3</v>
      </c>
      <c r="M209" s="1203">
        <v>1.6578805416405511</v>
      </c>
      <c r="N209" s="101"/>
      <c r="X209" s="1200">
        <f>M209/M208</f>
        <v>0.75507416988388154</v>
      </c>
      <c r="Z209" s="1200">
        <f>X209</f>
        <v>0.75507416988388154</v>
      </c>
      <c r="AA209" s="1291">
        <v>1.685730338909607</v>
      </c>
      <c r="AB209" s="1205"/>
    </row>
    <row r="210" spans="1:28" x14ac:dyDescent="0.3">
      <c r="A210" s="1188">
        <v>19</v>
      </c>
      <c r="D210" s="1187">
        <v>4</v>
      </c>
      <c r="E210" s="1187" t="s">
        <v>238</v>
      </c>
      <c r="F210" s="1199"/>
      <c r="G210" s="1198">
        <v>0</v>
      </c>
      <c r="H210" s="1198">
        <v>0</v>
      </c>
      <c r="I210" s="1198">
        <v>0</v>
      </c>
      <c r="J210" s="1198">
        <v>0</v>
      </c>
      <c r="K210" s="1198">
        <v>0</v>
      </c>
      <c r="L210" s="1198">
        <v>0</v>
      </c>
      <c r="M210" s="1201">
        <v>0</v>
      </c>
      <c r="N210" s="101"/>
      <c r="X210" s="574"/>
    </row>
    <row r="211" spans="1:28" x14ac:dyDescent="0.3">
      <c r="A211" s="1188">
        <v>20</v>
      </c>
      <c r="D211" s="1187">
        <v>5</v>
      </c>
      <c r="E211" s="1187" t="s">
        <v>238</v>
      </c>
      <c r="F211" s="1199"/>
      <c r="G211" s="1198">
        <v>0</v>
      </c>
      <c r="H211" s="1198">
        <v>0</v>
      </c>
      <c r="I211" s="1198">
        <v>0</v>
      </c>
      <c r="J211" s="1198">
        <v>0</v>
      </c>
      <c r="K211" s="1198">
        <v>0</v>
      </c>
      <c r="L211" s="1198">
        <v>0</v>
      </c>
      <c r="M211" s="1201">
        <v>0</v>
      </c>
      <c r="N211" s="101"/>
    </row>
    <row r="212" spans="1:28" ht="15.6" x14ac:dyDescent="0.3">
      <c r="A212" s="1188">
        <v>21</v>
      </c>
      <c r="D212" s="1187">
        <v>6</v>
      </c>
      <c r="E212" s="1187" t="s">
        <v>238</v>
      </c>
      <c r="F212" s="1199"/>
      <c r="G212" s="1198">
        <v>0</v>
      </c>
      <c r="H212" s="1198">
        <v>0</v>
      </c>
      <c r="I212" s="1198">
        <v>0</v>
      </c>
      <c r="J212" s="1198">
        <v>0</v>
      </c>
      <c r="K212" s="1198">
        <v>0</v>
      </c>
      <c r="L212" s="1198">
        <v>0</v>
      </c>
      <c r="M212" s="1201">
        <v>0</v>
      </c>
      <c r="N212" s="517"/>
      <c r="X212" s="574"/>
    </row>
    <row r="213" spans="1:28" ht="15.6" x14ac:dyDescent="0.3">
      <c r="D213" s="1187"/>
      <c r="E213" s="1187"/>
      <c r="F213" s="1190"/>
      <c r="G213" s="1193"/>
      <c r="H213" s="1193"/>
      <c r="I213" s="1193"/>
      <c r="J213" s="1193"/>
      <c r="K213" s="1193"/>
      <c r="L213" s="1193"/>
      <c r="M213" s="1190"/>
      <c r="N213" s="517"/>
      <c r="X213" s="574"/>
    </row>
    <row r="214" spans="1:28" ht="15" thickBot="1" x14ac:dyDescent="0.35">
      <c r="D214" s="1189" t="s">
        <v>433</v>
      </c>
      <c r="E214" s="1189"/>
      <c r="F214" s="1189"/>
      <c r="G214" s="1189"/>
      <c r="H214" s="1189"/>
      <c r="I214" s="1189"/>
      <c r="J214" s="1189"/>
      <c r="K214" s="1189"/>
      <c r="L214" s="1189"/>
      <c r="M214" s="1189"/>
      <c r="N214" s="101"/>
    </row>
    <row r="215" spans="1:28" x14ac:dyDescent="0.3">
      <c r="A215" s="1188">
        <v>22</v>
      </c>
      <c r="D215" s="1187"/>
      <c r="E215" s="1187" t="s">
        <v>889</v>
      </c>
      <c r="F215" s="1190"/>
      <c r="G215" s="1191">
        <v>260251.58400185776</v>
      </c>
      <c r="H215" s="1191">
        <v>143117.46902407991</v>
      </c>
      <c r="I215" s="1191">
        <v>273415.93418999197</v>
      </c>
      <c r="J215" s="1191">
        <v>0</v>
      </c>
      <c r="K215" s="1191">
        <v>821482.69693668257</v>
      </c>
      <c r="L215" s="1191">
        <v>-2997.4141526124422</v>
      </c>
      <c r="M215" s="1192">
        <v>1495270.2699999996</v>
      </c>
      <c r="N215" s="101"/>
    </row>
    <row r="216" spans="1:28" x14ac:dyDescent="0.3">
      <c r="A216" s="1188">
        <v>23</v>
      </c>
      <c r="D216" s="1187"/>
      <c r="E216" s="1187" t="s">
        <v>168</v>
      </c>
      <c r="F216" s="1190"/>
      <c r="G216" s="1191" t="b">
        <v>1</v>
      </c>
      <c r="H216" s="1191" t="b">
        <v>1</v>
      </c>
      <c r="I216" s="1191" t="b">
        <v>1</v>
      </c>
      <c r="J216" s="1191" t="b">
        <v>1</v>
      </c>
      <c r="K216" s="1191" t="b">
        <v>1</v>
      </c>
      <c r="L216" s="1191" t="b">
        <v>1</v>
      </c>
      <c r="M216" s="1191" t="b">
        <v>1</v>
      </c>
      <c r="N216" s="101"/>
    </row>
    <row r="217" spans="1:28" x14ac:dyDescent="0.3">
      <c r="N217" s="101"/>
    </row>
    <row r="218" spans="1:28" ht="15" thickBot="1" x14ac:dyDescent="0.35">
      <c r="D218" s="1189" t="s">
        <v>893</v>
      </c>
      <c r="E218" s="1189"/>
      <c r="F218" s="1189"/>
      <c r="G218" s="1189"/>
      <c r="H218" s="1189"/>
      <c r="I218" s="1189"/>
      <c r="J218" s="1189"/>
      <c r="K218" s="1189"/>
      <c r="L218" s="1189"/>
      <c r="M218" s="1189"/>
    </row>
    <row r="219" spans="1:28" x14ac:dyDescent="0.3">
      <c r="A219" s="1188">
        <v>24</v>
      </c>
      <c r="D219" s="1187">
        <v>1</v>
      </c>
      <c r="E219" s="1187" t="s">
        <v>883</v>
      </c>
      <c r="G219" s="1198">
        <v>0</v>
      </c>
      <c r="H219" s="1198">
        <v>0</v>
      </c>
      <c r="I219" s="1198">
        <v>0</v>
      </c>
      <c r="J219" s="1198">
        <v>0</v>
      </c>
      <c r="K219" s="1198">
        <v>0</v>
      </c>
      <c r="L219" s="1198">
        <v>0</v>
      </c>
      <c r="M219" s="1204">
        <v>2.59</v>
      </c>
      <c r="X219" s="1200">
        <f>M219/SUM($M$219:$M$221)</f>
        <v>0.25778790909895533</v>
      </c>
    </row>
    <row r="220" spans="1:28" x14ac:dyDescent="0.3">
      <c r="A220" s="1188">
        <v>25</v>
      </c>
      <c r="D220" s="1187">
        <v>2</v>
      </c>
      <c r="E220" s="1187" t="s">
        <v>599</v>
      </c>
      <c r="G220" s="1198">
        <v>0</v>
      </c>
      <c r="H220" s="1198">
        <v>0</v>
      </c>
      <c r="I220" s="1198">
        <v>0</v>
      </c>
      <c r="J220" s="1198">
        <v>0</v>
      </c>
      <c r="K220" s="1198">
        <v>0</v>
      </c>
      <c r="L220" s="1198">
        <v>0</v>
      </c>
      <c r="M220" s="1204">
        <v>5.1379460117312394</v>
      </c>
      <c r="X220" s="1200">
        <f>M220/SUM($M$219:$M$221)</f>
        <v>0.51139010016506292</v>
      </c>
    </row>
    <row r="221" spans="1:28" x14ac:dyDescent="0.3">
      <c r="A221" s="1188">
        <v>26</v>
      </c>
      <c r="D221" s="1187">
        <v>3</v>
      </c>
      <c r="E221" s="1187" t="s">
        <v>145</v>
      </c>
      <c r="G221" s="1198">
        <v>0</v>
      </c>
      <c r="H221" s="1198">
        <v>0</v>
      </c>
      <c r="I221" s="1198">
        <v>0</v>
      </c>
      <c r="J221" s="1198">
        <v>0</v>
      </c>
      <c r="K221" s="1198">
        <v>0</v>
      </c>
      <c r="L221" s="1198">
        <v>0</v>
      </c>
      <c r="M221" s="1204">
        <v>2.3190729080187698</v>
      </c>
      <c r="X221" s="1200">
        <f>M221/SUM($M$219:$M$221)</f>
        <v>0.23082199073598172</v>
      </c>
    </row>
    <row r="223" spans="1:28" ht="15" thickBot="1" x14ac:dyDescent="0.35">
      <c r="A223" s="123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23"/>
    </row>
    <row r="225" spans="1:14" x14ac:dyDescent="0.3">
      <c r="A225" s="100"/>
      <c r="B225" s="101"/>
      <c r="C225" s="101"/>
      <c r="D225" s="106"/>
      <c r="E225" s="101"/>
      <c r="F225" s="101"/>
      <c r="G225" s="101"/>
      <c r="H225" s="101"/>
      <c r="I225" s="101"/>
      <c r="J225" s="101"/>
      <c r="K225" s="101"/>
      <c r="L225" s="100"/>
      <c r="M225" s="466" t="s">
        <v>702</v>
      </c>
      <c r="N225" s="101"/>
    </row>
    <row r="226" spans="1:14" x14ac:dyDescent="0.3">
      <c r="A226" s="100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469" t="str">
        <f>M168</f>
        <v>DOCKET NO.  20240025-EI</v>
      </c>
      <c r="N226" s="101"/>
    </row>
    <row r="227" spans="1:14" x14ac:dyDescent="0.3">
      <c r="A227" s="100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469" t="s">
        <v>703</v>
      </c>
      <c r="N227" s="101"/>
    </row>
    <row r="228" spans="1:14" x14ac:dyDescent="0.3">
      <c r="A228" s="100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466" t="s">
        <v>868</v>
      </c>
      <c r="N228" s="101"/>
    </row>
    <row r="229" spans="1:14" x14ac:dyDescent="0.3">
      <c r="A229" s="100"/>
      <c r="B229" s="101"/>
      <c r="C229" s="21"/>
      <c r="D229" s="101"/>
      <c r="E229" s="101"/>
      <c r="F229" s="101"/>
      <c r="G229" s="101"/>
      <c r="H229" s="101"/>
      <c r="I229" s="101"/>
      <c r="J229" s="101"/>
      <c r="K229" s="101"/>
      <c r="L229" s="100"/>
      <c r="M229" s="472" t="s">
        <v>896</v>
      </c>
      <c r="N229" s="101"/>
    </row>
    <row r="230" spans="1:14" ht="15.6" x14ac:dyDescent="0.3">
      <c r="A230" s="553" t="s">
        <v>870</v>
      </c>
      <c r="B230" s="554"/>
      <c r="C230" s="554"/>
      <c r="D230" s="555"/>
      <c r="E230" s="555"/>
      <c r="F230" s="555"/>
      <c r="G230" s="555"/>
      <c r="H230" s="555"/>
      <c r="I230" s="555"/>
      <c r="J230" s="555"/>
      <c r="K230" s="555"/>
      <c r="L230" s="555"/>
      <c r="M230" s="343" t="s">
        <v>204</v>
      </c>
      <c r="N230" s="517"/>
    </row>
    <row r="231" spans="1:14" ht="15.6" x14ac:dyDescent="0.3">
      <c r="A231" s="556"/>
      <c r="B231" s="557"/>
      <c r="C231" s="557"/>
      <c r="D231" s="555"/>
      <c r="E231" s="555"/>
      <c r="F231" s="555"/>
      <c r="G231" s="555"/>
      <c r="H231" s="555"/>
      <c r="I231" s="555"/>
      <c r="J231" s="555"/>
      <c r="K231" s="555"/>
      <c r="L231" s="555"/>
      <c r="M231" s="555"/>
      <c r="N231" s="517"/>
    </row>
    <row r="232" spans="1:14" ht="15.6" x14ac:dyDescent="0.3">
      <c r="A232" s="556"/>
      <c r="B232" s="557"/>
      <c r="C232" s="557"/>
      <c r="D232" s="555"/>
      <c r="E232" s="555"/>
      <c r="F232" s="555"/>
      <c r="G232" s="555"/>
      <c r="H232" s="555"/>
      <c r="I232" s="555"/>
      <c r="J232" s="555"/>
      <c r="K232" s="555"/>
      <c r="L232" s="555"/>
      <c r="M232" s="555"/>
      <c r="N232" s="517"/>
    </row>
    <row r="233" spans="1:14" ht="15.6" x14ac:dyDescent="0.3">
      <c r="A233" s="1387" t="s">
        <v>897</v>
      </c>
      <c r="B233" s="1388"/>
      <c r="C233" s="1388"/>
      <c r="D233" s="1388"/>
      <c r="E233" s="1388"/>
      <c r="F233" s="1388"/>
      <c r="G233" s="1388"/>
      <c r="H233" s="1388"/>
      <c r="I233" s="1388"/>
      <c r="J233" s="1388"/>
      <c r="K233" s="1388"/>
      <c r="L233" s="1388"/>
      <c r="M233" s="1388"/>
      <c r="N233" s="517"/>
    </row>
    <row r="234" spans="1:14" x14ac:dyDescent="0.3">
      <c r="A234" s="558"/>
      <c r="B234" s="542"/>
      <c r="C234" s="542"/>
      <c r="D234" s="515"/>
      <c r="E234" s="515"/>
      <c r="F234" s="515"/>
      <c r="G234" s="515"/>
      <c r="H234" s="515"/>
      <c r="I234" s="515"/>
      <c r="J234" s="515"/>
      <c r="K234" s="515"/>
      <c r="L234" s="515"/>
      <c r="M234" s="515"/>
      <c r="N234" s="515"/>
    </row>
    <row r="235" spans="1:14" x14ac:dyDescent="0.3">
      <c r="A235" s="559"/>
      <c r="B235" s="560"/>
      <c r="C235" s="560"/>
      <c r="D235" s="561">
        <v>-1</v>
      </c>
      <c r="E235" s="561"/>
      <c r="F235" s="562"/>
      <c r="G235" s="561">
        <f>+D235-1</f>
        <v>-2</v>
      </c>
      <c r="H235" s="561">
        <f t="shared" ref="H235:M235" si="4">+G235-1</f>
        <v>-3</v>
      </c>
      <c r="I235" s="561">
        <f t="shared" si="4"/>
        <v>-4</v>
      </c>
      <c r="J235" s="561">
        <f t="shared" si="4"/>
        <v>-5</v>
      </c>
      <c r="K235" s="561">
        <f t="shared" si="4"/>
        <v>-6</v>
      </c>
      <c r="L235" s="561">
        <f t="shared" si="4"/>
        <v>-7</v>
      </c>
      <c r="M235" s="561">
        <f t="shared" si="4"/>
        <v>-8</v>
      </c>
      <c r="N235" s="515"/>
    </row>
    <row r="236" spans="1:14" x14ac:dyDescent="0.3">
      <c r="A236" s="563"/>
      <c r="B236" s="564"/>
      <c r="C236" s="564"/>
      <c r="D236" s="564"/>
      <c r="E236" s="564"/>
      <c r="F236" s="564"/>
      <c r="G236" s="564"/>
      <c r="H236" s="565"/>
      <c r="I236" s="564"/>
      <c r="J236" s="565"/>
      <c r="K236" s="515"/>
      <c r="L236" s="515"/>
      <c r="M236" s="515"/>
      <c r="N236" s="564"/>
    </row>
    <row r="237" spans="1:14" ht="27.6" x14ac:dyDescent="0.3">
      <c r="A237" s="563"/>
      <c r="B237" s="564"/>
      <c r="C237" s="564"/>
      <c r="D237" s="564"/>
      <c r="E237" s="564"/>
      <c r="F237" s="564"/>
      <c r="G237" s="565" t="s">
        <v>415</v>
      </c>
      <c r="H237" s="566" t="s">
        <v>216</v>
      </c>
      <c r="I237" s="567" t="s">
        <v>871</v>
      </c>
      <c r="J237" s="565" t="s">
        <v>872</v>
      </c>
      <c r="K237" s="567" t="s">
        <v>415</v>
      </c>
      <c r="L237" s="567" t="s">
        <v>873</v>
      </c>
      <c r="M237" s="568" t="s">
        <v>121</v>
      </c>
      <c r="N237" s="564"/>
    </row>
    <row r="238" spans="1:14" x14ac:dyDescent="0.3">
      <c r="A238" s="569" t="s">
        <v>30</v>
      </c>
      <c r="B238" s="570"/>
      <c r="C238" s="570"/>
      <c r="D238" s="571"/>
      <c r="E238" s="571"/>
      <c r="F238" s="571"/>
      <c r="G238" s="572" t="s">
        <v>874</v>
      </c>
      <c r="H238" s="572" t="s">
        <v>874</v>
      </c>
      <c r="I238" s="573" t="s">
        <v>148</v>
      </c>
      <c r="J238" s="573" t="s">
        <v>149</v>
      </c>
      <c r="K238" s="573" t="s">
        <v>141</v>
      </c>
      <c r="L238" s="573"/>
      <c r="M238" s="524"/>
      <c r="N238" s="567"/>
    </row>
    <row r="239" spans="1:14" ht="15" thickBot="1" x14ac:dyDescent="0.35">
      <c r="D239" s="1189" t="s">
        <v>875</v>
      </c>
      <c r="E239" s="1189"/>
      <c r="F239" s="1189"/>
      <c r="G239" s="1189"/>
      <c r="H239" s="1189"/>
      <c r="I239" s="1189"/>
      <c r="J239" s="1189"/>
      <c r="K239" s="1189"/>
      <c r="L239" s="1189"/>
      <c r="M239" s="1189"/>
      <c r="N239" s="515"/>
    </row>
    <row r="240" spans="1:14" x14ac:dyDescent="0.3">
      <c r="A240" s="1188">
        <v>1</v>
      </c>
      <c r="D240" s="1187"/>
      <c r="E240" s="1187"/>
      <c r="F240" s="1190"/>
      <c r="G240" s="1191">
        <v>7724104.3777790219</v>
      </c>
      <c r="H240" s="1191">
        <v>4247637.04422893</v>
      </c>
      <c r="I240" s="1191">
        <v>3514752.2759695835</v>
      </c>
      <c r="J240" s="1191">
        <v>0</v>
      </c>
      <c r="K240" s="1191">
        <v>34633592.828855522</v>
      </c>
      <c r="L240" s="1191">
        <v>-101138.67683305941</v>
      </c>
      <c r="M240" s="1192">
        <v>50018947.850000001</v>
      </c>
      <c r="N240" s="564"/>
    </row>
    <row r="241" spans="1:14" x14ac:dyDescent="0.3">
      <c r="D241" s="1187"/>
      <c r="E241" s="1187"/>
      <c r="F241" s="1190"/>
      <c r="G241" s="1193"/>
      <c r="H241" s="1193"/>
      <c r="I241" s="1193"/>
      <c r="J241" s="1193"/>
      <c r="K241" s="1193"/>
      <c r="L241" s="1193"/>
      <c r="M241" s="1190"/>
      <c r="N241" s="564"/>
    </row>
    <row r="242" spans="1:14" ht="15" thickBot="1" x14ac:dyDescent="0.35">
      <c r="D242" s="1189" t="s">
        <v>876</v>
      </c>
      <c r="E242" s="1189"/>
      <c r="F242" s="1189"/>
      <c r="G242" s="1189"/>
      <c r="H242" s="1189"/>
      <c r="I242" s="1189"/>
      <c r="J242" s="1189"/>
      <c r="K242" s="1189"/>
      <c r="L242" s="1189"/>
      <c r="M242" s="1189"/>
      <c r="N242" s="101"/>
    </row>
    <row r="243" spans="1:14" x14ac:dyDescent="0.3">
      <c r="A243" s="1188">
        <v>2</v>
      </c>
      <c r="D243" s="1187"/>
      <c r="E243" s="1187"/>
      <c r="F243" s="1190"/>
      <c r="G243" s="1194" t="s">
        <v>877</v>
      </c>
      <c r="H243" s="1194" t="s">
        <v>878</v>
      </c>
      <c r="I243" s="1194" t="s">
        <v>879</v>
      </c>
      <c r="J243" s="1194" t="s">
        <v>879</v>
      </c>
      <c r="K243" s="1194" t="s">
        <v>880</v>
      </c>
      <c r="L243" s="1194" t="s">
        <v>881</v>
      </c>
      <c r="M243" s="1187"/>
      <c r="N243" s="101"/>
    </row>
    <row r="244" spans="1:14" x14ac:dyDescent="0.3">
      <c r="D244" s="1187"/>
      <c r="E244" s="1187"/>
      <c r="F244" s="1190"/>
      <c r="G244" s="1193"/>
      <c r="H244" s="1193"/>
      <c r="I244" s="1193"/>
      <c r="J244" s="1193"/>
      <c r="K244" s="1193"/>
      <c r="L244" s="1193"/>
      <c r="M244" s="1190"/>
      <c r="N244" s="101"/>
    </row>
    <row r="245" spans="1:14" ht="15" thickBot="1" x14ac:dyDescent="0.35">
      <c r="D245" s="1189" t="s">
        <v>882</v>
      </c>
      <c r="E245" s="1189"/>
      <c r="F245" s="1189"/>
      <c r="G245" s="1189"/>
      <c r="H245" s="1189"/>
      <c r="I245" s="1189"/>
      <c r="J245" s="1189"/>
      <c r="K245" s="1189"/>
      <c r="L245" s="1189"/>
      <c r="M245" s="1189"/>
      <c r="N245" s="101"/>
    </row>
    <row r="246" spans="1:14" ht="15.6" x14ac:dyDescent="0.3">
      <c r="A246" s="1188">
        <v>3</v>
      </c>
      <c r="D246" s="1187">
        <v>1</v>
      </c>
      <c r="E246" s="1187" t="s">
        <v>883</v>
      </c>
      <c r="F246" s="1195"/>
      <c r="G246" s="1196">
        <v>2.490299254061072</v>
      </c>
      <c r="H246" s="1196">
        <v>1.6447207459538091</v>
      </c>
      <c r="I246" s="1196">
        <v>0.91826446983474097</v>
      </c>
      <c r="J246" s="1196">
        <v>0.91826446983474097</v>
      </c>
      <c r="K246" s="1202">
        <v>1.3622293597931883</v>
      </c>
      <c r="L246" s="1196">
        <v>1</v>
      </c>
      <c r="M246" s="1190"/>
      <c r="N246" s="517"/>
    </row>
    <row r="247" spans="1:14" ht="15.6" x14ac:dyDescent="0.3">
      <c r="A247" s="1188">
        <v>4</v>
      </c>
      <c r="D247" s="1187">
        <v>2</v>
      </c>
      <c r="E247" s="1187" t="s">
        <v>560</v>
      </c>
      <c r="F247" s="1195"/>
      <c r="G247" s="1196">
        <v>0.78203961486374551</v>
      </c>
      <c r="H247" s="1196">
        <v>0.96960809507935608</v>
      </c>
      <c r="I247" s="1196">
        <v>1.0668147111832031</v>
      </c>
      <c r="J247" s="1196">
        <v>1.0668147111832031</v>
      </c>
      <c r="K247" s="1202">
        <v>0.99944772468847709</v>
      </c>
      <c r="L247" s="1196">
        <v>1</v>
      </c>
      <c r="M247" s="1190"/>
      <c r="N247" s="517"/>
    </row>
    <row r="248" spans="1:14" x14ac:dyDescent="0.3">
      <c r="A248" s="1188">
        <v>5</v>
      </c>
      <c r="D248" s="1187">
        <v>3</v>
      </c>
      <c r="E248" s="1187" t="s">
        <v>561</v>
      </c>
      <c r="F248" s="1195"/>
      <c r="G248" s="1196">
        <v>0.52989903387328763</v>
      </c>
      <c r="H248" s="1196">
        <v>0.55449388383653153</v>
      </c>
      <c r="I248" s="1196">
        <v>0.83527839063120013</v>
      </c>
      <c r="J248" s="1196">
        <v>0.83527839063120013</v>
      </c>
      <c r="K248" s="1202">
        <v>0.79790281105090721</v>
      </c>
      <c r="L248" s="1196">
        <v>1</v>
      </c>
      <c r="M248" s="1190"/>
      <c r="N248" s="101"/>
    </row>
    <row r="249" spans="1:14" x14ac:dyDescent="0.3">
      <c r="A249" s="1188">
        <v>6</v>
      </c>
      <c r="D249" s="1187">
        <v>4</v>
      </c>
      <c r="E249" s="1187" t="s">
        <v>238</v>
      </c>
      <c r="F249" s="1195"/>
      <c r="G249" s="1196">
        <v>0</v>
      </c>
      <c r="H249" s="1196">
        <v>0</v>
      </c>
      <c r="I249" s="1196">
        <v>0</v>
      </c>
      <c r="J249" s="1196">
        <v>0</v>
      </c>
      <c r="K249" s="1196">
        <v>0</v>
      </c>
      <c r="L249" s="1196">
        <v>0</v>
      </c>
      <c r="M249" s="1190"/>
      <c r="N249" s="101"/>
    </row>
    <row r="250" spans="1:14" x14ac:dyDescent="0.3">
      <c r="A250" s="1188">
        <v>7</v>
      </c>
      <c r="D250" s="1187">
        <v>5</v>
      </c>
      <c r="E250" s="1187" t="s">
        <v>238</v>
      </c>
      <c r="F250" s="1195"/>
      <c r="G250" s="1196">
        <v>0</v>
      </c>
      <c r="H250" s="1196">
        <v>0</v>
      </c>
      <c r="I250" s="1196">
        <v>0</v>
      </c>
      <c r="J250" s="1196">
        <v>0</v>
      </c>
      <c r="K250" s="1196">
        <v>0</v>
      </c>
      <c r="L250" s="1196">
        <v>0</v>
      </c>
      <c r="M250" s="1190"/>
      <c r="N250" s="101"/>
    </row>
    <row r="251" spans="1:14" x14ac:dyDescent="0.3">
      <c r="A251" s="1188">
        <v>8</v>
      </c>
      <c r="D251" s="1187">
        <v>6</v>
      </c>
      <c r="E251" s="1187" t="s">
        <v>238</v>
      </c>
      <c r="F251" s="1195"/>
      <c r="G251" s="1196">
        <v>0</v>
      </c>
      <c r="H251" s="1196">
        <v>0</v>
      </c>
      <c r="I251" s="1196">
        <v>0</v>
      </c>
      <c r="J251" s="1196">
        <v>0</v>
      </c>
      <c r="K251" s="1196">
        <v>0</v>
      </c>
      <c r="L251" s="1196">
        <v>0</v>
      </c>
      <c r="M251" s="1190"/>
      <c r="N251" s="101"/>
    </row>
    <row r="252" spans="1:14" ht="15.6" x14ac:dyDescent="0.3">
      <c r="D252" s="1187"/>
      <c r="E252" s="1187"/>
      <c r="F252" s="1190"/>
      <c r="G252" s="1193"/>
      <c r="H252" s="1193"/>
      <c r="I252" s="1193"/>
      <c r="J252" s="1193"/>
      <c r="K252" s="1193"/>
      <c r="L252" s="1193"/>
      <c r="M252" s="1190"/>
      <c r="N252" s="517"/>
    </row>
    <row r="253" spans="1:14" ht="16.2" thickBot="1" x14ac:dyDescent="0.35">
      <c r="D253" s="1189" t="s">
        <v>891</v>
      </c>
      <c r="E253" s="1189"/>
      <c r="F253" s="1189"/>
      <c r="G253" s="1189"/>
      <c r="H253" s="1189"/>
      <c r="I253" s="1189"/>
      <c r="J253" s="1189"/>
      <c r="K253" s="1189"/>
      <c r="L253" s="1189"/>
      <c r="M253" s="1189"/>
      <c r="N253" s="517"/>
    </row>
    <row r="254" spans="1:14" x14ac:dyDescent="0.3">
      <c r="A254" s="1188">
        <v>9</v>
      </c>
      <c r="D254" s="1187">
        <v>1</v>
      </c>
      <c r="E254" s="1187" t="s">
        <v>883</v>
      </c>
      <c r="F254" s="1195"/>
      <c r="G254" s="1193"/>
      <c r="H254" s="1197"/>
      <c r="I254" s="1193"/>
      <c r="J254" s="1193"/>
      <c r="K254" s="1193"/>
      <c r="L254" s="1193"/>
      <c r="M254" s="1191">
        <v>311131.61350879428</v>
      </c>
      <c r="N254" s="101"/>
    </row>
    <row r="255" spans="1:14" x14ac:dyDescent="0.3">
      <c r="A255" s="1188">
        <v>10</v>
      </c>
      <c r="D255" s="1187">
        <v>2</v>
      </c>
      <c r="E255" s="1187" t="s">
        <v>560</v>
      </c>
      <c r="F255" s="1195"/>
      <c r="G255" s="1193"/>
      <c r="H255" s="1193"/>
      <c r="I255" s="1193"/>
      <c r="J255" s="1193"/>
      <c r="K255" s="1193"/>
      <c r="L255" s="1193"/>
      <c r="M255" s="1191">
        <v>1601640.9181269091</v>
      </c>
      <c r="N255" s="101"/>
    </row>
    <row r="256" spans="1:14" x14ac:dyDescent="0.3">
      <c r="A256" s="1188">
        <v>11</v>
      </c>
      <c r="D256" s="1187">
        <v>3</v>
      </c>
      <c r="E256" s="1187" t="s">
        <v>561</v>
      </c>
      <c r="F256" s="1195"/>
      <c r="G256" s="1193"/>
      <c r="H256" s="1193"/>
      <c r="I256" s="1193"/>
      <c r="J256" s="1193"/>
      <c r="K256" s="1193"/>
      <c r="L256" s="1193"/>
      <c r="M256" s="1191">
        <v>495276.04966428818</v>
      </c>
      <c r="N256" s="101"/>
    </row>
    <row r="257" spans="1:27" x14ac:dyDescent="0.3">
      <c r="A257" s="1188">
        <v>12</v>
      </c>
      <c r="D257" s="1187">
        <v>4</v>
      </c>
      <c r="E257" s="1187" t="s">
        <v>238</v>
      </c>
      <c r="F257" s="1195"/>
      <c r="G257" s="1193"/>
      <c r="H257" s="1193"/>
      <c r="I257" s="1193"/>
      <c r="J257" s="1193"/>
      <c r="K257" s="1193"/>
      <c r="L257" s="1193"/>
      <c r="M257" s="1191">
        <v>0</v>
      </c>
      <c r="N257" s="101"/>
    </row>
    <row r="258" spans="1:27" ht="15.6" x14ac:dyDescent="0.3">
      <c r="A258" s="1188">
        <v>13</v>
      </c>
      <c r="D258" s="1187">
        <v>5</v>
      </c>
      <c r="E258" s="1187" t="s">
        <v>238</v>
      </c>
      <c r="F258" s="1195"/>
      <c r="G258" s="1193"/>
      <c r="H258" s="1193"/>
      <c r="I258" s="1193"/>
      <c r="J258" s="1193"/>
      <c r="K258" s="1193"/>
      <c r="L258" s="1193"/>
      <c r="M258" s="1191">
        <v>0</v>
      </c>
      <c r="N258" s="517"/>
    </row>
    <row r="259" spans="1:27" ht="15.6" x14ac:dyDescent="0.3">
      <c r="A259" s="1188">
        <v>14</v>
      </c>
      <c r="D259" s="1187">
        <v>6</v>
      </c>
      <c r="E259" s="1187" t="s">
        <v>238</v>
      </c>
      <c r="F259" s="1195"/>
      <c r="G259" s="1193"/>
      <c r="H259" s="1193"/>
      <c r="I259" s="1193"/>
      <c r="J259" s="1193"/>
      <c r="K259" s="1193"/>
      <c r="L259" s="1193"/>
      <c r="M259" s="1191">
        <v>0</v>
      </c>
      <c r="N259" s="517"/>
    </row>
    <row r="260" spans="1:27" x14ac:dyDescent="0.3">
      <c r="D260" s="1187"/>
      <c r="E260" s="1187"/>
      <c r="F260" s="1190"/>
      <c r="G260" s="1193"/>
      <c r="H260" s="1193"/>
      <c r="I260" s="1193"/>
      <c r="J260" s="1193"/>
      <c r="K260" s="1193"/>
      <c r="L260" s="1193"/>
      <c r="M260" s="1190"/>
      <c r="N260" s="101"/>
    </row>
    <row r="261" spans="1:27" ht="15" thickBot="1" x14ac:dyDescent="0.35">
      <c r="D261" s="1189" t="s">
        <v>886</v>
      </c>
      <c r="E261" s="1189"/>
      <c r="F261" s="1189"/>
      <c r="G261" s="1189"/>
      <c r="H261" s="1189"/>
      <c r="I261" s="1189"/>
      <c r="J261" s="1189"/>
      <c r="K261" s="1189"/>
      <c r="L261" s="1189"/>
      <c r="M261" s="1189"/>
      <c r="N261" s="101"/>
    </row>
    <row r="262" spans="1:27" x14ac:dyDescent="0.3">
      <c r="A262" s="1188">
        <v>15</v>
      </c>
      <c r="D262" s="1187"/>
      <c r="E262" s="1187"/>
      <c r="F262" s="1190"/>
      <c r="G262" s="1198">
        <v>0.33732603955754814</v>
      </c>
      <c r="H262" s="1198">
        <v>0.18157601430212328</v>
      </c>
      <c r="I262" s="1198">
        <v>0.14595852854729849</v>
      </c>
      <c r="J262" s="1198">
        <v>0</v>
      </c>
      <c r="K262" s="1198">
        <v>1.4312755542367501</v>
      </c>
      <c r="L262" s="1198">
        <v>-4.200026428804831E-3</v>
      </c>
      <c r="M262" s="1190"/>
      <c r="N262" s="101"/>
    </row>
    <row r="263" spans="1:27" x14ac:dyDescent="0.3">
      <c r="D263" s="1187"/>
      <c r="E263" s="1187"/>
      <c r="F263" s="1190"/>
      <c r="G263" s="1193"/>
      <c r="H263" s="1193"/>
      <c r="I263" s="1193"/>
      <c r="J263" s="1193"/>
      <c r="K263" s="1193"/>
      <c r="L263" s="1193"/>
      <c r="M263" s="1190"/>
      <c r="N263" s="101"/>
    </row>
    <row r="264" spans="1:27" ht="16.2" thickBot="1" x14ac:dyDescent="0.35">
      <c r="D264" s="1189" t="s">
        <v>887</v>
      </c>
      <c r="E264" s="1189"/>
      <c r="F264" s="1189"/>
      <c r="G264" s="1189"/>
      <c r="H264" s="1189"/>
      <c r="I264" s="1189"/>
      <c r="J264" s="1189"/>
      <c r="K264" s="1189"/>
      <c r="L264" s="1189"/>
      <c r="M264" s="1189"/>
      <c r="N264" s="517"/>
      <c r="Z264" s="1187" t="s">
        <v>888</v>
      </c>
    </row>
    <row r="265" spans="1:27" ht="15.6" x14ac:dyDescent="0.3">
      <c r="A265" s="1188">
        <v>16</v>
      </c>
      <c r="D265" s="1187">
        <v>1</v>
      </c>
      <c r="E265" s="1187" t="s">
        <v>883</v>
      </c>
      <c r="F265" s="1199"/>
      <c r="G265" s="1198">
        <v>0.84004278468553784</v>
      </c>
      <c r="H265" s="1198">
        <v>0.29864183769030772</v>
      </c>
      <c r="I265" s="1198">
        <v>0.13402853083434396</v>
      </c>
      <c r="J265" s="1198">
        <v>0</v>
      </c>
      <c r="K265" s="1198">
        <v>1.9497255819355688</v>
      </c>
      <c r="L265" s="1198">
        <v>-4.200026428804831E-3</v>
      </c>
      <c r="M265" s="1203">
        <v>3.2182387087169531</v>
      </c>
      <c r="N265" s="517"/>
      <c r="X265" s="1200">
        <f>M265/M266</f>
        <v>1.5917252399647948</v>
      </c>
      <c r="Z265" s="1200">
        <f>AA265/AA266</f>
        <v>1.4000000000000001</v>
      </c>
      <c r="AA265" s="1296">
        <v>2.9059329225366595</v>
      </c>
    </row>
    <row r="266" spans="1:27" x14ac:dyDescent="0.3">
      <c r="A266" s="1188">
        <v>17</v>
      </c>
      <c r="D266" s="1187">
        <v>2</v>
      </c>
      <c r="E266" s="1187" t="s">
        <v>560</v>
      </c>
      <c r="F266" s="1199"/>
      <c r="G266" s="1198">
        <v>0.26380232605909754</v>
      </c>
      <c r="H266" s="1198">
        <v>0.17605757333958366</v>
      </c>
      <c r="I266" s="1198">
        <v>0.15571070547691154</v>
      </c>
      <c r="J266" s="1198">
        <v>0</v>
      </c>
      <c r="K266" s="1198">
        <v>1.4304850960841589</v>
      </c>
      <c r="L266" s="1198">
        <v>-4.200026428804831E-3</v>
      </c>
      <c r="M266" s="1203">
        <v>2.0218556745309466</v>
      </c>
      <c r="N266" s="101"/>
      <c r="X266" s="1200">
        <f>M266/M266</f>
        <v>1</v>
      </c>
      <c r="Z266" s="1200">
        <v>1</v>
      </c>
      <c r="AA266" s="1296">
        <v>2.075666373240471</v>
      </c>
    </row>
    <row r="267" spans="1:27" x14ac:dyDescent="0.3">
      <c r="A267" s="1188">
        <v>18</v>
      </c>
      <c r="D267" s="1187">
        <v>3</v>
      </c>
      <c r="E267" s="1187" t="s">
        <v>561</v>
      </c>
      <c r="F267" s="1199"/>
      <c r="G267" s="1198">
        <v>0.17874874246184716</v>
      </c>
      <c r="H267" s="1198">
        <v>0.10068278938194193</v>
      </c>
      <c r="I267" s="1198">
        <v>0.12191600482388557</v>
      </c>
      <c r="J267" s="1198">
        <v>0</v>
      </c>
      <c r="K267" s="1198">
        <v>1.1420187881139481</v>
      </c>
      <c r="L267" s="1198">
        <v>-4.200026428804831E-3</v>
      </c>
      <c r="M267" s="1203">
        <v>1.5391662983528178</v>
      </c>
      <c r="N267" s="101"/>
      <c r="X267" s="1200">
        <f>M267/M266</f>
        <v>0.76126417812185898</v>
      </c>
      <c r="Z267" s="1200">
        <v>0.78977426681713392</v>
      </c>
      <c r="AA267" s="1296">
        <v>1.580130455680087</v>
      </c>
    </row>
    <row r="268" spans="1:27" x14ac:dyDescent="0.3">
      <c r="A268" s="1188">
        <v>19</v>
      </c>
      <c r="D268" s="1187">
        <v>4</v>
      </c>
      <c r="E268" s="1187" t="s">
        <v>238</v>
      </c>
      <c r="F268" s="1199"/>
      <c r="G268" s="1198">
        <v>0</v>
      </c>
      <c r="H268" s="1198">
        <v>0</v>
      </c>
      <c r="I268" s="1198">
        <v>0</v>
      </c>
      <c r="J268" s="1198">
        <v>0</v>
      </c>
      <c r="K268" s="1198">
        <v>0</v>
      </c>
      <c r="L268" s="1198">
        <v>0</v>
      </c>
      <c r="M268" s="1201">
        <v>0</v>
      </c>
      <c r="N268" s="101"/>
      <c r="X268" s="574"/>
    </row>
    <row r="269" spans="1:27" x14ac:dyDescent="0.3">
      <c r="A269" s="1188">
        <v>20</v>
      </c>
      <c r="D269" s="1187">
        <v>5</v>
      </c>
      <c r="E269" s="1187" t="s">
        <v>238</v>
      </c>
      <c r="F269" s="1199"/>
      <c r="G269" s="1198">
        <v>0</v>
      </c>
      <c r="H269" s="1198">
        <v>0</v>
      </c>
      <c r="I269" s="1198">
        <v>0</v>
      </c>
      <c r="J269" s="1198">
        <v>0</v>
      </c>
      <c r="K269" s="1198">
        <v>0</v>
      </c>
      <c r="L269" s="1198">
        <v>0</v>
      </c>
      <c r="M269" s="1201">
        <v>0</v>
      </c>
      <c r="N269" s="101"/>
    </row>
    <row r="270" spans="1:27" ht="15.6" x14ac:dyDescent="0.3">
      <c r="A270" s="1188">
        <v>21</v>
      </c>
      <c r="D270" s="1187">
        <v>6</v>
      </c>
      <c r="E270" s="1187" t="s">
        <v>238</v>
      </c>
      <c r="F270" s="1199"/>
      <c r="G270" s="1198">
        <v>0</v>
      </c>
      <c r="H270" s="1198">
        <v>0</v>
      </c>
      <c r="I270" s="1198">
        <v>0</v>
      </c>
      <c r="J270" s="1198">
        <v>0</v>
      </c>
      <c r="K270" s="1198">
        <v>0</v>
      </c>
      <c r="L270" s="1198">
        <v>0</v>
      </c>
      <c r="M270" s="1201">
        <v>0</v>
      </c>
      <c r="N270" s="517"/>
      <c r="X270" s="574"/>
    </row>
    <row r="271" spans="1:27" ht="15.6" x14ac:dyDescent="0.3">
      <c r="D271" s="1187"/>
      <c r="E271" s="1187"/>
      <c r="F271" s="1190"/>
      <c r="G271" s="1193"/>
      <c r="H271" s="1193"/>
      <c r="I271" s="1193"/>
      <c r="J271" s="1193"/>
      <c r="K271" s="1193"/>
      <c r="L271" s="1193"/>
      <c r="M271" s="1190"/>
      <c r="N271" s="517"/>
      <c r="X271" s="574"/>
    </row>
    <row r="272" spans="1:27" ht="15" thickBot="1" x14ac:dyDescent="0.35">
      <c r="D272" s="1189" t="s">
        <v>433</v>
      </c>
      <c r="E272" s="1189"/>
      <c r="F272" s="1189"/>
      <c r="G272" s="1189"/>
      <c r="H272" s="1189"/>
      <c r="I272" s="1189"/>
      <c r="J272" s="1189"/>
      <c r="K272" s="1189"/>
      <c r="L272" s="1189"/>
      <c r="M272" s="1189"/>
      <c r="N272" s="101"/>
    </row>
    <row r="273" spans="1:24" x14ac:dyDescent="0.3">
      <c r="A273" s="1188">
        <v>22</v>
      </c>
      <c r="D273" s="1187"/>
      <c r="E273" s="1187" t="s">
        <v>889</v>
      </c>
      <c r="F273" s="1190"/>
      <c r="G273" s="1191">
        <v>7724104.3777790209</v>
      </c>
      <c r="H273" s="1191">
        <v>4247637.04422893</v>
      </c>
      <c r="I273" s="1191">
        <v>3514752.2759695826</v>
      </c>
      <c r="J273" s="1191">
        <v>0</v>
      </c>
      <c r="K273" s="1191">
        <v>34633592.828855515</v>
      </c>
      <c r="L273" s="1191">
        <v>-101138.67683305941</v>
      </c>
      <c r="M273" s="1192">
        <v>50018947.849999987</v>
      </c>
      <c r="N273" s="101"/>
    </row>
    <row r="274" spans="1:24" x14ac:dyDescent="0.3">
      <c r="A274" s="1188">
        <v>23</v>
      </c>
      <c r="D274" s="1187"/>
      <c r="E274" s="1187" t="s">
        <v>168</v>
      </c>
      <c r="F274" s="1190"/>
      <c r="G274" s="1191" t="b">
        <v>1</v>
      </c>
      <c r="H274" s="1191" t="b">
        <v>1</v>
      </c>
      <c r="I274" s="1191" t="b">
        <v>1</v>
      </c>
      <c r="J274" s="1191" t="b">
        <v>1</v>
      </c>
      <c r="K274" s="1191" t="b">
        <v>1</v>
      </c>
      <c r="L274" s="1191" t="b">
        <v>1</v>
      </c>
      <c r="M274" s="1191" t="b">
        <v>1</v>
      </c>
      <c r="N274" s="101"/>
    </row>
    <row r="275" spans="1:24" x14ac:dyDescent="0.3">
      <c r="N275" s="101"/>
    </row>
    <row r="276" spans="1:24" ht="15" thickBot="1" x14ac:dyDescent="0.35">
      <c r="D276" s="1189" t="s">
        <v>893</v>
      </c>
      <c r="E276" s="1189"/>
      <c r="F276" s="1189"/>
      <c r="G276" s="1189"/>
      <c r="H276" s="1189"/>
      <c r="I276" s="1189"/>
      <c r="J276" s="1189"/>
      <c r="K276" s="1189"/>
      <c r="L276" s="1189"/>
      <c r="M276" s="1189"/>
    </row>
    <row r="277" spans="1:24" x14ac:dyDescent="0.3">
      <c r="A277" s="1188">
        <v>24</v>
      </c>
      <c r="D277" s="1187">
        <v>1</v>
      </c>
      <c r="E277" s="1187" t="s">
        <v>883</v>
      </c>
      <c r="G277" s="1198">
        <v>0</v>
      </c>
      <c r="H277" s="1198">
        <v>0</v>
      </c>
      <c r="I277" s="1198">
        <v>0</v>
      </c>
      <c r="J277" s="1198">
        <v>0</v>
      </c>
      <c r="K277" s="1198">
        <v>0</v>
      </c>
      <c r="L277" s="1198">
        <v>0</v>
      </c>
      <c r="M277" s="1204">
        <v>2.8486176726105765</v>
      </c>
      <c r="X277" s="1200">
        <f>M277/SUM($M$277:$M$279)</f>
        <v>0.27689624131691365</v>
      </c>
    </row>
    <row r="278" spans="1:24" x14ac:dyDescent="0.3">
      <c r="A278" s="1188">
        <v>25</v>
      </c>
      <c r="D278" s="1187">
        <v>2</v>
      </c>
      <c r="E278" s="1187" t="s">
        <v>599</v>
      </c>
      <c r="G278" s="1198">
        <v>0</v>
      </c>
      <c r="H278" s="1198">
        <v>0</v>
      </c>
      <c r="I278" s="1198">
        <v>0</v>
      </c>
      <c r="J278" s="1198">
        <v>0</v>
      </c>
      <c r="K278" s="1198">
        <v>0</v>
      </c>
      <c r="L278" s="1198">
        <v>0</v>
      </c>
      <c r="M278" s="1204">
        <v>5.49</v>
      </c>
      <c r="X278" s="1200">
        <f>M278/SUM($M$277:$M$279)</f>
        <v>0.53364843567677722</v>
      </c>
    </row>
    <row r="279" spans="1:24" x14ac:dyDescent="0.3">
      <c r="A279" s="1188">
        <v>26</v>
      </c>
      <c r="D279" s="1187">
        <v>3</v>
      </c>
      <c r="E279" s="1187" t="s">
        <v>145</v>
      </c>
      <c r="G279" s="1198">
        <v>0</v>
      </c>
      <c r="H279" s="1198">
        <v>0</v>
      </c>
      <c r="I279" s="1198">
        <v>0</v>
      </c>
      <c r="J279" s="1198">
        <v>0</v>
      </c>
      <c r="K279" s="1198">
        <v>0</v>
      </c>
      <c r="L279" s="1198">
        <v>0</v>
      </c>
      <c r="M279" s="1204">
        <v>1.9490541970493416</v>
      </c>
      <c r="X279" s="1200">
        <f>M279/SUM($M$277:$M$279)</f>
        <v>0.18945532300630932</v>
      </c>
    </row>
    <row r="281" spans="1:24" ht="15" thickBot="1" x14ac:dyDescent="0.35">
      <c r="A281" s="123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23"/>
    </row>
  </sheetData>
  <mergeCells count="9">
    <mergeCell ref="A233:M233"/>
    <mergeCell ref="A2:M2"/>
    <mergeCell ref="A12:M12"/>
    <mergeCell ref="A64:M64"/>
    <mergeCell ref="A117:M117"/>
    <mergeCell ref="A175:M175"/>
    <mergeCell ref="D14:E14"/>
    <mergeCell ref="D66:E66"/>
    <mergeCell ref="D119:E119"/>
  </mergeCells>
  <conditionalFormatting sqref="G105:M105">
    <cfRule type="cellIs" dxfId="4" priority="7" operator="equal">
      <formula>FALSE</formula>
    </cfRule>
  </conditionalFormatting>
  <conditionalFormatting sqref="G158:M158">
    <cfRule type="cellIs" dxfId="3" priority="6" operator="equal">
      <formula>FALSE</formula>
    </cfRule>
  </conditionalFormatting>
  <conditionalFormatting sqref="G216:M216">
    <cfRule type="cellIs" dxfId="2" priority="5" operator="equal">
      <formula>FALSE</formula>
    </cfRule>
  </conditionalFormatting>
  <conditionalFormatting sqref="G274:M274">
    <cfRule type="cellIs" dxfId="1" priority="3" operator="equal">
      <formula>FALSE</formula>
    </cfRule>
  </conditionalFormatting>
  <conditionalFormatting sqref="G54:M54">
    <cfRule type="cellIs" dxfId="0" priority="1" operator="equal">
      <formula>FALSE</formula>
    </cfRule>
  </conditionalFormatting>
  <printOptions horizontalCentered="1"/>
  <pageMargins left="0.5" right="0.5" top="0.75" bottom="0.5" header="0.5" footer="0.5"/>
  <pageSetup scale="84" fitToHeight="0" orientation="landscape" r:id="rId1"/>
  <headerFooter alignWithMargins="0">
    <oddHeader xml:space="preserve">&amp;RDEF’s Response to OPC POD 1 (1-26)
Q7
Page &amp;P of &amp;N
</oddHeader>
    <oddFooter>&amp;R20240025-OPCPOD1-00004300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C3C2F-B88A-4055-B46C-E87F253D6793}">
  <sheetPr codeName="Sheet55">
    <tabColor rgb="FF92D050"/>
    <pageSetUpPr fitToPage="1"/>
  </sheetPr>
  <dimension ref="A1:AA53"/>
  <sheetViews>
    <sheetView tabSelected="1" workbookViewId="0">
      <selection activeCell="S8" sqref="S8"/>
    </sheetView>
  </sheetViews>
  <sheetFormatPr defaultColWidth="11.44140625" defaultRowHeight="13.8" x14ac:dyDescent="0.3"/>
  <cols>
    <col min="1" max="1" width="0.88671875" style="439" customWidth="1"/>
    <col min="2" max="2" width="5.6640625" style="439" customWidth="1"/>
    <col min="3" max="3" width="2.6640625" style="439" customWidth="1"/>
    <col min="4" max="4" width="5.6640625" style="439" customWidth="1"/>
    <col min="5" max="5" width="28" style="439" customWidth="1"/>
    <col min="6" max="6" width="2.6640625" style="439" customWidth="1"/>
    <col min="7" max="7" width="13.33203125" style="439" customWidth="1"/>
    <col min="8" max="8" width="2.6640625" style="439" customWidth="1"/>
    <col min="9" max="9" width="13" style="439" customWidth="1"/>
    <col min="10" max="10" width="15.44140625" style="439" bestFit="1" customWidth="1"/>
    <col min="11" max="11" width="2.6640625" style="439" customWidth="1"/>
    <col min="12" max="12" width="12.5546875" style="439" customWidth="1"/>
    <col min="13" max="13" width="13.5546875" style="439" bestFit="1" customWidth="1"/>
    <col min="14" max="14" width="2.6640625" style="439" customWidth="1"/>
    <col min="15" max="15" width="10.6640625" style="439" customWidth="1"/>
    <col min="16" max="16" width="2.6640625" style="439" customWidth="1"/>
    <col min="17" max="17" width="12.44140625" style="439" customWidth="1"/>
    <col min="18" max="27" width="0.88671875" style="439" customWidth="1"/>
    <col min="28" max="16384" width="11.44140625" style="439"/>
  </cols>
  <sheetData>
    <row r="1" spans="1:27" s="627" customFormat="1" ht="18" x14ac:dyDescent="0.35">
      <c r="A1" s="626"/>
      <c r="B1" s="459">
        <v>2026</v>
      </c>
      <c r="C1" s="575"/>
      <c r="D1" s="57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6"/>
    </row>
    <row r="2" spans="1:27" x14ac:dyDescent="0.3">
      <c r="A2" s="70"/>
      <c r="Q2" s="466" t="s">
        <v>702</v>
      </c>
      <c r="AA2" s="70"/>
    </row>
    <row r="3" spans="1:27" x14ac:dyDescent="0.3">
      <c r="A3" s="70"/>
      <c r="Q3" s="469" t="str">
        <f>"DOCKET NO.  " &amp; +"20240025-EI"</f>
        <v>DOCKET NO.  20240025-EI</v>
      </c>
      <c r="AA3" s="70"/>
    </row>
    <row r="4" spans="1:27" x14ac:dyDescent="0.3">
      <c r="A4" s="70"/>
      <c r="Q4" s="469" t="s">
        <v>703</v>
      </c>
      <c r="AA4" s="70"/>
    </row>
    <row r="5" spans="1:27" x14ac:dyDescent="0.3">
      <c r="A5" s="70"/>
      <c r="Q5" s="466" t="s">
        <v>898</v>
      </c>
      <c r="AA5" s="70"/>
    </row>
    <row r="6" spans="1:27" x14ac:dyDescent="0.3">
      <c r="A6" s="70"/>
      <c r="B6" s="515"/>
      <c r="Q6" s="472" t="s">
        <v>899</v>
      </c>
      <c r="AA6" s="70"/>
    </row>
    <row r="7" spans="1:27" x14ac:dyDescent="0.3">
      <c r="A7" s="70"/>
      <c r="Q7" s="343" t="s">
        <v>204</v>
      </c>
      <c r="AA7" s="70"/>
    </row>
    <row r="8" spans="1:27" s="629" customFormat="1" ht="15.6" x14ac:dyDescent="0.3">
      <c r="A8" s="630"/>
      <c r="B8" s="579"/>
      <c r="C8" s="628"/>
      <c r="D8" s="628"/>
      <c r="E8" s="628"/>
      <c r="F8" s="628"/>
      <c r="G8" s="628"/>
      <c r="H8" s="628"/>
      <c r="I8" s="628"/>
      <c r="J8" s="628"/>
      <c r="K8" s="628"/>
      <c r="L8" s="628"/>
      <c r="M8" s="628"/>
      <c r="N8" s="628"/>
      <c r="O8" s="628"/>
      <c r="P8" s="628"/>
      <c r="Q8" s="628"/>
      <c r="R8" s="628"/>
      <c r="AA8" s="630"/>
    </row>
    <row r="9" spans="1:27" s="629" customFormat="1" ht="15.6" x14ac:dyDescent="0.3">
      <c r="A9" s="630"/>
      <c r="B9" s="579" t="s">
        <v>900</v>
      </c>
      <c r="C9" s="628"/>
      <c r="D9" s="628"/>
      <c r="E9" s="628"/>
      <c r="F9" s="628"/>
      <c r="G9" s="628"/>
      <c r="H9" s="628"/>
      <c r="I9" s="628"/>
      <c r="J9" s="628"/>
      <c r="K9" s="628"/>
      <c r="L9" s="628"/>
      <c r="M9" s="628"/>
      <c r="N9" s="628"/>
      <c r="O9" s="628"/>
      <c r="P9" s="628"/>
      <c r="Q9" s="628"/>
      <c r="R9" s="628"/>
      <c r="AA9" s="630"/>
    </row>
    <row r="10" spans="1:27" s="629" customFormat="1" ht="15.6" x14ac:dyDescent="0.3">
      <c r="A10" s="630"/>
      <c r="B10" s="579" t="s">
        <v>498</v>
      </c>
      <c r="C10" s="628"/>
      <c r="D10" s="628"/>
      <c r="E10" s="628"/>
      <c r="F10" s="628"/>
      <c r="G10" s="628"/>
      <c r="H10" s="628"/>
      <c r="I10" s="628"/>
      <c r="J10" s="628"/>
      <c r="K10" s="628"/>
      <c r="L10" s="628"/>
      <c r="M10" s="628"/>
      <c r="N10" s="628"/>
      <c r="O10" s="628"/>
      <c r="P10" s="628"/>
      <c r="Q10" s="628"/>
      <c r="R10" s="628"/>
      <c r="AA10" s="630"/>
    </row>
    <row r="11" spans="1:27" s="629" customFormat="1" ht="15.6" x14ac:dyDescent="0.3">
      <c r="A11" s="630"/>
      <c r="B11" s="628"/>
      <c r="C11" s="628"/>
      <c r="D11" s="628"/>
      <c r="E11" s="628"/>
      <c r="F11" s="628"/>
      <c r="G11" s="628"/>
      <c r="H11" s="628"/>
      <c r="I11" s="628"/>
      <c r="J11" s="628"/>
      <c r="K11" s="628"/>
      <c r="L11" s="628"/>
      <c r="M11" s="628"/>
      <c r="N11" s="628"/>
      <c r="O11" s="628"/>
      <c r="P11" s="628"/>
      <c r="Q11" s="628"/>
      <c r="R11" s="628"/>
      <c r="AA11" s="630"/>
    </row>
    <row r="12" spans="1:27" s="629" customFormat="1" ht="15.6" x14ac:dyDescent="0.3">
      <c r="A12" s="630"/>
      <c r="B12" s="631" t="s">
        <v>901</v>
      </c>
      <c r="C12" s="632"/>
      <c r="D12" s="632"/>
      <c r="E12" s="632"/>
      <c r="F12" s="632"/>
      <c r="G12" s="632"/>
      <c r="H12" s="632"/>
      <c r="I12" s="632"/>
      <c r="J12" s="632"/>
      <c r="K12" s="632"/>
      <c r="L12" s="632"/>
      <c r="M12" s="632"/>
      <c r="N12" s="632"/>
      <c r="O12" s="632"/>
      <c r="P12" s="632"/>
      <c r="Q12" s="632"/>
      <c r="R12" s="632"/>
      <c r="AA12" s="630"/>
    </row>
    <row r="13" spans="1:27" s="629" customFormat="1" ht="15.6" x14ac:dyDescent="0.3">
      <c r="A13" s="630"/>
      <c r="B13" s="633" t="s">
        <v>902</v>
      </c>
      <c r="C13" s="632"/>
      <c r="D13" s="632"/>
      <c r="E13" s="632"/>
      <c r="F13" s="632"/>
      <c r="G13" s="634"/>
      <c r="H13" s="634"/>
      <c r="I13" s="634"/>
      <c r="J13" s="634"/>
      <c r="K13" s="634"/>
      <c r="L13" s="634"/>
      <c r="M13" s="632"/>
      <c r="N13" s="632"/>
      <c r="O13" s="632"/>
      <c r="P13" s="632"/>
      <c r="Q13" s="632"/>
      <c r="R13" s="632"/>
      <c r="AA13" s="630"/>
    </row>
    <row r="14" spans="1:27" x14ac:dyDescent="0.3">
      <c r="A14" s="70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35"/>
      <c r="P14" s="6"/>
      <c r="Q14" s="6"/>
      <c r="R14" s="1"/>
      <c r="AA14" s="70"/>
    </row>
    <row r="15" spans="1:27" x14ac:dyDescent="0.3">
      <c r="A15" s="70"/>
      <c r="B15" s="636"/>
      <c r="C15" s="636"/>
      <c r="D15" s="637">
        <v>-1</v>
      </c>
      <c r="E15" s="637"/>
      <c r="F15" s="636"/>
      <c r="G15" s="638">
        <v>-2</v>
      </c>
      <c r="H15" s="639"/>
      <c r="I15" s="638">
        <v>-3</v>
      </c>
      <c r="J15" s="638">
        <v>-4</v>
      </c>
      <c r="K15" s="638"/>
      <c r="L15" s="637">
        <v>-5</v>
      </c>
      <c r="M15" s="637"/>
      <c r="N15" s="638"/>
      <c r="O15" s="638">
        <v>-6</v>
      </c>
      <c r="P15" s="638"/>
      <c r="Q15" s="638">
        <v>-7</v>
      </c>
      <c r="AA15" s="70"/>
    </row>
    <row r="16" spans="1:27" ht="15.6" x14ac:dyDescent="0.3">
      <c r="A16" s="70"/>
      <c r="B16" s="640" t="s">
        <v>903</v>
      </c>
      <c r="C16" s="641"/>
      <c r="D16" s="641"/>
      <c r="E16" s="641"/>
      <c r="F16" s="641"/>
      <c r="G16" s="641"/>
      <c r="H16" s="641"/>
      <c r="I16" s="641"/>
      <c r="J16" s="636"/>
      <c r="K16" s="636"/>
      <c r="L16" s="636"/>
      <c r="M16" s="636"/>
      <c r="N16" s="636"/>
      <c r="O16" s="636"/>
      <c r="P16" s="636"/>
      <c r="Q16" s="636"/>
      <c r="AA16" s="70"/>
    </row>
    <row r="17" spans="1:27" x14ac:dyDescent="0.3">
      <c r="A17" s="70"/>
      <c r="B17" s="636"/>
      <c r="C17" s="636"/>
      <c r="D17" s="636"/>
      <c r="E17" s="636"/>
      <c r="F17" s="636"/>
      <c r="G17" s="636"/>
      <c r="H17" s="636"/>
      <c r="I17" s="636"/>
      <c r="J17" s="636"/>
      <c r="K17" s="636"/>
      <c r="L17" s="636"/>
      <c r="M17" s="636"/>
      <c r="N17" s="636"/>
      <c r="O17" s="642"/>
      <c r="P17" s="636"/>
      <c r="Q17" s="636"/>
      <c r="AA17" s="70"/>
    </row>
    <row r="18" spans="1:27" x14ac:dyDescent="0.3">
      <c r="A18" s="70"/>
      <c r="B18" s="636"/>
      <c r="C18" s="636"/>
      <c r="D18" s="636"/>
      <c r="E18" s="636"/>
      <c r="F18" s="636"/>
      <c r="G18" s="642"/>
      <c r="H18" s="636"/>
      <c r="I18" s="642"/>
      <c r="J18" s="642"/>
      <c r="K18" s="636"/>
      <c r="L18" s="642"/>
      <c r="M18" s="636"/>
      <c r="N18" s="636"/>
      <c r="O18" s="642" t="s">
        <v>149</v>
      </c>
      <c r="P18" s="636"/>
      <c r="Q18" s="642"/>
      <c r="AA18" s="70"/>
    </row>
    <row r="19" spans="1:27" x14ac:dyDescent="0.3">
      <c r="A19" s="70"/>
      <c r="B19" s="636"/>
      <c r="C19" s="636"/>
      <c r="D19" s="636"/>
      <c r="E19" s="636"/>
      <c r="F19" s="636"/>
      <c r="G19" s="642" t="s">
        <v>312</v>
      </c>
      <c r="H19" s="636"/>
      <c r="I19" s="642"/>
      <c r="J19" s="2" t="s">
        <v>904</v>
      </c>
      <c r="K19" s="636"/>
      <c r="L19" s="643" t="s">
        <v>905</v>
      </c>
      <c r="M19" s="644"/>
      <c r="N19" s="636"/>
      <c r="O19" s="642" t="s">
        <v>906</v>
      </c>
      <c r="P19" s="636"/>
      <c r="Q19" s="2" t="s">
        <v>905</v>
      </c>
      <c r="AA19" s="70"/>
    </row>
    <row r="20" spans="1:27" x14ac:dyDescent="0.3">
      <c r="A20" s="70"/>
      <c r="B20" s="7" t="s">
        <v>30</v>
      </c>
      <c r="C20" s="645"/>
      <c r="D20" s="3" t="s">
        <v>816</v>
      </c>
      <c r="E20" s="3"/>
      <c r="F20" s="645"/>
      <c r="G20" s="7" t="s">
        <v>907</v>
      </c>
      <c r="H20" s="645"/>
      <c r="I20" s="7" t="s">
        <v>908</v>
      </c>
      <c r="J20" s="7" t="s">
        <v>909</v>
      </c>
      <c r="K20" s="645"/>
      <c r="L20" s="3" t="s">
        <v>910</v>
      </c>
      <c r="M20" s="3"/>
      <c r="N20" s="645"/>
      <c r="O20" s="7" t="s">
        <v>911</v>
      </c>
      <c r="P20" s="645"/>
      <c r="Q20" s="7" t="s">
        <v>912</v>
      </c>
      <c r="AA20" s="70"/>
    </row>
    <row r="21" spans="1:27" ht="10.5" customHeight="1" x14ac:dyDescent="0.3">
      <c r="A21" s="70"/>
      <c r="AA21" s="70"/>
    </row>
    <row r="22" spans="1:27" x14ac:dyDescent="0.3">
      <c r="A22" s="70"/>
      <c r="B22" s="646">
        <v>1</v>
      </c>
      <c r="D22" s="439" t="s">
        <v>913</v>
      </c>
      <c r="G22" s="538">
        <f>'MFR E-6b'!G16</f>
        <v>1355014.7942661727</v>
      </c>
      <c r="I22" s="72">
        <v>7440926.9483663188</v>
      </c>
      <c r="J22" s="439" t="s">
        <v>914</v>
      </c>
      <c r="L22" s="586">
        <f>(+G22*1000)/(I22*12)</f>
        <v>15.175246351124649</v>
      </c>
      <c r="M22" s="648" t="s">
        <v>915</v>
      </c>
      <c r="O22" s="649">
        <v>0.95714117229709639</v>
      </c>
      <c r="Q22" s="586">
        <f>ROUND(+L22/O22,2)</f>
        <v>15.85</v>
      </c>
      <c r="AA22" s="70"/>
    </row>
    <row r="23" spans="1:27" x14ac:dyDescent="0.3">
      <c r="A23" s="70"/>
      <c r="B23" s="646">
        <v>2</v>
      </c>
      <c r="D23" s="439" t="s">
        <v>215</v>
      </c>
      <c r="G23" s="439">
        <f>'MFR E-6b'!G17</f>
        <v>242347.18530529254</v>
      </c>
      <c r="I23" s="72">
        <v>41605713</v>
      </c>
      <c r="J23" s="439" t="s">
        <v>439</v>
      </c>
      <c r="L23" s="586">
        <f>(+G23*1000)/I23</f>
        <v>5.8248535556954053</v>
      </c>
      <c r="M23" s="439" t="s">
        <v>916</v>
      </c>
      <c r="O23" s="649">
        <f>+O22</f>
        <v>0.95714117229709639</v>
      </c>
      <c r="Q23" s="586">
        <f>ROUND(+L23/O23,2)</f>
        <v>6.09</v>
      </c>
      <c r="AA23" s="70"/>
    </row>
    <row r="24" spans="1:27" x14ac:dyDescent="0.3">
      <c r="A24" s="70"/>
      <c r="B24" s="646">
        <v>3</v>
      </c>
      <c r="D24" s="439" t="s">
        <v>216</v>
      </c>
      <c r="G24" s="439">
        <f>'MFR E-6b'!G18</f>
        <v>558861.98134775215</v>
      </c>
      <c r="I24" s="72">
        <v>7781495.6881516948</v>
      </c>
      <c r="J24" s="439" t="s">
        <v>914</v>
      </c>
      <c r="L24" s="586">
        <f>(+G24*1000)/(I24*12)</f>
        <v>5.9849460367742422</v>
      </c>
      <c r="M24" s="648" t="s">
        <v>915</v>
      </c>
      <c r="O24" s="649">
        <f>+O22</f>
        <v>0.95714117229709639</v>
      </c>
      <c r="Q24" s="586">
        <f>ROUND(+L24/O24,2)</f>
        <v>6.25</v>
      </c>
      <c r="AA24" s="70"/>
    </row>
    <row r="25" spans="1:27" x14ac:dyDescent="0.3">
      <c r="A25" s="70"/>
      <c r="B25" s="646">
        <v>4</v>
      </c>
      <c r="D25" s="439" t="s">
        <v>116</v>
      </c>
      <c r="G25" s="439">
        <f>'MFR E-6b'!G19</f>
        <v>731012.67359764897</v>
      </c>
      <c r="I25" s="599"/>
      <c r="AA25" s="70"/>
    </row>
    <row r="26" spans="1:27" x14ac:dyDescent="0.3">
      <c r="A26" s="70"/>
      <c r="B26" s="646">
        <v>5</v>
      </c>
      <c r="D26" s="439" t="s">
        <v>117</v>
      </c>
      <c r="G26" s="439">
        <f>'MFR E-6b'!G21</f>
        <v>291348.83553655708</v>
      </c>
      <c r="I26" s="599"/>
      <c r="AA26" s="70"/>
    </row>
    <row r="27" spans="1:27" x14ac:dyDescent="0.3">
      <c r="A27" s="70"/>
      <c r="B27" s="646">
        <v>6</v>
      </c>
      <c r="D27" s="439" t="s">
        <v>118</v>
      </c>
      <c r="G27" s="439">
        <f>'MFR E-6b'!G23</f>
        <v>53607.006680977727</v>
      </c>
      <c r="I27" s="599"/>
      <c r="AA27" s="70"/>
    </row>
    <row r="28" spans="1:27" x14ac:dyDescent="0.3">
      <c r="A28" s="70"/>
      <c r="B28" s="646">
        <v>7</v>
      </c>
      <c r="D28" s="439" t="s">
        <v>220</v>
      </c>
      <c r="G28" s="439">
        <f>'MFR E-6b'!G24</f>
        <v>87236.777528071194</v>
      </c>
      <c r="I28" s="599"/>
      <c r="AA28" s="70"/>
    </row>
    <row r="29" spans="1:27" x14ac:dyDescent="0.3">
      <c r="A29" s="70"/>
      <c r="B29" s="646">
        <v>8</v>
      </c>
      <c r="D29" s="439" t="s">
        <v>221</v>
      </c>
      <c r="G29" s="439">
        <f>'MFR E-6b'!G25</f>
        <v>517.36683759691482</v>
      </c>
      <c r="I29" s="599"/>
      <c r="AA29" s="70"/>
    </row>
    <row r="30" spans="1:27" x14ac:dyDescent="0.3">
      <c r="A30" s="70"/>
      <c r="B30" s="646">
        <v>9</v>
      </c>
      <c r="D30" s="439" t="s">
        <v>917</v>
      </c>
      <c r="G30" s="439">
        <f>'MFR E-6b'!G26</f>
        <v>113089.39845368821</v>
      </c>
      <c r="I30" s="599"/>
      <c r="AA30" s="70"/>
    </row>
    <row r="31" spans="1:27" x14ac:dyDescent="0.3">
      <c r="A31" s="70"/>
      <c r="B31" s="646">
        <v>10</v>
      </c>
      <c r="D31" s="439" t="s">
        <v>918</v>
      </c>
      <c r="G31" s="439">
        <f>'MFR E-6b'!G27</f>
        <v>212992.40864092062</v>
      </c>
      <c r="I31" s="599"/>
      <c r="AA31" s="70"/>
    </row>
    <row r="32" spans="1:27" x14ac:dyDescent="0.3">
      <c r="A32" s="70"/>
      <c r="B32" s="646">
        <v>11</v>
      </c>
      <c r="G32" s="600"/>
      <c r="I32" s="599"/>
      <c r="AA32" s="70"/>
    </row>
    <row r="33" spans="1:27" ht="14.4" thickBot="1" x14ac:dyDescent="0.35">
      <c r="A33" s="70"/>
      <c r="B33" s="646">
        <v>12</v>
      </c>
      <c r="E33" s="439" t="s">
        <v>121</v>
      </c>
      <c r="G33" s="5">
        <f>SUM(G22:G32)</f>
        <v>3646028.4281946779</v>
      </c>
      <c r="AA33" s="70"/>
    </row>
    <row r="34" spans="1:27" ht="14.4" thickTop="1" x14ac:dyDescent="0.3">
      <c r="A34" s="70"/>
      <c r="AA34" s="70"/>
    </row>
    <row r="35" spans="1:27" x14ac:dyDescent="0.3">
      <c r="A35" s="70"/>
      <c r="AA35" s="70"/>
    </row>
    <row r="36" spans="1:27" x14ac:dyDescent="0.3">
      <c r="A36" s="70"/>
      <c r="AA36" s="70"/>
    </row>
    <row r="37" spans="1:27" x14ac:dyDescent="0.3">
      <c r="A37" s="70"/>
      <c r="AA37" s="70"/>
    </row>
    <row r="38" spans="1:27" x14ac:dyDescent="0.3">
      <c r="A38" s="70"/>
      <c r="B38" s="650"/>
      <c r="C38" s="650"/>
      <c r="D38" s="651">
        <v>-1</v>
      </c>
      <c r="E38" s="651"/>
      <c r="F38" s="652"/>
      <c r="G38" s="653">
        <v>-2</v>
      </c>
      <c r="H38" s="654"/>
      <c r="I38" s="653">
        <v>-3</v>
      </c>
      <c r="J38" s="653">
        <v>-4</v>
      </c>
      <c r="K38" s="650"/>
      <c r="L38" s="650"/>
      <c r="M38" s="650"/>
      <c r="N38" s="650"/>
      <c r="O38" s="650"/>
      <c r="P38" s="650"/>
      <c r="Q38" s="650"/>
      <c r="AA38" s="70"/>
    </row>
    <row r="39" spans="1:27" ht="15.6" x14ac:dyDescent="0.3">
      <c r="A39" s="70"/>
      <c r="B39" s="640" t="s">
        <v>919</v>
      </c>
      <c r="C39" s="1"/>
      <c r="D39" s="1"/>
      <c r="E39" s="1"/>
      <c r="F39" s="1"/>
      <c r="G39" s="1"/>
      <c r="H39" s="1"/>
      <c r="I39" s="1"/>
      <c r="J39" s="1"/>
      <c r="K39" s="1"/>
      <c r="N39" s="1"/>
      <c r="O39" s="1"/>
      <c r="P39" s="1"/>
      <c r="Q39" s="1"/>
      <c r="AA39" s="70"/>
    </row>
    <row r="40" spans="1:27" x14ac:dyDescent="0.3">
      <c r="A40" s="70"/>
      <c r="B40" s="641"/>
      <c r="C40" s="1"/>
      <c r="D40" s="1"/>
      <c r="E40" s="1"/>
      <c r="F40" s="1"/>
      <c r="G40" s="1"/>
      <c r="H40" s="1"/>
      <c r="I40" s="1"/>
      <c r="AA40" s="70"/>
    </row>
    <row r="41" spans="1:27" x14ac:dyDescent="0.3">
      <c r="A41" s="70"/>
      <c r="B41" s="641"/>
      <c r="C41" s="1"/>
      <c r="D41" s="1"/>
      <c r="E41" s="1"/>
      <c r="F41" s="1"/>
      <c r="G41" s="655"/>
      <c r="H41" s="1"/>
      <c r="I41" s="655"/>
      <c r="J41" s="655"/>
      <c r="AA41" s="70"/>
    </row>
    <row r="42" spans="1:27" x14ac:dyDescent="0.3">
      <c r="A42" s="70"/>
      <c r="G42" s="647" t="s">
        <v>498</v>
      </c>
      <c r="I42" s="647" t="s">
        <v>920</v>
      </c>
      <c r="AA42" s="70"/>
    </row>
    <row r="43" spans="1:27" x14ac:dyDescent="0.3">
      <c r="A43" s="70"/>
      <c r="B43" s="1"/>
      <c r="C43" s="1"/>
      <c r="D43" s="1"/>
      <c r="E43" s="1"/>
      <c r="F43" s="1"/>
      <c r="G43" s="656" t="s">
        <v>921</v>
      </c>
      <c r="H43" s="1"/>
      <c r="I43" s="656" t="s">
        <v>922</v>
      </c>
      <c r="J43" s="656" t="s">
        <v>709</v>
      </c>
      <c r="K43" s="1"/>
      <c r="AA43" s="70"/>
    </row>
    <row r="44" spans="1:27" x14ac:dyDescent="0.3">
      <c r="A44" s="70"/>
      <c r="B44" s="635" t="s">
        <v>30</v>
      </c>
      <c r="C44" s="6"/>
      <c r="D44" s="657" t="s">
        <v>816</v>
      </c>
      <c r="E44" s="657"/>
      <c r="F44" s="6"/>
      <c r="G44" s="635" t="s">
        <v>907</v>
      </c>
      <c r="H44" s="6"/>
      <c r="I44" s="635" t="s">
        <v>923</v>
      </c>
      <c r="J44" s="635" t="s">
        <v>924</v>
      </c>
      <c r="K44" s="6"/>
      <c r="L44" s="6"/>
      <c r="M44" s="6"/>
      <c r="N44" s="6"/>
      <c r="O44" s="6"/>
      <c r="P44" s="6"/>
      <c r="Q44" s="6"/>
      <c r="AA44" s="70"/>
    </row>
    <row r="45" spans="1:27" x14ac:dyDescent="0.3">
      <c r="A45" s="70"/>
      <c r="G45" s="1"/>
      <c r="I45" s="656"/>
      <c r="J45" s="647"/>
      <c r="AA45" s="70"/>
    </row>
    <row r="46" spans="1:27" x14ac:dyDescent="0.3">
      <c r="A46" s="70"/>
      <c r="B46" s="646">
        <f>+B33+1</f>
        <v>13</v>
      </c>
      <c r="D46" s="439" t="s">
        <v>116</v>
      </c>
      <c r="G46" s="601">
        <f>'MFR E-6b'!K19</f>
        <v>191733.20901921671</v>
      </c>
      <c r="I46" s="72">
        <f>'MFR E-14D3 (not filed)'!J30-'MFR E-14D3 (not filed)'!J26</f>
        <v>3081666.1605794895</v>
      </c>
      <c r="J46" s="441">
        <f>ROUND(+G46/I46*1000/12,2)</f>
        <v>5.18</v>
      </c>
      <c r="K46" s="648" t="s">
        <v>915</v>
      </c>
      <c r="AA46" s="70"/>
    </row>
    <row r="47" spans="1:27" x14ac:dyDescent="0.3">
      <c r="A47" s="70"/>
      <c r="B47" s="646">
        <f>+B46+1</f>
        <v>14</v>
      </c>
      <c r="D47" s="439" t="s">
        <v>117</v>
      </c>
      <c r="G47" s="601">
        <f>'MFR E-6b'!K21</f>
        <v>42218.08243363582</v>
      </c>
      <c r="I47" s="72">
        <f>'MFR E-14D3 (not filed)'!J29+'MFR E-14D3 (not filed)'!J28</f>
        <v>2625195.3090171856</v>
      </c>
      <c r="J47" s="441">
        <f>ROUND(+G47/I47*1000/12,2)</f>
        <v>1.34</v>
      </c>
      <c r="K47" s="648" t="s">
        <v>915</v>
      </c>
      <c r="AA47" s="70"/>
    </row>
    <row r="48" spans="1:27" x14ac:dyDescent="0.3">
      <c r="A48" s="70"/>
      <c r="B48" s="646">
        <f>+B47+1</f>
        <v>15</v>
      </c>
      <c r="AA48" s="70"/>
    </row>
    <row r="49" spans="1:27" ht="14.4" thickBot="1" x14ac:dyDescent="0.35">
      <c r="A49" s="70"/>
      <c r="B49" s="646">
        <f>+B48+1</f>
        <v>16</v>
      </c>
      <c r="E49" s="439" t="s">
        <v>121</v>
      </c>
      <c r="G49" s="658">
        <f>SUM(G46:G47)</f>
        <v>233951.29145285254</v>
      </c>
      <c r="J49" s="659">
        <f>SUM(J46:J47)</f>
        <v>6.52</v>
      </c>
      <c r="AA49" s="70"/>
    </row>
    <row r="50" spans="1:27" ht="14.4" thickTop="1" x14ac:dyDescent="0.3"/>
    <row r="53" spans="1:27" x14ac:dyDescent="0.3">
      <c r="I53" s="716"/>
    </row>
  </sheetData>
  <printOptions horizontalCentered="1"/>
  <pageMargins left="0.5" right="0.5" top="0.75" bottom="0.5" header="0.5" footer="0.5"/>
  <pageSetup scale="86" fitToHeight="0" orientation="landscape" r:id="rId1"/>
  <headerFooter alignWithMargins="0">
    <oddHeader xml:space="preserve">&amp;RDEF’s Response to OPC POD 1 (1-26)
Q7
Page &amp;P of &amp;N
</oddHeader>
    <oddFooter>&amp;R20240025-OPCPOD1-00004300</oddFooter>
  </headerFooter>
  <ignoredErrors>
    <ignoredError sqref="L2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F87AA-C2EA-4F30-87F3-E8BE6CFCCC47}">
  <sheetPr>
    <tabColor rgb="FF92D050"/>
    <outlinePr summaryBelow="0"/>
    <pageSetUpPr fitToPage="1"/>
  </sheetPr>
  <dimension ref="A1:CU162"/>
  <sheetViews>
    <sheetView tabSelected="1" workbookViewId="0">
      <selection activeCell="S8" sqref="S8"/>
    </sheetView>
  </sheetViews>
  <sheetFormatPr defaultColWidth="9.109375" defaultRowHeight="13.8" outlineLevelRow="1" outlineLevelCol="1" x14ac:dyDescent="0.3"/>
  <cols>
    <col min="1" max="1" width="5.6640625" style="725" customWidth="1"/>
    <col min="2" max="2" width="3.5546875" style="725" customWidth="1"/>
    <col min="3" max="3" width="16.44140625" style="725" bestFit="1" customWidth="1"/>
    <col min="4" max="4" width="44.33203125" style="725" bestFit="1" customWidth="1"/>
    <col min="5" max="5" width="70.44140625" style="725" hidden="1" customWidth="1" outlineLevel="1"/>
    <col min="6" max="6" width="13" style="863" bestFit="1" customWidth="1" collapsed="1"/>
    <col min="7" max="7" width="2.33203125" style="863" customWidth="1"/>
    <col min="8" max="8" width="14.109375" style="863" customWidth="1"/>
    <col min="9" max="9" width="12.33203125" style="725" bestFit="1" customWidth="1"/>
    <col min="10" max="10" width="11.6640625" style="439" bestFit="1" customWidth="1"/>
    <col min="11" max="11" width="10.5546875" style="725" bestFit="1" customWidth="1"/>
    <col min="12" max="12" width="8" style="725" bestFit="1" customWidth="1"/>
    <col min="13" max="13" width="10.5546875" style="725" bestFit="1" customWidth="1"/>
    <col min="14" max="14" width="9.109375" style="439" bestFit="1" customWidth="1"/>
    <col min="15" max="15" width="11.33203125" style="725" customWidth="1"/>
    <col min="16" max="16" width="8.44140625" style="725" bestFit="1" customWidth="1"/>
    <col min="17" max="18" width="15.109375" style="725" bestFit="1" customWidth="1"/>
    <col min="19" max="19" width="2.33203125" style="725" customWidth="1"/>
    <col min="20" max="20" width="2.6640625" style="725" customWidth="1"/>
    <col min="21" max="21" width="6.5546875" style="725" hidden="1" customWidth="1"/>
    <col min="22" max="22" width="2.6640625" style="725" hidden="1" customWidth="1"/>
    <col min="23" max="23" width="9" style="725" hidden="1" customWidth="1"/>
    <col min="24" max="24" width="10.44140625" style="725" hidden="1" customWidth="1"/>
    <col min="25" max="25" width="6.109375" style="439" hidden="1" customWidth="1"/>
    <col min="26" max="26" width="9" style="439" hidden="1" customWidth="1"/>
    <col min="27" max="27" width="8.33203125" style="439" hidden="1" customWidth="1"/>
    <col min="28" max="28" width="8.6640625" style="439" hidden="1" customWidth="1"/>
    <col min="29" max="29" width="10.44140625" style="439" hidden="1" customWidth="1"/>
    <col min="30" max="30" width="8.6640625" style="439" hidden="1" customWidth="1"/>
    <col min="31" max="31" width="4.88671875" style="439" hidden="1" customWidth="1"/>
    <col min="32" max="32" width="8.6640625" style="725" hidden="1" customWidth="1"/>
    <col min="33" max="33" width="2.5546875" style="725" hidden="1" customWidth="1"/>
    <col min="34" max="38" width="7.44140625" style="725" hidden="1" customWidth="1"/>
    <col min="39" max="39" width="7.6640625" style="725" hidden="1" customWidth="1"/>
    <col min="40" max="41" width="7.44140625" style="725" hidden="1" customWidth="1"/>
    <col min="42" max="42" width="8.44140625" style="725" hidden="1" customWidth="1"/>
    <col min="43" max="43" width="7.88671875" style="725" hidden="1" customWidth="1"/>
    <col min="44" max="44" width="2.5546875" style="725" hidden="1" customWidth="1"/>
    <col min="45" max="46" width="7.88671875" style="725" hidden="1" customWidth="1"/>
    <col min="47" max="48" width="7.44140625" style="725" hidden="1" customWidth="1"/>
    <col min="49" max="49" width="7.88671875" style="725" hidden="1" customWidth="1"/>
    <col min="50" max="50" width="7.6640625" style="725" hidden="1" customWidth="1"/>
    <col min="51" max="52" width="7.44140625" style="725" hidden="1" customWidth="1"/>
    <col min="53" max="53" width="8.44140625" style="725" hidden="1" customWidth="1"/>
    <col min="54" max="54" width="7.88671875" style="725" hidden="1" customWidth="1"/>
    <col min="55" max="55" width="2.5546875" style="725" hidden="1" customWidth="1"/>
    <col min="56" max="56" width="7.88671875" style="725" hidden="1" customWidth="1"/>
    <col min="57" max="60" width="7.44140625" style="725" hidden="1" customWidth="1"/>
    <col min="61" max="61" width="7.6640625" style="725" hidden="1" customWidth="1"/>
    <col min="62" max="63" width="7.44140625" style="725" hidden="1" customWidth="1"/>
    <col min="64" max="64" width="8.44140625" style="725" hidden="1" customWidth="1"/>
    <col min="65" max="65" width="7.88671875" style="725" hidden="1" customWidth="1"/>
    <col min="66" max="66" width="2.5546875" style="725" hidden="1" customWidth="1"/>
    <col min="67" max="71" width="7.44140625" style="725" hidden="1" customWidth="1"/>
    <col min="72" max="72" width="7.6640625" style="725" hidden="1" customWidth="1"/>
    <col min="73" max="74" width="7.44140625" style="725" hidden="1" customWidth="1"/>
    <col min="75" max="75" width="8.44140625" style="725" hidden="1" customWidth="1"/>
    <col min="76" max="76" width="7.88671875" style="725" hidden="1" customWidth="1"/>
    <col min="77" max="77" width="2.5546875" style="725" hidden="1" customWidth="1"/>
    <col min="78" max="82" width="7.44140625" style="725" hidden="1" customWidth="1"/>
    <col min="83" max="83" width="7.6640625" style="725" hidden="1" customWidth="1"/>
    <col min="84" max="85" width="7.44140625" style="725" hidden="1" customWidth="1"/>
    <col min="86" max="86" width="8.44140625" style="725" hidden="1" customWidth="1"/>
    <col min="87" max="87" width="7.88671875" style="725" hidden="1" customWidth="1"/>
    <col min="88" max="88" width="2.5546875" style="725" hidden="1" customWidth="1"/>
    <col min="89" max="90" width="7.88671875" style="725" hidden="1" customWidth="1"/>
    <col min="91" max="93" width="7.44140625" style="725" hidden="1" customWidth="1"/>
    <col min="94" max="94" width="7.6640625" style="725" hidden="1" customWidth="1"/>
    <col min="95" max="96" width="7.44140625" style="725" hidden="1" customWidth="1"/>
    <col min="97" max="97" width="8.44140625" style="725" hidden="1" customWidth="1"/>
    <col min="98" max="98" width="7.88671875" style="725" hidden="1" customWidth="1"/>
    <col min="99" max="99" width="2.5546875" style="725" hidden="1" customWidth="1"/>
    <col min="100" max="244" width="9.109375" style="725"/>
    <col min="245" max="245" width="7" style="725" customWidth="1"/>
    <col min="246" max="246" width="2.6640625" style="725" customWidth="1"/>
    <col min="247" max="247" width="5.33203125" style="725" customWidth="1"/>
    <col min="248" max="248" width="17.6640625" style="725" customWidth="1"/>
    <col min="249" max="249" width="4" style="725" customWidth="1"/>
    <col min="250" max="250" width="15.44140625" style="725" customWidth="1"/>
    <col min="251" max="251" width="2.6640625" style="725" customWidth="1"/>
    <col min="252" max="262" width="10" style="725" customWidth="1"/>
    <col min="263" max="500" width="9.109375" style="725"/>
    <col min="501" max="501" width="7" style="725" customWidth="1"/>
    <col min="502" max="502" width="2.6640625" style="725" customWidth="1"/>
    <col min="503" max="503" width="5.33203125" style="725" customWidth="1"/>
    <col min="504" max="504" width="17.6640625" style="725" customWidth="1"/>
    <col min="505" max="505" width="4" style="725" customWidth="1"/>
    <col min="506" max="506" width="15.44140625" style="725" customWidth="1"/>
    <col min="507" max="507" width="2.6640625" style="725" customWidth="1"/>
    <col min="508" max="518" width="10" style="725" customWidth="1"/>
    <col min="519" max="756" width="9.109375" style="725"/>
    <col min="757" max="757" width="7" style="725" customWidth="1"/>
    <col min="758" max="758" width="2.6640625" style="725" customWidth="1"/>
    <col min="759" max="759" width="5.33203125" style="725" customWidth="1"/>
    <col min="760" max="760" width="17.6640625" style="725" customWidth="1"/>
    <col min="761" max="761" width="4" style="725" customWidth="1"/>
    <col min="762" max="762" width="15.44140625" style="725" customWidth="1"/>
    <col min="763" max="763" width="2.6640625" style="725" customWidth="1"/>
    <col min="764" max="774" width="10" style="725" customWidth="1"/>
    <col min="775" max="1012" width="9.109375" style="725"/>
    <col min="1013" max="1013" width="7" style="725" customWidth="1"/>
    <col min="1014" max="1014" width="2.6640625" style="725" customWidth="1"/>
    <col min="1015" max="1015" width="5.33203125" style="725" customWidth="1"/>
    <col min="1016" max="1016" width="17.6640625" style="725" customWidth="1"/>
    <col min="1017" max="1017" width="4" style="725" customWidth="1"/>
    <col min="1018" max="1018" width="15.44140625" style="725" customWidth="1"/>
    <col min="1019" max="1019" width="2.6640625" style="725" customWidth="1"/>
    <col min="1020" max="1030" width="10" style="725" customWidth="1"/>
    <col min="1031" max="1268" width="9.109375" style="725"/>
    <col min="1269" max="1269" width="7" style="725" customWidth="1"/>
    <col min="1270" max="1270" width="2.6640625" style="725" customWidth="1"/>
    <col min="1271" max="1271" width="5.33203125" style="725" customWidth="1"/>
    <col min="1272" max="1272" width="17.6640625" style="725" customWidth="1"/>
    <col min="1273" max="1273" width="4" style="725" customWidth="1"/>
    <col min="1274" max="1274" width="15.44140625" style="725" customWidth="1"/>
    <col min="1275" max="1275" width="2.6640625" style="725" customWidth="1"/>
    <col min="1276" max="1286" width="10" style="725" customWidth="1"/>
    <col min="1287" max="1524" width="9.109375" style="725"/>
    <col min="1525" max="1525" width="7" style="725" customWidth="1"/>
    <col min="1526" max="1526" width="2.6640625" style="725" customWidth="1"/>
    <col min="1527" max="1527" width="5.33203125" style="725" customWidth="1"/>
    <col min="1528" max="1528" width="17.6640625" style="725" customWidth="1"/>
    <col min="1529" max="1529" width="4" style="725" customWidth="1"/>
    <col min="1530" max="1530" width="15.44140625" style="725" customWidth="1"/>
    <col min="1531" max="1531" width="2.6640625" style="725" customWidth="1"/>
    <col min="1532" max="1542" width="10" style="725" customWidth="1"/>
    <col min="1543" max="1780" width="9.109375" style="725"/>
    <col min="1781" max="1781" width="7" style="725" customWidth="1"/>
    <col min="1782" max="1782" width="2.6640625" style="725" customWidth="1"/>
    <col min="1783" max="1783" width="5.33203125" style="725" customWidth="1"/>
    <col min="1784" max="1784" width="17.6640625" style="725" customWidth="1"/>
    <col min="1785" max="1785" width="4" style="725" customWidth="1"/>
    <col min="1786" max="1786" width="15.44140625" style="725" customWidth="1"/>
    <col min="1787" max="1787" width="2.6640625" style="725" customWidth="1"/>
    <col min="1788" max="1798" width="10" style="725" customWidth="1"/>
    <col min="1799" max="2036" width="9.109375" style="725"/>
    <col min="2037" max="2037" width="7" style="725" customWidth="1"/>
    <col min="2038" max="2038" width="2.6640625" style="725" customWidth="1"/>
    <col min="2039" max="2039" width="5.33203125" style="725" customWidth="1"/>
    <col min="2040" max="2040" width="17.6640625" style="725" customWidth="1"/>
    <col min="2041" max="2041" width="4" style="725" customWidth="1"/>
    <col min="2042" max="2042" width="15.44140625" style="725" customWidth="1"/>
    <col min="2043" max="2043" width="2.6640625" style="725" customWidth="1"/>
    <col min="2044" max="2054" width="10" style="725" customWidth="1"/>
    <col min="2055" max="2292" width="9.109375" style="725"/>
    <col min="2293" max="2293" width="7" style="725" customWidth="1"/>
    <col min="2294" max="2294" width="2.6640625" style="725" customWidth="1"/>
    <col min="2295" max="2295" width="5.33203125" style="725" customWidth="1"/>
    <col min="2296" max="2296" width="17.6640625" style="725" customWidth="1"/>
    <col min="2297" max="2297" width="4" style="725" customWidth="1"/>
    <col min="2298" max="2298" width="15.44140625" style="725" customWidth="1"/>
    <col min="2299" max="2299" width="2.6640625" style="725" customWidth="1"/>
    <col min="2300" max="2310" width="10" style="725" customWidth="1"/>
    <col min="2311" max="2548" width="9.109375" style="725"/>
    <col min="2549" max="2549" width="7" style="725" customWidth="1"/>
    <col min="2550" max="2550" width="2.6640625" style="725" customWidth="1"/>
    <col min="2551" max="2551" width="5.33203125" style="725" customWidth="1"/>
    <col min="2552" max="2552" width="17.6640625" style="725" customWidth="1"/>
    <col min="2553" max="2553" width="4" style="725" customWidth="1"/>
    <col min="2554" max="2554" width="15.44140625" style="725" customWidth="1"/>
    <col min="2555" max="2555" width="2.6640625" style="725" customWidth="1"/>
    <col min="2556" max="2566" width="10" style="725" customWidth="1"/>
    <col min="2567" max="2804" width="9.109375" style="725"/>
    <col min="2805" max="2805" width="7" style="725" customWidth="1"/>
    <col min="2806" max="2806" width="2.6640625" style="725" customWidth="1"/>
    <col min="2807" max="2807" width="5.33203125" style="725" customWidth="1"/>
    <col min="2808" max="2808" width="17.6640625" style="725" customWidth="1"/>
    <col min="2809" max="2809" width="4" style="725" customWidth="1"/>
    <col min="2810" max="2810" width="15.44140625" style="725" customWidth="1"/>
    <col min="2811" max="2811" width="2.6640625" style="725" customWidth="1"/>
    <col min="2812" max="2822" width="10" style="725" customWidth="1"/>
    <col min="2823" max="3060" width="9.109375" style="725"/>
    <col min="3061" max="3061" width="7" style="725" customWidth="1"/>
    <col min="3062" max="3062" width="2.6640625" style="725" customWidth="1"/>
    <col min="3063" max="3063" width="5.33203125" style="725" customWidth="1"/>
    <col min="3064" max="3064" width="17.6640625" style="725" customWidth="1"/>
    <col min="3065" max="3065" width="4" style="725" customWidth="1"/>
    <col min="3066" max="3066" width="15.44140625" style="725" customWidth="1"/>
    <col min="3067" max="3067" width="2.6640625" style="725" customWidth="1"/>
    <col min="3068" max="3078" width="10" style="725" customWidth="1"/>
    <col min="3079" max="3316" width="9.109375" style="725"/>
    <col min="3317" max="3317" width="7" style="725" customWidth="1"/>
    <col min="3318" max="3318" width="2.6640625" style="725" customWidth="1"/>
    <col min="3319" max="3319" width="5.33203125" style="725" customWidth="1"/>
    <col min="3320" max="3320" width="17.6640625" style="725" customWidth="1"/>
    <col min="3321" max="3321" width="4" style="725" customWidth="1"/>
    <col min="3322" max="3322" width="15.44140625" style="725" customWidth="1"/>
    <col min="3323" max="3323" width="2.6640625" style="725" customWidth="1"/>
    <col min="3324" max="3334" width="10" style="725" customWidth="1"/>
    <col min="3335" max="3572" width="9.109375" style="725"/>
    <col min="3573" max="3573" width="7" style="725" customWidth="1"/>
    <col min="3574" max="3574" width="2.6640625" style="725" customWidth="1"/>
    <col min="3575" max="3575" width="5.33203125" style="725" customWidth="1"/>
    <col min="3576" max="3576" width="17.6640625" style="725" customWidth="1"/>
    <col min="3577" max="3577" width="4" style="725" customWidth="1"/>
    <col min="3578" max="3578" width="15.44140625" style="725" customWidth="1"/>
    <col min="3579" max="3579" width="2.6640625" style="725" customWidth="1"/>
    <col min="3580" max="3590" width="10" style="725" customWidth="1"/>
    <col min="3591" max="3828" width="9.109375" style="725"/>
    <col min="3829" max="3829" width="7" style="725" customWidth="1"/>
    <col min="3830" max="3830" width="2.6640625" style="725" customWidth="1"/>
    <col min="3831" max="3831" width="5.33203125" style="725" customWidth="1"/>
    <col min="3832" max="3832" width="17.6640625" style="725" customWidth="1"/>
    <col min="3833" max="3833" width="4" style="725" customWidth="1"/>
    <col min="3834" max="3834" width="15.44140625" style="725" customWidth="1"/>
    <col min="3835" max="3835" width="2.6640625" style="725" customWidth="1"/>
    <col min="3836" max="3846" width="10" style="725" customWidth="1"/>
    <col min="3847" max="4084" width="9.109375" style="725"/>
    <col min="4085" max="4085" width="7" style="725" customWidth="1"/>
    <col min="4086" max="4086" width="2.6640625" style="725" customWidth="1"/>
    <col min="4087" max="4087" width="5.33203125" style="725" customWidth="1"/>
    <col min="4088" max="4088" width="17.6640625" style="725" customWidth="1"/>
    <col min="4089" max="4089" width="4" style="725" customWidth="1"/>
    <col min="4090" max="4090" width="15.44140625" style="725" customWidth="1"/>
    <col min="4091" max="4091" width="2.6640625" style="725" customWidth="1"/>
    <col min="4092" max="4102" width="10" style="725" customWidth="1"/>
    <col min="4103" max="4340" width="9.109375" style="725"/>
    <col min="4341" max="4341" width="7" style="725" customWidth="1"/>
    <col min="4342" max="4342" width="2.6640625" style="725" customWidth="1"/>
    <col min="4343" max="4343" width="5.33203125" style="725" customWidth="1"/>
    <col min="4344" max="4344" width="17.6640625" style="725" customWidth="1"/>
    <col min="4345" max="4345" width="4" style="725" customWidth="1"/>
    <col min="4346" max="4346" width="15.44140625" style="725" customWidth="1"/>
    <col min="4347" max="4347" width="2.6640625" style="725" customWidth="1"/>
    <col min="4348" max="4358" width="10" style="725" customWidth="1"/>
    <col min="4359" max="4596" width="9.109375" style="725"/>
    <col min="4597" max="4597" width="7" style="725" customWidth="1"/>
    <col min="4598" max="4598" width="2.6640625" style="725" customWidth="1"/>
    <col min="4599" max="4599" width="5.33203125" style="725" customWidth="1"/>
    <col min="4600" max="4600" width="17.6640625" style="725" customWidth="1"/>
    <col min="4601" max="4601" width="4" style="725" customWidth="1"/>
    <col min="4602" max="4602" width="15.44140625" style="725" customWidth="1"/>
    <col min="4603" max="4603" width="2.6640625" style="725" customWidth="1"/>
    <col min="4604" max="4614" width="10" style="725" customWidth="1"/>
    <col min="4615" max="4852" width="9.109375" style="725"/>
    <col min="4853" max="4853" width="7" style="725" customWidth="1"/>
    <col min="4854" max="4854" width="2.6640625" style="725" customWidth="1"/>
    <col min="4855" max="4855" width="5.33203125" style="725" customWidth="1"/>
    <col min="4856" max="4856" width="17.6640625" style="725" customWidth="1"/>
    <col min="4857" max="4857" width="4" style="725" customWidth="1"/>
    <col min="4858" max="4858" width="15.44140625" style="725" customWidth="1"/>
    <col min="4859" max="4859" width="2.6640625" style="725" customWidth="1"/>
    <col min="4860" max="4870" width="10" style="725" customWidth="1"/>
    <col min="4871" max="5108" width="9.109375" style="725"/>
    <col min="5109" max="5109" width="7" style="725" customWidth="1"/>
    <col min="5110" max="5110" width="2.6640625" style="725" customWidth="1"/>
    <col min="5111" max="5111" width="5.33203125" style="725" customWidth="1"/>
    <col min="5112" max="5112" width="17.6640625" style="725" customWidth="1"/>
    <col min="5113" max="5113" width="4" style="725" customWidth="1"/>
    <col min="5114" max="5114" width="15.44140625" style="725" customWidth="1"/>
    <col min="5115" max="5115" width="2.6640625" style="725" customWidth="1"/>
    <col min="5116" max="5126" width="10" style="725" customWidth="1"/>
    <col min="5127" max="5364" width="9.109375" style="725"/>
    <col min="5365" max="5365" width="7" style="725" customWidth="1"/>
    <col min="5366" max="5366" width="2.6640625" style="725" customWidth="1"/>
    <col min="5367" max="5367" width="5.33203125" style="725" customWidth="1"/>
    <col min="5368" max="5368" width="17.6640625" style="725" customWidth="1"/>
    <col min="5369" max="5369" width="4" style="725" customWidth="1"/>
    <col min="5370" max="5370" width="15.44140625" style="725" customWidth="1"/>
    <col min="5371" max="5371" width="2.6640625" style="725" customWidth="1"/>
    <col min="5372" max="5382" width="10" style="725" customWidth="1"/>
    <col min="5383" max="5620" width="9.109375" style="725"/>
    <col min="5621" max="5621" width="7" style="725" customWidth="1"/>
    <col min="5622" max="5622" width="2.6640625" style="725" customWidth="1"/>
    <col min="5623" max="5623" width="5.33203125" style="725" customWidth="1"/>
    <col min="5624" max="5624" width="17.6640625" style="725" customWidth="1"/>
    <col min="5625" max="5625" width="4" style="725" customWidth="1"/>
    <col min="5626" max="5626" width="15.44140625" style="725" customWidth="1"/>
    <col min="5627" max="5627" width="2.6640625" style="725" customWidth="1"/>
    <col min="5628" max="5638" width="10" style="725" customWidth="1"/>
    <col min="5639" max="5876" width="9.109375" style="725"/>
    <col min="5877" max="5877" width="7" style="725" customWidth="1"/>
    <col min="5878" max="5878" width="2.6640625" style="725" customWidth="1"/>
    <col min="5879" max="5879" width="5.33203125" style="725" customWidth="1"/>
    <col min="5880" max="5880" width="17.6640625" style="725" customWidth="1"/>
    <col min="5881" max="5881" width="4" style="725" customWidth="1"/>
    <col min="5882" max="5882" width="15.44140625" style="725" customWidth="1"/>
    <col min="5883" max="5883" width="2.6640625" style="725" customWidth="1"/>
    <col min="5884" max="5894" width="10" style="725" customWidth="1"/>
    <col min="5895" max="6132" width="9.109375" style="725"/>
    <col min="6133" max="6133" width="7" style="725" customWidth="1"/>
    <col min="6134" max="6134" width="2.6640625" style="725" customWidth="1"/>
    <col min="6135" max="6135" width="5.33203125" style="725" customWidth="1"/>
    <col min="6136" max="6136" width="17.6640625" style="725" customWidth="1"/>
    <col min="6137" max="6137" width="4" style="725" customWidth="1"/>
    <col min="6138" max="6138" width="15.44140625" style="725" customWidth="1"/>
    <col min="6139" max="6139" width="2.6640625" style="725" customWidth="1"/>
    <col min="6140" max="6150" width="10" style="725" customWidth="1"/>
    <col min="6151" max="6388" width="9.109375" style="725"/>
    <col min="6389" max="6389" width="7" style="725" customWidth="1"/>
    <col min="6390" max="6390" width="2.6640625" style="725" customWidth="1"/>
    <col min="6391" max="6391" width="5.33203125" style="725" customWidth="1"/>
    <col min="6392" max="6392" width="17.6640625" style="725" customWidth="1"/>
    <col min="6393" max="6393" width="4" style="725" customWidth="1"/>
    <col min="6394" max="6394" width="15.44140625" style="725" customWidth="1"/>
    <col min="6395" max="6395" width="2.6640625" style="725" customWidth="1"/>
    <col min="6396" max="6406" width="10" style="725" customWidth="1"/>
    <col min="6407" max="6644" width="9.109375" style="725"/>
    <col min="6645" max="6645" width="7" style="725" customWidth="1"/>
    <col min="6646" max="6646" width="2.6640625" style="725" customWidth="1"/>
    <col min="6647" max="6647" width="5.33203125" style="725" customWidth="1"/>
    <col min="6648" max="6648" width="17.6640625" style="725" customWidth="1"/>
    <col min="6649" max="6649" width="4" style="725" customWidth="1"/>
    <col min="6650" max="6650" width="15.44140625" style="725" customWidth="1"/>
    <col min="6651" max="6651" width="2.6640625" style="725" customWidth="1"/>
    <col min="6652" max="6662" width="10" style="725" customWidth="1"/>
    <col min="6663" max="6900" width="9.109375" style="725"/>
    <col min="6901" max="6901" width="7" style="725" customWidth="1"/>
    <col min="6902" max="6902" width="2.6640625" style="725" customWidth="1"/>
    <col min="6903" max="6903" width="5.33203125" style="725" customWidth="1"/>
    <col min="6904" max="6904" width="17.6640625" style="725" customWidth="1"/>
    <col min="6905" max="6905" width="4" style="725" customWidth="1"/>
    <col min="6906" max="6906" width="15.44140625" style="725" customWidth="1"/>
    <col min="6907" max="6907" width="2.6640625" style="725" customWidth="1"/>
    <col min="6908" max="6918" width="10" style="725" customWidth="1"/>
    <col min="6919" max="7156" width="9.109375" style="725"/>
    <col min="7157" max="7157" width="7" style="725" customWidth="1"/>
    <col min="7158" max="7158" width="2.6640625" style="725" customWidth="1"/>
    <col min="7159" max="7159" width="5.33203125" style="725" customWidth="1"/>
    <col min="7160" max="7160" width="17.6640625" style="725" customWidth="1"/>
    <col min="7161" max="7161" width="4" style="725" customWidth="1"/>
    <col min="7162" max="7162" width="15.44140625" style="725" customWidth="1"/>
    <col min="7163" max="7163" width="2.6640625" style="725" customWidth="1"/>
    <col min="7164" max="7174" width="10" style="725" customWidth="1"/>
    <col min="7175" max="7412" width="9.109375" style="725"/>
    <col min="7413" max="7413" width="7" style="725" customWidth="1"/>
    <col min="7414" max="7414" width="2.6640625" style="725" customWidth="1"/>
    <col min="7415" max="7415" width="5.33203125" style="725" customWidth="1"/>
    <col min="7416" max="7416" width="17.6640625" style="725" customWidth="1"/>
    <col min="7417" max="7417" width="4" style="725" customWidth="1"/>
    <col min="7418" max="7418" width="15.44140625" style="725" customWidth="1"/>
    <col min="7419" max="7419" width="2.6640625" style="725" customWidth="1"/>
    <col min="7420" max="7430" width="10" style="725" customWidth="1"/>
    <col min="7431" max="7668" width="9.109375" style="725"/>
    <col min="7669" max="7669" width="7" style="725" customWidth="1"/>
    <col min="7670" max="7670" width="2.6640625" style="725" customWidth="1"/>
    <col min="7671" max="7671" width="5.33203125" style="725" customWidth="1"/>
    <col min="7672" max="7672" width="17.6640625" style="725" customWidth="1"/>
    <col min="7673" max="7673" width="4" style="725" customWidth="1"/>
    <col min="7674" max="7674" width="15.44140625" style="725" customWidth="1"/>
    <col min="7675" max="7675" width="2.6640625" style="725" customWidth="1"/>
    <col min="7676" max="7686" width="10" style="725" customWidth="1"/>
    <col min="7687" max="7924" width="9.109375" style="725"/>
    <col min="7925" max="7925" width="7" style="725" customWidth="1"/>
    <col min="7926" max="7926" width="2.6640625" style="725" customWidth="1"/>
    <col min="7927" max="7927" width="5.33203125" style="725" customWidth="1"/>
    <col min="7928" max="7928" width="17.6640625" style="725" customWidth="1"/>
    <col min="7929" max="7929" width="4" style="725" customWidth="1"/>
    <col min="7930" max="7930" width="15.44140625" style="725" customWidth="1"/>
    <col min="7931" max="7931" width="2.6640625" style="725" customWidth="1"/>
    <col min="7932" max="7942" width="10" style="725" customWidth="1"/>
    <col min="7943" max="8180" width="9.109375" style="725"/>
    <col min="8181" max="8181" width="7" style="725" customWidth="1"/>
    <col min="8182" max="8182" width="2.6640625" style="725" customWidth="1"/>
    <col min="8183" max="8183" width="5.33203125" style="725" customWidth="1"/>
    <col min="8184" max="8184" width="17.6640625" style="725" customWidth="1"/>
    <col min="8185" max="8185" width="4" style="725" customWidth="1"/>
    <col min="8186" max="8186" width="15.44140625" style="725" customWidth="1"/>
    <col min="8187" max="8187" width="2.6640625" style="725" customWidth="1"/>
    <col min="8188" max="8198" width="10" style="725" customWidth="1"/>
    <col min="8199" max="8436" width="9.109375" style="725"/>
    <col min="8437" max="8437" width="7" style="725" customWidth="1"/>
    <col min="8438" max="8438" width="2.6640625" style="725" customWidth="1"/>
    <col min="8439" max="8439" width="5.33203125" style="725" customWidth="1"/>
    <col min="8440" max="8440" width="17.6640625" style="725" customWidth="1"/>
    <col min="8441" max="8441" width="4" style="725" customWidth="1"/>
    <col min="8442" max="8442" width="15.44140625" style="725" customWidth="1"/>
    <col min="8443" max="8443" width="2.6640625" style="725" customWidth="1"/>
    <col min="8444" max="8454" width="10" style="725" customWidth="1"/>
    <col min="8455" max="8692" width="9.109375" style="725"/>
    <col min="8693" max="8693" width="7" style="725" customWidth="1"/>
    <col min="8694" max="8694" width="2.6640625" style="725" customWidth="1"/>
    <col min="8695" max="8695" width="5.33203125" style="725" customWidth="1"/>
    <col min="8696" max="8696" width="17.6640625" style="725" customWidth="1"/>
    <col min="8697" max="8697" width="4" style="725" customWidth="1"/>
    <col min="8698" max="8698" width="15.44140625" style="725" customWidth="1"/>
    <col min="8699" max="8699" width="2.6640625" style="725" customWidth="1"/>
    <col min="8700" max="8710" width="10" style="725" customWidth="1"/>
    <col min="8711" max="8948" width="9.109375" style="725"/>
    <col min="8949" max="8949" width="7" style="725" customWidth="1"/>
    <col min="8950" max="8950" width="2.6640625" style="725" customWidth="1"/>
    <col min="8951" max="8951" width="5.33203125" style="725" customWidth="1"/>
    <col min="8952" max="8952" width="17.6640625" style="725" customWidth="1"/>
    <col min="8953" max="8953" width="4" style="725" customWidth="1"/>
    <col min="8954" max="8954" width="15.44140625" style="725" customWidth="1"/>
    <col min="8955" max="8955" width="2.6640625" style="725" customWidth="1"/>
    <col min="8956" max="8966" width="10" style="725" customWidth="1"/>
    <col min="8967" max="9204" width="9.109375" style="725"/>
    <col min="9205" max="9205" width="7" style="725" customWidth="1"/>
    <col min="9206" max="9206" width="2.6640625" style="725" customWidth="1"/>
    <col min="9207" max="9207" width="5.33203125" style="725" customWidth="1"/>
    <col min="9208" max="9208" width="17.6640625" style="725" customWidth="1"/>
    <col min="9209" max="9209" width="4" style="725" customWidth="1"/>
    <col min="9210" max="9210" width="15.44140625" style="725" customWidth="1"/>
    <col min="9211" max="9211" width="2.6640625" style="725" customWidth="1"/>
    <col min="9212" max="9222" width="10" style="725" customWidth="1"/>
    <col min="9223" max="9460" width="9.109375" style="725"/>
    <col min="9461" max="9461" width="7" style="725" customWidth="1"/>
    <col min="9462" max="9462" width="2.6640625" style="725" customWidth="1"/>
    <col min="9463" max="9463" width="5.33203125" style="725" customWidth="1"/>
    <col min="9464" max="9464" width="17.6640625" style="725" customWidth="1"/>
    <col min="9465" max="9465" width="4" style="725" customWidth="1"/>
    <col min="9466" max="9466" width="15.44140625" style="725" customWidth="1"/>
    <col min="9467" max="9467" width="2.6640625" style="725" customWidth="1"/>
    <col min="9468" max="9478" width="10" style="725" customWidth="1"/>
    <col min="9479" max="9716" width="9.109375" style="725"/>
    <col min="9717" max="9717" width="7" style="725" customWidth="1"/>
    <col min="9718" max="9718" width="2.6640625" style="725" customWidth="1"/>
    <col min="9719" max="9719" width="5.33203125" style="725" customWidth="1"/>
    <col min="9720" max="9720" width="17.6640625" style="725" customWidth="1"/>
    <col min="9721" max="9721" width="4" style="725" customWidth="1"/>
    <col min="9722" max="9722" width="15.44140625" style="725" customWidth="1"/>
    <col min="9723" max="9723" width="2.6640625" style="725" customWidth="1"/>
    <col min="9724" max="9734" width="10" style="725" customWidth="1"/>
    <col min="9735" max="9972" width="9.109375" style="725"/>
    <col min="9973" max="9973" width="7" style="725" customWidth="1"/>
    <col min="9974" max="9974" width="2.6640625" style="725" customWidth="1"/>
    <col min="9975" max="9975" width="5.33203125" style="725" customWidth="1"/>
    <col min="9976" max="9976" width="17.6640625" style="725" customWidth="1"/>
    <col min="9977" max="9977" width="4" style="725" customWidth="1"/>
    <col min="9978" max="9978" width="15.44140625" style="725" customWidth="1"/>
    <col min="9979" max="9979" width="2.6640625" style="725" customWidth="1"/>
    <col min="9980" max="9990" width="10" style="725" customWidth="1"/>
    <col min="9991" max="10228" width="9.109375" style="725"/>
    <col min="10229" max="10229" width="7" style="725" customWidth="1"/>
    <col min="10230" max="10230" width="2.6640625" style="725" customWidth="1"/>
    <col min="10231" max="10231" width="5.33203125" style="725" customWidth="1"/>
    <col min="10232" max="10232" width="17.6640625" style="725" customWidth="1"/>
    <col min="10233" max="10233" width="4" style="725" customWidth="1"/>
    <col min="10234" max="10234" width="15.44140625" style="725" customWidth="1"/>
    <col min="10235" max="10235" width="2.6640625" style="725" customWidth="1"/>
    <col min="10236" max="10246" width="10" style="725" customWidth="1"/>
    <col min="10247" max="10484" width="9.109375" style="725"/>
    <col min="10485" max="10485" width="7" style="725" customWidth="1"/>
    <col min="10486" max="10486" width="2.6640625" style="725" customWidth="1"/>
    <col min="10487" max="10487" width="5.33203125" style="725" customWidth="1"/>
    <col min="10488" max="10488" width="17.6640625" style="725" customWidth="1"/>
    <col min="10489" max="10489" width="4" style="725" customWidth="1"/>
    <col min="10490" max="10490" width="15.44140625" style="725" customWidth="1"/>
    <col min="10491" max="10491" width="2.6640625" style="725" customWidth="1"/>
    <col min="10492" max="10502" width="10" style="725" customWidth="1"/>
    <col min="10503" max="10740" width="9.109375" style="725"/>
    <col min="10741" max="10741" width="7" style="725" customWidth="1"/>
    <col min="10742" max="10742" width="2.6640625" style="725" customWidth="1"/>
    <col min="10743" max="10743" width="5.33203125" style="725" customWidth="1"/>
    <col min="10744" max="10744" width="17.6640625" style="725" customWidth="1"/>
    <col min="10745" max="10745" width="4" style="725" customWidth="1"/>
    <col min="10746" max="10746" width="15.44140625" style="725" customWidth="1"/>
    <col min="10747" max="10747" width="2.6640625" style="725" customWidth="1"/>
    <col min="10748" max="10758" width="10" style="725" customWidth="1"/>
    <col min="10759" max="10996" width="9.109375" style="725"/>
    <col min="10997" max="10997" width="7" style="725" customWidth="1"/>
    <col min="10998" max="10998" width="2.6640625" style="725" customWidth="1"/>
    <col min="10999" max="10999" width="5.33203125" style="725" customWidth="1"/>
    <col min="11000" max="11000" width="17.6640625" style="725" customWidth="1"/>
    <col min="11001" max="11001" width="4" style="725" customWidth="1"/>
    <col min="11002" max="11002" width="15.44140625" style="725" customWidth="1"/>
    <col min="11003" max="11003" width="2.6640625" style="725" customWidth="1"/>
    <col min="11004" max="11014" width="10" style="725" customWidth="1"/>
    <col min="11015" max="11252" width="9.109375" style="725"/>
    <col min="11253" max="11253" width="7" style="725" customWidth="1"/>
    <col min="11254" max="11254" width="2.6640625" style="725" customWidth="1"/>
    <col min="11255" max="11255" width="5.33203125" style="725" customWidth="1"/>
    <col min="11256" max="11256" width="17.6640625" style="725" customWidth="1"/>
    <col min="11257" max="11257" width="4" style="725" customWidth="1"/>
    <col min="11258" max="11258" width="15.44140625" style="725" customWidth="1"/>
    <col min="11259" max="11259" width="2.6640625" style="725" customWidth="1"/>
    <col min="11260" max="11270" width="10" style="725" customWidth="1"/>
    <col min="11271" max="11508" width="9.109375" style="725"/>
    <col min="11509" max="11509" width="7" style="725" customWidth="1"/>
    <col min="11510" max="11510" width="2.6640625" style="725" customWidth="1"/>
    <col min="11511" max="11511" width="5.33203125" style="725" customWidth="1"/>
    <col min="11512" max="11512" width="17.6640625" style="725" customWidth="1"/>
    <col min="11513" max="11513" width="4" style="725" customWidth="1"/>
    <col min="11514" max="11514" width="15.44140625" style="725" customWidth="1"/>
    <col min="11515" max="11515" width="2.6640625" style="725" customWidth="1"/>
    <col min="11516" max="11526" width="10" style="725" customWidth="1"/>
    <col min="11527" max="11764" width="9.109375" style="725"/>
    <col min="11765" max="11765" width="7" style="725" customWidth="1"/>
    <col min="11766" max="11766" width="2.6640625" style="725" customWidth="1"/>
    <col min="11767" max="11767" width="5.33203125" style="725" customWidth="1"/>
    <col min="11768" max="11768" width="17.6640625" style="725" customWidth="1"/>
    <col min="11769" max="11769" width="4" style="725" customWidth="1"/>
    <col min="11770" max="11770" width="15.44140625" style="725" customWidth="1"/>
    <col min="11771" max="11771" width="2.6640625" style="725" customWidth="1"/>
    <col min="11772" max="11782" width="10" style="725" customWidth="1"/>
    <col min="11783" max="12020" width="9.109375" style="725"/>
    <col min="12021" max="12021" width="7" style="725" customWidth="1"/>
    <col min="12022" max="12022" width="2.6640625" style="725" customWidth="1"/>
    <col min="12023" max="12023" width="5.33203125" style="725" customWidth="1"/>
    <col min="12024" max="12024" width="17.6640625" style="725" customWidth="1"/>
    <col min="12025" max="12025" width="4" style="725" customWidth="1"/>
    <col min="12026" max="12026" width="15.44140625" style="725" customWidth="1"/>
    <col min="12027" max="12027" width="2.6640625" style="725" customWidth="1"/>
    <col min="12028" max="12038" width="10" style="725" customWidth="1"/>
    <col min="12039" max="12276" width="9.109375" style="725"/>
    <col min="12277" max="12277" width="7" style="725" customWidth="1"/>
    <col min="12278" max="12278" width="2.6640625" style="725" customWidth="1"/>
    <col min="12279" max="12279" width="5.33203125" style="725" customWidth="1"/>
    <col min="12280" max="12280" width="17.6640625" style="725" customWidth="1"/>
    <col min="12281" max="12281" width="4" style="725" customWidth="1"/>
    <col min="12282" max="12282" width="15.44140625" style="725" customWidth="1"/>
    <col min="12283" max="12283" width="2.6640625" style="725" customWidth="1"/>
    <col min="12284" max="12294" width="10" style="725" customWidth="1"/>
    <col min="12295" max="12532" width="9.109375" style="725"/>
    <col min="12533" max="12533" width="7" style="725" customWidth="1"/>
    <col min="12534" max="12534" width="2.6640625" style="725" customWidth="1"/>
    <col min="12535" max="12535" width="5.33203125" style="725" customWidth="1"/>
    <col min="12536" max="12536" width="17.6640625" style="725" customWidth="1"/>
    <col min="12537" max="12537" width="4" style="725" customWidth="1"/>
    <col min="12538" max="12538" width="15.44140625" style="725" customWidth="1"/>
    <col min="12539" max="12539" width="2.6640625" style="725" customWidth="1"/>
    <col min="12540" max="12550" width="10" style="725" customWidth="1"/>
    <col min="12551" max="12788" width="9.109375" style="725"/>
    <col min="12789" max="12789" width="7" style="725" customWidth="1"/>
    <col min="12790" max="12790" width="2.6640625" style="725" customWidth="1"/>
    <col min="12791" max="12791" width="5.33203125" style="725" customWidth="1"/>
    <col min="12792" max="12792" width="17.6640625" style="725" customWidth="1"/>
    <col min="12793" max="12793" width="4" style="725" customWidth="1"/>
    <col min="12794" max="12794" width="15.44140625" style="725" customWidth="1"/>
    <col min="12795" max="12795" width="2.6640625" style="725" customWidth="1"/>
    <col min="12796" max="12806" width="10" style="725" customWidth="1"/>
    <col min="12807" max="13044" width="9.109375" style="725"/>
    <col min="13045" max="13045" width="7" style="725" customWidth="1"/>
    <col min="13046" max="13046" width="2.6640625" style="725" customWidth="1"/>
    <col min="13047" max="13047" width="5.33203125" style="725" customWidth="1"/>
    <col min="13048" max="13048" width="17.6640625" style="725" customWidth="1"/>
    <col min="13049" max="13049" width="4" style="725" customWidth="1"/>
    <col min="13050" max="13050" width="15.44140625" style="725" customWidth="1"/>
    <col min="13051" max="13051" width="2.6640625" style="725" customWidth="1"/>
    <col min="13052" max="13062" width="10" style="725" customWidth="1"/>
    <col min="13063" max="13300" width="9.109375" style="725"/>
    <col min="13301" max="13301" width="7" style="725" customWidth="1"/>
    <col min="13302" max="13302" width="2.6640625" style="725" customWidth="1"/>
    <col min="13303" max="13303" width="5.33203125" style="725" customWidth="1"/>
    <col min="13304" max="13304" width="17.6640625" style="725" customWidth="1"/>
    <col min="13305" max="13305" width="4" style="725" customWidth="1"/>
    <col min="13306" max="13306" width="15.44140625" style="725" customWidth="1"/>
    <col min="13307" max="13307" width="2.6640625" style="725" customWidth="1"/>
    <col min="13308" max="13318" width="10" style="725" customWidth="1"/>
    <col min="13319" max="13556" width="9.109375" style="725"/>
    <col min="13557" max="13557" width="7" style="725" customWidth="1"/>
    <col min="13558" max="13558" width="2.6640625" style="725" customWidth="1"/>
    <col min="13559" max="13559" width="5.33203125" style="725" customWidth="1"/>
    <col min="13560" max="13560" width="17.6640625" style="725" customWidth="1"/>
    <col min="13561" max="13561" width="4" style="725" customWidth="1"/>
    <col min="13562" max="13562" width="15.44140625" style="725" customWidth="1"/>
    <col min="13563" max="13563" width="2.6640625" style="725" customWidth="1"/>
    <col min="13564" max="13574" width="10" style="725" customWidth="1"/>
    <col min="13575" max="13812" width="9.109375" style="725"/>
    <col min="13813" max="13813" width="7" style="725" customWidth="1"/>
    <col min="13814" max="13814" width="2.6640625" style="725" customWidth="1"/>
    <col min="13815" max="13815" width="5.33203125" style="725" customWidth="1"/>
    <col min="13816" max="13816" width="17.6640625" style="725" customWidth="1"/>
    <col min="13817" max="13817" width="4" style="725" customWidth="1"/>
    <col min="13818" max="13818" width="15.44140625" style="725" customWidth="1"/>
    <col min="13819" max="13819" width="2.6640625" style="725" customWidth="1"/>
    <col min="13820" max="13830" width="10" style="725" customWidth="1"/>
    <col min="13831" max="14068" width="9.109375" style="725"/>
    <col min="14069" max="14069" width="7" style="725" customWidth="1"/>
    <col min="14070" max="14070" width="2.6640625" style="725" customWidth="1"/>
    <col min="14071" max="14071" width="5.33203125" style="725" customWidth="1"/>
    <col min="14072" max="14072" width="17.6640625" style="725" customWidth="1"/>
    <col min="14073" max="14073" width="4" style="725" customWidth="1"/>
    <col min="14074" max="14074" width="15.44140625" style="725" customWidth="1"/>
    <col min="14075" max="14075" width="2.6640625" style="725" customWidth="1"/>
    <col min="14076" max="14086" width="10" style="725" customWidth="1"/>
    <col min="14087" max="14324" width="9.109375" style="725"/>
    <col min="14325" max="14325" width="7" style="725" customWidth="1"/>
    <col min="14326" max="14326" width="2.6640625" style="725" customWidth="1"/>
    <col min="14327" max="14327" width="5.33203125" style="725" customWidth="1"/>
    <col min="14328" max="14328" width="17.6640625" style="725" customWidth="1"/>
    <col min="14329" max="14329" width="4" style="725" customWidth="1"/>
    <col min="14330" max="14330" width="15.44140625" style="725" customWidth="1"/>
    <col min="14331" max="14331" width="2.6640625" style="725" customWidth="1"/>
    <col min="14332" max="14342" width="10" style="725" customWidth="1"/>
    <col min="14343" max="14580" width="9.109375" style="725"/>
    <col min="14581" max="14581" width="7" style="725" customWidth="1"/>
    <col min="14582" max="14582" width="2.6640625" style="725" customWidth="1"/>
    <col min="14583" max="14583" width="5.33203125" style="725" customWidth="1"/>
    <col min="14584" max="14584" width="17.6640625" style="725" customWidth="1"/>
    <col min="14585" max="14585" width="4" style="725" customWidth="1"/>
    <col min="14586" max="14586" width="15.44140625" style="725" customWidth="1"/>
    <col min="14587" max="14587" width="2.6640625" style="725" customWidth="1"/>
    <col min="14588" max="14598" width="10" style="725" customWidth="1"/>
    <col min="14599" max="14836" width="9.109375" style="725"/>
    <col min="14837" max="14837" width="7" style="725" customWidth="1"/>
    <col min="14838" max="14838" width="2.6640625" style="725" customWidth="1"/>
    <col min="14839" max="14839" width="5.33203125" style="725" customWidth="1"/>
    <col min="14840" max="14840" width="17.6640625" style="725" customWidth="1"/>
    <col min="14841" max="14841" width="4" style="725" customWidth="1"/>
    <col min="14842" max="14842" width="15.44140625" style="725" customWidth="1"/>
    <col min="14843" max="14843" width="2.6640625" style="725" customWidth="1"/>
    <col min="14844" max="14854" width="10" style="725" customWidth="1"/>
    <col min="14855" max="15092" width="9.109375" style="725"/>
    <col min="15093" max="15093" width="7" style="725" customWidth="1"/>
    <col min="15094" max="15094" width="2.6640625" style="725" customWidth="1"/>
    <col min="15095" max="15095" width="5.33203125" style="725" customWidth="1"/>
    <col min="15096" max="15096" width="17.6640625" style="725" customWidth="1"/>
    <col min="15097" max="15097" width="4" style="725" customWidth="1"/>
    <col min="15098" max="15098" width="15.44140625" style="725" customWidth="1"/>
    <col min="15099" max="15099" width="2.6640625" style="725" customWidth="1"/>
    <col min="15100" max="15110" width="10" style="725" customWidth="1"/>
    <col min="15111" max="15348" width="9.109375" style="725"/>
    <col min="15349" max="15349" width="7" style="725" customWidth="1"/>
    <col min="15350" max="15350" width="2.6640625" style="725" customWidth="1"/>
    <col min="15351" max="15351" width="5.33203125" style="725" customWidth="1"/>
    <col min="15352" max="15352" width="17.6640625" style="725" customWidth="1"/>
    <col min="15353" max="15353" width="4" style="725" customWidth="1"/>
    <col min="15354" max="15354" width="15.44140625" style="725" customWidth="1"/>
    <col min="15355" max="15355" width="2.6640625" style="725" customWidth="1"/>
    <col min="15356" max="15366" width="10" style="725" customWidth="1"/>
    <col min="15367" max="15604" width="9.109375" style="725"/>
    <col min="15605" max="15605" width="7" style="725" customWidth="1"/>
    <col min="15606" max="15606" width="2.6640625" style="725" customWidth="1"/>
    <col min="15607" max="15607" width="5.33203125" style="725" customWidth="1"/>
    <col min="15608" max="15608" width="17.6640625" style="725" customWidth="1"/>
    <col min="15609" max="15609" width="4" style="725" customWidth="1"/>
    <col min="15610" max="15610" width="15.44140625" style="725" customWidth="1"/>
    <col min="15611" max="15611" width="2.6640625" style="725" customWidth="1"/>
    <col min="15612" max="15622" width="10" style="725" customWidth="1"/>
    <col min="15623" max="15860" width="9.109375" style="725"/>
    <col min="15861" max="15861" width="7" style="725" customWidth="1"/>
    <col min="15862" max="15862" width="2.6640625" style="725" customWidth="1"/>
    <col min="15863" max="15863" width="5.33203125" style="725" customWidth="1"/>
    <col min="15864" max="15864" width="17.6640625" style="725" customWidth="1"/>
    <col min="15865" max="15865" width="4" style="725" customWidth="1"/>
    <col min="15866" max="15866" width="15.44140625" style="725" customWidth="1"/>
    <col min="15867" max="15867" width="2.6640625" style="725" customWidth="1"/>
    <col min="15868" max="15878" width="10" style="725" customWidth="1"/>
    <col min="15879" max="16116" width="9.109375" style="725"/>
    <col min="16117" max="16117" width="7" style="725" customWidth="1"/>
    <col min="16118" max="16118" width="2.6640625" style="725" customWidth="1"/>
    <col min="16119" max="16119" width="5.33203125" style="725" customWidth="1"/>
    <col min="16120" max="16120" width="17.6640625" style="725" customWidth="1"/>
    <col min="16121" max="16121" width="4" style="725" customWidth="1"/>
    <col min="16122" max="16122" width="15.44140625" style="725" customWidth="1"/>
    <col min="16123" max="16123" width="2.6640625" style="725" customWidth="1"/>
    <col min="16124" max="16134" width="10" style="725" customWidth="1"/>
    <col min="16135" max="16384" width="9.109375" style="725"/>
  </cols>
  <sheetData>
    <row r="1" spans="1:99" ht="15.6" x14ac:dyDescent="0.3">
      <c r="A1" s="861" t="s">
        <v>100</v>
      </c>
      <c r="B1" s="862"/>
      <c r="C1" s="861"/>
    </row>
    <row r="2" spans="1:99" x14ac:dyDescent="0.3">
      <c r="A2" s="864"/>
    </row>
    <row r="3" spans="1:99" x14ac:dyDescent="0.3">
      <c r="A3" s="725" t="s">
        <v>101</v>
      </c>
      <c r="C3" s="865"/>
      <c r="F3" s="439"/>
      <c r="G3" s="439"/>
      <c r="H3" s="447" t="s">
        <v>102</v>
      </c>
      <c r="I3" s="866"/>
      <c r="J3" s="725"/>
      <c r="L3" s="865"/>
      <c r="N3" s="865"/>
      <c r="O3" s="865"/>
      <c r="R3" s="867" t="s">
        <v>103</v>
      </c>
      <c r="S3" s="865"/>
      <c r="T3" s="868"/>
      <c r="U3" s="869"/>
      <c r="V3" s="868"/>
      <c r="W3" s="870"/>
      <c r="X3" s="870"/>
      <c r="Y3" s="871"/>
      <c r="Z3" s="871"/>
      <c r="AA3" s="871"/>
      <c r="AB3" s="871"/>
      <c r="AC3" s="871"/>
      <c r="AD3" s="871"/>
      <c r="AE3" s="871"/>
      <c r="AF3" s="870"/>
      <c r="AG3" s="868"/>
      <c r="AH3" s="872"/>
      <c r="AI3" s="872"/>
      <c r="AJ3" s="872"/>
      <c r="AK3" s="872"/>
      <c r="AL3" s="872"/>
      <c r="AM3" s="872"/>
      <c r="AN3" s="872"/>
      <c r="AO3" s="872"/>
      <c r="AP3" s="872"/>
      <c r="AQ3" s="872"/>
      <c r="AR3" s="868"/>
      <c r="AS3" s="872"/>
      <c r="AT3" s="872"/>
      <c r="AU3" s="872"/>
      <c r="AV3" s="872"/>
      <c r="AW3" s="872"/>
      <c r="AX3" s="872"/>
      <c r="AY3" s="872"/>
      <c r="AZ3" s="872"/>
      <c r="BA3" s="872"/>
      <c r="BB3" s="872"/>
      <c r="BC3" s="868"/>
      <c r="BD3" s="872"/>
      <c r="BE3" s="872"/>
      <c r="BF3" s="872"/>
      <c r="BG3" s="872"/>
      <c r="BH3" s="872"/>
      <c r="BI3" s="872"/>
      <c r="BJ3" s="872"/>
      <c r="BK3" s="872"/>
      <c r="BL3" s="872"/>
      <c r="BM3" s="872"/>
      <c r="BN3" s="868"/>
      <c r="BO3" s="872"/>
      <c r="BP3" s="872"/>
      <c r="BQ3" s="872"/>
      <c r="BR3" s="872"/>
      <c r="BS3" s="872"/>
      <c r="BT3" s="872"/>
      <c r="BU3" s="872"/>
      <c r="BV3" s="872"/>
      <c r="BW3" s="872"/>
      <c r="BX3" s="872"/>
      <c r="BY3" s="868"/>
      <c r="BZ3" s="872"/>
      <c r="CA3" s="872"/>
      <c r="CB3" s="872"/>
      <c r="CC3" s="872"/>
      <c r="CD3" s="872"/>
      <c r="CE3" s="872"/>
      <c r="CF3" s="872"/>
      <c r="CG3" s="872"/>
      <c r="CH3" s="872"/>
      <c r="CI3" s="872"/>
      <c r="CJ3" s="868"/>
      <c r="CK3" s="872"/>
      <c r="CL3" s="872"/>
      <c r="CM3" s="872"/>
      <c r="CN3" s="872"/>
      <c r="CO3" s="872"/>
      <c r="CP3" s="872"/>
      <c r="CQ3" s="872"/>
      <c r="CR3" s="872"/>
      <c r="CS3" s="872"/>
      <c r="CT3" s="872"/>
      <c r="CU3" s="868"/>
    </row>
    <row r="4" spans="1:99" x14ac:dyDescent="0.3">
      <c r="A4" s="726"/>
      <c r="B4" s="726"/>
      <c r="C4" s="726"/>
      <c r="D4" s="726"/>
      <c r="E4" s="726"/>
      <c r="F4" s="873"/>
      <c r="G4" s="873"/>
      <c r="H4" s="873"/>
      <c r="I4" s="874"/>
      <c r="J4" s="874"/>
      <c r="K4" s="451"/>
      <c r="L4" s="874"/>
      <c r="M4" s="874"/>
      <c r="N4" s="874"/>
      <c r="O4" s="874"/>
      <c r="P4" s="874"/>
      <c r="Q4" s="874"/>
      <c r="R4" s="874"/>
      <c r="S4" s="874"/>
      <c r="T4" s="868"/>
      <c r="V4" s="868"/>
      <c r="AG4" s="868"/>
      <c r="AR4" s="868"/>
      <c r="BC4" s="868"/>
      <c r="BN4" s="868"/>
      <c r="BY4" s="868"/>
      <c r="CJ4" s="868"/>
      <c r="CU4" s="868"/>
    </row>
    <row r="5" spans="1:99" x14ac:dyDescent="0.3">
      <c r="A5" s="724" t="s">
        <v>3</v>
      </c>
      <c r="B5" s="724"/>
      <c r="C5" s="724"/>
      <c r="D5" s="724"/>
      <c r="E5" s="724"/>
      <c r="F5" s="725" t="s">
        <v>4</v>
      </c>
      <c r="G5" s="445" t="s">
        <v>104</v>
      </c>
      <c r="H5" s="725"/>
      <c r="J5" s="725"/>
      <c r="N5" s="865"/>
      <c r="O5" s="724" t="s">
        <v>6</v>
      </c>
      <c r="T5" s="868"/>
      <c r="V5" s="868"/>
      <c r="AG5" s="868"/>
      <c r="AR5" s="868"/>
      <c r="BC5" s="868"/>
      <c r="BN5" s="868"/>
      <c r="BY5" s="868"/>
      <c r="CJ5" s="868"/>
      <c r="CU5" s="868"/>
    </row>
    <row r="6" spans="1:99" x14ac:dyDescent="0.3">
      <c r="F6" s="725"/>
      <c r="G6" s="445" t="s">
        <v>105</v>
      </c>
      <c r="H6" s="725"/>
      <c r="J6" s="725"/>
      <c r="L6" s="865"/>
      <c r="M6" s="865"/>
      <c r="N6" s="877" t="s">
        <v>7</v>
      </c>
      <c r="O6" s="725" t="s">
        <v>106</v>
      </c>
      <c r="T6" s="868"/>
      <c r="V6" s="868"/>
      <c r="AG6" s="868"/>
      <c r="AR6" s="868"/>
      <c r="BC6" s="868"/>
      <c r="BN6" s="868"/>
      <c r="BY6" s="868"/>
      <c r="CJ6" s="868"/>
      <c r="CU6" s="868"/>
    </row>
    <row r="7" spans="1:99" x14ac:dyDescent="0.3">
      <c r="A7" s="20" t="s">
        <v>9</v>
      </c>
      <c r="B7" s="21"/>
      <c r="C7" s="21"/>
      <c r="D7" s="724"/>
      <c r="E7" s="724"/>
      <c r="F7" s="725"/>
      <c r="G7" s="444" t="s">
        <v>107</v>
      </c>
      <c r="H7" s="725"/>
      <c r="J7" s="725"/>
      <c r="L7" s="876"/>
      <c r="M7" s="876"/>
      <c r="N7" s="875" t="s">
        <v>10</v>
      </c>
      <c r="O7" s="725" t="s">
        <v>108</v>
      </c>
      <c r="T7" s="868"/>
      <c r="V7" s="868"/>
      <c r="AG7" s="868"/>
      <c r="AR7" s="868"/>
      <c r="BC7" s="868"/>
      <c r="BN7" s="868"/>
      <c r="BY7" s="868"/>
      <c r="CJ7" s="868"/>
      <c r="CU7" s="868"/>
    </row>
    <row r="8" spans="1:99" x14ac:dyDescent="0.3">
      <c r="A8" s="20"/>
      <c r="B8" s="21"/>
      <c r="C8" s="21"/>
      <c r="D8" s="724"/>
      <c r="E8" s="724"/>
      <c r="F8" s="725"/>
      <c r="G8" s="445" t="s">
        <v>109</v>
      </c>
      <c r="H8" s="725"/>
      <c r="J8" s="725"/>
      <c r="L8" s="876"/>
      <c r="M8" s="876"/>
      <c r="N8" s="877" t="s">
        <v>7</v>
      </c>
      <c r="O8" s="725" t="s">
        <v>110</v>
      </c>
      <c r="T8" s="868"/>
      <c r="V8" s="868"/>
      <c r="AG8" s="868"/>
      <c r="AR8" s="868"/>
      <c r="BC8" s="868"/>
      <c r="BN8" s="868"/>
      <c r="BY8" s="868"/>
      <c r="CJ8" s="868"/>
      <c r="CU8" s="868"/>
    </row>
    <row r="9" spans="1:99" x14ac:dyDescent="0.3">
      <c r="A9" s="21"/>
      <c r="B9" s="21"/>
      <c r="C9" s="21"/>
      <c r="F9" s="725"/>
      <c r="G9" s="863" t="s">
        <v>111</v>
      </c>
      <c r="H9" s="725"/>
      <c r="J9" s="725"/>
      <c r="L9" s="866"/>
      <c r="M9" s="866"/>
      <c r="N9" s="866"/>
      <c r="O9" s="724" t="s">
        <v>15</v>
      </c>
      <c r="T9" s="868"/>
      <c r="V9" s="868"/>
      <c r="AG9" s="868"/>
      <c r="AR9" s="868"/>
      <c r="BC9" s="868"/>
      <c r="BN9" s="868"/>
      <c r="BY9" s="868"/>
      <c r="CJ9" s="868"/>
      <c r="CU9" s="868"/>
    </row>
    <row r="10" spans="1:99" x14ac:dyDescent="0.3">
      <c r="A10" s="20" t="s">
        <v>13</v>
      </c>
      <c r="B10" s="21"/>
      <c r="D10" s="22" t="s">
        <v>14</v>
      </c>
      <c r="E10" s="22"/>
      <c r="G10" s="725"/>
      <c r="I10" s="878"/>
      <c r="J10" s="445"/>
      <c r="L10" s="866"/>
      <c r="M10" s="866"/>
      <c r="N10" s="866"/>
      <c r="T10" s="868"/>
      <c r="U10" s="879" t="s">
        <v>112</v>
      </c>
      <c r="V10" s="868"/>
      <c r="AG10" s="868"/>
      <c r="AH10" s="880" t="s">
        <v>113</v>
      </c>
      <c r="AI10" s="880"/>
      <c r="AJ10" s="880"/>
      <c r="AK10" s="880"/>
      <c r="AL10" s="880"/>
      <c r="AM10" s="880"/>
      <c r="AN10" s="880"/>
      <c r="AO10" s="880"/>
      <c r="AP10" s="880"/>
      <c r="AQ10" s="880"/>
      <c r="AR10" s="868"/>
      <c r="AS10" s="880" t="s">
        <v>114</v>
      </c>
      <c r="AT10" s="880"/>
      <c r="AU10" s="880"/>
      <c r="AV10" s="880"/>
      <c r="AW10" s="880"/>
      <c r="AX10" s="880"/>
      <c r="AY10" s="880"/>
      <c r="AZ10" s="880"/>
      <c r="BA10" s="880"/>
      <c r="BB10" s="880"/>
      <c r="BC10" s="868"/>
      <c r="BD10" s="880" t="s">
        <v>115</v>
      </c>
      <c r="BE10" s="880"/>
      <c r="BF10" s="880"/>
      <c r="BG10" s="880"/>
      <c r="BH10" s="880"/>
      <c r="BI10" s="880"/>
      <c r="BJ10" s="880"/>
      <c r="BK10" s="880"/>
      <c r="BL10" s="880"/>
      <c r="BM10" s="880"/>
      <c r="BN10" s="868"/>
      <c r="BO10" s="880" t="s">
        <v>116</v>
      </c>
      <c r="BP10" s="880"/>
      <c r="BQ10" s="880"/>
      <c r="BR10" s="880"/>
      <c r="BS10" s="880"/>
      <c r="BT10" s="880"/>
      <c r="BU10" s="880"/>
      <c r="BV10" s="880"/>
      <c r="BW10" s="880"/>
      <c r="BX10" s="880"/>
      <c r="BY10" s="868"/>
      <c r="BZ10" s="880" t="s">
        <v>117</v>
      </c>
      <c r="CA10" s="880"/>
      <c r="CB10" s="880"/>
      <c r="CC10" s="880"/>
      <c r="CD10" s="880"/>
      <c r="CE10" s="880"/>
      <c r="CF10" s="880"/>
      <c r="CG10" s="880"/>
      <c r="CH10" s="880"/>
      <c r="CI10" s="880"/>
      <c r="CJ10" s="868"/>
      <c r="CK10" s="880" t="s">
        <v>118</v>
      </c>
      <c r="CL10" s="880"/>
      <c r="CM10" s="880"/>
      <c r="CN10" s="880"/>
      <c r="CO10" s="880"/>
      <c r="CP10" s="880"/>
      <c r="CQ10" s="880"/>
      <c r="CR10" s="880"/>
      <c r="CS10" s="880"/>
      <c r="CT10" s="880"/>
      <c r="CU10" s="868"/>
    </row>
    <row r="11" spans="1:99" ht="6" customHeight="1" x14ac:dyDescent="0.3">
      <c r="A11" s="726"/>
      <c r="B11" s="726"/>
      <c r="C11" s="726"/>
      <c r="D11" s="726"/>
      <c r="E11" s="726"/>
      <c r="F11" s="873"/>
      <c r="G11" s="873"/>
      <c r="H11" s="873"/>
      <c r="I11" s="874"/>
      <c r="J11" s="874"/>
      <c r="K11" s="451"/>
      <c r="L11" s="874"/>
      <c r="M11" s="874"/>
      <c r="N11" s="874"/>
      <c r="O11" s="874"/>
      <c r="P11" s="874"/>
      <c r="Q11" s="874"/>
      <c r="R11" s="874"/>
      <c r="S11" s="874"/>
      <c r="T11" s="868"/>
      <c r="V11" s="868"/>
      <c r="AG11" s="868"/>
      <c r="AR11" s="868"/>
      <c r="BC11" s="868"/>
      <c r="BN11" s="868"/>
      <c r="BY11" s="868"/>
      <c r="CJ11" s="868"/>
      <c r="CU11" s="868"/>
    </row>
    <row r="12" spans="1:99" x14ac:dyDescent="0.3">
      <c r="F12" s="881">
        <v>-1</v>
      </c>
      <c r="G12" s="882"/>
      <c r="H12" s="881">
        <f>+F12-1</f>
        <v>-2</v>
      </c>
      <c r="I12" s="881">
        <f>+H12-1</f>
        <v>-3</v>
      </c>
      <c r="J12" s="881">
        <f t="shared" ref="J12:R12" si="0">+I12-1</f>
        <v>-4</v>
      </c>
      <c r="K12" s="881">
        <f t="shared" si="0"/>
        <v>-5</v>
      </c>
      <c r="L12" s="881">
        <f t="shared" si="0"/>
        <v>-6</v>
      </c>
      <c r="M12" s="881">
        <f t="shared" si="0"/>
        <v>-7</v>
      </c>
      <c r="N12" s="881">
        <f t="shared" si="0"/>
        <v>-8</v>
      </c>
      <c r="O12" s="881">
        <f t="shared" si="0"/>
        <v>-9</v>
      </c>
      <c r="P12" s="881">
        <f t="shared" si="0"/>
        <v>-10</v>
      </c>
      <c r="Q12" s="881">
        <f t="shared" si="0"/>
        <v>-11</v>
      </c>
      <c r="R12" s="881">
        <f t="shared" si="0"/>
        <v>-12</v>
      </c>
      <c r="T12" s="868"/>
      <c r="V12" s="868"/>
      <c r="AG12" s="868"/>
      <c r="AR12" s="868"/>
      <c r="BC12" s="868"/>
      <c r="BN12" s="868"/>
      <c r="BY12" s="868"/>
      <c r="CJ12" s="868"/>
      <c r="CU12" s="868"/>
    </row>
    <row r="13" spans="1:99" x14ac:dyDescent="0.3">
      <c r="A13" s="883"/>
      <c r="C13" s="725" t="s">
        <v>119</v>
      </c>
      <c r="F13" s="884" t="s">
        <v>120</v>
      </c>
      <c r="G13" s="884"/>
      <c r="H13" s="885" t="s">
        <v>121</v>
      </c>
      <c r="I13" s="885" t="s">
        <v>121</v>
      </c>
      <c r="J13" s="886"/>
      <c r="K13" s="886"/>
      <c r="L13" s="886"/>
      <c r="M13" s="886" t="s">
        <v>122</v>
      </c>
      <c r="N13" s="886" t="s">
        <v>123</v>
      </c>
      <c r="O13" s="886" t="s">
        <v>124</v>
      </c>
      <c r="P13" s="883" t="s">
        <v>125</v>
      </c>
      <c r="Q13" s="883" t="s">
        <v>125</v>
      </c>
      <c r="R13" s="883"/>
      <c r="T13" s="887"/>
      <c r="V13" s="887"/>
      <c r="W13" s="883" t="s">
        <v>126</v>
      </c>
      <c r="X13" s="883" t="s">
        <v>127</v>
      </c>
      <c r="Y13" s="647" t="s">
        <v>128</v>
      </c>
      <c r="Z13" s="647" t="s">
        <v>129</v>
      </c>
      <c r="AA13" s="647"/>
      <c r="AB13" s="647" t="s">
        <v>130</v>
      </c>
      <c r="AC13" s="647" t="s">
        <v>130</v>
      </c>
      <c r="AD13" s="647" t="s">
        <v>130</v>
      </c>
      <c r="AE13" s="647"/>
      <c r="AG13" s="868"/>
      <c r="AH13" s="885" t="s">
        <v>121</v>
      </c>
      <c r="AI13" s="886"/>
      <c r="AJ13" s="886"/>
      <c r="AK13" s="886"/>
      <c r="AL13" s="886" t="s">
        <v>122</v>
      </c>
      <c r="AM13" s="886" t="s">
        <v>123</v>
      </c>
      <c r="AN13" s="886" t="s">
        <v>124</v>
      </c>
      <c r="AO13" s="883" t="s">
        <v>125</v>
      </c>
      <c r="AP13" s="883" t="s">
        <v>125</v>
      </c>
      <c r="AQ13" s="883" t="s">
        <v>38</v>
      </c>
      <c r="AR13" s="868"/>
      <c r="AS13" s="885" t="s">
        <v>121</v>
      </c>
      <c r="AT13" s="886"/>
      <c r="AU13" s="886"/>
      <c r="AV13" s="886"/>
      <c r="AW13" s="886" t="s">
        <v>122</v>
      </c>
      <c r="AX13" s="886" t="s">
        <v>123</v>
      </c>
      <c r="AY13" s="886" t="s">
        <v>124</v>
      </c>
      <c r="AZ13" s="883" t="s">
        <v>125</v>
      </c>
      <c r="BA13" s="883" t="s">
        <v>125</v>
      </c>
      <c r="BB13" s="883" t="s">
        <v>38</v>
      </c>
      <c r="BC13" s="868"/>
      <c r="BD13" s="885" t="s">
        <v>121</v>
      </c>
      <c r="BE13" s="886"/>
      <c r="BF13" s="886"/>
      <c r="BG13" s="886"/>
      <c r="BH13" s="886" t="s">
        <v>122</v>
      </c>
      <c r="BI13" s="886" t="s">
        <v>123</v>
      </c>
      <c r="BJ13" s="886" t="s">
        <v>124</v>
      </c>
      <c r="BK13" s="883" t="s">
        <v>125</v>
      </c>
      <c r="BL13" s="883" t="s">
        <v>125</v>
      </c>
      <c r="BM13" s="883" t="s">
        <v>38</v>
      </c>
      <c r="BN13" s="868"/>
      <c r="BO13" s="885" t="s">
        <v>121</v>
      </c>
      <c r="BP13" s="886"/>
      <c r="BQ13" s="886"/>
      <c r="BR13" s="886"/>
      <c r="BS13" s="886" t="s">
        <v>122</v>
      </c>
      <c r="BT13" s="886" t="s">
        <v>123</v>
      </c>
      <c r="BU13" s="886" t="s">
        <v>124</v>
      </c>
      <c r="BV13" s="883" t="s">
        <v>125</v>
      </c>
      <c r="BW13" s="883" t="s">
        <v>125</v>
      </c>
      <c r="BX13" s="883" t="s">
        <v>38</v>
      </c>
      <c r="BY13" s="868"/>
      <c r="BZ13" s="885" t="s">
        <v>121</v>
      </c>
      <c r="CA13" s="886"/>
      <c r="CB13" s="886"/>
      <c r="CC13" s="886"/>
      <c r="CD13" s="886" t="s">
        <v>122</v>
      </c>
      <c r="CE13" s="886" t="s">
        <v>123</v>
      </c>
      <c r="CF13" s="886" t="s">
        <v>124</v>
      </c>
      <c r="CG13" s="883" t="s">
        <v>125</v>
      </c>
      <c r="CH13" s="883" t="s">
        <v>125</v>
      </c>
      <c r="CI13" s="883" t="s">
        <v>38</v>
      </c>
      <c r="CJ13" s="868"/>
      <c r="CK13" s="885" t="s">
        <v>121</v>
      </c>
      <c r="CL13" s="886"/>
      <c r="CM13" s="886"/>
      <c r="CN13" s="886"/>
      <c r="CO13" s="886" t="s">
        <v>122</v>
      </c>
      <c r="CP13" s="886" t="s">
        <v>123</v>
      </c>
      <c r="CQ13" s="886" t="s">
        <v>124</v>
      </c>
      <c r="CR13" s="883" t="s">
        <v>125</v>
      </c>
      <c r="CS13" s="883" t="s">
        <v>125</v>
      </c>
      <c r="CT13" s="883" t="s">
        <v>38</v>
      </c>
      <c r="CU13" s="868"/>
    </row>
    <row r="14" spans="1:99" x14ac:dyDescent="0.3">
      <c r="A14" s="888" t="s">
        <v>30</v>
      </c>
      <c r="B14" s="888"/>
      <c r="C14" s="874" t="s">
        <v>131</v>
      </c>
      <c r="D14" s="874" t="s">
        <v>132</v>
      </c>
      <c r="E14" s="874"/>
      <c r="F14" s="889" t="s">
        <v>133</v>
      </c>
      <c r="G14" s="890"/>
      <c r="H14" s="891" t="s">
        <v>134</v>
      </c>
      <c r="I14" s="891" t="s">
        <v>127</v>
      </c>
      <c r="J14" s="892" t="s">
        <v>135</v>
      </c>
      <c r="K14" s="892" t="s">
        <v>136</v>
      </c>
      <c r="L14" s="892" t="s">
        <v>137</v>
      </c>
      <c r="M14" s="892" t="s">
        <v>138</v>
      </c>
      <c r="N14" s="892" t="s">
        <v>139</v>
      </c>
      <c r="O14" s="892" t="s">
        <v>140</v>
      </c>
      <c r="P14" s="888" t="s">
        <v>141</v>
      </c>
      <c r="Q14" s="888" t="s">
        <v>142</v>
      </c>
      <c r="R14" s="888" t="s">
        <v>143</v>
      </c>
      <c r="T14" s="887"/>
      <c r="V14" s="887"/>
      <c r="W14" s="888" t="s">
        <v>144</v>
      </c>
      <c r="X14" s="888" t="s">
        <v>144</v>
      </c>
      <c r="Y14" s="635" t="s">
        <v>145</v>
      </c>
      <c r="Z14" s="635" t="s">
        <v>146</v>
      </c>
      <c r="AA14" s="635" t="s">
        <v>147</v>
      </c>
      <c r="AB14" s="635" t="s">
        <v>148</v>
      </c>
      <c r="AC14" s="635" t="s">
        <v>149</v>
      </c>
      <c r="AD14" s="635" t="s">
        <v>150</v>
      </c>
      <c r="AE14" s="635"/>
      <c r="AF14" s="888" t="s">
        <v>151</v>
      </c>
      <c r="AG14" s="868"/>
      <c r="AH14" s="891" t="s">
        <v>127</v>
      </c>
      <c r="AI14" s="892" t="s">
        <v>135</v>
      </c>
      <c r="AJ14" s="892" t="s">
        <v>136</v>
      </c>
      <c r="AK14" s="892" t="s">
        <v>137</v>
      </c>
      <c r="AL14" s="892" t="s">
        <v>138</v>
      </c>
      <c r="AM14" s="892" t="s">
        <v>139</v>
      </c>
      <c r="AN14" s="892" t="s">
        <v>140</v>
      </c>
      <c r="AO14" s="888" t="s">
        <v>141</v>
      </c>
      <c r="AP14" s="888" t="s">
        <v>142</v>
      </c>
      <c r="AQ14" s="888" t="s">
        <v>152</v>
      </c>
      <c r="AR14" s="868"/>
      <c r="AS14" s="891" t="s">
        <v>127</v>
      </c>
      <c r="AT14" s="892" t="s">
        <v>135</v>
      </c>
      <c r="AU14" s="892" t="s">
        <v>136</v>
      </c>
      <c r="AV14" s="892" t="s">
        <v>137</v>
      </c>
      <c r="AW14" s="892" t="s">
        <v>138</v>
      </c>
      <c r="AX14" s="892" t="s">
        <v>139</v>
      </c>
      <c r="AY14" s="892" t="s">
        <v>140</v>
      </c>
      <c r="AZ14" s="888" t="s">
        <v>141</v>
      </c>
      <c r="BA14" s="888" t="s">
        <v>142</v>
      </c>
      <c r="BB14" s="888" t="s">
        <v>152</v>
      </c>
      <c r="BC14" s="868"/>
      <c r="BD14" s="891" t="s">
        <v>127</v>
      </c>
      <c r="BE14" s="892" t="s">
        <v>135</v>
      </c>
      <c r="BF14" s="892" t="s">
        <v>136</v>
      </c>
      <c r="BG14" s="892" t="s">
        <v>137</v>
      </c>
      <c r="BH14" s="892" t="s">
        <v>138</v>
      </c>
      <c r="BI14" s="892" t="s">
        <v>139</v>
      </c>
      <c r="BJ14" s="892" t="s">
        <v>140</v>
      </c>
      <c r="BK14" s="888" t="s">
        <v>141</v>
      </c>
      <c r="BL14" s="888" t="s">
        <v>142</v>
      </c>
      <c r="BM14" s="888" t="s">
        <v>152</v>
      </c>
      <c r="BN14" s="868"/>
      <c r="BO14" s="891" t="s">
        <v>127</v>
      </c>
      <c r="BP14" s="892" t="s">
        <v>135</v>
      </c>
      <c r="BQ14" s="892" t="s">
        <v>136</v>
      </c>
      <c r="BR14" s="892" t="s">
        <v>137</v>
      </c>
      <c r="BS14" s="892" t="s">
        <v>138</v>
      </c>
      <c r="BT14" s="892" t="s">
        <v>139</v>
      </c>
      <c r="BU14" s="892" t="s">
        <v>140</v>
      </c>
      <c r="BV14" s="888" t="s">
        <v>141</v>
      </c>
      <c r="BW14" s="888" t="s">
        <v>142</v>
      </c>
      <c r="BX14" s="888" t="s">
        <v>152</v>
      </c>
      <c r="BY14" s="868"/>
      <c r="BZ14" s="891" t="s">
        <v>127</v>
      </c>
      <c r="CA14" s="892" t="s">
        <v>135</v>
      </c>
      <c r="CB14" s="892" t="s">
        <v>136</v>
      </c>
      <c r="CC14" s="892" t="s">
        <v>137</v>
      </c>
      <c r="CD14" s="892" t="s">
        <v>138</v>
      </c>
      <c r="CE14" s="892" t="s">
        <v>139</v>
      </c>
      <c r="CF14" s="892" t="s">
        <v>140</v>
      </c>
      <c r="CG14" s="888" t="s">
        <v>141</v>
      </c>
      <c r="CH14" s="888" t="s">
        <v>142</v>
      </c>
      <c r="CI14" s="888" t="s">
        <v>152</v>
      </c>
      <c r="CJ14" s="868"/>
      <c r="CK14" s="891" t="s">
        <v>127</v>
      </c>
      <c r="CL14" s="892" t="s">
        <v>135</v>
      </c>
      <c r="CM14" s="892" t="s">
        <v>136</v>
      </c>
      <c r="CN14" s="892" t="s">
        <v>137</v>
      </c>
      <c r="CO14" s="892" t="s">
        <v>138</v>
      </c>
      <c r="CP14" s="892" t="s">
        <v>139</v>
      </c>
      <c r="CQ14" s="892" t="s">
        <v>140</v>
      </c>
      <c r="CR14" s="888" t="s">
        <v>141</v>
      </c>
      <c r="CS14" s="888" t="s">
        <v>142</v>
      </c>
      <c r="CT14" s="888" t="s">
        <v>152</v>
      </c>
      <c r="CU14" s="868"/>
    </row>
    <row r="15" spans="1:99" x14ac:dyDescent="0.3">
      <c r="A15" s="883">
        <v>1</v>
      </c>
      <c r="B15" s="883"/>
      <c r="D15" s="893" t="s">
        <v>153</v>
      </c>
      <c r="E15" s="893"/>
      <c r="F15" s="884"/>
      <c r="G15" s="894"/>
      <c r="H15" s="885"/>
      <c r="I15" s="1295"/>
      <c r="J15" s="886"/>
      <c r="K15" s="886"/>
      <c r="L15" s="886"/>
      <c r="M15" s="886"/>
      <c r="N15" s="886"/>
      <c r="O15" s="886"/>
      <c r="T15" s="868"/>
      <c r="V15" s="868"/>
      <c r="AG15" s="868"/>
      <c r="AH15" s="895">
        <v>0.92039966412943808</v>
      </c>
      <c r="AI15" s="895">
        <v>0.62493134737354317</v>
      </c>
      <c r="AJ15" s="895">
        <v>5.5884364029932868E-2</v>
      </c>
      <c r="AK15" s="895">
        <v>3.3285116993839467E-3</v>
      </c>
      <c r="AL15" s="895">
        <v>0.24427191125222608</v>
      </c>
      <c r="AM15" s="895">
        <v>2.9558636266009053E-3</v>
      </c>
      <c r="AN15" s="895">
        <v>3.295087642590705E-2</v>
      </c>
      <c r="AO15" s="895">
        <v>5.3673423000557647E-3</v>
      </c>
      <c r="AP15" s="895">
        <v>2.9267334488238355E-2</v>
      </c>
      <c r="AQ15" s="895">
        <v>1.0424507984385534E-3</v>
      </c>
      <c r="AR15" s="868"/>
      <c r="AS15" s="895">
        <v>1</v>
      </c>
      <c r="AT15" s="895">
        <v>0.60040000000000004</v>
      </c>
      <c r="AU15" s="895">
        <v>5.4710000000000002E-2</v>
      </c>
      <c r="AV15" s="895">
        <v>3.8300000000000001E-3</v>
      </c>
      <c r="AW15" s="895">
        <v>0.28833999999999999</v>
      </c>
      <c r="AX15" s="895">
        <v>3.48E-3</v>
      </c>
      <c r="AY15" s="895">
        <v>4.6870000000000002E-2</v>
      </c>
      <c r="AZ15" s="895">
        <v>2.3700000000000001E-3</v>
      </c>
      <c r="BA15" s="895">
        <v>0</v>
      </c>
      <c r="BB15" s="895"/>
      <c r="BC15" s="868"/>
      <c r="BD15" s="895">
        <v>0.70174730003074737</v>
      </c>
      <c r="BE15" s="895">
        <v>0.6252151231580082</v>
      </c>
      <c r="BF15" s="895">
        <v>5.4358932989136299E-2</v>
      </c>
      <c r="BG15" s="895">
        <v>3.3478541464988716E-3</v>
      </c>
      <c r="BH15" s="895">
        <v>0.27296439711734977</v>
      </c>
      <c r="BI15" s="895">
        <v>2.904162633107455E-3</v>
      </c>
      <c r="BJ15" s="895">
        <v>4.0859954824136839E-2</v>
      </c>
      <c r="BK15" s="895">
        <v>3.4957513176293441E-4</v>
      </c>
      <c r="BL15" s="895">
        <v>0</v>
      </c>
      <c r="BM15" s="895"/>
      <c r="BN15" s="868"/>
      <c r="BO15" s="895">
        <v>1</v>
      </c>
      <c r="BP15" s="895">
        <v>0.63846170578382944</v>
      </c>
      <c r="BQ15" s="895">
        <v>5.9176038109325028E-2</v>
      </c>
      <c r="BR15" s="895">
        <v>2.7081112827094158E-3</v>
      </c>
      <c r="BS15" s="895">
        <v>0.2622843843125312</v>
      </c>
      <c r="BT15" s="895">
        <v>4.2416200813520967E-3</v>
      </c>
      <c r="BU15" s="895">
        <v>2.4079350923368062E-2</v>
      </c>
      <c r="BV15" s="895">
        <v>9.0487895068844734E-3</v>
      </c>
      <c r="BW15" s="895">
        <v>0</v>
      </c>
      <c r="BX15" s="895"/>
      <c r="BY15" s="868"/>
      <c r="BZ15" s="895">
        <v>1</v>
      </c>
      <c r="CA15" s="895">
        <v>0.77607431219291934</v>
      </c>
      <c r="CB15" s="895">
        <v>6.6141292077451549E-2</v>
      </c>
      <c r="CC15" s="895">
        <v>1.3385225721135755E-3</v>
      </c>
      <c r="CD15" s="895">
        <v>0.14745788223151604</v>
      </c>
      <c r="CE15" s="895">
        <v>0</v>
      </c>
      <c r="CF15" s="895">
        <v>4.5154978336361586E-3</v>
      </c>
      <c r="CG15" s="895">
        <v>4.4724930923634339E-3</v>
      </c>
      <c r="CH15" s="895">
        <v>0</v>
      </c>
      <c r="CI15" s="895"/>
      <c r="CJ15" s="868"/>
      <c r="CK15" s="895">
        <v>1</v>
      </c>
      <c r="CL15" s="895">
        <v>0.8738071484368376</v>
      </c>
      <c r="CM15" s="895">
        <v>6.3824210399691814E-2</v>
      </c>
      <c r="CN15" s="895">
        <v>7.2136272599437577E-3</v>
      </c>
      <c r="CO15" s="895">
        <v>2.3556514369795417E-2</v>
      </c>
      <c r="CP15" s="895">
        <v>2.714234994052146E-7</v>
      </c>
      <c r="CQ15" s="895">
        <v>3.2850434171394724E-5</v>
      </c>
      <c r="CR15" s="895">
        <v>3.1565377676060637E-2</v>
      </c>
      <c r="CS15" s="895">
        <v>0</v>
      </c>
      <c r="CT15" s="895"/>
      <c r="CU15" s="868"/>
    </row>
    <row r="16" spans="1:99" x14ac:dyDescent="0.3">
      <c r="A16" s="883">
        <f>+A15+1</f>
        <v>2</v>
      </c>
      <c r="B16" s="883"/>
      <c r="C16" s="724" t="s">
        <v>154</v>
      </c>
      <c r="D16" s="896" t="s">
        <v>155</v>
      </c>
      <c r="F16" s="899">
        <f>+H16+I16</f>
        <v>3311034.4536214056</v>
      </c>
      <c r="G16" s="899"/>
      <c r="H16" s="898">
        <v>20148.262554526471</v>
      </c>
      <c r="I16" s="899">
        <f>SUM(J16:S16)</f>
        <v>3290886.1910668793</v>
      </c>
      <c r="J16" s="1159">
        <f>'MFR E-13a'!F18-SUM(J19:J23)</f>
        <v>2147328.0612699995</v>
      </c>
      <c r="K16" s="1159">
        <f>'MFR E-13a'!F19-SUM(K19:K23)</f>
        <v>190051.56766000003</v>
      </c>
      <c r="L16" s="1159">
        <f>'MFR E-13a'!F20-SUM(L19:L23)</f>
        <v>11574.95145</v>
      </c>
      <c r="M16" s="1159">
        <f>SUM('MFR E-13a'!F21,'MFR E-13a'!F24)-SUM(M19:M23)</f>
        <v>821201.07420932793</v>
      </c>
      <c r="N16" s="1159">
        <f>SUM('MFR E-13a'!F22,'MFR E-13a'!F26)-SUM(N19:N23)</f>
        <v>10403.746354851999</v>
      </c>
      <c r="O16" s="1159">
        <f>SUM('MFR E-13a'!F23,'MFR E-13a'!F25)-SUM(O19:O23)</f>
        <v>95658.420862700004</v>
      </c>
      <c r="P16" s="1159">
        <f>'MFR E-13a'!F27-SUM(P19:P23)</f>
        <v>14668.369260000001</v>
      </c>
      <c r="Q16" s="415">
        <v>0</v>
      </c>
      <c r="R16" s="415">
        <v>0</v>
      </c>
      <c r="T16" s="868"/>
      <c r="V16" s="868"/>
      <c r="W16" s="900">
        <f>+H16</f>
        <v>20148.262554526471</v>
      </c>
      <c r="X16" s="900">
        <f>+I16</f>
        <v>3290886.1910668793</v>
      </c>
      <c r="AF16" s="900">
        <f>SUM(W16:AE16)-F16</f>
        <v>0</v>
      </c>
      <c r="AG16" s="868"/>
      <c r="AR16" s="868"/>
      <c r="BC16" s="868"/>
      <c r="BN16" s="868"/>
      <c r="BY16" s="868"/>
      <c r="CJ16" s="868"/>
      <c r="CU16" s="868"/>
    </row>
    <row r="17" spans="1:99" x14ac:dyDescent="0.3">
      <c r="A17" s="883">
        <f t="shared" ref="A17:A24" si="1">+A16+1</f>
        <v>3</v>
      </c>
      <c r="B17" s="883"/>
      <c r="C17" s="724">
        <v>456</v>
      </c>
      <c r="D17" s="444" t="s">
        <v>156</v>
      </c>
      <c r="E17" s="444"/>
      <c r="F17" s="901">
        <f>+H17+I17</f>
        <v>19268.707911410616</v>
      </c>
      <c r="G17" s="899"/>
      <c r="H17" s="4"/>
      <c r="I17" s="901">
        <f>SUM(J17:S17)</f>
        <v>19268.707911410616</v>
      </c>
      <c r="J17" s="1159">
        <f>'MFR E-13a'!G18</f>
        <v>18100.991867290824</v>
      </c>
      <c r="K17" s="1159">
        <f>'MFR E-13a'!G19</f>
        <v>84.206792253085581</v>
      </c>
      <c r="L17" s="1159">
        <f>'MFR E-13a'!G20</f>
        <v>7.2280144767502117</v>
      </c>
      <c r="M17" s="1159">
        <f>SUM('MFR E-13a'!G21,'MFR E-13a'!G24)</f>
        <v>884.57492897149007</v>
      </c>
      <c r="N17" s="1159">
        <f>SUM('MFR E-13a'!G22,'MFR E-13a'!G26)</f>
        <v>5.6897254682302547</v>
      </c>
      <c r="O17" s="1159">
        <f>SUM('MFR E-13a'!G23,'MFR E-13a'!G25)</f>
        <v>177.05281272734828</v>
      </c>
      <c r="P17" s="1159">
        <f>'MFR E-13a'!G27</f>
        <v>8.9637702228851648</v>
      </c>
      <c r="Q17" s="415">
        <v>0</v>
      </c>
      <c r="R17" s="415">
        <v>0</v>
      </c>
      <c r="T17" s="868"/>
      <c r="V17" s="868"/>
      <c r="W17" s="900">
        <f>+H17</f>
        <v>0</v>
      </c>
      <c r="X17" s="900">
        <f>+I17</f>
        <v>19268.707911410616</v>
      </c>
      <c r="AF17" s="900">
        <f>SUM(W17:AE17)-F17</f>
        <v>0</v>
      </c>
      <c r="AG17" s="868"/>
      <c r="AR17" s="868"/>
      <c r="BC17" s="868"/>
      <c r="BN17" s="868"/>
      <c r="BY17" s="868"/>
      <c r="CJ17" s="868"/>
      <c r="CU17" s="868"/>
    </row>
    <row r="18" spans="1:99" x14ac:dyDescent="0.3">
      <c r="A18" s="883">
        <f t="shared" si="1"/>
        <v>4</v>
      </c>
      <c r="B18" s="883"/>
      <c r="C18" s="724"/>
      <c r="D18" s="896" t="s">
        <v>157</v>
      </c>
      <c r="E18" s="896"/>
      <c r="F18" s="903">
        <f>SUM(F16:F17)</f>
        <v>3330303.1615328165</v>
      </c>
      <c r="G18" s="899"/>
      <c r="H18" s="903">
        <f>SUM(H16:H17)</f>
        <v>20148.262554526471</v>
      </c>
      <c r="I18" s="903">
        <f t="shared" ref="I18:R18" si="2">SUM(I16,I17)</f>
        <v>3310154.8989782901</v>
      </c>
      <c r="J18" s="903">
        <f t="shared" si="2"/>
        <v>2165429.0531372903</v>
      </c>
      <c r="K18" s="903">
        <f t="shared" si="2"/>
        <v>190135.77445225313</v>
      </c>
      <c r="L18" s="903">
        <f t="shared" si="2"/>
        <v>11582.179464476751</v>
      </c>
      <c r="M18" s="903">
        <f t="shared" si="2"/>
        <v>822085.6491382994</v>
      </c>
      <c r="N18" s="903">
        <f t="shared" si="2"/>
        <v>10409.436080320229</v>
      </c>
      <c r="O18" s="903">
        <f t="shared" si="2"/>
        <v>95835.473675427347</v>
      </c>
      <c r="P18" s="903">
        <f t="shared" si="2"/>
        <v>14677.333030222886</v>
      </c>
      <c r="Q18" s="903">
        <f t="shared" si="2"/>
        <v>0</v>
      </c>
      <c r="R18" s="903">
        <f t="shared" si="2"/>
        <v>0</v>
      </c>
      <c r="T18" s="904"/>
      <c r="V18" s="904"/>
      <c r="W18" s="902">
        <f t="shared" ref="W18:AF18" si="3">SUM(W16:W17)</f>
        <v>20148.262554526471</v>
      </c>
      <c r="X18" s="902">
        <f t="shared" si="3"/>
        <v>3310154.8989782901</v>
      </c>
      <c r="Y18" s="902">
        <f t="shared" si="3"/>
        <v>0</v>
      </c>
      <c r="Z18" s="902">
        <f t="shared" si="3"/>
        <v>0</v>
      </c>
      <c r="AA18" s="902">
        <f t="shared" si="3"/>
        <v>0</v>
      </c>
      <c r="AB18" s="902">
        <f t="shared" si="3"/>
        <v>0</v>
      </c>
      <c r="AC18" s="902">
        <f t="shared" si="3"/>
        <v>0</v>
      </c>
      <c r="AD18" s="902">
        <f t="shared" si="3"/>
        <v>0</v>
      </c>
      <c r="AE18" s="902">
        <f t="shared" si="3"/>
        <v>0</v>
      </c>
      <c r="AF18" s="902">
        <f t="shared" si="3"/>
        <v>0</v>
      </c>
      <c r="AG18" s="868"/>
      <c r="AR18" s="868"/>
      <c r="BC18" s="868"/>
      <c r="BN18" s="868"/>
      <c r="BY18" s="868"/>
      <c r="CJ18" s="868"/>
      <c r="CU18" s="868"/>
    </row>
    <row r="19" spans="1:99" x14ac:dyDescent="0.3">
      <c r="A19" s="883">
        <f t="shared" si="1"/>
        <v>5</v>
      </c>
      <c r="B19" s="883"/>
      <c r="C19" s="724" t="s">
        <v>154</v>
      </c>
      <c r="D19" s="444" t="s">
        <v>158</v>
      </c>
      <c r="E19" s="896"/>
      <c r="F19" s="899">
        <v>16648.2307</v>
      </c>
      <c r="G19" s="899"/>
      <c r="H19" s="4">
        <f>+F19-I19</f>
        <v>0</v>
      </c>
      <c r="I19" s="1335">
        <f>SUM(J19:Q19)</f>
        <v>16648.2307</v>
      </c>
      <c r="J19" s="899">
        <v>12642.725</v>
      </c>
      <c r="K19" s="415">
        <v>4005.5057000000002</v>
      </c>
      <c r="L19" s="415">
        <v>0</v>
      </c>
      <c r="M19" s="415">
        <v>0</v>
      </c>
      <c r="N19" s="415">
        <v>0</v>
      </c>
      <c r="O19" s="415">
        <v>0</v>
      </c>
      <c r="P19" s="415">
        <v>0</v>
      </c>
      <c r="Q19" s="415">
        <v>0</v>
      </c>
      <c r="R19" s="415">
        <v>0</v>
      </c>
      <c r="T19" s="868"/>
      <c r="U19" s="900"/>
      <c r="V19" s="868"/>
      <c r="X19" s="900">
        <f>+I19</f>
        <v>16648.2307</v>
      </c>
      <c r="Z19" s="72"/>
      <c r="AF19" s="900">
        <f>SUM(W19:AE19)-F19</f>
        <v>0</v>
      </c>
      <c r="AG19" s="868"/>
      <c r="AH19" s="900">
        <f>+$Y19*AH$15</f>
        <v>0</v>
      </c>
      <c r="AI19" s="900">
        <f t="shared" ref="AI19:AQ23" si="4">+$AH19*AI$15</f>
        <v>0</v>
      </c>
      <c r="AJ19" s="900">
        <f t="shared" si="4"/>
        <v>0</v>
      </c>
      <c r="AK19" s="900">
        <f t="shared" si="4"/>
        <v>0</v>
      </c>
      <c r="AL19" s="900">
        <f t="shared" si="4"/>
        <v>0</v>
      </c>
      <c r="AM19" s="900">
        <f t="shared" si="4"/>
        <v>0</v>
      </c>
      <c r="AN19" s="900">
        <f t="shared" si="4"/>
        <v>0</v>
      </c>
      <c r="AO19" s="900">
        <f t="shared" si="4"/>
        <v>0</v>
      </c>
      <c r="AP19" s="900">
        <f t="shared" si="4"/>
        <v>0</v>
      </c>
      <c r="AQ19" s="900">
        <f t="shared" si="4"/>
        <v>0</v>
      </c>
      <c r="AR19" s="868"/>
      <c r="AS19" s="900">
        <f>+$Z19*AS$15</f>
        <v>0</v>
      </c>
      <c r="AT19" s="900">
        <f t="shared" ref="AT19:AZ23" si="5">+$AS19*AT$15</f>
        <v>0</v>
      </c>
      <c r="AU19" s="900">
        <f t="shared" si="5"/>
        <v>0</v>
      </c>
      <c r="AV19" s="900">
        <f t="shared" si="5"/>
        <v>0</v>
      </c>
      <c r="AW19" s="900">
        <f t="shared" si="5"/>
        <v>0</v>
      </c>
      <c r="AX19" s="900">
        <f t="shared" si="5"/>
        <v>0</v>
      </c>
      <c r="AY19" s="900">
        <f t="shared" si="5"/>
        <v>0</v>
      </c>
      <c r="AZ19" s="900">
        <f t="shared" si="5"/>
        <v>0</v>
      </c>
      <c r="BA19" s="900">
        <f>+$AS19*AAX$15</f>
        <v>0</v>
      </c>
      <c r="BB19" s="900">
        <f>+$AS19*AAY$15</f>
        <v>0</v>
      </c>
      <c r="BC19" s="868"/>
      <c r="BD19" s="900">
        <f>+$AA19*BD$15</f>
        <v>0</v>
      </c>
      <c r="BE19" s="900">
        <f t="shared" ref="BE19:BM23" si="6">+$BD19*BE$15</f>
        <v>0</v>
      </c>
      <c r="BF19" s="900">
        <f t="shared" si="6"/>
        <v>0</v>
      </c>
      <c r="BG19" s="900">
        <f t="shared" si="6"/>
        <v>0</v>
      </c>
      <c r="BH19" s="900">
        <f t="shared" si="6"/>
        <v>0</v>
      </c>
      <c r="BI19" s="900">
        <f t="shared" si="6"/>
        <v>0</v>
      </c>
      <c r="BJ19" s="900">
        <f t="shared" si="6"/>
        <v>0</v>
      </c>
      <c r="BK19" s="900">
        <f t="shared" si="6"/>
        <v>0</v>
      </c>
      <c r="BL19" s="900">
        <f t="shared" si="6"/>
        <v>0</v>
      </c>
      <c r="BM19" s="900">
        <f>+$BD19*BM$15</f>
        <v>0</v>
      </c>
      <c r="BN19" s="868"/>
      <c r="BO19" s="900">
        <f>+$AB19*BO$15</f>
        <v>0</v>
      </c>
      <c r="BP19" s="900">
        <f t="shared" ref="BP19:BW23" si="7">+$BO19*BP$15</f>
        <v>0</v>
      </c>
      <c r="BQ19" s="900">
        <f t="shared" si="7"/>
        <v>0</v>
      </c>
      <c r="BR19" s="900">
        <f t="shared" si="7"/>
        <v>0</v>
      </c>
      <c r="BS19" s="900">
        <f t="shared" si="7"/>
        <v>0</v>
      </c>
      <c r="BT19" s="900">
        <f t="shared" si="7"/>
        <v>0</v>
      </c>
      <c r="BU19" s="900">
        <f t="shared" si="7"/>
        <v>0</v>
      </c>
      <c r="BV19" s="900">
        <f t="shared" si="7"/>
        <v>0</v>
      </c>
      <c r="BW19" s="900">
        <f t="shared" si="7"/>
        <v>0</v>
      </c>
      <c r="BX19" s="900">
        <f>+$BD19*BX$15</f>
        <v>0</v>
      </c>
      <c r="BY19" s="868"/>
      <c r="BZ19" s="900">
        <f>+$AC19*BZ$15</f>
        <v>0</v>
      </c>
      <c r="CA19" s="900">
        <f t="shared" ref="CA19:CH23" si="8">+$BZ19*CA$15</f>
        <v>0</v>
      </c>
      <c r="CB19" s="900">
        <f t="shared" si="8"/>
        <v>0</v>
      </c>
      <c r="CC19" s="900">
        <f t="shared" si="8"/>
        <v>0</v>
      </c>
      <c r="CD19" s="900">
        <f t="shared" si="8"/>
        <v>0</v>
      </c>
      <c r="CE19" s="900">
        <f t="shared" si="8"/>
        <v>0</v>
      </c>
      <c r="CF19" s="900">
        <f t="shared" si="8"/>
        <v>0</v>
      </c>
      <c r="CG19" s="900">
        <f t="shared" si="8"/>
        <v>0</v>
      </c>
      <c r="CH19" s="900">
        <f t="shared" si="8"/>
        <v>0</v>
      </c>
      <c r="CI19" s="900">
        <f>+$BD19*CI$15</f>
        <v>0</v>
      </c>
      <c r="CJ19" s="868"/>
      <c r="CK19" s="900">
        <f>+$AD19*CK$15</f>
        <v>0</v>
      </c>
      <c r="CL19" s="900">
        <f t="shared" ref="CL19:CS23" si="9">+$CK19*CL$15</f>
        <v>0</v>
      </c>
      <c r="CM19" s="900">
        <f t="shared" si="9"/>
        <v>0</v>
      </c>
      <c r="CN19" s="900">
        <f t="shared" si="9"/>
        <v>0</v>
      </c>
      <c r="CO19" s="900">
        <f t="shared" si="9"/>
        <v>0</v>
      </c>
      <c r="CP19" s="900">
        <f t="shared" si="9"/>
        <v>0</v>
      </c>
      <c r="CQ19" s="900">
        <f t="shared" si="9"/>
        <v>0</v>
      </c>
      <c r="CR19" s="900">
        <f t="shared" si="9"/>
        <v>0</v>
      </c>
      <c r="CS19" s="900">
        <f t="shared" si="9"/>
        <v>0</v>
      </c>
      <c r="CT19" s="900">
        <f>+$BD19*CT$15</f>
        <v>0</v>
      </c>
      <c r="CU19" s="868"/>
    </row>
    <row r="20" spans="1:99" x14ac:dyDescent="0.3">
      <c r="A20" s="883">
        <f t="shared" si="1"/>
        <v>6</v>
      </c>
      <c r="B20" s="883"/>
      <c r="C20" s="724" t="s">
        <v>154</v>
      </c>
      <c r="D20" s="444" t="s">
        <v>159</v>
      </c>
      <c r="E20" s="444" t="s">
        <v>160</v>
      </c>
      <c r="F20" s="901">
        <v>-1278.9680000000001</v>
      </c>
      <c r="G20" s="899"/>
      <c r="H20" s="4">
        <f>+F20-I20</f>
        <v>0</v>
      </c>
      <c r="I20" s="901">
        <f>SUM(J20:Q20)</f>
        <v>-1278.9680000000001</v>
      </c>
      <c r="J20" s="1159">
        <v>-1278.9680000000001</v>
      </c>
      <c r="K20" s="1159"/>
      <c r="L20" s="1159"/>
      <c r="M20" s="1159"/>
      <c r="N20" s="1159"/>
      <c r="O20" s="1159"/>
      <c r="P20" s="1159"/>
      <c r="Q20" s="1336"/>
      <c r="R20" s="1336"/>
      <c r="T20" s="868"/>
      <c r="V20" s="868"/>
      <c r="W20" s="900"/>
      <c r="X20" s="900">
        <f>+I20</f>
        <v>-1278.9680000000001</v>
      </c>
      <c r="AF20" s="900">
        <f>SUM(W20:AE20)-F20</f>
        <v>0</v>
      </c>
      <c r="AG20" s="868"/>
      <c r="AH20" s="725">
        <f>+$Y20*AH$15</f>
        <v>0</v>
      </c>
      <c r="AI20" s="725">
        <f t="shared" si="4"/>
        <v>0</v>
      </c>
      <c r="AJ20" s="725">
        <f t="shared" si="4"/>
        <v>0</v>
      </c>
      <c r="AK20" s="725">
        <f t="shared" si="4"/>
        <v>0</v>
      </c>
      <c r="AL20" s="725">
        <f t="shared" si="4"/>
        <v>0</v>
      </c>
      <c r="AM20" s="725">
        <f t="shared" si="4"/>
        <v>0</v>
      </c>
      <c r="AN20" s="725">
        <f t="shared" si="4"/>
        <v>0</v>
      </c>
      <c r="AO20" s="725">
        <f t="shared" si="4"/>
        <v>0</v>
      </c>
      <c r="AP20" s="725">
        <f t="shared" si="4"/>
        <v>0</v>
      </c>
      <c r="AQ20" s="725">
        <f t="shared" si="4"/>
        <v>0</v>
      </c>
      <c r="AR20" s="868"/>
      <c r="AS20" s="725">
        <f>+$Z20*AS$15</f>
        <v>0</v>
      </c>
      <c r="AT20" s="725">
        <f t="shared" si="5"/>
        <v>0</v>
      </c>
      <c r="AU20" s="725">
        <f t="shared" si="5"/>
        <v>0</v>
      </c>
      <c r="AV20" s="725">
        <f t="shared" si="5"/>
        <v>0</v>
      </c>
      <c r="AW20" s="725">
        <f t="shared" si="5"/>
        <v>0</v>
      </c>
      <c r="AX20" s="725">
        <f t="shared" si="5"/>
        <v>0</v>
      </c>
      <c r="AY20" s="725">
        <f t="shared" si="5"/>
        <v>0</v>
      </c>
      <c r="AZ20" s="725">
        <f t="shared" si="5"/>
        <v>0</v>
      </c>
      <c r="BA20" s="725">
        <f>+$AS20*AAX$15</f>
        <v>0</v>
      </c>
      <c r="BB20" s="725">
        <f>+$AS20*AAY$15</f>
        <v>0</v>
      </c>
      <c r="BC20" s="868"/>
      <c r="BD20" s="725">
        <f>+$AA20*BD$15</f>
        <v>0</v>
      </c>
      <c r="BE20" s="725">
        <f t="shared" si="6"/>
        <v>0</v>
      </c>
      <c r="BF20" s="725">
        <f t="shared" si="6"/>
        <v>0</v>
      </c>
      <c r="BG20" s="725">
        <f t="shared" si="6"/>
        <v>0</v>
      </c>
      <c r="BH20" s="725">
        <f t="shared" si="6"/>
        <v>0</v>
      </c>
      <c r="BI20" s="725">
        <f t="shared" si="6"/>
        <v>0</v>
      </c>
      <c r="BJ20" s="725">
        <f t="shared" si="6"/>
        <v>0</v>
      </c>
      <c r="BK20" s="725">
        <f t="shared" si="6"/>
        <v>0</v>
      </c>
      <c r="BL20" s="725">
        <f t="shared" si="6"/>
        <v>0</v>
      </c>
      <c r="BM20" s="725">
        <f>+$BD20*BM$15</f>
        <v>0</v>
      </c>
      <c r="BN20" s="868"/>
      <c r="BO20" s="725">
        <f>+$AB20*BO$15</f>
        <v>0</v>
      </c>
      <c r="BP20" s="725">
        <f t="shared" si="7"/>
        <v>0</v>
      </c>
      <c r="BQ20" s="725">
        <f t="shared" si="7"/>
        <v>0</v>
      </c>
      <c r="BR20" s="725">
        <f t="shared" si="7"/>
        <v>0</v>
      </c>
      <c r="BS20" s="725">
        <f t="shared" si="7"/>
        <v>0</v>
      </c>
      <c r="BT20" s="725">
        <f t="shared" si="7"/>
        <v>0</v>
      </c>
      <c r="BU20" s="725">
        <f t="shared" si="7"/>
        <v>0</v>
      </c>
      <c r="BV20" s="725">
        <f t="shared" si="7"/>
        <v>0</v>
      </c>
      <c r="BW20" s="725">
        <f t="shared" si="7"/>
        <v>0</v>
      </c>
      <c r="BX20" s="725">
        <f>+$BD20*BX$15</f>
        <v>0</v>
      </c>
      <c r="BY20" s="868"/>
      <c r="BZ20" s="725">
        <f>+$AC20*BZ$15</f>
        <v>0</v>
      </c>
      <c r="CA20" s="725">
        <f t="shared" si="8"/>
        <v>0</v>
      </c>
      <c r="CB20" s="725">
        <f t="shared" si="8"/>
        <v>0</v>
      </c>
      <c r="CC20" s="725">
        <f t="shared" si="8"/>
        <v>0</v>
      </c>
      <c r="CD20" s="725">
        <f t="shared" si="8"/>
        <v>0</v>
      </c>
      <c r="CE20" s="725">
        <f t="shared" si="8"/>
        <v>0</v>
      </c>
      <c r="CF20" s="725">
        <f t="shared" si="8"/>
        <v>0</v>
      </c>
      <c r="CG20" s="725">
        <f t="shared" si="8"/>
        <v>0</v>
      </c>
      <c r="CH20" s="725">
        <f t="shared" si="8"/>
        <v>0</v>
      </c>
      <c r="CI20" s="725">
        <f>+$BD20*CI$15</f>
        <v>0</v>
      </c>
      <c r="CJ20" s="868"/>
      <c r="CK20" s="725">
        <f>+$AD20*CK$15</f>
        <v>0</v>
      </c>
      <c r="CL20" s="725">
        <f t="shared" si="9"/>
        <v>0</v>
      </c>
      <c r="CM20" s="725">
        <f t="shared" si="9"/>
        <v>0</v>
      </c>
      <c r="CN20" s="725">
        <f t="shared" si="9"/>
        <v>0</v>
      </c>
      <c r="CO20" s="725">
        <f t="shared" si="9"/>
        <v>0</v>
      </c>
      <c r="CP20" s="725">
        <f t="shared" si="9"/>
        <v>0</v>
      </c>
      <c r="CQ20" s="725">
        <f t="shared" si="9"/>
        <v>0</v>
      </c>
      <c r="CR20" s="725">
        <f t="shared" si="9"/>
        <v>0</v>
      </c>
      <c r="CS20" s="725">
        <f t="shared" si="9"/>
        <v>0</v>
      </c>
      <c r="CT20" s="725">
        <f>+$BD20*CT$15</f>
        <v>0</v>
      </c>
      <c r="CU20" s="868"/>
    </row>
    <row r="21" spans="1:99" x14ac:dyDescent="0.3">
      <c r="A21" s="883">
        <f t="shared" si="1"/>
        <v>7</v>
      </c>
      <c r="B21" s="883"/>
      <c r="C21" s="724" t="s">
        <v>154</v>
      </c>
      <c r="D21" s="444" t="s">
        <v>161</v>
      </c>
      <c r="E21" s="683" t="s">
        <v>162</v>
      </c>
      <c r="F21" s="901">
        <v>2624.7439075194698</v>
      </c>
      <c r="G21" s="899"/>
      <c r="H21" s="4"/>
      <c r="I21" s="901">
        <f>SUM(J21:Q21)</f>
        <v>2624.7439075194679</v>
      </c>
      <c r="J21" s="1159">
        <v>1201.9893327138141</v>
      </c>
      <c r="K21" s="1336"/>
      <c r="L21" s="1159"/>
      <c r="M21" s="1159">
        <v>1422.7545748056539</v>
      </c>
      <c r="N21" s="1159"/>
      <c r="O21" s="1159"/>
      <c r="P21" s="1159"/>
      <c r="Q21" s="1336"/>
      <c r="R21" s="1336"/>
      <c r="T21" s="868"/>
      <c r="V21" s="868"/>
      <c r="W21" s="900"/>
      <c r="X21" s="900"/>
      <c r="AF21" s="900"/>
      <c r="AG21" s="868"/>
      <c r="AR21" s="868"/>
      <c r="BC21" s="868"/>
      <c r="BN21" s="868"/>
      <c r="BY21" s="868"/>
      <c r="CJ21" s="868"/>
      <c r="CU21" s="868"/>
    </row>
    <row r="22" spans="1:99" x14ac:dyDescent="0.3">
      <c r="A22" s="883">
        <f t="shared" si="1"/>
        <v>8</v>
      </c>
      <c r="B22" s="883"/>
      <c r="C22" s="724" t="s">
        <v>154</v>
      </c>
      <c r="D22" s="444" t="s">
        <v>163</v>
      </c>
      <c r="E22" s="896" t="s">
        <v>164</v>
      </c>
      <c r="F22" s="899">
        <v>75049.8</v>
      </c>
      <c r="G22" s="899"/>
      <c r="H22" s="4">
        <f>+F22-I22</f>
        <v>0</v>
      </c>
      <c r="I22" s="1335">
        <f>SUM(J22:Q22)</f>
        <v>75049.8</v>
      </c>
      <c r="J22" s="899">
        <f>+AT22</f>
        <v>45059.899920000003</v>
      </c>
      <c r="K22" s="899">
        <f t="shared" ref="K22:Q23" si="10">+AU22</f>
        <v>4105.9745579999999</v>
      </c>
      <c r="L22" s="899">
        <f t="shared" si="10"/>
        <v>287.44073400000002</v>
      </c>
      <c r="M22" s="899">
        <f t="shared" si="10"/>
        <v>21639.859332</v>
      </c>
      <c r="N22" s="899">
        <f t="shared" si="10"/>
        <v>261.17330400000003</v>
      </c>
      <c r="O22" s="899">
        <f t="shared" si="10"/>
        <v>3517.5841260000002</v>
      </c>
      <c r="P22" s="899">
        <f t="shared" si="10"/>
        <v>177.86802600000001</v>
      </c>
      <c r="Q22" s="899">
        <f t="shared" si="10"/>
        <v>0</v>
      </c>
      <c r="R22" s="899">
        <f>+BC22</f>
        <v>0</v>
      </c>
      <c r="T22" s="868"/>
      <c r="U22" s="900"/>
      <c r="V22" s="868"/>
      <c r="Z22" s="72">
        <f>+F22</f>
        <v>75049.8</v>
      </c>
      <c r="AF22" s="900">
        <f>SUM(W22:AE22)-F22</f>
        <v>0</v>
      </c>
      <c r="AG22" s="868"/>
      <c r="AH22" s="900">
        <f>+$Y22*AH$15</f>
        <v>0</v>
      </c>
      <c r="AI22" s="900">
        <f t="shared" si="4"/>
        <v>0</v>
      </c>
      <c r="AJ22" s="900">
        <f t="shared" si="4"/>
        <v>0</v>
      </c>
      <c r="AK22" s="900">
        <f t="shared" si="4"/>
        <v>0</v>
      </c>
      <c r="AL22" s="900">
        <f t="shared" si="4"/>
        <v>0</v>
      </c>
      <c r="AM22" s="900">
        <f t="shared" si="4"/>
        <v>0</v>
      </c>
      <c r="AN22" s="900">
        <f t="shared" si="4"/>
        <v>0</v>
      </c>
      <c r="AO22" s="900">
        <f t="shared" si="4"/>
        <v>0</v>
      </c>
      <c r="AP22" s="900">
        <f t="shared" si="4"/>
        <v>0</v>
      </c>
      <c r="AQ22" s="900">
        <f t="shared" si="4"/>
        <v>0</v>
      </c>
      <c r="AR22" s="868"/>
      <c r="AS22" s="900">
        <f>+$Z22*AS$15</f>
        <v>75049.8</v>
      </c>
      <c r="AT22" s="900">
        <f t="shared" si="5"/>
        <v>45059.899920000003</v>
      </c>
      <c r="AU22" s="900">
        <f t="shared" si="5"/>
        <v>4105.9745579999999</v>
      </c>
      <c r="AV22" s="900">
        <f t="shared" si="5"/>
        <v>287.44073400000002</v>
      </c>
      <c r="AW22" s="900">
        <f t="shared" si="5"/>
        <v>21639.859332</v>
      </c>
      <c r="AX22" s="900">
        <f t="shared" si="5"/>
        <v>261.17330400000003</v>
      </c>
      <c r="AY22" s="900">
        <f t="shared" si="5"/>
        <v>3517.5841260000002</v>
      </c>
      <c r="AZ22" s="900">
        <f t="shared" si="5"/>
        <v>177.86802600000001</v>
      </c>
      <c r="BA22" s="900">
        <f>+$AS22*AAX$15</f>
        <v>0</v>
      </c>
      <c r="BB22" s="900">
        <f>+$AS22*AAY$15</f>
        <v>0</v>
      </c>
      <c r="BC22" s="868"/>
      <c r="BD22" s="900">
        <f>+$AA22*BD$15</f>
        <v>0</v>
      </c>
      <c r="BE22" s="900">
        <f t="shared" si="6"/>
        <v>0</v>
      </c>
      <c r="BF22" s="900">
        <f t="shared" si="6"/>
        <v>0</v>
      </c>
      <c r="BG22" s="900">
        <f t="shared" si="6"/>
        <v>0</v>
      </c>
      <c r="BH22" s="900">
        <f t="shared" si="6"/>
        <v>0</v>
      </c>
      <c r="BI22" s="900">
        <f t="shared" si="6"/>
        <v>0</v>
      </c>
      <c r="BJ22" s="900">
        <f t="shared" si="6"/>
        <v>0</v>
      </c>
      <c r="BK22" s="900">
        <f t="shared" si="6"/>
        <v>0</v>
      </c>
      <c r="BL22" s="900">
        <f t="shared" si="6"/>
        <v>0</v>
      </c>
      <c r="BM22" s="900">
        <f t="shared" si="6"/>
        <v>0</v>
      </c>
      <c r="BN22" s="868"/>
      <c r="BO22" s="900">
        <f>+$AB22*BO$15</f>
        <v>0</v>
      </c>
      <c r="BP22" s="900">
        <f t="shared" si="7"/>
        <v>0</v>
      </c>
      <c r="BQ22" s="900">
        <f t="shared" si="7"/>
        <v>0</v>
      </c>
      <c r="BR22" s="900">
        <f t="shared" si="7"/>
        <v>0</v>
      </c>
      <c r="BS22" s="900">
        <f t="shared" si="7"/>
        <v>0</v>
      </c>
      <c r="BT22" s="900">
        <f t="shared" si="7"/>
        <v>0</v>
      </c>
      <c r="BU22" s="900">
        <f t="shared" si="7"/>
        <v>0</v>
      </c>
      <c r="BV22" s="900">
        <f t="shared" si="7"/>
        <v>0</v>
      </c>
      <c r="BW22" s="900">
        <f t="shared" si="7"/>
        <v>0</v>
      </c>
      <c r="BX22" s="900">
        <f t="shared" ref="BX22:BX23" si="11">+$BD22*BX$15</f>
        <v>0</v>
      </c>
      <c r="BY22" s="868"/>
      <c r="BZ22" s="900">
        <f>+$AC22*BZ$15</f>
        <v>0</v>
      </c>
      <c r="CA22" s="900">
        <f t="shared" si="8"/>
        <v>0</v>
      </c>
      <c r="CB22" s="900">
        <f t="shared" si="8"/>
        <v>0</v>
      </c>
      <c r="CC22" s="900">
        <f t="shared" si="8"/>
        <v>0</v>
      </c>
      <c r="CD22" s="900">
        <f t="shared" si="8"/>
        <v>0</v>
      </c>
      <c r="CE22" s="900">
        <f t="shared" si="8"/>
        <v>0</v>
      </c>
      <c r="CF22" s="900">
        <f t="shared" si="8"/>
        <v>0</v>
      </c>
      <c r="CG22" s="900">
        <f t="shared" si="8"/>
        <v>0</v>
      </c>
      <c r="CH22" s="900">
        <f t="shared" si="8"/>
        <v>0</v>
      </c>
      <c r="CI22" s="900">
        <f t="shared" ref="CI22:CI23" si="12">+$BD22*CI$15</f>
        <v>0</v>
      </c>
      <c r="CJ22" s="868"/>
      <c r="CK22" s="900">
        <f>+$AD22*CK$15</f>
        <v>0</v>
      </c>
      <c r="CL22" s="900">
        <f t="shared" si="9"/>
        <v>0</v>
      </c>
      <c r="CM22" s="900">
        <f t="shared" si="9"/>
        <v>0</v>
      </c>
      <c r="CN22" s="900">
        <f t="shared" si="9"/>
        <v>0</v>
      </c>
      <c r="CO22" s="900">
        <f t="shared" si="9"/>
        <v>0</v>
      </c>
      <c r="CP22" s="900">
        <f t="shared" si="9"/>
        <v>0</v>
      </c>
      <c r="CQ22" s="900">
        <f t="shared" si="9"/>
        <v>0</v>
      </c>
      <c r="CR22" s="900">
        <f t="shared" si="9"/>
        <v>0</v>
      </c>
      <c r="CS22" s="900">
        <f t="shared" si="9"/>
        <v>0</v>
      </c>
      <c r="CT22" s="900">
        <f t="shared" ref="CT22:CT23" si="13">+$BD22*CT$15</f>
        <v>0</v>
      </c>
      <c r="CU22" s="868"/>
    </row>
    <row r="23" spans="1:99" x14ac:dyDescent="0.3">
      <c r="A23" s="883">
        <f t="shared" si="1"/>
        <v>9</v>
      </c>
      <c r="B23" s="883"/>
      <c r="C23" s="724" t="s">
        <v>154</v>
      </c>
      <c r="D23" s="444" t="s">
        <v>165</v>
      </c>
      <c r="E23" s="896" t="s">
        <v>166</v>
      </c>
      <c r="F23" s="899">
        <v>31896.164999999899</v>
      </c>
      <c r="G23" s="899"/>
      <c r="H23" s="4">
        <f>+F23-I23</f>
        <v>0</v>
      </c>
      <c r="I23" s="1335">
        <f>SUM(J23:Q23)</f>
        <v>31896.164999999906</v>
      </c>
      <c r="J23" s="899">
        <f>+AT23</f>
        <v>19150.457465999942</v>
      </c>
      <c r="K23" s="899">
        <f t="shared" si="10"/>
        <v>1745.0391871499946</v>
      </c>
      <c r="L23" s="899">
        <f t="shared" si="10"/>
        <v>122.16231194999962</v>
      </c>
      <c r="M23" s="899">
        <f t="shared" si="10"/>
        <v>9196.9402160999707</v>
      </c>
      <c r="N23" s="899">
        <f t="shared" si="10"/>
        <v>110.99865419999965</v>
      </c>
      <c r="O23" s="899">
        <f t="shared" si="10"/>
        <v>1494.9732535499954</v>
      </c>
      <c r="P23" s="899">
        <f t="shared" si="10"/>
        <v>75.593911049999761</v>
      </c>
      <c r="Q23" s="899">
        <f t="shared" si="10"/>
        <v>0</v>
      </c>
      <c r="R23" s="899">
        <f>+BC23</f>
        <v>0</v>
      </c>
      <c r="T23" s="868"/>
      <c r="U23" s="900"/>
      <c r="V23" s="868"/>
      <c r="Z23" s="72">
        <f>+F23</f>
        <v>31896.164999999899</v>
      </c>
      <c r="AF23" s="900">
        <f t="shared" ref="AF23" si="14">SUM(W23:AE23)-F23</f>
        <v>0</v>
      </c>
      <c r="AG23" s="868"/>
      <c r="AH23" s="900">
        <f>+$Y23*AH$15</f>
        <v>0</v>
      </c>
      <c r="AI23" s="900">
        <f t="shared" si="4"/>
        <v>0</v>
      </c>
      <c r="AJ23" s="900">
        <f t="shared" si="4"/>
        <v>0</v>
      </c>
      <c r="AK23" s="900">
        <f t="shared" si="4"/>
        <v>0</v>
      </c>
      <c r="AL23" s="900">
        <f t="shared" si="4"/>
        <v>0</v>
      </c>
      <c r="AM23" s="900">
        <f t="shared" si="4"/>
        <v>0</v>
      </c>
      <c r="AN23" s="900">
        <f t="shared" si="4"/>
        <v>0</v>
      </c>
      <c r="AO23" s="900">
        <f t="shared" si="4"/>
        <v>0</v>
      </c>
      <c r="AP23" s="900">
        <f t="shared" si="4"/>
        <v>0</v>
      </c>
      <c r="AQ23" s="900">
        <f t="shared" si="4"/>
        <v>0</v>
      </c>
      <c r="AR23" s="868"/>
      <c r="AS23" s="900">
        <f>+$Z23*AS$15</f>
        <v>31896.164999999899</v>
      </c>
      <c r="AT23" s="900">
        <f t="shared" si="5"/>
        <v>19150.457465999942</v>
      </c>
      <c r="AU23" s="900">
        <f t="shared" si="5"/>
        <v>1745.0391871499946</v>
      </c>
      <c r="AV23" s="900">
        <f t="shared" si="5"/>
        <v>122.16231194999962</v>
      </c>
      <c r="AW23" s="900">
        <f t="shared" si="5"/>
        <v>9196.9402160999707</v>
      </c>
      <c r="AX23" s="900">
        <f t="shared" si="5"/>
        <v>110.99865419999965</v>
      </c>
      <c r="AY23" s="900">
        <f t="shared" si="5"/>
        <v>1494.9732535499954</v>
      </c>
      <c r="AZ23" s="900">
        <f t="shared" si="5"/>
        <v>75.593911049999761</v>
      </c>
      <c r="BA23" s="900">
        <f>+$AS23*AAX$15</f>
        <v>0</v>
      </c>
      <c r="BB23" s="900">
        <f>+$AS23*AAY$15</f>
        <v>0</v>
      </c>
      <c r="BC23" s="868"/>
      <c r="BD23" s="900">
        <f>+$AA23*BD$15</f>
        <v>0</v>
      </c>
      <c r="BE23" s="900">
        <f t="shared" si="6"/>
        <v>0</v>
      </c>
      <c r="BF23" s="900">
        <f t="shared" si="6"/>
        <v>0</v>
      </c>
      <c r="BG23" s="900">
        <f t="shared" si="6"/>
        <v>0</v>
      </c>
      <c r="BH23" s="900">
        <f t="shared" si="6"/>
        <v>0</v>
      </c>
      <c r="BI23" s="900">
        <f t="shared" si="6"/>
        <v>0</v>
      </c>
      <c r="BJ23" s="900">
        <f t="shared" si="6"/>
        <v>0</v>
      </c>
      <c r="BK23" s="900">
        <f t="shared" si="6"/>
        <v>0</v>
      </c>
      <c r="BL23" s="900">
        <f t="shared" si="6"/>
        <v>0</v>
      </c>
      <c r="BM23" s="900">
        <f t="shared" si="6"/>
        <v>0</v>
      </c>
      <c r="BN23" s="868"/>
      <c r="BO23" s="900">
        <f>+$AB23*BO$15</f>
        <v>0</v>
      </c>
      <c r="BP23" s="900">
        <f t="shared" si="7"/>
        <v>0</v>
      </c>
      <c r="BQ23" s="900">
        <f t="shared" si="7"/>
        <v>0</v>
      </c>
      <c r="BR23" s="900">
        <f t="shared" si="7"/>
        <v>0</v>
      </c>
      <c r="BS23" s="900">
        <f t="shared" si="7"/>
        <v>0</v>
      </c>
      <c r="BT23" s="900">
        <f t="shared" si="7"/>
        <v>0</v>
      </c>
      <c r="BU23" s="900">
        <f t="shared" si="7"/>
        <v>0</v>
      </c>
      <c r="BV23" s="900">
        <f t="shared" si="7"/>
        <v>0</v>
      </c>
      <c r="BW23" s="900">
        <f t="shared" si="7"/>
        <v>0</v>
      </c>
      <c r="BX23" s="900">
        <f t="shared" si="11"/>
        <v>0</v>
      </c>
      <c r="BY23" s="868"/>
      <c r="BZ23" s="900">
        <f>+$AC23*BZ$15</f>
        <v>0</v>
      </c>
      <c r="CA23" s="900">
        <f t="shared" si="8"/>
        <v>0</v>
      </c>
      <c r="CB23" s="900">
        <f t="shared" si="8"/>
        <v>0</v>
      </c>
      <c r="CC23" s="900">
        <f t="shared" si="8"/>
        <v>0</v>
      </c>
      <c r="CD23" s="900">
        <f t="shared" si="8"/>
        <v>0</v>
      </c>
      <c r="CE23" s="900">
        <f t="shared" si="8"/>
        <v>0</v>
      </c>
      <c r="CF23" s="900">
        <f t="shared" si="8"/>
        <v>0</v>
      </c>
      <c r="CG23" s="900">
        <f t="shared" si="8"/>
        <v>0</v>
      </c>
      <c r="CH23" s="900">
        <f t="shared" si="8"/>
        <v>0</v>
      </c>
      <c r="CI23" s="900">
        <f t="shared" si="12"/>
        <v>0</v>
      </c>
      <c r="CJ23" s="868"/>
      <c r="CK23" s="900">
        <f>+$AD23*CK$15</f>
        <v>0</v>
      </c>
      <c r="CL23" s="900">
        <f t="shared" si="9"/>
        <v>0</v>
      </c>
      <c r="CM23" s="900">
        <f t="shared" si="9"/>
        <v>0</v>
      </c>
      <c r="CN23" s="900">
        <f t="shared" si="9"/>
        <v>0</v>
      </c>
      <c r="CO23" s="900">
        <f t="shared" si="9"/>
        <v>0</v>
      </c>
      <c r="CP23" s="900">
        <f t="shared" si="9"/>
        <v>0</v>
      </c>
      <c r="CQ23" s="900">
        <f t="shared" si="9"/>
        <v>0</v>
      </c>
      <c r="CR23" s="900">
        <f t="shared" si="9"/>
        <v>0</v>
      </c>
      <c r="CS23" s="900">
        <f t="shared" si="9"/>
        <v>0</v>
      </c>
      <c r="CT23" s="900">
        <f t="shared" si="13"/>
        <v>0</v>
      </c>
      <c r="CU23" s="868"/>
    </row>
    <row r="24" spans="1:99" collapsed="1" x14ac:dyDescent="0.3">
      <c r="A24" s="883">
        <f t="shared" si="1"/>
        <v>10</v>
      </c>
      <c r="B24" s="883"/>
      <c r="C24" s="724"/>
      <c r="D24" s="444" t="s">
        <v>167</v>
      </c>
      <c r="E24" s="444"/>
      <c r="F24" s="903">
        <f>SUM(F18:F23)</f>
        <v>3455243.1331403363</v>
      </c>
      <c r="G24" s="899"/>
      <c r="H24" s="903">
        <f t="shared" ref="H24:R24" si="15">SUM(H18:H23)</f>
        <v>20148.262554526471</v>
      </c>
      <c r="I24" s="903">
        <f t="shared" si="15"/>
        <v>3435094.8705858099</v>
      </c>
      <c r="J24" s="903">
        <f t="shared" si="15"/>
        <v>2242205.1568560041</v>
      </c>
      <c r="K24" s="903">
        <f t="shared" si="15"/>
        <v>199992.29389740311</v>
      </c>
      <c r="L24" s="903">
        <f t="shared" si="15"/>
        <v>11991.78251042675</v>
      </c>
      <c r="M24" s="903">
        <f t="shared" si="15"/>
        <v>854345.203261205</v>
      </c>
      <c r="N24" s="903">
        <f t="shared" si="15"/>
        <v>10781.608038520228</v>
      </c>
      <c r="O24" s="903">
        <f t="shared" si="15"/>
        <v>100848.03105497734</v>
      </c>
      <c r="P24" s="903">
        <f t="shared" si="15"/>
        <v>14930.794967272886</v>
      </c>
      <c r="Q24" s="903">
        <f t="shared" si="15"/>
        <v>0</v>
      </c>
      <c r="R24" s="903">
        <f t="shared" si="15"/>
        <v>0</v>
      </c>
      <c r="T24" s="868"/>
      <c r="U24" s="900"/>
      <c r="V24" s="868"/>
      <c r="Z24" s="72"/>
      <c r="AF24" s="900"/>
      <c r="AG24" s="868"/>
      <c r="AH24" s="900"/>
      <c r="AI24" s="900"/>
      <c r="AJ24" s="900"/>
      <c r="AK24" s="900"/>
      <c r="AL24" s="900"/>
      <c r="AM24" s="900"/>
      <c r="AN24" s="900"/>
      <c r="AO24" s="900"/>
      <c r="AP24" s="900"/>
      <c r="AQ24" s="900"/>
      <c r="AR24" s="868"/>
      <c r="AS24" s="900"/>
      <c r="AT24" s="900"/>
      <c r="AU24" s="900"/>
      <c r="AV24" s="900"/>
      <c r="AW24" s="900"/>
      <c r="AX24" s="900"/>
      <c r="AY24" s="900"/>
      <c r="AZ24" s="900"/>
      <c r="BA24" s="900"/>
      <c r="BB24" s="900"/>
      <c r="BC24" s="868"/>
      <c r="BD24" s="900"/>
      <c r="BE24" s="900"/>
      <c r="BF24" s="900"/>
      <c r="BG24" s="900"/>
      <c r="BH24" s="900"/>
      <c r="BI24" s="900"/>
      <c r="BJ24" s="900"/>
      <c r="BK24" s="900"/>
      <c r="BL24" s="900"/>
      <c r="BM24" s="900"/>
      <c r="BN24" s="868"/>
      <c r="BO24" s="900"/>
      <c r="BP24" s="900"/>
      <c r="BQ24" s="900"/>
      <c r="BR24" s="900"/>
      <c r="BS24" s="900"/>
      <c r="BT24" s="900"/>
      <c r="BU24" s="900"/>
      <c r="BV24" s="900"/>
      <c r="BW24" s="900"/>
      <c r="BX24" s="900"/>
      <c r="BY24" s="868"/>
      <c r="BZ24" s="900"/>
      <c r="CA24" s="900"/>
      <c r="CB24" s="900"/>
      <c r="CC24" s="900"/>
      <c r="CD24" s="900"/>
      <c r="CE24" s="900"/>
      <c r="CF24" s="900"/>
      <c r="CG24" s="900"/>
      <c r="CH24" s="900"/>
      <c r="CI24" s="900"/>
      <c r="CJ24" s="868"/>
      <c r="CK24" s="900"/>
      <c r="CL24" s="900"/>
      <c r="CM24" s="900"/>
      <c r="CN24" s="900"/>
      <c r="CO24" s="900"/>
      <c r="CP24" s="900"/>
      <c r="CQ24" s="900"/>
      <c r="CR24" s="900"/>
      <c r="CS24" s="900"/>
      <c r="CT24" s="900"/>
      <c r="CU24" s="868"/>
    </row>
    <row r="25" spans="1:99" s="908" customFormat="1" hidden="1" outlineLevel="1" x14ac:dyDescent="0.3">
      <c r="A25" s="905"/>
      <c r="B25" s="905"/>
      <c r="C25" s="906"/>
      <c r="D25" s="907" t="s">
        <v>168</v>
      </c>
      <c r="E25" s="735"/>
      <c r="F25" s="915">
        <v>0</v>
      </c>
      <c r="G25" s="899"/>
      <c r="H25" s="915">
        <v>7.2759576141834259E-11</v>
      </c>
      <c r="I25" s="915">
        <v>0.20121695892885327</v>
      </c>
      <c r="J25" s="915">
        <v>0.11941511975601315</v>
      </c>
      <c r="K25" s="915">
        <v>1.1203071189811453E-2</v>
      </c>
      <c r="L25" s="915">
        <v>1.5018201120255981E-3</v>
      </c>
      <c r="M25" s="915">
        <v>5.7908503920771182E-2</v>
      </c>
      <c r="N25" s="915">
        <v>2.9107421232765773E-3</v>
      </c>
      <c r="O25" s="915">
        <v>7.4816636188188568E-3</v>
      </c>
      <c r="P25" s="915">
        <v>7.9603746416978538E-4</v>
      </c>
      <c r="Q25" s="915">
        <v>0</v>
      </c>
      <c r="R25" s="915">
        <v>0</v>
      </c>
      <c r="W25" s="909"/>
      <c r="X25" s="909"/>
      <c r="Y25" s="910"/>
      <c r="Z25" s="910"/>
      <c r="AA25" s="910"/>
      <c r="AB25" s="910"/>
      <c r="AC25" s="910"/>
      <c r="AD25" s="910"/>
      <c r="AE25" s="910"/>
      <c r="AF25" s="909"/>
    </row>
    <row r="26" spans="1:99" x14ac:dyDescent="0.3">
      <c r="A26" s="883">
        <f>+A24+1</f>
        <v>11</v>
      </c>
      <c r="B26" s="883"/>
      <c r="C26" s="724"/>
      <c r="D26" s="896"/>
      <c r="E26" s="896"/>
      <c r="F26" s="899"/>
      <c r="G26" s="899"/>
      <c r="H26" s="898"/>
      <c r="I26" s="899"/>
      <c r="J26" s="899"/>
      <c r="K26" s="899"/>
      <c r="L26" s="899"/>
      <c r="M26" s="899"/>
      <c r="N26" s="899"/>
      <c r="O26" s="899"/>
      <c r="P26" s="899"/>
      <c r="Q26" s="899"/>
      <c r="R26" s="899"/>
      <c r="T26" s="868"/>
      <c r="V26" s="868"/>
      <c r="AG26" s="868"/>
      <c r="AR26" s="868"/>
      <c r="BC26" s="868"/>
      <c r="BN26" s="868"/>
      <c r="BY26" s="868"/>
      <c r="CJ26" s="868"/>
      <c r="CU26" s="868"/>
    </row>
    <row r="27" spans="1:99" x14ac:dyDescent="0.3">
      <c r="A27" s="883">
        <f>+A26+1</f>
        <v>12</v>
      </c>
      <c r="B27" s="883"/>
      <c r="C27" s="724" t="s">
        <v>169</v>
      </c>
      <c r="D27" s="896" t="s">
        <v>170</v>
      </c>
      <c r="E27" s="896"/>
      <c r="F27" s="899"/>
      <c r="G27" s="899"/>
      <c r="H27" s="898"/>
      <c r="I27" s="899"/>
      <c r="J27" s="1159"/>
      <c r="K27" s="1159"/>
      <c r="L27" s="1159"/>
      <c r="M27" s="1159"/>
      <c r="N27" s="1159"/>
      <c r="O27" s="1159"/>
      <c r="P27" s="1159"/>
      <c r="Q27" s="1336"/>
      <c r="R27" s="1336"/>
      <c r="T27" s="868"/>
      <c r="V27" s="868"/>
      <c r="AG27" s="868"/>
      <c r="AR27" s="868"/>
      <c r="BC27" s="868"/>
      <c r="BN27" s="868"/>
      <c r="BY27" s="868"/>
      <c r="CJ27" s="868"/>
      <c r="CU27" s="868"/>
    </row>
    <row r="28" spans="1:99" x14ac:dyDescent="0.3">
      <c r="A28" s="883">
        <f t="shared" ref="A28:A45" si="16">+A27+1</f>
        <v>13</v>
      </c>
      <c r="B28" s="883"/>
      <c r="D28" s="911" t="s">
        <v>171</v>
      </c>
      <c r="E28" s="725" t="s">
        <v>172</v>
      </c>
      <c r="F28" s="899">
        <v>22100.000399999997</v>
      </c>
      <c r="G28" s="1337"/>
      <c r="H28" s="4">
        <f>+F28-I28</f>
        <v>0</v>
      </c>
      <c r="I28" s="899">
        <f>SUM(J28:S28)</f>
        <v>22100.000399999997</v>
      </c>
      <c r="J28" s="415">
        <f t="shared" ref="J28:P30" si="17">+AI28+AT28+BE28+BP28+CA28+CL28</f>
        <v>19311.13832997697</v>
      </c>
      <c r="K28" s="415">
        <f t="shared" si="17"/>
        <v>1410.5150753628729</v>
      </c>
      <c r="L28" s="415">
        <f t="shared" si="17"/>
        <v>159.42116533020794</v>
      </c>
      <c r="M28" s="415">
        <f t="shared" si="17"/>
        <v>520.5989769950844</v>
      </c>
      <c r="N28" s="415">
        <f t="shared" si="17"/>
        <v>5.9984594454246419E-3</v>
      </c>
      <c r="O28" s="415">
        <f t="shared" si="17"/>
        <v>0.725994608327997</v>
      </c>
      <c r="P28" s="415">
        <f t="shared" si="17"/>
        <v>697.59485926709101</v>
      </c>
      <c r="Q28" s="415">
        <f>+AQ28+BA28+BL28+BW28+CH28+CS28</f>
        <v>0</v>
      </c>
      <c r="R28" s="415">
        <f>+AR28+BC28+CA28+BY28+CJ28+CU28</f>
        <v>0</v>
      </c>
      <c r="T28" s="868"/>
      <c r="V28" s="868"/>
      <c r="AD28" s="439">
        <f>$F$28</f>
        <v>22100.000399999997</v>
      </c>
      <c r="AF28" s="900">
        <f t="shared" ref="AF28:AF33" si="18">SUM(W28:AE28)-F28</f>
        <v>0</v>
      </c>
      <c r="AG28" s="868"/>
      <c r="AH28" s="900">
        <f t="shared" ref="AH28:AH41" si="19">+$Y28*AH$15</f>
        <v>0</v>
      </c>
      <c r="AI28" s="900">
        <f t="shared" ref="AI28:AQ41" si="20">+$AH28*AI$15</f>
        <v>0</v>
      </c>
      <c r="AJ28" s="900">
        <f t="shared" si="20"/>
        <v>0</v>
      </c>
      <c r="AK28" s="900">
        <f t="shared" si="20"/>
        <v>0</v>
      </c>
      <c r="AL28" s="900">
        <f t="shared" si="20"/>
        <v>0</v>
      </c>
      <c r="AM28" s="900">
        <f t="shared" si="20"/>
        <v>0</v>
      </c>
      <c r="AN28" s="900">
        <f t="shared" si="20"/>
        <v>0</v>
      </c>
      <c r="AO28" s="900">
        <f t="shared" si="20"/>
        <v>0</v>
      </c>
      <c r="AP28" s="900">
        <f t="shared" si="20"/>
        <v>0</v>
      </c>
      <c r="AQ28" s="900">
        <f t="shared" si="20"/>
        <v>0</v>
      </c>
      <c r="AR28" s="868"/>
      <c r="AS28" s="900">
        <f t="shared" ref="AS28:AS41" si="21">+$Z28*AS$15</f>
        <v>0</v>
      </c>
      <c r="AT28" s="900">
        <f t="shared" ref="AT28:AZ41" si="22">+$AS28*AT$15</f>
        <v>0</v>
      </c>
      <c r="AU28" s="900">
        <f t="shared" si="22"/>
        <v>0</v>
      </c>
      <c r="AV28" s="900">
        <f t="shared" si="22"/>
        <v>0</v>
      </c>
      <c r="AW28" s="900">
        <f t="shared" si="22"/>
        <v>0</v>
      </c>
      <c r="AX28" s="900">
        <f t="shared" si="22"/>
        <v>0</v>
      </c>
      <c r="AY28" s="900">
        <f t="shared" si="22"/>
        <v>0</v>
      </c>
      <c r="AZ28" s="900">
        <f t="shared" si="22"/>
        <v>0</v>
      </c>
      <c r="BA28" s="900">
        <f t="shared" ref="BA28:BB41" si="23">+$AS28*AAX$15</f>
        <v>0</v>
      </c>
      <c r="BB28" s="900">
        <f t="shared" si="23"/>
        <v>0</v>
      </c>
      <c r="BC28" s="868"/>
      <c r="BD28" s="900">
        <f t="shared" ref="BD28:BD41" si="24">+$AA28*BD$15</f>
        <v>0</v>
      </c>
      <c r="BE28" s="900">
        <f t="shared" ref="BE28:BM41" si="25">+$BD28*BE$15</f>
        <v>0</v>
      </c>
      <c r="BF28" s="900">
        <f t="shared" si="25"/>
        <v>0</v>
      </c>
      <c r="BG28" s="900">
        <f t="shared" si="25"/>
        <v>0</v>
      </c>
      <c r="BH28" s="900">
        <f t="shared" si="25"/>
        <v>0</v>
      </c>
      <c r="BI28" s="900">
        <f t="shared" si="25"/>
        <v>0</v>
      </c>
      <c r="BJ28" s="900">
        <f t="shared" si="25"/>
        <v>0</v>
      </c>
      <c r="BK28" s="900">
        <f t="shared" si="25"/>
        <v>0</v>
      </c>
      <c r="BL28" s="900">
        <f t="shared" si="25"/>
        <v>0</v>
      </c>
      <c r="BM28" s="900">
        <f t="shared" si="25"/>
        <v>0</v>
      </c>
      <c r="BN28" s="868"/>
      <c r="BO28" s="900">
        <f t="shared" ref="BO28:BO41" si="26">+$AB28*BO$15</f>
        <v>0</v>
      </c>
      <c r="BP28" s="900">
        <f t="shared" ref="BP28:BW41" si="27">+$BO28*BP$15</f>
        <v>0</v>
      </c>
      <c r="BQ28" s="900">
        <f t="shared" si="27"/>
        <v>0</v>
      </c>
      <c r="BR28" s="900">
        <f t="shared" si="27"/>
        <v>0</v>
      </c>
      <c r="BS28" s="900">
        <f t="shared" si="27"/>
        <v>0</v>
      </c>
      <c r="BT28" s="900">
        <f t="shared" si="27"/>
        <v>0</v>
      </c>
      <c r="BU28" s="900">
        <f t="shared" si="27"/>
        <v>0</v>
      </c>
      <c r="BV28" s="900">
        <f t="shared" si="27"/>
        <v>0</v>
      </c>
      <c r="BW28" s="900">
        <f t="shared" si="27"/>
        <v>0</v>
      </c>
      <c r="BX28" s="900">
        <f t="shared" ref="BX28:BX41" si="28">+$BD28*BX$15</f>
        <v>0</v>
      </c>
      <c r="BY28" s="868"/>
      <c r="BZ28" s="900">
        <f t="shared" ref="BZ28:BZ41" si="29">+$AC28*BZ$15</f>
        <v>0</v>
      </c>
      <c r="CA28" s="900">
        <f t="shared" ref="CA28:CH41" si="30">+$BZ28*CA$15</f>
        <v>0</v>
      </c>
      <c r="CB28" s="900">
        <f t="shared" si="30"/>
        <v>0</v>
      </c>
      <c r="CC28" s="900">
        <f t="shared" si="30"/>
        <v>0</v>
      </c>
      <c r="CD28" s="900">
        <f t="shared" si="30"/>
        <v>0</v>
      </c>
      <c r="CE28" s="900">
        <f t="shared" si="30"/>
        <v>0</v>
      </c>
      <c r="CF28" s="900">
        <f t="shared" si="30"/>
        <v>0</v>
      </c>
      <c r="CG28" s="900">
        <f t="shared" si="30"/>
        <v>0</v>
      </c>
      <c r="CH28" s="900">
        <f t="shared" si="30"/>
        <v>0</v>
      </c>
      <c r="CI28" s="900">
        <f t="shared" ref="CI28:CI41" si="31">+$BD28*CI$15</f>
        <v>0</v>
      </c>
      <c r="CJ28" s="868"/>
      <c r="CK28" s="900">
        <f t="shared" ref="CK28:CK41" si="32">+$AD28*CK$15</f>
        <v>22100.000399999997</v>
      </c>
      <c r="CL28" s="900">
        <f t="shared" ref="CL28:CS41" si="33">+$CK28*CL$15</f>
        <v>19311.13832997697</v>
      </c>
      <c r="CM28" s="900">
        <f t="shared" si="33"/>
        <v>1410.5150753628729</v>
      </c>
      <c r="CN28" s="900">
        <f t="shared" si="33"/>
        <v>159.42116533020794</v>
      </c>
      <c r="CO28" s="900">
        <f t="shared" si="33"/>
        <v>520.5989769950844</v>
      </c>
      <c r="CP28" s="900">
        <f t="shared" si="33"/>
        <v>5.9984594454246419E-3</v>
      </c>
      <c r="CQ28" s="900">
        <f t="shared" si="33"/>
        <v>0.725994608327997</v>
      </c>
      <c r="CR28" s="900">
        <f t="shared" si="33"/>
        <v>697.59485926709101</v>
      </c>
      <c r="CS28" s="900">
        <f t="shared" si="33"/>
        <v>0</v>
      </c>
      <c r="CT28" s="900">
        <f t="shared" ref="CT28:CT41" si="34">+$BD28*CT$15</f>
        <v>0</v>
      </c>
      <c r="CU28" s="868"/>
    </row>
    <row r="29" spans="1:99" x14ac:dyDescent="0.3">
      <c r="A29" s="883">
        <f t="shared" si="16"/>
        <v>14</v>
      </c>
      <c r="B29" s="883"/>
      <c r="C29" s="724"/>
      <c r="D29" s="911" t="s">
        <v>173</v>
      </c>
      <c r="E29" s="725" t="s">
        <v>174</v>
      </c>
      <c r="F29" s="899">
        <v>11209.166999999999</v>
      </c>
      <c r="G29" s="1337"/>
      <c r="H29" s="4">
        <f t="shared" ref="H29:H41" si="35">+F29-I29</f>
        <v>0</v>
      </c>
      <c r="I29" s="899">
        <f>SUM(J29:S29)</f>
        <v>11209.166999999998</v>
      </c>
      <c r="J29" s="415">
        <f t="shared" si="17"/>
        <v>9794.6502526223012</v>
      </c>
      <c r="K29" s="415">
        <f t="shared" si="17"/>
        <v>715.41623301328229</v>
      </c>
      <c r="L29" s="415">
        <f t="shared" si="17"/>
        <v>80.858752632461986</v>
      </c>
      <c r="M29" s="415">
        <f t="shared" si="17"/>
        <v>264.04890350893658</v>
      </c>
      <c r="N29" s="415">
        <f t="shared" si="17"/>
        <v>3.0424313325574511E-3</v>
      </c>
      <c r="O29" s="415">
        <f t="shared" si="17"/>
        <v>0.36822600264967009</v>
      </c>
      <c r="P29" s="415">
        <f t="shared" si="17"/>
        <v>353.82158978903556</v>
      </c>
      <c r="Q29" s="415">
        <f>+AQ29+BA29+BL29+BW29+CH29+CS29</f>
        <v>0</v>
      </c>
      <c r="R29" s="415">
        <f>+AR29+BC29+CA29+BY29+CJ29+CU29</f>
        <v>0</v>
      </c>
      <c r="T29" s="868"/>
      <c r="V29" s="868"/>
      <c r="AD29" s="439">
        <f>$F$29</f>
        <v>11209.166999999999</v>
      </c>
      <c r="AF29" s="900">
        <f t="shared" si="18"/>
        <v>0</v>
      </c>
      <c r="AG29" s="868"/>
      <c r="AH29" s="900">
        <f t="shared" si="19"/>
        <v>0</v>
      </c>
      <c r="AI29" s="900">
        <f t="shared" si="20"/>
        <v>0</v>
      </c>
      <c r="AJ29" s="900">
        <f t="shared" si="20"/>
        <v>0</v>
      </c>
      <c r="AK29" s="900">
        <f t="shared" si="20"/>
        <v>0</v>
      </c>
      <c r="AL29" s="900">
        <f t="shared" si="20"/>
        <v>0</v>
      </c>
      <c r="AM29" s="900">
        <f t="shared" si="20"/>
        <v>0</v>
      </c>
      <c r="AN29" s="900">
        <f t="shared" si="20"/>
        <v>0</v>
      </c>
      <c r="AO29" s="900">
        <f t="shared" si="20"/>
        <v>0</v>
      </c>
      <c r="AP29" s="900">
        <f t="shared" si="20"/>
        <v>0</v>
      </c>
      <c r="AQ29" s="900">
        <f t="shared" si="20"/>
        <v>0</v>
      </c>
      <c r="AR29" s="868"/>
      <c r="AS29" s="900">
        <f t="shared" si="21"/>
        <v>0</v>
      </c>
      <c r="AT29" s="900">
        <f t="shared" si="22"/>
        <v>0</v>
      </c>
      <c r="AU29" s="900">
        <f t="shared" si="22"/>
        <v>0</v>
      </c>
      <c r="AV29" s="900">
        <f t="shared" si="22"/>
        <v>0</v>
      </c>
      <c r="AW29" s="900">
        <f t="shared" si="22"/>
        <v>0</v>
      </c>
      <c r="AX29" s="900">
        <f t="shared" si="22"/>
        <v>0</v>
      </c>
      <c r="AY29" s="900">
        <f t="shared" si="22"/>
        <v>0</v>
      </c>
      <c r="AZ29" s="900">
        <f t="shared" si="22"/>
        <v>0</v>
      </c>
      <c r="BA29" s="900">
        <f t="shared" si="23"/>
        <v>0</v>
      </c>
      <c r="BB29" s="900">
        <f t="shared" si="23"/>
        <v>0</v>
      </c>
      <c r="BC29" s="868"/>
      <c r="BD29" s="900">
        <f t="shared" si="24"/>
        <v>0</v>
      </c>
      <c r="BE29" s="900">
        <f t="shared" si="25"/>
        <v>0</v>
      </c>
      <c r="BF29" s="900">
        <f t="shared" si="25"/>
        <v>0</v>
      </c>
      <c r="BG29" s="900">
        <f t="shared" si="25"/>
        <v>0</v>
      </c>
      <c r="BH29" s="900">
        <f t="shared" si="25"/>
        <v>0</v>
      </c>
      <c r="BI29" s="900">
        <f t="shared" si="25"/>
        <v>0</v>
      </c>
      <c r="BJ29" s="900">
        <f t="shared" si="25"/>
        <v>0</v>
      </c>
      <c r="BK29" s="900">
        <f t="shared" si="25"/>
        <v>0</v>
      </c>
      <c r="BL29" s="900">
        <f t="shared" si="25"/>
        <v>0</v>
      </c>
      <c r="BM29" s="900">
        <f t="shared" si="25"/>
        <v>0</v>
      </c>
      <c r="BN29" s="868"/>
      <c r="BO29" s="900">
        <f t="shared" si="26"/>
        <v>0</v>
      </c>
      <c r="BP29" s="900">
        <f t="shared" si="27"/>
        <v>0</v>
      </c>
      <c r="BQ29" s="900">
        <f t="shared" si="27"/>
        <v>0</v>
      </c>
      <c r="BR29" s="900">
        <f t="shared" si="27"/>
        <v>0</v>
      </c>
      <c r="BS29" s="900">
        <f t="shared" si="27"/>
        <v>0</v>
      </c>
      <c r="BT29" s="900">
        <f t="shared" si="27"/>
        <v>0</v>
      </c>
      <c r="BU29" s="900">
        <f t="shared" si="27"/>
        <v>0</v>
      </c>
      <c r="BV29" s="900">
        <f t="shared" si="27"/>
        <v>0</v>
      </c>
      <c r="BW29" s="900">
        <f t="shared" si="27"/>
        <v>0</v>
      </c>
      <c r="BX29" s="900">
        <f t="shared" si="28"/>
        <v>0</v>
      </c>
      <c r="BY29" s="868"/>
      <c r="BZ29" s="900">
        <f t="shared" si="29"/>
        <v>0</v>
      </c>
      <c r="CA29" s="900">
        <f t="shared" si="30"/>
        <v>0</v>
      </c>
      <c r="CB29" s="900">
        <f t="shared" si="30"/>
        <v>0</v>
      </c>
      <c r="CC29" s="900">
        <f t="shared" si="30"/>
        <v>0</v>
      </c>
      <c r="CD29" s="900">
        <f t="shared" si="30"/>
        <v>0</v>
      </c>
      <c r="CE29" s="900">
        <f t="shared" si="30"/>
        <v>0</v>
      </c>
      <c r="CF29" s="900">
        <f t="shared" si="30"/>
        <v>0</v>
      </c>
      <c r="CG29" s="900">
        <f t="shared" si="30"/>
        <v>0</v>
      </c>
      <c r="CH29" s="900">
        <f t="shared" si="30"/>
        <v>0</v>
      </c>
      <c r="CI29" s="900">
        <f t="shared" si="31"/>
        <v>0</v>
      </c>
      <c r="CJ29" s="868"/>
      <c r="CK29" s="900">
        <f t="shared" si="32"/>
        <v>11209.166999999999</v>
      </c>
      <c r="CL29" s="900">
        <f t="shared" si="33"/>
        <v>9794.6502526223012</v>
      </c>
      <c r="CM29" s="900">
        <f t="shared" si="33"/>
        <v>715.41623301328229</v>
      </c>
      <c r="CN29" s="900">
        <f t="shared" si="33"/>
        <v>80.858752632461986</v>
      </c>
      <c r="CO29" s="900">
        <f t="shared" si="33"/>
        <v>264.04890350893658</v>
      </c>
      <c r="CP29" s="900">
        <f t="shared" si="33"/>
        <v>3.0424313325574511E-3</v>
      </c>
      <c r="CQ29" s="900">
        <f t="shared" si="33"/>
        <v>0.36822600264967009</v>
      </c>
      <c r="CR29" s="900">
        <f t="shared" si="33"/>
        <v>353.82158978903556</v>
      </c>
      <c r="CS29" s="900">
        <f t="shared" si="33"/>
        <v>0</v>
      </c>
      <c r="CT29" s="900">
        <f t="shared" si="34"/>
        <v>0</v>
      </c>
      <c r="CU29" s="868"/>
    </row>
    <row r="30" spans="1:99" x14ac:dyDescent="0.3">
      <c r="A30" s="883">
        <f t="shared" si="16"/>
        <v>15</v>
      </c>
      <c r="B30" s="883"/>
      <c r="C30" s="724"/>
      <c r="D30" s="911" t="s">
        <v>175</v>
      </c>
      <c r="E30" s="911"/>
      <c r="F30" s="899"/>
      <c r="G30" s="1337"/>
      <c r="H30" s="4">
        <f t="shared" si="35"/>
        <v>0</v>
      </c>
      <c r="I30" s="899">
        <f>SUM(J30:S30)</f>
        <v>0</v>
      </c>
      <c r="J30" s="415">
        <f t="shared" si="17"/>
        <v>0</v>
      </c>
      <c r="K30" s="415">
        <f t="shared" si="17"/>
        <v>0</v>
      </c>
      <c r="L30" s="415">
        <f t="shared" si="17"/>
        <v>0</v>
      </c>
      <c r="M30" s="415">
        <f t="shared" si="17"/>
        <v>0</v>
      </c>
      <c r="N30" s="415">
        <f t="shared" si="17"/>
        <v>0</v>
      </c>
      <c r="O30" s="415">
        <f t="shared" si="17"/>
        <v>0</v>
      </c>
      <c r="P30" s="415">
        <f t="shared" si="17"/>
        <v>0</v>
      </c>
      <c r="Q30" s="415">
        <f>+AQ30+BA30+BL30+BW30+CH30+CS30</f>
        <v>0</v>
      </c>
      <c r="R30" s="415">
        <f>+AR30+BC30+CA30+BY30+CJ30+CU30</f>
        <v>0</v>
      </c>
      <c r="T30" s="868"/>
      <c r="U30" s="900">
        <f>+F30-H30-I30</f>
        <v>0</v>
      </c>
      <c r="V30" s="868"/>
      <c r="AF30" s="900">
        <f t="shared" si="18"/>
        <v>0</v>
      </c>
      <c r="AG30" s="868"/>
      <c r="AH30" s="900">
        <f t="shared" si="19"/>
        <v>0</v>
      </c>
      <c r="AI30" s="900">
        <f t="shared" si="20"/>
        <v>0</v>
      </c>
      <c r="AJ30" s="900">
        <f t="shared" si="20"/>
        <v>0</v>
      </c>
      <c r="AK30" s="900">
        <f t="shared" si="20"/>
        <v>0</v>
      </c>
      <c r="AL30" s="900">
        <f t="shared" si="20"/>
        <v>0</v>
      </c>
      <c r="AM30" s="900">
        <f t="shared" si="20"/>
        <v>0</v>
      </c>
      <c r="AN30" s="900">
        <f t="shared" si="20"/>
        <v>0</v>
      </c>
      <c r="AO30" s="900">
        <f t="shared" si="20"/>
        <v>0</v>
      </c>
      <c r="AP30" s="900">
        <f t="shared" si="20"/>
        <v>0</v>
      </c>
      <c r="AQ30" s="900">
        <f t="shared" si="20"/>
        <v>0</v>
      </c>
      <c r="AR30" s="868"/>
      <c r="AS30" s="900">
        <f t="shared" si="21"/>
        <v>0</v>
      </c>
      <c r="AT30" s="900">
        <f t="shared" si="22"/>
        <v>0</v>
      </c>
      <c r="AU30" s="900">
        <f t="shared" si="22"/>
        <v>0</v>
      </c>
      <c r="AV30" s="900">
        <f t="shared" si="22"/>
        <v>0</v>
      </c>
      <c r="AW30" s="900">
        <f t="shared" si="22"/>
        <v>0</v>
      </c>
      <c r="AX30" s="900">
        <f t="shared" si="22"/>
        <v>0</v>
      </c>
      <c r="AY30" s="900">
        <f t="shared" si="22"/>
        <v>0</v>
      </c>
      <c r="AZ30" s="900">
        <f t="shared" si="22"/>
        <v>0</v>
      </c>
      <c r="BA30" s="900">
        <f t="shared" si="23"/>
        <v>0</v>
      </c>
      <c r="BB30" s="900">
        <f t="shared" si="23"/>
        <v>0</v>
      </c>
      <c r="BC30" s="868"/>
      <c r="BD30" s="900">
        <f t="shared" si="24"/>
        <v>0</v>
      </c>
      <c r="BE30" s="900">
        <f t="shared" si="25"/>
        <v>0</v>
      </c>
      <c r="BF30" s="900">
        <f t="shared" si="25"/>
        <v>0</v>
      </c>
      <c r="BG30" s="900">
        <f t="shared" si="25"/>
        <v>0</v>
      </c>
      <c r="BH30" s="900">
        <f t="shared" si="25"/>
        <v>0</v>
      </c>
      <c r="BI30" s="900">
        <f t="shared" si="25"/>
        <v>0</v>
      </c>
      <c r="BJ30" s="900">
        <f t="shared" si="25"/>
        <v>0</v>
      </c>
      <c r="BK30" s="900">
        <f t="shared" si="25"/>
        <v>0</v>
      </c>
      <c r="BL30" s="900">
        <f t="shared" si="25"/>
        <v>0</v>
      </c>
      <c r="BM30" s="900">
        <f t="shared" si="25"/>
        <v>0</v>
      </c>
      <c r="BN30" s="868"/>
      <c r="BO30" s="900">
        <f t="shared" si="26"/>
        <v>0</v>
      </c>
      <c r="BP30" s="900">
        <f t="shared" si="27"/>
        <v>0</v>
      </c>
      <c r="BQ30" s="900">
        <f t="shared" si="27"/>
        <v>0</v>
      </c>
      <c r="BR30" s="900">
        <f t="shared" si="27"/>
        <v>0</v>
      </c>
      <c r="BS30" s="900">
        <f t="shared" si="27"/>
        <v>0</v>
      </c>
      <c r="BT30" s="900">
        <f t="shared" si="27"/>
        <v>0</v>
      </c>
      <c r="BU30" s="900">
        <f t="shared" si="27"/>
        <v>0</v>
      </c>
      <c r="BV30" s="900">
        <f t="shared" si="27"/>
        <v>0</v>
      </c>
      <c r="BW30" s="900">
        <f t="shared" si="27"/>
        <v>0</v>
      </c>
      <c r="BX30" s="900">
        <f t="shared" si="28"/>
        <v>0</v>
      </c>
      <c r="BY30" s="868"/>
      <c r="BZ30" s="900">
        <f t="shared" si="29"/>
        <v>0</v>
      </c>
      <c r="CA30" s="900">
        <f t="shared" si="30"/>
        <v>0</v>
      </c>
      <c r="CB30" s="900">
        <f t="shared" si="30"/>
        <v>0</v>
      </c>
      <c r="CC30" s="900">
        <f t="shared" si="30"/>
        <v>0</v>
      </c>
      <c r="CD30" s="900">
        <f t="shared" si="30"/>
        <v>0</v>
      </c>
      <c r="CE30" s="900">
        <f t="shared" si="30"/>
        <v>0</v>
      </c>
      <c r="CF30" s="900">
        <f t="shared" si="30"/>
        <v>0</v>
      </c>
      <c r="CG30" s="900">
        <f t="shared" si="30"/>
        <v>0</v>
      </c>
      <c r="CH30" s="900">
        <f t="shared" si="30"/>
        <v>0</v>
      </c>
      <c r="CI30" s="900">
        <f t="shared" si="31"/>
        <v>0</v>
      </c>
      <c r="CJ30" s="868"/>
      <c r="CK30" s="900">
        <f t="shared" si="32"/>
        <v>0</v>
      </c>
      <c r="CL30" s="900">
        <f t="shared" si="33"/>
        <v>0</v>
      </c>
      <c r="CM30" s="900">
        <f t="shared" si="33"/>
        <v>0</v>
      </c>
      <c r="CN30" s="900">
        <f t="shared" si="33"/>
        <v>0</v>
      </c>
      <c r="CO30" s="900">
        <f t="shared" si="33"/>
        <v>0</v>
      </c>
      <c r="CP30" s="900">
        <f t="shared" si="33"/>
        <v>0</v>
      </c>
      <c r="CQ30" s="900">
        <f t="shared" si="33"/>
        <v>0</v>
      </c>
      <c r="CR30" s="900">
        <f t="shared" si="33"/>
        <v>0</v>
      </c>
      <c r="CS30" s="900">
        <f t="shared" si="33"/>
        <v>0</v>
      </c>
      <c r="CT30" s="900">
        <f t="shared" si="34"/>
        <v>0</v>
      </c>
      <c r="CU30" s="868"/>
    </row>
    <row r="31" spans="1:99" x14ac:dyDescent="0.3">
      <c r="A31" s="883">
        <f t="shared" si="16"/>
        <v>16</v>
      </c>
      <c r="B31" s="883"/>
      <c r="C31" s="724">
        <v>454</v>
      </c>
      <c r="D31" s="446" t="s">
        <v>176</v>
      </c>
      <c r="E31" s="446"/>
      <c r="F31" s="1338"/>
      <c r="G31" s="1338"/>
      <c r="H31" s="4"/>
      <c r="I31" s="899"/>
      <c r="J31" s="415"/>
      <c r="K31" s="415"/>
      <c r="L31" s="415"/>
      <c r="M31" s="415"/>
      <c r="N31" s="415"/>
      <c r="O31" s="415"/>
      <c r="P31" s="415"/>
      <c r="Q31" s="415"/>
      <c r="R31" s="415"/>
      <c r="T31" s="868"/>
      <c r="U31" s="900">
        <f t="shared" ref="U31:U59" si="36">+F31-H31-I31</f>
        <v>0</v>
      </c>
      <c r="V31" s="868"/>
      <c r="AF31" s="900">
        <f t="shared" si="18"/>
        <v>0</v>
      </c>
      <c r="AG31" s="868"/>
      <c r="AH31" s="900">
        <f t="shared" si="19"/>
        <v>0</v>
      </c>
      <c r="AI31" s="900">
        <f t="shared" si="20"/>
        <v>0</v>
      </c>
      <c r="AJ31" s="900">
        <f t="shared" si="20"/>
        <v>0</v>
      </c>
      <c r="AK31" s="900">
        <f t="shared" si="20"/>
        <v>0</v>
      </c>
      <c r="AL31" s="900">
        <f t="shared" si="20"/>
        <v>0</v>
      </c>
      <c r="AM31" s="900">
        <f t="shared" si="20"/>
        <v>0</v>
      </c>
      <c r="AN31" s="900">
        <f t="shared" si="20"/>
        <v>0</v>
      </c>
      <c r="AO31" s="900">
        <f t="shared" si="20"/>
        <v>0</v>
      </c>
      <c r="AP31" s="900">
        <f t="shared" si="20"/>
        <v>0</v>
      </c>
      <c r="AQ31" s="900">
        <f t="shared" si="20"/>
        <v>0</v>
      </c>
      <c r="AR31" s="868"/>
      <c r="AS31" s="900">
        <f t="shared" si="21"/>
        <v>0</v>
      </c>
      <c r="AT31" s="900">
        <f t="shared" si="22"/>
        <v>0</v>
      </c>
      <c r="AU31" s="900">
        <f t="shared" si="22"/>
        <v>0</v>
      </c>
      <c r="AV31" s="900">
        <f t="shared" si="22"/>
        <v>0</v>
      </c>
      <c r="AW31" s="900">
        <f t="shared" si="22"/>
        <v>0</v>
      </c>
      <c r="AX31" s="900">
        <f t="shared" si="22"/>
        <v>0</v>
      </c>
      <c r="AY31" s="900">
        <f t="shared" si="22"/>
        <v>0</v>
      </c>
      <c r="AZ31" s="900">
        <f t="shared" si="22"/>
        <v>0</v>
      </c>
      <c r="BA31" s="900">
        <f t="shared" si="23"/>
        <v>0</v>
      </c>
      <c r="BB31" s="900">
        <f t="shared" si="23"/>
        <v>0</v>
      </c>
      <c r="BC31" s="868"/>
      <c r="BD31" s="900">
        <f t="shared" si="24"/>
        <v>0</v>
      </c>
      <c r="BE31" s="900">
        <f t="shared" si="25"/>
        <v>0</v>
      </c>
      <c r="BF31" s="900">
        <f t="shared" si="25"/>
        <v>0</v>
      </c>
      <c r="BG31" s="900">
        <f t="shared" si="25"/>
        <v>0</v>
      </c>
      <c r="BH31" s="900">
        <f t="shared" si="25"/>
        <v>0</v>
      </c>
      <c r="BI31" s="900">
        <f t="shared" si="25"/>
        <v>0</v>
      </c>
      <c r="BJ31" s="900">
        <f t="shared" si="25"/>
        <v>0</v>
      </c>
      <c r="BK31" s="900">
        <f t="shared" si="25"/>
        <v>0</v>
      </c>
      <c r="BL31" s="900">
        <f t="shared" si="25"/>
        <v>0</v>
      </c>
      <c r="BM31" s="900">
        <f t="shared" si="25"/>
        <v>0</v>
      </c>
      <c r="BN31" s="868"/>
      <c r="BO31" s="900">
        <f t="shared" si="26"/>
        <v>0</v>
      </c>
      <c r="BP31" s="900">
        <f t="shared" si="27"/>
        <v>0</v>
      </c>
      <c r="BQ31" s="900">
        <f t="shared" si="27"/>
        <v>0</v>
      </c>
      <c r="BR31" s="900">
        <f t="shared" si="27"/>
        <v>0</v>
      </c>
      <c r="BS31" s="900">
        <f t="shared" si="27"/>
        <v>0</v>
      </c>
      <c r="BT31" s="900">
        <f t="shared" si="27"/>
        <v>0</v>
      </c>
      <c r="BU31" s="900">
        <f t="shared" si="27"/>
        <v>0</v>
      </c>
      <c r="BV31" s="900">
        <f t="shared" si="27"/>
        <v>0</v>
      </c>
      <c r="BW31" s="900">
        <f t="shared" si="27"/>
        <v>0</v>
      </c>
      <c r="BX31" s="900">
        <f t="shared" si="28"/>
        <v>0</v>
      </c>
      <c r="BY31" s="868"/>
      <c r="BZ31" s="900">
        <f t="shared" si="29"/>
        <v>0</v>
      </c>
      <c r="CA31" s="900">
        <f t="shared" si="30"/>
        <v>0</v>
      </c>
      <c r="CB31" s="900">
        <f t="shared" si="30"/>
        <v>0</v>
      </c>
      <c r="CC31" s="900">
        <f t="shared" si="30"/>
        <v>0</v>
      </c>
      <c r="CD31" s="900">
        <f t="shared" si="30"/>
        <v>0</v>
      </c>
      <c r="CE31" s="900">
        <f t="shared" si="30"/>
        <v>0</v>
      </c>
      <c r="CF31" s="900">
        <f t="shared" si="30"/>
        <v>0</v>
      </c>
      <c r="CG31" s="900">
        <f t="shared" si="30"/>
        <v>0</v>
      </c>
      <c r="CH31" s="900">
        <f t="shared" si="30"/>
        <v>0</v>
      </c>
      <c r="CI31" s="900">
        <f t="shared" si="31"/>
        <v>0</v>
      </c>
      <c r="CJ31" s="868"/>
      <c r="CK31" s="900">
        <f t="shared" si="32"/>
        <v>0</v>
      </c>
      <c r="CL31" s="900">
        <f t="shared" si="33"/>
        <v>0</v>
      </c>
      <c r="CM31" s="900">
        <f t="shared" si="33"/>
        <v>0</v>
      </c>
      <c r="CN31" s="900">
        <f t="shared" si="33"/>
        <v>0</v>
      </c>
      <c r="CO31" s="900">
        <f t="shared" si="33"/>
        <v>0</v>
      </c>
      <c r="CP31" s="900">
        <f t="shared" si="33"/>
        <v>0</v>
      </c>
      <c r="CQ31" s="900">
        <f t="shared" si="33"/>
        <v>0</v>
      </c>
      <c r="CR31" s="900">
        <f t="shared" si="33"/>
        <v>0</v>
      </c>
      <c r="CS31" s="900">
        <f t="shared" si="33"/>
        <v>0</v>
      </c>
      <c r="CT31" s="900">
        <f t="shared" si="34"/>
        <v>0</v>
      </c>
      <c r="CU31" s="868"/>
    </row>
    <row r="32" spans="1:99" x14ac:dyDescent="0.3">
      <c r="A32" s="883">
        <f t="shared" si="16"/>
        <v>17</v>
      </c>
      <c r="B32" s="883"/>
      <c r="C32" s="724"/>
      <c r="D32" s="912" t="s">
        <v>177</v>
      </c>
      <c r="E32" s="913" t="s">
        <v>178</v>
      </c>
      <c r="F32" s="899">
        <v>4574</v>
      </c>
      <c r="G32" s="1337"/>
      <c r="H32" s="4">
        <f t="shared" si="35"/>
        <v>0</v>
      </c>
      <c r="I32" s="899">
        <f t="shared" ref="I32:I37" si="37">SUM(J32:S32)</f>
        <v>4574</v>
      </c>
      <c r="J32" s="415"/>
      <c r="K32" s="415"/>
      <c r="L32" s="415"/>
      <c r="M32" s="415"/>
      <c r="N32" s="415"/>
      <c r="O32" s="415"/>
      <c r="P32" s="72"/>
      <c r="Q32" s="1335"/>
      <c r="R32" s="1335">
        <f>+F32</f>
        <v>4574</v>
      </c>
      <c r="T32" s="914"/>
      <c r="U32" s="900">
        <f t="shared" si="36"/>
        <v>0</v>
      </c>
      <c r="V32" s="914"/>
      <c r="W32" s="900"/>
      <c r="X32" s="900">
        <f t="shared" ref="X32:X33" si="38">+I32</f>
        <v>4574</v>
      </c>
      <c r="AF32" s="900">
        <f t="shared" si="18"/>
        <v>0</v>
      </c>
      <c r="AG32" s="868"/>
      <c r="AH32" s="900">
        <f t="shared" si="19"/>
        <v>0</v>
      </c>
      <c r="AI32" s="900">
        <f t="shared" si="20"/>
        <v>0</v>
      </c>
      <c r="AJ32" s="900">
        <f t="shared" si="20"/>
        <v>0</v>
      </c>
      <c r="AK32" s="900">
        <f t="shared" si="20"/>
        <v>0</v>
      </c>
      <c r="AL32" s="900">
        <f t="shared" si="20"/>
        <v>0</v>
      </c>
      <c r="AM32" s="900">
        <f t="shared" si="20"/>
        <v>0</v>
      </c>
      <c r="AN32" s="900">
        <f t="shared" si="20"/>
        <v>0</v>
      </c>
      <c r="AO32" s="900">
        <f t="shared" si="20"/>
        <v>0</v>
      </c>
      <c r="AP32" s="900">
        <f t="shared" si="20"/>
        <v>0</v>
      </c>
      <c r="AQ32" s="900">
        <f t="shared" si="20"/>
        <v>0</v>
      </c>
      <c r="AR32" s="868"/>
      <c r="AS32" s="900">
        <f t="shared" si="21"/>
        <v>0</v>
      </c>
      <c r="AT32" s="900">
        <f t="shared" si="22"/>
        <v>0</v>
      </c>
      <c r="AU32" s="900">
        <f t="shared" si="22"/>
        <v>0</v>
      </c>
      <c r="AV32" s="900">
        <f t="shared" si="22"/>
        <v>0</v>
      </c>
      <c r="AW32" s="900">
        <f t="shared" si="22"/>
        <v>0</v>
      </c>
      <c r="AX32" s="900">
        <f t="shared" si="22"/>
        <v>0</v>
      </c>
      <c r="AY32" s="900">
        <f t="shared" si="22"/>
        <v>0</v>
      </c>
      <c r="AZ32" s="900">
        <f t="shared" si="22"/>
        <v>0</v>
      </c>
      <c r="BA32" s="900">
        <f t="shared" si="23"/>
        <v>0</v>
      </c>
      <c r="BB32" s="900">
        <f t="shared" si="23"/>
        <v>0</v>
      </c>
      <c r="BC32" s="868"/>
      <c r="BD32" s="900">
        <f t="shared" si="24"/>
        <v>0</v>
      </c>
      <c r="BE32" s="900">
        <f t="shared" si="25"/>
        <v>0</v>
      </c>
      <c r="BF32" s="900">
        <f t="shared" si="25"/>
        <v>0</v>
      </c>
      <c r="BG32" s="900">
        <f t="shared" si="25"/>
        <v>0</v>
      </c>
      <c r="BH32" s="900">
        <f t="shared" si="25"/>
        <v>0</v>
      </c>
      <c r="BI32" s="900">
        <f t="shared" si="25"/>
        <v>0</v>
      </c>
      <c r="BJ32" s="900">
        <f t="shared" si="25"/>
        <v>0</v>
      </c>
      <c r="BK32" s="900">
        <f t="shared" si="25"/>
        <v>0</v>
      </c>
      <c r="BL32" s="900">
        <f t="shared" si="25"/>
        <v>0</v>
      </c>
      <c r="BM32" s="900">
        <f t="shared" si="25"/>
        <v>0</v>
      </c>
      <c r="BN32" s="868"/>
      <c r="BO32" s="900">
        <f t="shared" si="26"/>
        <v>0</v>
      </c>
      <c r="BP32" s="900">
        <f t="shared" si="27"/>
        <v>0</v>
      </c>
      <c r="BQ32" s="900">
        <f t="shared" si="27"/>
        <v>0</v>
      </c>
      <c r="BR32" s="900">
        <f t="shared" si="27"/>
        <v>0</v>
      </c>
      <c r="BS32" s="900">
        <f t="shared" si="27"/>
        <v>0</v>
      </c>
      <c r="BT32" s="900">
        <f t="shared" si="27"/>
        <v>0</v>
      </c>
      <c r="BU32" s="900">
        <f t="shared" si="27"/>
        <v>0</v>
      </c>
      <c r="BV32" s="900">
        <f t="shared" si="27"/>
        <v>0</v>
      </c>
      <c r="BW32" s="900">
        <f t="shared" si="27"/>
        <v>0</v>
      </c>
      <c r="BX32" s="900">
        <f t="shared" si="28"/>
        <v>0</v>
      </c>
      <c r="BY32" s="868"/>
      <c r="BZ32" s="900">
        <f t="shared" si="29"/>
        <v>0</v>
      </c>
      <c r="CA32" s="900">
        <f t="shared" si="30"/>
        <v>0</v>
      </c>
      <c r="CB32" s="900">
        <f t="shared" si="30"/>
        <v>0</v>
      </c>
      <c r="CC32" s="900">
        <f t="shared" si="30"/>
        <v>0</v>
      </c>
      <c r="CD32" s="900">
        <f t="shared" si="30"/>
        <v>0</v>
      </c>
      <c r="CE32" s="900">
        <f t="shared" si="30"/>
        <v>0</v>
      </c>
      <c r="CF32" s="900">
        <f t="shared" si="30"/>
        <v>0</v>
      </c>
      <c r="CG32" s="900">
        <f t="shared" si="30"/>
        <v>0</v>
      </c>
      <c r="CH32" s="900">
        <f t="shared" si="30"/>
        <v>0</v>
      </c>
      <c r="CI32" s="900">
        <f t="shared" si="31"/>
        <v>0</v>
      </c>
      <c r="CJ32" s="868"/>
      <c r="CK32" s="900">
        <f t="shared" si="32"/>
        <v>0</v>
      </c>
      <c r="CL32" s="900">
        <f t="shared" si="33"/>
        <v>0</v>
      </c>
      <c r="CM32" s="900">
        <f t="shared" si="33"/>
        <v>0</v>
      </c>
      <c r="CN32" s="900">
        <f t="shared" si="33"/>
        <v>0</v>
      </c>
      <c r="CO32" s="900">
        <f t="shared" si="33"/>
        <v>0</v>
      </c>
      <c r="CP32" s="900">
        <f t="shared" si="33"/>
        <v>0</v>
      </c>
      <c r="CQ32" s="900">
        <f t="shared" si="33"/>
        <v>0</v>
      </c>
      <c r="CR32" s="900">
        <f t="shared" si="33"/>
        <v>0</v>
      </c>
      <c r="CS32" s="900">
        <f t="shared" si="33"/>
        <v>0</v>
      </c>
      <c r="CT32" s="900">
        <f t="shared" si="34"/>
        <v>0</v>
      </c>
      <c r="CU32" s="868"/>
    </row>
    <row r="33" spans="1:99" x14ac:dyDescent="0.3">
      <c r="A33" s="883">
        <f t="shared" si="16"/>
        <v>18</v>
      </c>
      <c r="B33" s="883"/>
      <c r="C33" s="724"/>
      <c r="D33" s="912" t="s">
        <v>179</v>
      </c>
      <c r="E33" s="913" t="s">
        <v>180</v>
      </c>
      <c r="F33" s="899">
        <v>108687</v>
      </c>
      <c r="G33" s="1337"/>
      <c r="H33" s="4">
        <f t="shared" si="35"/>
        <v>0</v>
      </c>
      <c r="I33" s="899">
        <f t="shared" si="37"/>
        <v>108687</v>
      </c>
      <c r="J33" s="415"/>
      <c r="K33" s="415"/>
      <c r="L33" s="415"/>
      <c r="M33" s="415"/>
      <c r="N33" s="415"/>
      <c r="O33" s="415"/>
      <c r="P33" s="72"/>
      <c r="Q33" s="1335">
        <f>+F33</f>
        <v>108687</v>
      </c>
      <c r="R33" s="1335">
        <f>+G33</f>
        <v>0</v>
      </c>
      <c r="T33" s="914"/>
      <c r="U33" s="900">
        <f t="shared" si="36"/>
        <v>0</v>
      </c>
      <c r="V33" s="914"/>
      <c r="W33" s="900"/>
      <c r="X33" s="900">
        <f t="shared" si="38"/>
        <v>108687</v>
      </c>
      <c r="AF33" s="900">
        <f t="shared" si="18"/>
        <v>0</v>
      </c>
      <c r="AG33" s="868"/>
      <c r="AH33" s="900">
        <f t="shared" si="19"/>
        <v>0</v>
      </c>
      <c r="AI33" s="900">
        <f t="shared" si="20"/>
        <v>0</v>
      </c>
      <c r="AJ33" s="900">
        <f t="shared" si="20"/>
        <v>0</v>
      </c>
      <c r="AK33" s="900">
        <f t="shared" si="20"/>
        <v>0</v>
      </c>
      <c r="AL33" s="900">
        <f t="shared" si="20"/>
        <v>0</v>
      </c>
      <c r="AM33" s="900">
        <f t="shared" si="20"/>
        <v>0</v>
      </c>
      <c r="AN33" s="900">
        <f t="shared" si="20"/>
        <v>0</v>
      </c>
      <c r="AO33" s="900">
        <f t="shared" si="20"/>
        <v>0</v>
      </c>
      <c r="AP33" s="900">
        <f t="shared" si="20"/>
        <v>0</v>
      </c>
      <c r="AQ33" s="900">
        <f t="shared" si="20"/>
        <v>0</v>
      </c>
      <c r="AR33" s="868"/>
      <c r="AS33" s="900">
        <f t="shared" si="21"/>
        <v>0</v>
      </c>
      <c r="AT33" s="900">
        <f t="shared" si="22"/>
        <v>0</v>
      </c>
      <c r="AU33" s="900">
        <f t="shared" si="22"/>
        <v>0</v>
      </c>
      <c r="AV33" s="900">
        <f t="shared" si="22"/>
        <v>0</v>
      </c>
      <c r="AW33" s="900">
        <f t="shared" si="22"/>
        <v>0</v>
      </c>
      <c r="AX33" s="900">
        <f t="shared" si="22"/>
        <v>0</v>
      </c>
      <c r="AY33" s="900">
        <f t="shared" si="22"/>
        <v>0</v>
      </c>
      <c r="AZ33" s="900">
        <f t="shared" si="22"/>
        <v>0</v>
      </c>
      <c r="BA33" s="900">
        <f t="shared" si="23"/>
        <v>0</v>
      </c>
      <c r="BB33" s="900">
        <f t="shared" si="23"/>
        <v>0</v>
      </c>
      <c r="BC33" s="868"/>
      <c r="BD33" s="900">
        <f t="shared" si="24"/>
        <v>0</v>
      </c>
      <c r="BE33" s="900">
        <f t="shared" si="25"/>
        <v>0</v>
      </c>
      <c r="BF33" s="900">
        <f t="shared" si="25"/>
        <v>0</v>
      </c>
      <c r="BG33" s="900">
        <f t="shared" si="25"/>
        <v>0</v>
      </c>
      <c r="BH33" s="900">
        <f t="shared" si="25"/>
        <v>0</v>
      </c>
      <c r="BI33" s="900">
        <f t="shared" si="25"/>
        <v>0</v>
      </c>
      <c r="BJ33" s="900">
        <f t="shared" si="25"/>
        <v>0</v>
      </c>
      <c r="BK33" s="900">
        <f t="shared" si="25"/>
        <v>0</v>
      </c>
      <c r="BL33" s="900">
        <f t="shared" si="25"/>
        <v>0</v>
      </c>
      <c r="BM33" s="900">
        <f t="shared" si="25"/>
        <v>0</v>
      </c>
      <c r="BN33" s="868"/>
      <c r="BO33" s="900">
        <f t="shared" si="26"/>
        <v>0</v>
      </c>
      <c r="BP33" s="900">
        <f t="shared" si="27"/>
        <v>0</v>
      </c>
      <c r="BQ33" s="900">
        <f t="shared" si="27"/>
        <v>0</v>
      </c>
      <c r="BR33" s="900">
        <f t="shared" si="27"/>
        <v>0</v>
      </c>
      <c r="BS33" s="900">
        <f t="shared" si="27"/>
        <v>0</v>
      </c>
      <c r="BT33" s="900">
        <f t="shared" si="27"/>
        <v>0</v>
      </c>
      <c r="BU33" s="900">
        <f t="shared" si="27"/>
        <v>0</v>
      </c>
      <c r="BV33" s="900">
        <f t="shared" si="27"/>
        <v>0</v>
      </c>
      <c r="BW33" s="900">
        <f t="shared" si="27"/>
        <v>0</v>
      </c>
      <c r="BX33" s="900">
        <f t="shared" si="28"/>
        <v>0</v>
      </c>
      <c r="BY33" s="868"/>
      <c r="BZ33" s="900">
        <f t="shared" si="29"/>
        <v>0</v>
      </c>
      <c r="CA33" s="900">
        <f t="shared" si="30"/>
        <v>0</v>
      </c>
      <c r="CB33" s="900">
        <f t="shared" si="30"/>
        <v>0</v>
      </c>
      <c r="CC33" s="900">
        <f t="shared" si="30"/>
        <v>0</v>
      </c>
      <c r="CD33" s="900">
        <f t="shared" si="30"/>
        <v>0</v>
      </c>
      <c r="CE33" s="900">
        <f t="shared" si="30"/>
        <v>0</v>
      </c>
      <c r="CF33" s="900">
        <f t="shared" si="30"/>
        <v>0</v>
      </c>
      <c r="CG33" s="900">
        <f t="shared" si="30"/>
        <v>0</v>
      </c>
      <c r="CH33" s="900">
        <f t="shared" si="30"/>
        <v>0</v>
      </c>
      <c r="CI33" s="900">
        <f t="shared" si="31"/>
        <v>0</v>
      </c>
      <c r="CJ33" s="868"/>
      <c r="CK33" s="900">
        <f t="shared" si="32"/>
        <v>0</v>
      </c>
      <c r="CL33" s="900">
        <f t="shared" si="33"/>
        <v>0</v>
      </c>
      <c r="CM33" s="900">
        <f t="shared" si="33"/>
        <v>0</v>
      </c>
      <c r="CN33" s="900">
        <f t="shared" si="33"/>
        <v>0</v>
      </c>
      <c r="CO33" s="900">
        <f t="shared" si="33"/>
        <v>0</v>
      </c>
      <c r="CP33" s="900">
        <f t="shared" si="33"/>
        <v>0</v>
      </c>
      <c r="CQ33" s="900">
        <f t="shared" si="33"/>
        <v>0</v>
      </c>
      <c r="CR33" s="900">
        <f t="shared" si="33"/>
        <v>0</v>
      </c>
      <c r="CS33" s="900">
        <f t="shared" si="33"/>
        <v>0</v>
      </c>
      <c r="CT33" s="900">
        <f t="shared" si="34"/>
        <v>0</v>
      </c>
      <c r="CU33" s="868"/>
    </row>
    <row r="34" spans="1:99" x14ac:dyDescent="0.3">
      <c r="A34" s="883">
        <f t="shared" si="16"/>
        <v>19</v>
      </c>
      <c r="B34" s="883"/>
      <c r="C34" s="724"/>
      <c r="D34" s="912" t="s">
        <v>181</v>
      </c>
      <c r="E34" s="725" t="s">
        <v>182</v>
      </c>
      <c r="F34" s="899">
        <v>7228.2839259999901</v>
      </c>
      <c r="G34" s="1337"/>
      <c r="H34" s="4">
        <f t="shared" si="35"/>
        <v>0</v>
      </c>
      <c r="I34" s="899">
        <f t="shared" si="37"/>
        <v>7228.283925999991</v>
      </c>
      <c r="J34" s="415">
        <f t="shared" ref="J34:R37" si="39">+AI34+AT34+BE34+BP34+CA34+CL34</f>
        <v>5609.6854762055773</v>
      </c>
      <c r="K34" s="415">
        <f t="shared" si="39"/>
        <v>478.08803836831351</v>
      </c>
      <c r="L34" s="415">
        <f t="shared" si="39"/>
        <v>9.6752211925967195</v>
      </c>
      <c r="M34" s="415">
        <f t="shared" si="39"/>
        <v>1065.867439896067</v>
      </c>
      <c r="N34" s="415">
        <f t="shared" si="39"/>
        <v>0</v>
      </c>
      <c r="O34" s="415">
        <f t="shared" si="39"/>
        <v>32.639300408760022</v>
      </c>
      <c r="P34" s="415">
        <f t="shared" si="39"/>
        <v>32.328449928676598</v>
      </c>
      <c r="Q34" s="415">
        <f t="shared" si="39"/>
        <v>0</v>
      </c>
      <c r="R34" s="415">
        <f t="shared" si="39"/>
        <v>0</v>
      </c>
      <c r="S34" s="420"/>
      <c r="T34" s="868"/>
      <c r="U34" s="900">
        <f t="shared" si="36"/>
        <v>0</v>
      </c>
      <c r="V34" s="868"/>
      <c r="AC34" s="72">
        <f>$F$34</f>
        <v>7228.2839259999901</v>
      </c>
      <c r="AD34" s="72"/>
      <c r="AF34" s="900">
        <f>SUM(W34:AD34)-F34</f>
        <v>0</v>
      </c>
      <c r="AG34" s="868"/>
      <c r="AH34" s="900">
        <f t="shared" si="19"/>
        <v>0</v>
      </c>
      <c r="AI34" s="900">
        <f t="shared" si="20"/>
        <v>0</v>
      </c>
      <c r="AJ34" s="900">
        <f t="shared" si="20"/>
        <v>0</v>
      </c>
      <c r="AK34" s="900">
        <f t="shared" si="20"/>
        <v>0</v>
      </c>
      <c r="AL34" s="900">
        <f t="shared" si="20"/>
        <v>0</v>
      </c>
      <c r="AM34" s="900">
        <f t="shared" si="20"/>
        <v>0</v>
      </c>
      <c r="AN34" s="900">
        <f t="shared" si="20"/>
        <v>0</v>
      </c>
      <c r="AO34" s="900">
        <f t="shared" si="20"/>
        <v>0</v>
      </c>
      <c r="AP34" s="900">
        <f t="shared" si="20"/>
        <v>0</v>
      </c>
      <c r="AQ34" s="900">
        <f t="shared" si="20"/>
        <v>0</v>
      </c>
      <c r="AR34" s="868"/>
      <c r="AS34" s="900">
        <f t="shared" si="21"/>
        <v>0</v>
      </c>
      <c r="AT34" s="900">
        <f t="shared" si="22"/>
        <v>0</v>
      </c>
      <c r="AU34" s="900">
        <f t="shared" si="22"/>
        <v>0</v>
      </c>
      <c r="AV34" s="900">
        <f t="shared" si="22"/>
        <v>0</v>
      </c>
      <c r="AW34" s="900">
        <f t="shared" si="22"/>
        <v>0</v>
      </c>
      <c r="AX34" s="900">
        <f t="shared" si="22"/>
        <v>0</v>
      </c>
      <c r="AY34" s="900">
        <f t="shared" si="22"/>
        <v>0</v>
      </c>
      <c r="AZ34" s="900">
        <f t="shared" si="22"/>
        <v>0</v>
      </c>
      <c r="BA34" s="900">
        <f t="shared" si="23"/>
        <v>0</v>
      </c>
      <c r="BB34" s="900">
        <f t="shared" si="23"/>
        <v>0</v>
      </c>
      <c r="BC34" s="868"/>
      <c r="BD34" s="900">
        <f t="shared" si="24"/>
        <v>0</v>
      </c>
      <c r="BE34" s="900">
        <f t="shared" si="25"/>
        <v>0</v>
      </c>
      <c r="BF34" s="900">
        <f t="shared" si="25"/>
        <v>0</v>
      </c>
      <c r="BG34" s="900">
        <f t="shared" si="25"/>
        <v>0</v>
      </c>
      <c r="BH34" s="900">
        <f t="shared" si="25"/>
        <v>0</v>
      </c>
      <c r="BI34" s="900">
        <f t="shared" si="25"/>
        <v>0</v>
      </c>
      <c r="BJ34" s="900">
        <f t="shared" si="25"/>
        <v>0</v>
      </c>
      <c r="BK34" s="900">
        <f t="shared" si="25"/>
        <v>0</v>
      </c>
      <c r="BL34" s="900">
        <f t="shared" si="25"/>
        <v>0</v>
      </c>
      <c r="BM34" s="900">
        <f t="shared" si="25"/>
        <v>0</v>
      </c>
      <c r="BN34" s="868"/>
      <c r="BO34" s="900">
        <f t="shared" si="26"/>
        <v>0</v>
      </c>
      <c r="BP34" s="900">
        <f t="shared" si="27"/>
        <v>0</v>
      </c>
      <c r="BQ34" s="900">
        <f t="shared" si="27"/>
        <v>0</v>
      </c>
      <c r="BR34" s="900">
        <f t="shared" si="27"/>
        <v>0</v>
      </c>
      <c r="BS34" s="900">
        <f t="shared" si="27"/>
        <v>0</v>
      </c>
      <c r="BT34" s="900">
        <f t="shared" si="27"/>
        <v>0</v>
      </c>
      <c r="BU34" s="900">
        <f t="shared" si="27"/>
        <v>0</v>
      </c>
      <c r="BV34" s="900">
        <f t="shared" si="27"/>
        <v>0</v>
      </c>
      <c r="BW34" s="900">
        <f t="shared" si="27"/>
        <v>0</v>
      </c>
      <c r="BX34" s="900">
        <f t="shared" si="28"/>
        <v>0</v>
      </c>
      <c r="BY34" s="868"/>
      <c r="BZ34" s="900">
        <f t="shared" si="29"/>
        <v>7228.2839259999901</v>
      </c>
      <c r="CA34" s="900">
        <f t="shared" si="30"/>
        <v>5609.6854762055773</v>
      </c>
      <c r="CB34" s="900">
        <f t="shared" si="30"/>
        <v>478.08803836831351</v>
      </c>
      <c r="CC34" s="900">
        <f t="shared" si="30"/>
        <v>9.6752211925967195</v>
      </c>
      <c r="CD34" s="900">
        <f t="shared" si="30"/>
        <v>1065.867439896067</v>
      </c>
      <c r="CE34" s="900">
        <f t="shared" si="30"/>
        <v>0</v>
      </c>
      <c r="CF34" s="900">
        <f t="shared" si="30"/>
        <v>32.639300408760022</v>
      </c>
      <c r="CG34" s="900">
        <f t="shared" si="30"/>
        <v>32.328449928676598</v>
      </c>
      <c r="CH34" s="900">
        <f t="shared" si="30"/>
        <v>0</v>
      </c>
      <c r="CI34" s="900">
        <f t="shared" si="31"/>
        <v>0</v>
      </c>
      <c r="CJ34" s="868"/>
      <c r="CK34" s="900">
        <f t="shared" si="32"/>
        <v>0</v>
      </c>
      <c r="CL34" s="900">
        <f t="shared" si="33"/>
        <v>0</v>
      </c>
      <c r="CM34" s="900">
        <f t="shared" si="33"/>
        <v>0</v>
      </c>
      <c r="CN34" s="900">
        <f t="shared" si="33"/>
        <v>0</v>
      </c>
      <c r="CO34" s="900">
        <f t="shared" si="33"/>
        <v>0</v>
      </c>
      <c r="CP34" s="900">
        <f t="shared" si="33"/>
        <v>0</v>
      </c>
      <c r="CQ34" s="900">
        <f t="shared" si="33"/>
        <v>0</v>
      </c>
      <c r="CR34" s="900">
        <f t="shared" si="33"/>
        <v>0</v>
      </c>
      <c r="CS34" s="900">
        <f t="shared" si="33"/>
        <v>0</v>
      </c>
      <c r="CT34" s="900">
        <f t="shared" si="34"/>
        <v>0</v>
      </c>
      <c r="CU34" s="868"/>
    </row>
    <row r="35" spans="1:99" x14ac:dyDescent="0.3">
      <c r="A35" s="883">
        <f t="shared" si="16"/>
        <v>20</v>
      </c>
      <c r="B35" s="883"/>
      <c r="C35" s="724"/>
      <c r="D35" s="912" t="s">
        <v>183</v>
      </c>
      <c r="E35" s="725" t="s">
        <v>184</v>
      </c>
      <c r="F35" s="899">
        <v>238.68162999999899</v>
      </c>
      <c r="G35" s="1337"/>
      <c r="H35" s="4">
        <f t="shared" si="35"/>
        <v>0</v>
      </c>
      <c r="I35" s="899">
        <f t="shared" si="37"/>
        <v>238.6816299999989</v>
      </c>
      <c r="J35" s="415">
        <f t="shared" si="39"/>
        <v>152.38908062906418</v>
      </c>
      <c r="K35" s="415">
        <f t="shared" si="39"/>
        <v>14.124233232875756</v>
      </c>
      <c r="L35" s="415">
        <f t="shared" si="39"/>
        <v>0.64637641517847144</v>
      </c>
      <c r="M35" s="415">
        <f t="shared" si="39"/>
        <v>62.602464371261114</v>
      </c>
      <c r="N35" s="415">
        <f t="shared" si="39"/>
        <v>1.0123967948578467</v>
      </c>
      <c r="O35" s="415">
        <f t="shared" si="39"/>
        <v>5.7472987277314695</v>
      </c>
      <c r="P35" s="415">
        <f t="shared" si="39"/>
        <v>2.1597798290300734</v>
      </c>
      <c r="Q35" s="415">
        <f t="shared" si="39"/>
        <v>0</v>
      </c>
      <c r="R35" s="415">
        <f t="shared" si="39"/>
        <v>0</v>
      </c>
      <c r="S35" s="420"/>
      <c r="T35" s="868"/>
      <c r="U35" s="900">
        <f t="shared" si="36"/>
        <v>0</v>
      </c>
      <c r="V35" s="868"/>
      <c r="AB35" s="439">
        <f>$F$35</f>
        <v>238.68162999999899</v>
      </c>
      <c r="AF35" s="900">
        <f t="shared" ref="AF35:AF41" si="40">SUM(W35:AE35)-F35</f>
        <v>0</v>
      </c>
      <c r="AG35" s="868"/>
      <c r="AH35" s="900">
        <f t="shared" si="19"/>
        <v>0</v>
      </c>
      <c r="AI35" s="900">
        <f t="shared" si="20"/>
        <v>0</v>
      </c>
      <c r="AJ35" s="900">
        <f t="shared" si="20"/>
        <v>0</v>
      </c>
      <c r="AK35" s="900">
        <f t="shared" si="20"/>
        <v>0</v>
      </c>
      <c r="AL35" s="900">
        <f t="shared" si="20"/>
        <v>0</v>
      </c>
      <c r="AM35" s="900">
        <f t="shared" si="20"/>
        <v>0</v>
      </c>
      <c r="AN35" s="900">
        <f t="shared" si="20"/>
        <v>0</v>
      </c>
      <c r="AO35" s="900">
        <f t="shared" si="20"/>
        <v>0</v>
      </c>
      <c r="AP35" s="900">
        <f t="shared" si="20"/>
        <v>0</v>
      </c>
      <c r="AQ35" s="900">
        <f t="shared" si="20"/>
        <v>0</v>
      </c>
      <c r="AR35" s="868"/>
      <c r="AS35" s="900">
        <f t="shared" si="21"/>
        <v>0</v>
      </c>
      <c r="AT35" s="900">
        <f t="shared" si="22"/>
        <v>0</v>
      </c>
      <c r="AU35" s="900">
        <f t="shared" si="22"/>
        <v>0</v>
      </c>
      <c r="AV35" s="900">
        <f t="shared" si="22"/>
        <v>0</v>
      </c>
      <c r="AW35" s="900">
        <f t="shared" si="22"/>
        <v>0</v>
      </c>
      <c r="AX35" s="900">
        <f t="shared" si="22"/>
        <v>0</v>
      </c>
      <c r="AY35" s="900">
        <f t="shared" si="22"/>
        <v>0</v>
      </c>
      <c r="AZ35" s="900">
        <f t="shared" si="22"/>
        <v>0</v>
      </c>
      <c r="BA35" s="900">
        <f t="shared" si="23"/>
        <v>0</v>
      </c>
      <c r="BB35" s="900">
        <f t="shared" si="23"/>
        <v>0</v>
      </c>
      <c r="BC35" s="868"/>
      <c r="BD35" s="900">
        <f t="shared" si="24"/>
        <v>0</v>
      </c>
      <c r="BE35" s="900">
        <f t="shared" si="25"/>
        <v>0</v>
      </c>
      <c r="BF35" s="900">
        <f t="shared" si="25"/>
        <v>0</v>
      </c>
      <c r="BG35" s="900">
        <f t="shared" si="25"/>
        <v>0</v>
      </c>
      <c r="BH35" s="900">
        <f t="shared" si="25"/>
        <v>0</v>
      </c>
      <c r="BI35" s="900">
        <f t="shared" si="25"/>
        <v>0</v>
      </c>
      <c r="BJ35" s="900">
        <f t="shared" si="25"/>
        <v>0</v>
      </c>
      <c r="BK35" s="900">
        <f t="shared" si="25"/>
        <v>0</v>
      </c>
      <c r="BL35" s="900">
        <f t="shared" si="25"/>
        <v>0</v>
      </c>
      <c r="BM35" s="900">
        <f t="shared" si="25"/>
        <v>0</v>
      </c>
      <c r="BN35" s="868"/>
      <c r="BO35" s="900">
        <f t="shared" si="26"/>
        <v>238.68162999999899</v>
      </c>
      <c r="BP35" s="900">
        <f t="shared" si="27"/>
        <v>152.38908062906418</v>
      </c>
      <c r="BQ35" s="900">
        <f t="shared" si="27"/>
        <v>14.124233232875756</v>
      </c>
      <c r="BR35" s="900">
        <f t="shared" si="27"/>
        <v>0.64637641517847144</v>
      </c>
      <c r="BS35" s="900">
        <f t="shared" si="27"/>
        <v>62.602464371261114</v>
      </c>
      <c r="BT35" s="900">
        <f t="shared" si="27"/>
        <v>1.0123967948578467</v>
      </c>
      <c r="BU35" s="900">
        <f t="shared" si="27"/>
        <v>5.7472987277314695</v>
      </c>
      <c r="BV35" s="900">
        <f t="shared" si="27"/>
        <v>2.1597798290300734</v>
      </c>
      <c r="BW35" s="900">
        <f t="shared" si="27"/>
        <v>0</v>
      </c>
      <c r="BX35" s="900">
        <f t="shared" si="28"/>
        <v>0</v>
      </c>
      <c r="BY35" s="868"/>
      <c r="BZ35" s="900">
        <f t="shared" si="29"/>
        <v>0</v>
      </c>
      <c r="CA35" s="900">
        <f t="shared" si="30"/>
        <v>0</v>
      </c>
      <c r="CB35" s="900">
        <f t="shared" si="30"/>
        <v>0</v>
      </c>
      <c r="CC35" s="900">
        <f t="shared" si="30"/>
        <v>0</v>
      </c>
      <c r="CD35" s="900">
        <f t="shared" si="30"/>
        <v>0</v>
      </c>
      <c r="CE35" s="900">
        <f t="shared" si="30"/>
        <v>0</v>
      </c>
      <c r="CF35" s="900">
        <f t="shared" si="30"/>
        <v>0</v>
      </c>
      <c r="CG35" s="900">
        <f t="shared" si="30"/>
        <v>0</v>
      </c>
      <c r="CH35" s="900">
        <f t="shared" si="30"/>
        <v>0</v>
      </c>
      <c r="CI35" s="900">
        <f t="shared" si="31"/>
        <v>0</v>
      </c>
      <c r="CJ35" s="868"/>
      <c r="CK35" s="900">
        <f t="shared" si="32"/>
        <v>0</v>
      </c>
      <c r="CL35" s="900">
        <f t="shared" si="33"/>
        <v>0</v>
      </c>
      <c r="CM35" s="900">
        <f t="shared" si="33"/>
        <v>0</v>
      </c>
      <c r="CN35" s="900">
        <f t="shared" si="33"/>
        <v>0</v>
      </c>
      <c r="CO35" s="900">
        <f t="shared" si="33"/>
        <v>0</v>
      </c>
      <c r="CP35" s="900">
        <f t="shared" si="33"/>
        <v>0</v>
      </c>
      <c r="CQ35" s="900">
        <f t="shared" si="33"/>
        <v>0</v>
      </c>
      <c r="CR35" s="900">
        <f t="shared" si="33"/>
        <v>0</v>
      </c>
      <c r="CS35" s="900">
        <f t="shared" si="33"/>
        <v>0</v>
      </c>
      <c r="CT35" s="900">
        <f t="shared" si="34"/>
        <v>0</v>
      </c>
      <c r="CU35" s="868"/>
    </row>
    <row r="36" spans="1:99" x14ac:dyDescent="0.3">
      <c r="A36" s="883">
        <f t="shared" si="16"/>
        <v>21</v>
      </c>
      <c r="B36" s="883"/>
      <c r="C36" s="724"/>
      <c r="D36" s="912" t="s">
        <v>185</v>
      </c>
      <c r="E36" s="725" t="s">
        <v>186</v>
      </c>
      <c r="F36" s="899">
        <v>284.427225999999</v>
      </c>
      <c r="G36" s="1337"/>
      <c r="H36" s="4">
        <f t="shared" si="35"/>
        <v>22.640502198243894</v>
      </c>
      <c r="I36" s="899">
        <f>SUM(J36:S36)</f>
        <v>261.7867238017551</v>
      </c>
      <c r="J36" s="415">
        <f t="shared" si="39"/>
        <v>163.59872970366709</v>
      </c>
      <c r="K36" s="415">
        <f t="shared" si="39"/>
        <v>14.629784541964202</v>
      </c>
      <c r="L36" s="415">
        <f t="shared" si="39"/>
        <v>0.87136017117975884</v>
      </c>
      <c r="M36" s="415">
        <f t="shared" si="39"/>
        <v>63.947143235981841</v>
      </c>
      <c r="N36" s="415">
        <f t="shared" si="39"/>
        <v>0.77380585326940365</v>
      </c>
      <c r="O36" s="415">
        <f t="shared" si="39"/>
        <v>8.626101968731426</v>
      </c>
      <c r="P36" s="415">
        <f t="shared" si="39"/>
        <v>1.4050989534519489</v>
      </c>
      <c r="Q36" s="415">
        <f t="shared" si="39"/>
        <v>7.6617995948059034</v>
      </c>
      <c r="R36" s="415">
        <f t="shared" si="39"/>
        <v>0.27289977870350135</v>
      </c>
      <c r="S36" s="420"/>
      <c r="T36" s="868"/>
      <c r="U36" s="900">
        <f t="shared" si="36"/>
        <v>0</v>
      </c>
      <c r="V36" s="868"/>
      <c r="Y36" s="439">
        <f>$F$36</f>
        <v>284.427225999999</v>
      </c>
      <c r="AF36" s="900">
        <f t="shared" si="40"/>
        <v>0</v>
      </c>
      <c r="AG36" s="868"/>
      <c r="AH36" s="900">
        <f t="shared" si="19"/>
        <v>261.78672327966683</v>
      </c>
      <c r="AI36" s="900">
        <f t="shared" si="20"/>
        <v>163.59872970366709</v>
      </c>
      <c r="AJ36" s="900">
        <f t="shared" si="20"/>
        <v>14.629784541964202</v>
      </c>
      <c r="AK36" s="900">
        <f t="shared" si="20"/>
        <v>0.87136017117975884</v>
      </c>
      <c r="AL36" s="900">
        <f t="shared" si="20"/>
        <v>63.947143235981841</v>
      </c>
      <c r="AM36" s="900">
        <f t="shared" si="20"/>
        <v>0.77380585326940365</v>
      </c>
      <c r="AN36" s="900">
        <f t="shared" si="20"/>
        <v>8.626101968731426</v>
      </c>
      <c r="AO36" s="900">
        <f t="shared" si="20"/>
        <v>1.4050989534519489</v>
      </c>
      <c r="AP36" s="900">
        <f t="shared" si="20"/>
        <v>7.6617995948059034</v>
      </c>
      <c r="AQ36" s="900">
        <f t="shared" si="20"/>
        <v>0.27289977870350135</v>
      </c>
      <c r="AR36" s="868"/>
      <c r="AS36" s="900">
        <f t="shared" si="21"/>
        <v>0</v>
      </c>
      <c r="AT36" s="900">
        <f t="shared" si="22"/>
        <v>0</v>
      </c>
      <c r="AU36" s="900">
        <f t="shared" si="22"/>
        <v>0</v>
      </c>
      <c r="AV36" s="900">
        <f t="shared" si="22"/>
        <v>0</v>
      </c>
      <c r="AW36" s="900">
        <f t="shared" si="22"/>
        <v>0</v>
      </c>
      <c r="AX36" s="900">
        <f t="shared" si="22"/>
        <v>0</v>
      </c>
      <c r="AY36" s="900">
        <f t="shared" si="22"/>
        <v>0</v>
      </c>
      <c r="AZ36" s="900">
        <f t="shared" si="22"/>
        <v>0</v>
      </c>
      <c r="BA36" s="900">
        <f t="shared" si="23"/>
        <v>0</v>
      </c>
      <c r="BB36" s="900">
        <f t="shared" si="23"/>
        <v>0</v>
      </c>
      <c r="BC36" s="868"/>
      <c r="BD36" s="900">
        <f t="shared" si="24"/>
        <v>0</v>
      </c>
      <c r="BE36" s="900">
        <f t="shared" si="25"/>
        <v>0</v>
      </c>
      <c r="BF36" s="900">
        <f t="shared" si="25"/>
        <v>0</v>
      </c>
      <c r="BG36" s="900">
        <f t="shared" si="25"/>
        <v>0</v>
      </c>
      <c r="BH36" s="900">
        <f t="shared" si="25"/>
        <v>0</v>
      </c>
      <c r="BI36" s="900">
        <f t="shared" si="25"/>
        <v>0</v>
      </c>
      <c r="BJ36" s="900">
        <f t="shared" si="25"/>
        <v>0</v>
      </c>
      <c r="BK36" s="900">
        <f t="shared" si="25"/>
        <v>0</v>
      </c>
      <c r="BL36" s="900">
        <f t="shared" si="25"/>
        <v>0</v>
      </c>
      <c r="BM36" s="900">
        <f t="shared" si="25"/>
        <v>0</v>
      </c>
      <c r="BN36" s="868"/>
      <c r="BO36" s="900">
        <f t="shared" si="26"/>
        <v>0</v>
      </c>
      <c r="BP36" s="900">
        <f t="shared" si="27"/>
        <v>0</v>
      </c>
      <c r="BQ36" s="900">
        <f t="shared" si="27"/>
        <v>0</v>
      </c>
      <c r="BR36" s="900">
        <f t="shared" si="27"/>
        <v>0</v>
      </c>
      <c r="BS36" s="900">
        <f t="shared" si="27"/>
        <v>0</v>
      </c>
      <c r="BT36" s="900">
        <f t="shared" si="27"/>
        <v>0</v>
      </c>
      <c r="BU36" s="900">
        <f t="shared" si="27"/>
        <v>0</v>
      </c>
      <c r="BV36" s="900">
        <f t="shared" si="27"/>
        <v>0</v>
      </c>
      <c r="BW36" s="900">
        <f t="shared" si="27"/>
        <v>0</v>
      </c>
      <c r="BX36" s="900">
        <f t="shared" si="28"/>
        <v>0</v>
      </c>
      <c r="BY36" s="868"/>
      <c r="BZ36" s="900">
        <f t="shared" si="29"/>
        <v>0</v>
      </c>
      <c r="CA36" s="900">
        <f t="shared" si="30"/>
        <v>0</v>
      </c>
      <c r="CB36" s="900">
        <f t="shared" si="30"/>
        <v>0</v>
      </c>
      <c r="CC36" s="900">
        <f t="shared" si="30"/>
        <v>0</v>
      </c>
      <c r="CD36" s="900">
        <f t="shared" si="30"/>
        <v>0</v>
      </c>
      <c r="CE36" s="900">
        <f t="shared" si="30"/>
        <v>0</v>
      </c>
      <c r="CF36" s="900">
        <f t="shared" si="30"/>
        <v>0</v>
      </c>
      <c r="CG36" s="900">
        <f t="shared" si="30"/>
        <v>0</v>
      </c>
      <c r="CH36" s="900">
        <f t="shared" si="30"/>
        <v>0</v>
      </c>
      <c r="CI36" s="900">
        <f t="shared" si="31"/>
        <v>0</v>
      </c>
      <c r="CJ36" s="868"/>
      <c r="CK36" s="900">
        <f t="shared" si="32"/>
        <v>0</v>
      </c>
      <c r="CL36" s="900">
        <f t="shared" si="33"/>
        <v>0</v>
      </c>
      <c r="CM36" s="900">
        <f t="shared" si="33"/>
        <v>0</v>
      </c>
      <c r="CN36" s="900">
        <f t="shared" si="33"/>
        <v>0</v>
      </c>
      <c r="CO36" s="900">
        <f t="shared" si="33"/>
        <v>0</v>
      </c>
      <c r="CP36" s="900">
        <f t="shared" si="33"/>
        <v>0</v>
      </c>
      <c r="CQ36" s="900">
        <f t="shared" si="33"/>
        <v>0</v>
      </c>
      <c r="CR36" s="900">
        <f t="shared" si="33"/>
        <v>0</v>
      </c>
      <c r="CS36" s="900">
        <f t="shared" si="33"/>
        <v>0</v>
      </c>
      <c r="CT36" s="900">
        <f t="shared" si="34"/>
        <v>0</v>
      </c>
      <c r="CU36" s="868"/>
    </row>
    <row r="37" spans="1:99" x14ac:dyDescent="0.3">
      <c r="A37" s="883">
        <f t="shared" si="16"/>
        <v>22</v>
      </c>
      <c r="B37" s="883"/>
      <c r="C37" s="724"/>
      <c r="D37" s="912" t="s">
        <v>187</v>
      </c>
      <c r="E37" s="725" t="s">
        <v>188</v>
      </c>
      <c r="F37" s="899">
        <v>14984.71566632846</v>
      </c>
      <c r="G37" s="1337"/>
      <c r="H37" s="4">
        <f t="shared" si="35"/>
        <v>4469.231905754019</v>
      </c>
      <c r="I37" s="899">
        <f t="shared" si="37"/>
        <v>10515.483760574441</v>
      </c>
      <c r="J37" s="415">
        <f t="shared" si="39"/>
        <v>6574.4394744335823</v>
      </c>
      <c r="K37" s="415">
        <f t="shared" si="39"/>
        <v>571.6104770894168</v>
      </c>
      <c r="L37" s="415">
        <f t="shared" si="39"/>
        <v>35.204305910280681</v>
      </c>
      <c r="M37" s="415">
        <f t="shared" si="39"/>
        <v>2870.3526851024835</v>
      </c>
      <c r="N37" s="415">
        <f t="shared" si="39"/>
        <v>30.538675006508541</v>
      </c>
      <c r="O37" s="415">
        <f t="shared" si="39"/>
        <v>429.66219141101607</v>
      </c>
      <c r="P37" s="415">
        <f t="shared" si="39"/>
        <v>3.6759516211538061</v>
      </c>
      <c r="Q37" s="415">
        <f t="shared" si="39"/>
        <v>0</v>
      </c>
      <c r="R37" s="415">
        <f t="shared" si="39"/>
        <v>0</v>
      </c>
      <c r="S37" s="420"/>
      <c r="T37" s="868"/>
      <c r="U37" s="900">
        <f t="shared" si="36"/>
        <v>0</v>
      </c>
      <c r="V37" s="868"/>
      <c r="AA37" s="439">
        <f>$F$37</f>
        <v>14984.71566632846</v>
      </c>
      <c r="AF37" s="900">
        <f t="shared" si="40"/>
        <v>0</v>
      </c>
      <c r="AG37" s="868"/>
      <c r="AH37" s="900">
        <f t="shared" si="19"/>
        <v>0</v>
      </c>
      <c r="AI37" s="900">
        <f t="shared" si="20"/>
        <v>0</v>
      </c>
      <c r="AJ37" s="900">
        <f t="shared" si="20"/>
        <v>0</v>
      </c>
      <c r="AK37" s="900">
        <f t="shared" si="20"/>
        <v>0</v>
      </c>
      <c r="AL37" s="900">
        <f t="shared" si="20"/>
        <v>0</v>
      </c>
      <c r="AM37" s="900">
        <f t="shared" si="20"/>
        <v>0</v>
      </c>
      <c r="AN37" s="900">
        <f t="shared" si="20"/>
        <v>0</v>
      </c>
      <c r="AO37" s="900">
        <f t="shared" si="20"/>
        <v>0</v>
      </c>
      <c r="AP37" s="900">
        <f t="shared" si="20"/>
        <v>0</v>
      </c>
      <c r="AQ37" s="900">
        <f t="shared" si="20"/>
        <v>0</v>
      </c>
      <c r="AR37" s="868"/>
      <c r="AS37" s="900">
        <f t="shared" si="21"/>
        <v>0</v>
      </c>
      <c r="AT37" s="900">
        <f t="shared" si="22"/>
        <v>0</v>
      </c>
      <c r="AU37" s="900">
        <f t="shared" si="22"/>
        <v>0</v>
      </c>
      <c r="AV37" s="900">
        <f t="shared" si="22"/>
        <v>0</v>
      </c>
      <c r="AW37" s="900">
        <f t="shared" si="22"/>
        <v>0</v>
      </c>
      <c r="AX37" s="900">
        <f t="shared" si="22"/>
        <v>0</v>
      </c>
      <c r="AY37" s="900">
        <f t="shared" si="22"/>
        <v>0</v>
      </c>
      <c r="AZ37" s="900">
        <f t="shared" si="22"/>
        <v>0</v>
      </c>
      <c r="BA37" s="900">
        <f t="shared" si="23"/>
        <v>0</v>
      </c>
      <c r="BB37" s="900">
        <f t="shared" si="23"/>
        <v>0</v>
      </c>
      <c r="BC37" s="868"/>
      <c r="BD37" s="900">
        <f t="shared" si="24"/>
        <v>10515.483760574438</v>
      </c>
      <c r="BE37" s="900">
        <f t="shared" si="25"/>
        <v>6574.4394744335823</v>
      </c>
      <c r="BF37" s="900">
        <f t="shared" si="25"/>
        <v>571.6104770894168</v>
      </c>
      <c r="BG37" s="900">
        <f t="shared" si="25"/>
        <v>35.204305910280681</v>
      </c>
      <c r="BH37" s="900">
        <f t="shared" si="25"/>
        <v>2870.3526851024835</v>
      </c>
      <c r="BI37" s="900">
        <f t="shared" si="25"/>
        <v>30.538675006508541</v>
      </c>
      <c r="BJ37" s="900">
        <f t="shared" si="25"/>
        <v>429.66219141101607</v>
      </c>
      <c r="BK37" s="900">
        <f t="shared" si="25"/>
        <v>3.6759516211538061</v>
      </c>
      <c r="BL37" s="900">
        <f t="shared" si="25"/>
        <v>0</v>
      </c>
      <c r="BM37" s="900">
        <f t="shared" si="25"/>
        <v>0</v>
      </c>
      <c r="BN37" s="868"/>
      <c r="BO37" s="900">
        <f t="shared" si="26"/>
        <v>0</v>
      </c>
      <c r="BP37" s="900">
        <f t="shared" si="27"/>
        <v>0</v>
      </c>
      <c r="BQ37" s="900">
        <f t="shared" si="27"/>
        <v>0</v>
      </c>
      <c r="BR37" s="900">
        <f t="shared" si="27"/>
        <v>0</v>
      </c>
      <c r="BS37" s="900">
        <f t="shared" si="27"/>
        <v>0</v>
      </c>
      <c r="BT37" s="900">
        <f t="shared" si="27"/>
        <v>0</v>
      </c>
      <c r="BU37" s="900">
        <f t="shared" si="27"/>
        <v>0</v>
      </c>
      <c r="BV37" s="900">
        <f t="shared" si="27"/>
        <v>0</v>
      </c>
      <c r="BW37" s="900">
        <f t="shared" si="27"/>
        <v>0</v>
      </c>
      <c r="BX37" s="900">
        <f t="shared" si="28"/>
        <v>0</v>
      </c>
      <c r="BY37" s="868"/>
      <c r="BZ37" s="900">
        <f t="shared" si="29"/>
        <v>0</v>
      </c>
      <c r="CA37" s="900">
        <f t="shared" si="30"/>
        <v>0</v>
      </c>
      <c r="CB37" s="900">
        <f t="shared" si="30"/>
        <v>0</v>
      </c>
      <c r="CC37" s="900">
        <f t="shared" si="30"/>
        <v>0</v>
      </c>
      <c r="CD37" s="900">
        <f t="shared" si="30"/>
        <v>0</v>
      </c>
      <c r="CE37" s="900">
        <f t="shared" si="30"/>
        <v>0</v>
      </c>
      <c r="CF37" s="900">
        <f t="shared" si="30"/>
        <v>0</v>
      </c>
      <c r="CG37" s="900">
        <f t="shared" si="30"/>
        <v>0</v>
      </c>
      <c r="CH37" s="900">
        <f t="shared" si="30"/>
        <v>0</v>
      </c>
      <c r="CI37" s="900">
        <f t="shared" si="31"/>
        <v>0</v>
      </c>
      <c r="CJ37" s="868"/>
      <c r="CK37" s="900">
        <f t="shared" si="32"/>
        <v>0</v>
      </c>
      <c r="CL37" s="900">
        <f t="shared" si="33"/>
        <v>0</v>
      </c>
      <c r="CM37" s="900">
        <f t="shared" si="33"/>
        <v>0</v>
      </c>
      <c r="CN37" s="900">
        <f t="shared" si="33"/>
        <v>0</v>
      </c>
      <c r="CO37" s="900">
        <f t="shared" si="33"/>
        <v>0</v>
      </c>
      <c r="CP37" s="900">
        <f t="shared" si="33"/>
        <v>0</v>
      </c>
      <c r="CQ37" s="900">
        <f t="shared" si="33"/>
        <v>0</v>
      </c>
      <c r="CR37" s="900">
        <f t="shared" si="33"/>
        <v>0</v>
      </c>
      <c r="CS37" s="900">
        <f t="shared" si="33"/>
        <v>0</v>
      </c>
      <c r="CT37" s="900">
        <f t="shared" si="34"/>
        <v>0</v>
      </c>
      <c r="CU37" s="868"/>
    </row>
    <row r="38" spans="1:99" x14ac:dyDescent="0.3">
      <c r="A38" s="883">
        <f t="shared" si="16"/>
        <v>23</v>
      </c>
      <c r="B38" s="883"/>
      <c r="C38" s="724">
        <v>456</v>
      </c>
      <c r="D38" s="446" t="s">
        <v>189</v>
      </c>
      <c r="E38" s="446"/>
      <c r="F38" s="901"/>
      <c r="G38" s="1338"/>
      <c r="H38" s="4"/>
      <c r="I38" s="899"/>
      <c r="J38" s="415"/>
      <c r="K38" s="415"/>
      <c r="L38" s="415"/>
      <c r="M38" s="415"/>
      <c r="N38" s="415"/>
      <c r="O38" s="415"/>
      <c r="P38" s="415"/>
      <c r="Q38" s="415"/>
      <c r="R38" s="415"/>
      <c r="S38" s="420"/>
      <c r="T38" s="868"/>
      <c r="U38" s="900">
        <f t="shared" si="36"/>
        <v>0</v>
      </c>
      <c r="V38" s="868"/>
      <c r="AF38" s="900">
        <f t="shared" si="40"/>
        <v>0</v>
      </c>
      <c r="AG38" s="868"/>
      <c r="AH38" s="900">
        <f t="shared" si="19"/>
        <v>0</v>
      </c>
      <c r="AI38" s="900">
        <f t="shared" si="20"/>
        <v>0</v>
      </c>
      <c r="AJ38" s="900">
        <f t="shared" si="20"/>
        <v>0</v>
      </c>
      <c r="AK38" s="900">
        <f t="shared" si="20"/>
        <v>0</v>
      </c>
      <c r="AL38" s="900">
        <f t="shared" si="20"/>
        <v>0</v>
      </c>
      <c r="AM38" s="900">
        <f t="shared" si="20"/>
        <v>0</v>
      </c>
      <c r="AN38" s="900">
        <f t="shared" si="20"/>
        <v>0</v>
      </c>
      <c r="AO38" s="900">
        <f t="shared" si="20"/>
        <v>0</v>
      </c>
      <c r="AP38" s="900">
        <f t="shared" si="20"/>
        <v>0</v>
      </c>
      <c r="AQ38" s="900">
        <f t="shared" si="20"/>
        <v>0</v>
      </c>
      <c r="AR38" s="868"/>
      <c r="AS38" s="900">
        <f t="shared" si="21"/>
        <v>0</v>
      </c>
      <c r="AT38" s="900">
        <f t="shared" si="22"/>
        <v>0</v>
      </c>
      <c r="AU38" s="900">
        <f t="shared" si="22"/>
        <v>0</v>
      </c>
      <c r="AV38" s="900">
        <f t="shared" si="22"/>
        <v>0</v>
      </c>
      <c r="AW38" s="900">
        <f t="shared" si="22"/>
        <v>0</v>
      </c>
      <c r="AX38" s="900">
        <f t="shared" si="22"/>
        <v>0</v>
      </c>
      <c r="AY38" s="900">
        <f t="shared" si="22"/>
        <v>0</v>
      </c>
      <c r="AZ38" s="900">
        <f t="shared" si="22"/>
        <v>0</v>
      </c>
      <c r="BA38" s="900">
        <f t="shared" si="23"/>
        <v>0</v>
      </c>
      <c r="BB38" s="900">
        <f t="shared" si="23"/>
        <v>0</v>
      </c>
      <c r="BC38" s="868"/>
      <c r="BD38" s="900">
        <f t="shared" si="24"/>
        <v>0</v>
      </c>
      <c r="BE38" s="900">
        <f t="shared" si="25"/>
        <v>0</v>
      </c>
      <c r="BF38" s="900">
        <f t="shared" si="25"/>
        <v>0</v>
      </c>
      <c r="BG38" s="900">
        <f t="shared" si="25"/>
        <v>0</v>
      </c>
      <c r="BH38" s="900">
        <f t="shared" si="25"/>
        <v>0</v>
      </c>
      <c r="BI38" s="900">
        <f t="shared" si="25"/>
        <v>0</v>
      </c>
      <c r="BJ38" s="900">
        <f t="shared" si="25"/>
        <v>0</v>
      </c>
      <c r="BK38" s="900">
        <f t="shared" si="25"/>
        <v>0</v>
      </c>
      <c r="BL38" s="900">
        <f t="shared" si="25"/>
        <v>0</v>
      </c>
      <c r="BM38" s="900">
        <f t="shared" si="25"/>
        <v>0</v>
      </c>
      <c r="BN38" s="868"/>
      <c r="BO38" s="900">
        <f t="shared" si="26"/>
        <v>0</v>
      </c>
      <c r="BP38" s="900">
        <f t="shared" si="27"/>
        <v>0</v>
      </c>
      <c r="BQ38" s="900">
        <f t="shared" si="27"/>
        <v>0</v>
      </c>
      <c r="BR38" s="900">
        <f t="shared" si="27"/>
        <v>0</v>
      </c>
      <c r="BS38" s="900">
        <f t="shared" si="27"/>
        <v>0</v>
      </c>
      <c r="BT38" s="900">
        <f t="shared" si="27"/>
        <v>0</v>
      </c>
      <c r="BU38" s="900">
        <f t="shared" si="27"/>
        <v>0</v>
      </c>
      <c r="BV38" s="900">
        <f t="shared" si="27"/>
        <v>0</v>
      </c>
      <c r="BW38" s="900">
        <f t="shared" si="27"/>
        <v>0</v>
      </c>
      <c r="BX38" s="900">
        <f t="shared" si="28"/>
        <v>0</v>
      </c>
      <c r="BY38" s="868"/>
      <c r="BZ38" s="900">
        <f t="shared" si="29"/>
        <v>0</v>
      </c>
      <c r="CA38" s="900">
        <f t="shared" si="30"/>
        <v>0</v>
      </c>
      <c r="CB38" s="900">
        <f t="shared" si="30"/>
        <v>0</v>
      </c>
      <c r="CC38" s="900">
        <f t="shared" si="30"/>
        <v>0</v>
      </c>
      <c r="CD38" s="900">
        <f t="shared" si="30"/>
        <v>0</v>
      </c>
      <c r="CE38" s="900">
        <f t="shared" si="30"/>
        <v>0</v>
      </c>
      <c r="CF38" s="900">
        <f t="shared" si="30"/>
        <v>0</v>
      </c>
      <c r="CG38" s="900">
        <f t="shared" si="30"/>
        <v>0</v>
      </c>
      <c r="CH38" s="900">
        <f t="shared" si="30"/>
        <v>0</v>
      </c>
      <c r="CI38" s="900">
        <f t="shared" si="31"/>
        <v>0</v>
      </c>
      <c r="CJ38" s="868"/>
      <c r="CK38" s="900">
        <f t="shared" si="32"/>
        <v>0</v>
      </c>
      <c r="CL38" s="900">
        <f t="shared" si="33"/>
        <v>0</v>
      </c>
      <c r="CM38" s="900">
        <f t="shared" si="33"/>
        <v>0</v>
      </c>
      <c r="CN38" s="900">
        <f t="shared" si="33"/>
        <v>0</v>
      </c>
      <c r="CO38" s="900">
        <f t="shared" si="33"/>
        <v>0</v>
      </c>
      <c r="CP38" s="900">
        <f t="shared" si="33"/>
        <v>0</v>
      </c>
      <c r="CQ38" s="900">
        <f t="shared" si="33"/>
        <v>0</v>
      </c>
      <c r="CR38" s="900">
        <f t="shared" si="33"/>
        <v>0</v>
      </c>
      <c r="CS38" s="900">
        <f t="shared" si="33"/>
        <v>0</v>
      </c>
      <c r="CT38" s="900">
        <f t="shared" si="34"/>
        <v>0</v>
      </c>
      <c r="CU38" s="868"/>
    </row>
    <row r="39" spans="1:99" ht="14.4" x14ac:dyDescent="0.3">
      <c r="A39" s="883">
        <f t="shared" si="16"/>
        <v>24</v>
      </c>
      <c r="B39" s="883"/>
      <c r="C39" s="724"/>
      <c r="D39" s="911" t="s">
        <v>190</v>
      </c>
      <c r="E39" s="911" t="s">
        <v>191</v>
      </c>
      <c r="F39" s="899">
        <v>274.16833800000001</v>
      </c>
      <c r="G39" s="1338"/>
      <c r="H39" s="4">
        <f t="shared" si="35"/>
        <v>0</v>
      </c>
      <c r="I39" s="899">
        <f t="shared" ref="I39:I41" si="41">SUM(J39:S39)</f>
        <v>274.16833800000001</v>
      </c>
      <c r="J39" s="415">
        <f t="shared" ref="J39:R41" si="42">+AI39+AT39+BE39+BP39+CA39+CL39</f>
        <v>239.57025361944707</v>
      </c>
      <c r="K39" s="415">
        <f t="shared" si="42"/>
        <v>17.49857768944582</v>
      </c>
      <c r="L39" s="415">
        <f t="shared" si="42"/>
        <v>1.9777481968102741</v>
      </c>
      <c r="M39" s="415">
        <f t="shared" si="42"/>
        <v>6.4584503938399269</v>
      </c>
      <c r="N39" s="415">
        <f t="shared" si="42"/>
        <v>7.4415729726071681E-5</v>
      </c>
      <c r="O39" s="415">
        <f t="shared" si="42"/>
        <v>9.0065489393496984E-3</v>
      </c>
      <c r="P39" s="415">
        <f t="shared" si="42"/>
        <v>8.6542271357878473</v>
      </c>
      <c r="Q39" s="415">
        <f t="shared" si="42"/>
        <v>0</v>
      </c>
      <c r="R39" s="415">
        <f t="shared" si="42"/>
        <v>0</v>
      </c>
      <c r="S39" s="420"/>
      <c r="T39" s="868"/>
      <c r="U39" s="900">
        <f t="shared" si="36"/>
        <v>0</v>
      </c>
      <c r="V39" s="868"/>
      <c r="W39"/>
      <c r="X39"/>
      <c r="Y39" s="72"/>
      <c r="Z39" s="72"/>
      <c r="AD39" s="439">
        <f>$F$39</f>
        <v>274.16833800000001</v>
      </c>
      <c r="AF39" s="900">
        <f t="shared" si="40"/>
        <v>0</v>
      </c>
      <c r="AG39" s="868"/>
      <c r="AH39" s="900">
        <f t="shared" si="19"/>
        <v>0</v>
      </c>
      <c r="AI39" s="900">
        <f t="shared" si="20"/>
        <v>0</v>
      </c>
      <c r="AJ39" s="900">
        <f t="shared" si="20"/>
        <v>0</v>
      </c>
      <c r="AK39" s="900">
        <f t="shared" si="20"/>
        <v>0</v>
      </c>
      <c r="AL39" s="900">
        <f t="shared" si="20"/>
        <v>0</v>
      </c>
      <c r="AM39" s="900">
        <f t="shared" si="20"/>
        <v>0</v>
      </c>
      <c r="AN39" s="900">
        <f t="shared" si="20"/>
        <v>0</v>
      </c>
      <c r="AO39" s="900">
        <f t="shared" si="20"/>
        <v>0</v>
      </c>
      <c r="AP39" s="900">
        <f t="shared" si="20"/>
        <v>0</v>
      </c>
      <c r="AQ39" s="900">
        <f t="shared" si="20"/>
        <v>0</v>
      </c>
      <c r="AR39" s="868"/>
      <c r="AS39" s="900">
        <f t="shared" si="21"/>
        <v>0</v>
      </c>
      <c r="AT39" s="900">
        <f t="shared" si="22"/>
        <v>0</v>
      </c>
      <c r="AU39" s="900">
        <f t="shared" si="22"/>
        <v>0</v>
      </c>
      <c r="AV39" s="900">
        <f t="shared" si="22"/>
        <v>0</v>
      </c>
      <c r="AW39" s="900">
        <f t="shared" si="22"/>
        <v>0</v>
      </c>
      <c r="AX39" s="900">
        <f t="shared" si="22"/>
        <v>0</v>
      </c>
      <c r="AY39" s="900">
        <f t="shared" si="22"/>
        <v>0</v>
      </c>
      <c r="AZ39" s="900">
        <f t="shared" si="22"/>
        <v>0</v>
      </c>
      <c r="BA39" s="900">
        <f t="shared" si="23"/>
        <v>0</v>
      </c>
      <c r="BB39" s="900">
        <f t="shared" si="23"/>
        <v>0</v>
      </c>
      <c r="BC39" s="868"/>
      <c r="BD39" s="900">
        <f t="shared" si="24"/>
        <v>0</v>
      </c>
      <c r="BE39" s="900">
        <f t="shared" si="25"/>
        <v>0</v>
      </c>
      <c r="BF39" s="900">
        <f t="shared" si="25"/>
        <v>0</v>
      </c>
      <c r="BG39" s="900">
        <f t="shared" si="25"/>
        <v>0</v>
      </c>
      <c r="BH39" s="900">
        <f t="shared" si="25"/>
        <v>0</v>
      </c>
      <c r="BI39" s="900">
        <f t="shared" si="25"/>
        <v>0</v>
      </c>
      <c r="BJ39" s="900">
        <f t="shared" si="25"/>
        <v>0</v>
      </c>
      <c r="BK39" s="900">
        <f t="shared" si="25"/>
        <v>0</v>
      </c>
      <c r="BL39" s="900">
        <f t="shared" si="25"/>
        <v>0</v>
      </c>
      <c r="BM39" s="900">
        <f t="shared" si="25"/>
        <v>0</v>
      </c>
      <c r="BN39" s="868"/>
      <c r="BO39" s="900">
        <f t="shared" si="26"/>
        <v>0</v>
      </c>
      <c r="BP39" s="900">
        <f t="shared" si="27"/>
        <v>0</v>
      </c>
      <c r="BQ39" s="900">
        <f t="shared" si="27"/>
        <v>0</v>
      </c>
      <c r="BR39" s="900">
        <f t="shared" si="27"/>
        <v>0</v>
      </c>
      <c r="BS39" s="900">
        <f t="shared" si="27"/>
        <v>0</v>
      </c>
      <c r="BT39" s="900">
        <f t="shared" si="27"/>
        <v>0</v>
      </c>
      <c r="BU39" s="900">
        <f t="shared" si="27"/>
        <v>0</v>
      </c>
      <c r="BV39" s="900">
        <f t="shared" si="27"/>
        <v>0</v>
      </c>
      <c r="BW39" s="900">
        <f t="shared" si="27"/>
        <v>0</v>
      </c>
      <c r="BX39" s="900">
        <f t="shared" si="28"/>
        <v>0</v>
      </c>
      <c r="BY39" s="868"/>
      <c r="BZ39" s="900">
        <f t="shared" si="29"/>
        <v>0</v>
      </c>
      <c r="CA39" s="900">
        <f t="shared" si="30"/>
        <v>0</v>
      </c>
      <c r="CB39" s="900">
        <f t="shared" si="30"/>
        <v>0</v>
      </c>
      <c r="CC39" s="900">
        <f t="shared" si="30"/>
        <v>0</v>
      </c>
      <c r="CD39" s="900">
        <f t="shared" si="30"/>
        <v>0</v>
      </c>
      <c r="CE39" s="900">
        <f t="shared" si="30"/>
        <v>0</v>
      </c>
      <c r="CF39" s="900">
        <f t="shared" si="30"/>
        <v>0</v>
      </c>
      <c r="CG39" s="900">
        <f t="shared" si="30"/>
        <v>0</v>
      </c>
      <c r="CH39" s="900">
        <f t="shared" si="30"/>
        <v>0</v>
      </c>
      <c r="CI39" s="900">
        <f t="shared" si="31"/>
        <v>0</v>
      </c>
      <c r="CJ39" s="868"/>
      <c r="CK39" s="900">
        <f t="shared" si="32"/>
        <v>274.16833800000001</v>
      </c>
      <c r="CL39" s="900">
        <f t="shared" si="33"/>
        <v>239.57025361944707</v>
      </c>
      <c r="CM39" s="900">
        <f t="shared" si="33"/>
        <v>17.49857768944582</v>
      </c>
      <c r="CN39" s="900">
        <f t="shared" si="33"/>
        <v>1.9777481968102741</v>
      </c>
      <c r="CO39" s="900">
        <f t="shared" si="33"/>
        <v>6.4584503938399269</v>
      </c>
      <c r="CP39" s="900">
        <f t="shared" si="33"/>
        <v>7.4415729726071681E-5</v>
      </c>
      <c r="CQ39" s="900">
        <f t="shared" si="33"/>
        <v>9.0065489393496984E-3</v>
      </c>
      <c r="CR39" s="900">
        <f t="shared" si="33"/>
        <v>8.6542271357878473</v>
      </c>
      <c r="CS39" s="900">
        <f t="shared" si="33"/>
        <v>0</v>
      </c>
      <c r="CT39" s="900">
        <f t="shared" si="34"/>
        <v>0</v>
      </c>
      <c r="CU39" s="868"/>
    </row>
    <row r="40" spans="1:99" ht="14.4" x14ac:dyDescent="0.3">
      <c r="A40" s="883">
        <f t="shared" si="16"/>
        <v>25</v>
      </c>
      <c r="B40" s="883"/>
      <c r="C40" s="724"/>
      <c r="D40" s="911" t="s">
        <v>192</v>
      </c>
      <c r="E40" s="911" t="s">
        <v>193</v>
      </c>
      <c r="F40" s="899">
        <v>211738.16266270395</v>
      </c>
      <c r="G40" s="1338"/>
      <c r="H40" s="4">
        <f t="shared" si="35"/>
        <v>211738.16266270395</v>
      </c>
      <c r="I40" s="899">
        <f t="shared" si="41"/>
        <v>0</v>
      </c>
      <c r="J40" s="415">
        <f t="shared" si="42"/>
        <v>0</v>
      </c>
      <c r="K40" s="415">
        <f t="shared" si="42"/>
        <v>0</v>
      </c>
      <c r="L40" s="415">
        <f t="shared" si="42"/>
        <v>0</v>
      </c>
      <c r="M40" s="415">
        <f t="shared" si="42"/>
        <v>0</v>
      </c>
      <c r="N40" s="415">
        <f t="shared" si="42"/>
        <v>0</v>
      </c>
      <c r="O40" s="415">
        <f t="shared" si="42"/>
        <v>0</v>
      </c>
      <c r="P40" s="415">
        <f t="shared" si="42"/>
        <v>0</v>
      </c>
      <c r="Q40" s="415">
        <f t="shared" si="42"/>
        <v>0</v>
      </c>
      <c r="R40" s="415">
        <f t="shared" si="42"/>
        <v>0</v>
      </c>
      <c r="S40" s="420"/>
      <c r="T40" s="868"/>
      <c r="U40" s="900">
        <f t="shared" si="36"/>
        <v>0</v>
      </c>
      <c r="V40" s="868"/>
      <c r="W40" s="900">
        <f>$F$40</f>
        <v>211738.16266270395</v>
      </c>
      <c r="Y40" s="72"/>
      <c r="Z40"/>
      <c r="AF40" s="900">
        <f t="shared" si="40"/>
        <v>0</v>
      </c>
      <c r="AG40" s="868"/>
      <c r="AH40" s="900">
        <f t="shared" si="19"/>
        <v>0</v>
      </c>
      <c r="AI40" s="900">
        <f t="shared" si="20"/>
        <v>0</v>
      </c>
      <c r="AJ40" s="900">
        <f t="shared" si="20"/>
        <v>0</v>
      </c>
      <c r="AK40" s="900">
        <f t="shared" si="20"/>
        <v>0</v>
      </c>
      <c r="AL40" s="900">
        <f t="shared" si="20"/>
        <v>0</v>
      </c>
      <c r="AM40" s="900">
        <f t="shared" si="20"/>
        <v>0</v>
      </c>
      <c r="AN40" s="900">
        <f t="shared" si="20"/>
        <v>0</v>
      </c>
      <c r="AO40" s="900">
        <f t="shared" si="20"/>
        <v>0</v>
      </c>
      <c r="AP40" s="900">
        <f t="shared" si="20"/>
        <v>0</v>
      </c>
      <c r="AQ40" s="900">
        <f t="shared" si="20"/>
        <v>0</v>
      </c>
      <c r="AR40" s="868"/>
      <c r="AS40" s="900">
        <f t="shared" si="21"/>
        <v>0</v>
      </c>
      <c r="AT40" s="900">
        <f t="shared" si="22"/>
        <v>0</v>
      </c>
      <c r="AU40" s="900">
        <f t="shared" si="22"/>
        <v>0</v>
      </c>
      <c r="AV40" s="900">
        <f t="shared" si="22"/>
        <v>0</v>
      </c>
      <c r="AW40" s="900">
        <f t="shared" si="22"/>
        <v>0</v>
      </c>
      <c r="AX40" s="900">
        <f t="shared" si="22"/>
        <v>0</v>
      </c>
      <c r="AY40" s="900">
        <f t="shared" si="22"/>
        <v>0</v>
      </c>
      <c r="AZ40" s="900">
        <f t="shared" si="22"/>
        <v>0</v>
      </c>
      <c r="BA40" s="900">
        <f t="shared" si="23"/>
        <v>0</v>
      </c>
      <c r="BB40" s="900">
        <f t="shared" si="23"/>
        <v>0</v>
      </c>
      <c r="BC40" s="868"/>
      <c r="BD40" s="900">
        <f t="shared" si="24"/>
        <v>0</v>
      </c>
      <c r="BE40" s="900">
        <f t="shared" si="25"/>
        <v>0</v>
      </c>
      <c r="BF40" s="900">
        <f t="shared" si="25"/>
        <v>0</v>
      </c>
      <c r="BG40" s="900">
        <f t="shared" si="25"/>
        <v>0</v>
      </c>
      <c r="BH40" s="900">
        <f t="shared" si="25"/>
        <v>0</v>
      </c>
      <c r="BI40" s="900">
        <f t="shared" si="25"/>
        <v>0</v>
      </c>
      <c r="BJ40" s="900">
        <f t="shared" si="25"/>
        <v>0</v>
      </c>
      <c r="BK40" s="900">
        <f t="shared" si="25"/>
        <v>0</v>
      </c>
      <c r="BL40" s="900">
        <f t="shared" si="25"/>
        <v>0</v>
      </c>
      <c r="BM40" s="900">
        <f t="shared" si="25"/>
        <v>0</v>
      </c>
      <c r="BN40" s="868"/>
      <c r="BO40" s="900">
        <f t="shared" si="26"/>
        <v>0</v>
      </c>
      <c r="BP40" s="900">
        <f t="shared" si="27"/>
        <v>0</v>
      </c>
      <c r="BQ40" s="900">
        <f t="shared" si="27"/>
        <v>0</v>
      </c>
      <c r="BR40" s="900">
        <f t="shared" si="27"/>
        <v>0</v>
      </c>
      <c r="BS40" s="900">
        <f t="shared" si="27"/>
        <v>0</v>
      </c>
      <c r="BT40" s="900">
        <f t="shared" si="27"/>
        <v>0</v>
      </c>
      <c r="BU40" s="900">
        <f t="shared" si="27"/>
        <v>0</v>
      </c>
      <c r="BV40" s="900">
        <f t="shared" si="27"/>
        <v>0</v>
      </c>
      <c r="BW40" s="900">
        <f t="shared" si="27"/>
        <v>0</v>
      </c>
      <c r="BX40" s="900">
        <f t="shared" si="28"/>
        <v>0</v>
      </c>
      <c r="BY40" s="868"/>
      <c r="BZ40" s="900">
        <f t="shared" si="29"/>
        <v>0</v>
      </c>
      <c r="CA40" s="900">
        <f t="shared" si="30"/>
        <v>0</v>
      </c>
      <c r="CB40" s="900">
        <f t="shared" si="30"/>
        <v>0</v>
      </c>
      <c r="CC40" s="900">
        <f t="shared" si="30"/>
        <v>0</v>
      </c>
      <c r="CD40" s="900">
        <f t="shared" si="30"/>
        <v>0</v>
      </c>
      <c r="CE40" s="900">
        <f t="shared" si="30"/>
        <v>0</v>
      </c>
      <c r="CF40" s="900">
        <f t="shared" si="30"/>
        <v>0</v>
      </c>
      <c r="CG40" s="900">
        <f t="shared" si="30"/>
        <v>0</v>
      </c>
      <c r="CH40" s="900">
        <f t="shared" si="30"/>
        <v>0</v>
      </c>
      <c r="CI40" s="900">
        <f t="shared" si="31"/>
        <v>0</v>
      </c>
      <c r="CJ40" s="868"/>
      <c r="CK40" s="900">
        <f t="shared" si="32"/>
        <v>0</v>
      </c>
      <c r="CL40" s="900">
        <f t="shared" si="33"/>
        <v>0</v>
      </c>
      <c r="CM40" s="900">
        <f t="shared" si="33"/>
        <v>0</v>
      </c>
      <c r="CN40" s="900">
        <f t="shared" si="33"/>
        <v>0</v>
      </c>
      <c r="CO40" s="900">
        <f t="shared" si="33"/>
        <v>0</v>
      </c>
      <c r="CP40" s="900">
        <f t="shared" si="33"/>
        <v>0</v>
      </c>
      <c r="CQ40" s="900">
        <f t="shared" si="33"/>
        <v>0</v>
      </c>
      <c r="CR40" s="900">
        <f t="shared" si="33"/>
        <v>0</v>
      </c>
      <c r="CS40" s="900">
        <f t="shared" si="33"/>
        <v>0</v>
      </c>
      <c r="CT40" s="900">
        <f t="shared" si="34"/>
        <v>0</v>
      </c>
      <c r="CU40" s="868"/>
    </row>
    <row r="41" spans="1:99" x14ac:dyDescent="0.3">
      <c r="A41" s="883">
        <f t="shared" si="16"/>
        <v>26</v>
      </c>
      <c r="B41" s="883"/>
      <c r="C41" s="724"/>
      <c r="D41" s="911" t="s">
        <v>194</v>
      </c>
      <c r="E41" s="911" t="s">
        <v>195</v>
      </c>
      <c r="F41" s="899">
        <v>297.71712600000001</v>
      </c>
      <c r="G41" s="1338"/>
      <c r="H41" s="4">
        <f t="shared" si="35"/>
        <v>23.698382677535506</v>
      </c>
      <c r="I41" s="899">
        <f t="shared" si="41"/>
        <v>274.0187433224645</v>
      </c>
      <c r="J41" s="415">
        <f t="shared" si="42"/>
        <v>171.24290212859853</v>
      </c>
      <c r="K41" s="415">
        <f t="shared" si="42"/>
        <v>15.313363172317493</v>
      </c>
      <c r="L41" s="415">
        <f t="shared" si="42"/>
        <v>0.91207459118033507</v>
      </c>
      <c r="M41" s="415">
        <f t="shared" si="42"/>
        <v>66.935082016821141</v>
      </c>
      <c r="N41" s="415">
        <f t="shared" si="42"/>
        <v>0.80996203477843354</v>
      </c>
      <c r="O41" s="415">
        <f t="shared" si="42"/>
        <v>9.029157731593779</v>
      </c>
      <c r="P41" s="415">
        <f t="shared" si="42"/>
        <v>1.4707523891096259</v>
      </c>
      <c r="Q41" s="415">
        <f t="shared" si="42"/>
        <v>8.0197982008712003</v>
      </c>
      <c r="R41" s="415">
        <f t="shared" si="42"/>
        <v>0.28565105719395062</v>
      </c>
      <c r="S41" s="420"/>
      <c r="T41" s="868"/>
      <c r="U41" s="900">
        <f t="shared" si="36"/>
        <v>0</v>
      </c>
      <c r="V41" s="868"/>
      <c r="Y41" s="72">
        <f>$F$41</f>
        <v>297.71712600000001</v>
      </c>
      <c r="AF41" s="900">
        <f t="shared" si="40"/>
        <v>0</v>
      </c>
      <c r="AG41" s="868"/>
      <c r="AH41" s="900">
        <f t="shared" si="19"/>
        <v>274.01874277598159</v>
      </c>
      <c r="AI41" s="900">
        <f t="shared" si="20"/>
        <v>171.24290212859853</v>
      </c>
      <c r="AJ41" s="900">
        <f t="shared" si="20"/>
        <v>15.313363172317493</v>
      </c>
      <c r="AK41" s="900">
        <f t="shared" si="20"/>
        <v>0.91207459118033507</v>
      </c>
      <c r="AL41" s="900">
        <f t="shared" si="20"/>
        <v>66.935082016821141</v>
      </c>
      <c r="AM41" s="900">
        <f t="shared" si="20"/>
        <v>0.80996203477843354</v>
      </c>
      <c r="AN41" s="900">
        <f t="shared" si="20"/>
        <v>9.029157731593779</v>
      </c>
      <c r="AO41" s="900">
        <f t="shared" si="20"/>
        <v>1.4707523891096259</v>
      </c>
      <c r="AP41" s="900">
        <f t="shared" si="20"/>
        <v>8.0197982008712003</v>
      </c>
      <c r="AQ41" s="900">
        <f t="shared" si="20"/>
        <v>0.28565105719395062</v>
      </c>
      <c r="AR41" s="868"/>
      <c r="AS41" s="900">
        <f t="shared" si="21"/>
        <v>0</v>
      </c>
      <c r="AT41" s="900">
        <f t="shared" si="22"/>
        <v>0</v>
      </c>
      <c r="AU41" s="900">
        <f t="shared" si="22"/>
        <v>0</v>
      </c>
      <c r="AV41" s="900">
        <f t="shared" si="22"/>
        <v>0</v>
      </c>
      <c r="AW41" s="900">
        <f t="shared" si="22"/>
        <v>0</v>
      </c>
      <c r="AX41" s="900">
        <f t="shared" si="22"/>
        <v>0</v>
      </c>
      <c r="AY41" s="900">
        <f t="shared" si="22"/>
        <v>0</v>
      </c>
      <c r="AZ41" s="900">
        <f t="shared" si="22"/>
        <v>0</v>
      </c>
      <c r="BA41" s="900">
        <f t="shared" si="23"/>
        <v>0</v>
      </c>
      <c r="BB41" s="900">
        <f t="shared" si="23"/>
        <v>0</v>
      </c>
      <c r="BC41" s="868"/>
      <c r="BD41" s="900">
        <f t="shared" si="24"/>
        <v>0</v>
      </c>
      <c r="BE41" s="900">
        <f t="shared" si="25"/>
        <v>0</v>
      </c>
      <c r="BF41" s="900">
        <f t="shared" si="25"/>
        <v>0</v>
      </c>
      <c r="BG41" s="900">
        <f t="shared" si="25"/>
        <v>0</v>
      </c>
      <c r="BH41" s="900">
        <f t="shared" si="25"/>
        <v>0</v>
      </c>
      <c r="BI41" s="900">
        <f t="shared" si="25"/>
        <v>0</v>
      </c>
      <c r="BJ41" s="900">
        <f t="shared" si="25"/>
        <v>0</v>
      </c>
      <c r="BK41" s="900">
        <f t="shared" si="25"/>
        <v>0</v>
      </c>
      <c r="BL41" s="900">
        <f t="shared" si="25"/>
        <v>0</v>
      </c>
      <c r="BM41" s="900">
        <f t="shared" si="25"/>
        <v>0</v>
      </c>
      <c r="BN41" s="868"/>
      <c r="BO41" s="900">
        <f t="shared" si="26"/>
        <v>0</v>
      </c>
      <c r="BP41" s="900">
        <f t="shared" si="27"/>
        <v>0</v>
      </c>
      <c r="BQ41" s="900">
        <f t="shared" si="27"/>
        <v>0</v>
      </c>
      <c r="BR41" s="900">
        <f t="shared" si="27"/>
        <v>0</v>
      </c>
      <c r="BS41" s="900">
        <f t="shared" si="27"/>
        <v>0</v>
      </c>
      <c r="BT41" s="900">
        <f t="shared" si="27"/>
        <v>0</v>
      </c>
      <c r="BU41" s="900">
        <f t="shared" si="27"/>
        <v>0</v>
      </c>
      <c r="BV41" s="900">
        <f t="shared" si="27"/>
        <v>0</v>
      </c>
      <c r="BW41" s="900">
        <f t="shared" si="27"/>
        <v>0</v>
      </c>
      <c r="BX41" s="900">
        <f t="shared" si="28"/>
        <v>0</v>
      </c>
      <c r="BY41" s="868"/>
      <c r="BZ41" s="900">
        <f t="shared" si="29"/>
        <v>0</v>
      </c>
      <c r="CA41" s="900">
        <f t="shared" si="30"/>
        <v>0</v>
      </c>
      <c r="CB41" s="900">
        <f t="shared" si="30"/>
        <v>0</v>
      </c>
      <c r="CC41" s="900">
        <f t="shared" si="30"/>
        <v>0</v>
      </c>
      <c r="CD41" s="900">
        <f t="shared" si="30"/>
        <v>0</v>
      </c>
      <c r="CE41" s="900">
        <f t="shared" si="30"/>
        <v>0</v>
      </c>
      <c r="CF41" s="900">
        <f t="shared" si="30"/>
        <v>0</v>
      </c>
      <c r="CG41" s="900">
        <f t="shared" si="30"/>
        <v>0</v>
      </c>
      <c r="CH41" s="900">
        <f t="shared" si="30"/>
        <v>0</v>
      </c>
      <c r="CI41" s="900">
        <f t="shared" si="31"/>
        <v>0</v>
      </c>
      <c r="CJ41" s="868"/>
      <c r="CK41" s="900">
        <f t="shared" si="32"/>
        <v>0</v>
      </c>
      <c r="CL41" s="900">
        <f t="shared" si="33"/>
        <v>0</v>
      </c>
      <c r="CM41" s="900">
        <f t="shared" si="33"/>
        <v>0</v>
      </c>
      <c r="CN41" s="900">
        <f t="shared" si="33"/>
        <v>0</v>
      </c>
      <c r="CO41" s="900">
        <f t="shared" si="33"/>
        <v>0</v>
      </c>
      <c r="CP41" s="900">
        <f t="shared" si="33"/>
        <v>0</v>
      </c>
      <c r="CQ41" s="900">
        <f t="shared" si="33"/>
        <v>0</v>
      </c>
      <c r="CR41" s="900">
        <f t="shared" si="33"/>
        <v>0</v>
      </c>
      <c r="CS41" s="900">
        <f t="shared" si="33"/>
        <v>0</v>
      </c>
      <c r="CT41" s="900">
        <f t="shared" si="34"/>
        <v>0</v>
      </c>
      <c r="CU41" s="868"/>
    </row>
    <row r="42" spans="1:99" x14ac:dyDescent="0.3">
      <c r="A42" s="883">
        <f t="shared" si="16"/>
        <v>27</v>
      </c>
      <c r="B42" s="883"/>
      <c r="C42" s="724"/>
      <c r="D42" s="896" t="s">
        <v>196</v>
      </c>
      <c r="E42" s="896"/>
      <c r="F42" s="915">
        <f>SUM(F27:F41)</f>
        <v>381616.32397503243</v>
      </c>
      <c r="G42" s="1339"/>
      <c r="H42" s="1340">
        <f t="shared" ref="H42:R42" si="43">SUM(H27:H41)</f>
        <v>216253.73345333376</v>
      </c>
      <c r="I42" s="915">
        <f t="shared" si="43"/>
        <v>165362.59052169864</v>
      </c>
      <c r="J42" s="1340">
        <f t="shared" si="43"/>
        <v>42016.714499319205</v>
      </c>
      <c r="K42" s="917">
        <f t="shared" si="43"/>
        <v>3237.1957824704887</v>
      </c>
      <c r="L42" s="917">
        <f t="shared" si="43"/>
        <v>289.56700443989621</v>
      </c>
      <c r="M42" s="917">
        <f t="shared" si="43"/>
        <v>4920.8111455204753</v>
      </c>
      <c r="N42" s="917">
        <f t="shared" si="43"/>
        <v>33.143954995921938</v>
      </c>
      <c r="O42" s="917">
        <f t="shared" si="43"/>
        <v>486.80727740774978</v>
      </c>
      <c r="P42" s="917">
        <f t="shared" si="43"/>
        <v>1101.1107089133363</v>
      </c>
      <c r="Q42" s="917">
        <f t="shared" si="43"/>
        <v>108702.68159779567</v>
      </c>
      <c r="R42" s="917">
        <f t="shared" si="43"/>
        <v>4574.5585508358972</v>
      </c>
      <c r="T42" s="868"/>
      <c r="U42" s="900">
        <f t="shared" si="36"/>
        <v>0</v>
      </c>
      <c r="V42" s="868"/>
      <c r="W42" s="917">
        <f t="shared" ref="W42:AF42" si="44">SUM(W27:W41)</f>
        <v>211738.16266270395</v>
      </c>
      <c r="X42" s="917">
        <f t="shared" si="44"/>
        <v>113261</v>
      </c>
      <c r="Y42" s="917">
        <f t="shared" si="44"/>
        <v>582.144351999999</v>
      </c>
      <c r="Z42" s="917">
        <f t="shared" si="44"/>
        <v>0</v>
      </c>
      <c r="AA42" s="917">
        <f t="shared" si="44"/>
        <v>14984.71566632846</v>
      </c>
      <c r="AB42" s="917">
        <f t="shared" si="44"/>
        <v>238.68162999999899</v>
      </c>
      <c r="AC42" s="917">
        <f t="shared" si="44"/>
        <v>7228.2839259999901</v>
      </c>
      <c r="AD42" s="917">
        <f t="shared" si="44"/>
        <v>33583.335738000002</v>
      </c>
      <c r="AE42" s="917">
        <f t="shared" si="44"/>
        <v>0</v>
      </c>
      <c r="AF42" s="917">
        <f t="shared" si="44"/>
        <v>0</v>
      </c>
      <c r="AG42" s="868"/>
      <c r="AH42" s="917">
        <f t="shared" ref="AH42:AQ42" si="45">SUM(AH27:AH41)</f>
        <v>535.80546605564837</v>
      </c>
      <c r="AI42" s="917">
        <f t="shared" si="45"/>
        <v>334.84163183226565</v>
      </c>
      <c r="AJ42" s="917">
        <f t="shared" si="45"/>
        <v>29.943147714281693</v>
      </c>
      <c r="AK42" s="917">
        <f t="shared" si="45"/>
        <v>1.7834347623600939</v>
      </c>
      <c r="AL42" s="917">
        <f t="shared" si="45"/>
        <v>130.88222525280298</v>
      </c>
      <c r="AM42" s="917">
        <f t="shared" si="45"/>
        <v>1.5837678880478372</v>
      </c>
      <c r="AN42" s="917">
        <f t="shared" si="45"/>
        <v>17.655259700325203</v>
      </c>
      <c r="AO42" s="917">
        <f t="shared" si="45"/>
        <v>2.8758513425615746</v>
      </c>
      <c r="AP42" s="917">
        <f t="shared" si="45"/>
        <v>15.681597795677103</v>
      </c>
      <c r="AQ42" s="917">
        <f t="shared" si="45"/>
        <v>0.55855083589745202</v>
      </c>
      <c r="AR42" s="868"/>
      <c r="AS42" s="917">
        <f t="shared" ref="AS42:AZ42" si="46">SUM(AS27:AS41)</f>
        <v>0</v>
      </c>
      <c r="AT42" s="917">
        <f t="shared" si="46"/>
        <v>0</v>
      </c>
      <c r="AU42" s="917">
        <f t="shared" si="46"/>
        <v>0</v>
      </c>
      <c r="AV42" s="917">
        <f t="shared" si="46"/>
        <v>0</v>
      </c>
      <c r="AW42" s="917">
        <f t="shared" si="46"/>
        <v>0</v>
      </c>
      <c r="AX42" s="917">
        <f t="shared" si="46"/>
        <v>0</v>
      </c>
      <c r="AY42" s="917">
        <f t="shared" si="46"/>
        <v>0</v>
      </c>
      <c r="AZ42" s="917">
        <f t="shared" si="46"/>
        <v>0</v>
      </c>
      <c r="BA42" s="917">
        <f>SUM(AAX27:AAX41)</f>
        <v>0</v>
      </c>
      <c r="BB42" s="917">
        <f>SUM(AAY27:AAY41)</f>
        <v>0</v>
      </c>
      <c r="BC42" s="868"/>
      <c r="BD42" s="917">
        <f t="shared" ref="BD42:BM42" si="47">SUM(BD27:BD41)</f>
        <v>10515.483760574438</v>
      </c>
      <c r="BE42" s="917">
        <f t="shared" si="47"/>
        <v>6574.4394744335823</v>
      </c>
      <c r="BF42" s="917">
        <f t="shared" si="47"/>
        <v>571.6104770894168</v>
      </c>
      <c r="BG42" s="917">
        <f t="shared" si="47"/>
        <v>35.204305910280681</v>
      </c>
      <c r="BH42" s="917">
        <f t="shared" si="47"/>
        <v>2870.3526851024835</v>
      </c>
      <c r="BI42" s="917">
        <f t="shared" si="47"/>
        <v>30.538675006508541</v>
      </c>
      <c r="BJ42" s="917">
        <f t="shared" si="47"/>
        <v>429.66219141101607</v>
      </c>
      <c r="BK42" s="917">
        <f t="shared" si="47"/>
        <v>3.6759516211538061</v>
      </c>
      <c r="BL42" s="917">
        <f t="shared" si="47"/>
        <v>0</v>
      </c>
      <c r="BM42" s="917">
        <f t="shared" si="47"/>
        <v>0</v>
      </c>
      <c r="BN42" s="868"/>
      <c r="BO42" s="917">
        <f t="shared" ref="BO42:BX42" si="48">SUM(BO27:BO41)</f>
        <v>238.68162999999899</v>
      </c>
      <c r="BP42" s="917">
        <f t="shared" si="48"/>
        <v>152.38908062906418</v>
      </c>
      <c r="BQ42" s="917">
        <f t="shared" si="48"/>
        <v>14.124233232875756</v>
      </c>
      <c r="BR42" s="917">
        <f t="shared" si="48"/>
        <v>0.64637641517847144</v>
      </c>
      <c r="BS42" s="917">
        <f t="shared" si="48"/>
        <v>62.602464371261114</v>
      </c>
      <c r="BT42" s="917">
        <f t="shared" si="48"/>
        <v>1.0123967948578467</v>
      </c>
      <c r="BU42" s="917">
        <f t="shared" si="48"/>
        <v>5.7472987277314695</v>
      </c>
      <c r="BV42" s="917">
        <f t="shared" si="48"/>
        <v>2.1597798290300734</v>
      </c>
      <c r="BW42" s="917">
        <f t="shared" si="48"/>
        <v>0</v>
      </c>
      <c r="BX42" s="917">
        <f t="shared" si="48"/>
        <v>0</v>
      </c>
      <c r="BY42" s="868"/>
      <c r="BZ42" s="917">
        <f t="shared" ref="BZ42:CI42" si="49">SUM(BZ27:BZ41)</f>
        <v>7228.2839259999901</v>
      </c>
      <c r="CA42" s="917">
        <f t="shared" si="49"/>
        <v>5609.6854762055773</v>
      </c>
      <c r="CB42" s="917">
        <f t="shared" si="49"/>
        <v>478.08803836831351</v>
      </c>
      <c r="CC42" s="917">
        <f t="shared" si="49"/>
        <v>9.6752211925967195</v>
      </c>
      <c r="CD42" s="917">
        <f t="shared" si="49"/>
        <v>1065.867439896067</v>
      </c>
      <c r="CE42" s="917">
        <f t="shared" si="49"/>
        <v>0</v>
      </c>
      <c r="CF42" s="917">
        <f t="shared" si="49"/>
        <v>32.639300408760022</v>
      </c>
      <c r="CG42" s="917">
        <f t="shared" si="49"/>
        <v>32.328449928676598</v>
      </c>
      <c r="CH42" s="917">
        <f t="shared" si="49"/>
        <v>0</v>
      </c>
      <c r="CI42" s="917">
        <f t="shared" si="49"/>
        <v>0</v>
      </c>
      <c r="CJ42" s="868"/>
      <c r="CK42" s="917">
        <f t="shared" ref="CK42:CT42" si="50">SUM(CK27:CK41)</f>
        <v>33583.335738000002</v>
      </c>
      <c r="CL42" s="917">
        <f t="shared" si="50"/>
        <v>29345.358836218718</v>
      </c>
      <c r="CM42" s="917">
        <f t="shared" si="50"/>
        <v>2143.4298860656013</v>
      </c>
      <c r="CN42" s="917">
        <f t="shared" si="50"/>
        <v>242.25766615948018</v>
      </c>
      <c r="CO42" s="917">
        <f t="shared" si="50"/>
        <v>791.10633089786097</v>
      </c>
      <c r="CP42" s="917">
        <f t="shared" si="50"/>
        <v>9.1153065077081655E-3</v>
      </c>
      <c r="CQ42" s="917">
        <f t="shared" si="50"/>
        <v>1.1032271599170167</v>
      </c>
      <c r="CR42" s="917">
        <f t="shared" si="50"/>
        <v>1060.0706761919143</v>
      </c>
      <c r="CS42" s="917">
        <f t="shared" si="50"/>
        <v>0</v>
      </c>
      <c r="CT42" s="917">
        <f t="shared" si="50"/>
        <v>0</v>
      </c>
      <c r="CU42" s="868"/>
    </row>
    <row r="43" spans="1:99" x14ac:dyDescent="0.3">
      <c r="A43" s="883">
        <f t="shared" si="16"/>
        <v>28</v>
      </c>
      <c r="B43" s="883"/>
      <c r="C43" s="724"/>
      <c r="D43" s="911"/>
      <c r="E43" s="911"/>
      <c r="F43" s="918"/>
      <c r="G43" s="918"/>
      <c r="H43" s="1341"/>
      <c r="I43" s="1339"/>
      <c r="J43" s="415"/>
      <c r="K43" s="4"/>
      <c r="L43" s="4"/>
      <c r="M43" s="4"/>
      <c r="N43" s="4"/>
      <c r="O43" s="4"/>
      <c r="P43" s="72"/>
      <c r="Q43" s="72"/>
      <c r="R43" s="72"/>
      <c r="T43" s="868"/>
      <c r="U43" s="900">
        <f t="shared" si="36"/>
        <v>0</v>
      </c>
      <c r="V43" s="868"/>
      <c r="Z43" s="72"/>
      <c r="AG43" s="868"/>
      <c r="AR43" s="868"/>
      <c r="BC43" s="868"/>
      <c r="BN43" s="868"/>
      <c r="BY43" s="868"/>
      <c r="CJ43" s="868"/>
      <c r="CU43" s="868"/>
    </row>
    <row r="44" spans="1:99" collapsed="1" x14ac:dyDescent="0.3">
      <c r="A44" s="883">
        <f t="shared" si="16"/>
        <v>29</v>
      </c>
      <c r="B44" s="883"/>
      <c r="C44" s="724"/>
      <c r="D44" s="919" t="s">
        <v>197</v>
      </c>
      <c r="E44" s="919"/>
      <c r="F44" s="915">
        <f>+F24+F42</f>
        <v>3836859.4571153689</v>
      </c>
      <c r="G44" s="901"/>
      <c r="H44" s="915">
        <f t="shared" ref="H44:R44" si="51">+H24+H42</f>
        <v>236401.99600786023</v>
      </c>
      <c r="I44" s="915">
        <f t="shared" si="51"/>
        <v>3600457.4611075087</v>
      </c>
      <c r="J44" s="915">
        <f t="shared" si="51"/>
        <v>2284221.8713553231</v>
      </c>
      <c r="K44" s="915">
        <f t="shared" si="51"/>
        <v>203229.4896798736</v>
      </c>
      <c r="L44" s="915">
        <f t="shared" si="51"/>
        <v>12281.349514866646</v>
      </c>
      <c r="M44" s="915">
        <f t="shared" si="51"/>
        <v>859266.01440672542</v>
      </c>
      <c r="N44" s="915">
        <f t="shared" si="51"/>
        <v>10814.751993516149</v>
      </c>
      <c r="O44" s="915">
        <f t="shared" si="51"/>
        <v>101334.83833238509</v>
      </c>
      <c r="P44" s="915">
        <f t="shared" si="51"/>
        <v>16031.905676186223</v>
      </c>
      <c r="Q44" s="915">
        <f t="shared" si="51"/>
        <v>108702.68159779567</v>
      </c>
      <c r="R44" s="915">
        <f t="shared" si="51"/>
        <v>4574.5585508358972</v>
      </c>
      <c r="T44" s="868"/>
      <c r="U44" s="900">
        <f t="shared" si="36"/>
        <v>0</v>
      </c>
      <c r="V44" s="868"/>
      <c r="W44" s="916">
        <f t="shared" ref="W44:AF44" si="52">+W24+W42</f>
        <v>211738.16266270395</v>
      </c>
      <c r="X44" s="916">
        <f t="shared" si="52"/>
        <v>113261</v>
      </c>
      <c r="Y44" s="916">
        <f t="shared" si="52"/>
        <v>582.144351999999</v>
      </c>
      <c r="Z44" s="916">
        <f t="shared" si="52"/>
        <v>0</v>
      </c>
      <c r="AA44" s="916">
        <f t="shared" si="52"/>
        <v>14984.71566632846</v>
      </c>
      <c r="AB44" s="916">
        <f t="shared" si="52"/>
        <v>238.68162999999899</v>
      </c>
      <c r="AC44" s="916">
        <f t="shared" si="52"/>
        <v>7228.2839259999901</v>
      </c>
      <c r="AD44" s="916">
        <f t="shared" si="52"/>
        <v>33583.335738000002</v>
      </c>
      <c r="AE44" s="916">
        <f t="shared" si="52"/>
        <v>0</v>
      </c>
      <c r="AF44" s="916">
        <f t="shared" si="52"/>
        <v>0</v>
      </c>
      <c r="AG44" s="868"/>
      <c r="AR44" s="868"/>
      <c r="BC44" s="868"/>
      <c r="BN44" s="868"/>
      <c r="BY44" s="868"/>
      <c r="CJ44" s="868"/>
      <c r="CU44" s="868"/>
    </row>
    <row r="45" spans="1:99" s="908" customFormat="1" hidden="1" outlineLevel="1" x14ac:dyDescent="0.3">
      <c r="A45" s="883">
        <f t="shared" si="16"/>
        <v>30</v>
      </c>
      <c r="B45" s="905"/>
      <c r="C45" s="906"/>
      <c r="D45" s="920" t="s">
        <v>168</v>
      </c>
      <c r="E45" s="920"/>
      <c r="F45" s="901">
        <v>0</v>
      </c>
      <c r="G45" s="901"/>
      <c r="H45" s="901">
        <v>0.22320107580162585</v>
      </c>
      <c r="I45" s="901">
        <v>-0.22320107603445649</v>
      </c>
      <c r="J45" s="901">
        <v>-0.20763470442034304</v>
      </c>
      <c r="K45" s="901">
        <v>2.4444362497888505E-3</v>
      </c>
      <c r="L45" s="901">
        <v>-2.1438691273942823E-3</v>
      </c>
      <c r="M45" s="901">
        <v>-1.0490791290067136E-2</v>
      </c>
      <c r="N45" s="901">
        <v>-2.1070584480185062E-3</v>
      </c>
      <c r="O45" s="901">
        <v>3.225668566301465E-3</v>
      </c>
      <c r="P45" s="901">
        <v>-3.709599865032942E-3</v>
      </c>
      <c r="Q45" s="901">
        <v>-2.689909131731838E-3</v>
      </c>
      <c r="R45" s="901">
        <v>-9.4178620202001184E-5</v>
      </c>
      <c r="U45" s="909"/>
      <c r="W45" s="921"/>
      <c r="X45" s="921"/>
      <c r="Y45" s="921"/>
      <c r="Z45" s="921"/>
      <c r="AA45" s="921"/>
      <c r="AB45" s="921"/>
      <c r="AC45" s="921"/>
      <c r="AD45" s="921"/>
      <c r="AE45" s="921"/>
      <c r="AF45" s="921"/>
    </row>
    <row r="46" spans="1:99" x14ac:dyDescent="0.3">
      <c r="A46" s="883">
        <f>+A44+1</f>
        <v>30</v>
      </c>
      <c r="B46" s="883"/>
      <c r="C46" s="724"/>
      <c r="E46" s="900"/>
      <c r="F46" s="1336"/>
      <c r="G46" s="1336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T46" s="868"/>
      <c r="U46" s="900">
        <f t="shared" si="36"/>
        <v>0</v>
      </c>
      <c r="V46" s="868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868"/>
      <c r="AR46" s="868"/>
      <c r="BC46" s="868"/>
      <c r="BN46" s="868"/>
      <c r="BY46" s="868"/>
      <c r="CJ46" s="868"/>
      <c r="CU46" s="868"/>
    </row>
    <row r="47" spans="1:99" x14ac:dyDescent="0.3">
      <c r="A47" s="883">
        <f>+A46+1</f>
        <v>31</v>
      </c>
      <c r="B47" s="883"/>
      <c r="C47" s="724"/>
      <c r="D47" s="893" t="s">
        <v>198</v>
      </c>
      <c r="E47" s="893"/>
      <c r="F47" s="1336"/>
      <c r="G47" s="1336"/>
      <c r="H47" s="72"/>
      <c r="I47" s="72"/>
      <c r="J47" s="415"/>
      <c r="K47" s="4"/>
      <c r="L47" s="4"/>
      <c r="M47" s="4"/>
      <c r="N47" s="4"/>
      <c r="O47" s="4"/>
      <c r="P47" s="72"/>
      <c r="Q47" s="72"/>
      <c r="R47" s="72"/>
      <c r="T47" s="868"/>
      <c r="U47" s="900">
        <f t="shared" si="36"/>
        <v>0</v>
      </c>
      <c r="V47" s="868"/>
      <c r="W47" s="439"/>
      <c r="X47" s="439"/>
      <c r="AF47" s="439"/>
      <c r="AG47" s="868"/>
      <c r="AR47" s="868"/>
      <c r="BC47" s="868"/>
      <c r="BN47" s="868"/>
      <c r="BY47" s="868"/>
      <c r="CJ47" s="868"/>
      <c r="CU47" s="868"/>
    </row>
    <row r="48" spans="1:99" x14ac:dyDescent="0.3">
      <c r="A48" s="883">
        <f t="shared" ref="A48:A59" si="53">+A47+1</f>
        <v>32</v>
      </c>
      <c r="B48" s="883"/>
      <c r="C48" s="724" t="s">
        <v>154</v>
      </c>
      <c r="D48" s="896" t="s">
        <v>155</v>
      </c>
      <c r="E48" s="896"/>
      <c r="F48" s="1335">
        <f>+H48+I48</f>
        <v>97052.458903320847</v>
      </c>
      <c r="G48" s="1336"/>
      <c r="H48" s="72"/>
      <c r="I48" s="1335">
        <f>SUM(J48:R48)</f>
        <v>97052.458903320847</v>
      </c>
      <c r="J48" s="1159">
        <f>'MFR E-13a'!J18-SUM(J19:J23)-J16</f>
        <v>57009.421900000423</v>
      </c>
      <c r="K48" s="1159">
        <f>'MFR E-13a'!J19-SUM(K19:K23)-K16</f>
        <v>5910.866389999981</v>
      </c>
      <c r="L48" s="1159">
        <f>'MFR E-13a'!J20-SUM(L19:L23)-L16</f>
        <v>485.50820999999996</v>
      </c>
      <c r="M48" s="1159">
        <f>'MFR E-13a'!J21+'MFR E-13a'!J24-SUM(M19:M23)-M16</f>
        <v>23659.010363672045</v>
      </c>
      <c r="N48" s="1159">
        <f>'MFR E-13a'!J22+'MFR E-13a'!J26-SUM(N19:N23)-N16</f>
        <v>429.58904514799906</v>
      </c>
      <c r="O48" s="1159">
        <f>'MFR E-13a'!J23+'MFR E-13a'!J25-SUM(O19:O23)-O16</f>
        <v>4082.3796472999966</v>
      </c>
      <c r="P48" s="1159">
        <f>'MFR E-13a'!J27-SUM(P19:P23)-P16</f>
        <v>604.49006999999801</v>
      </c>
      <c r="Q48" s="1159">
        <f>'MFR E-13a'!J31-Q33</f>
        <v>4402.3984536882053</v>
      </c>
      <c r="R48" s="1159">
        <f>'MFR E-13a'!J32-R32</f>
        <v>468.79482351220577</v>
      </c>
      <c r="T48" s="868"/>
      <c r="U48" s="900">
        <f t="shared" si="36"/>
        <v>0</v>
      </c>
      <c r="V48" s="868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868"/>
      <c r="AR48" s="868"/>
      <c r="BC48" s="868"/>
      <c r="BN48" s="868"/>
      <c r="BY48" s="868"/>
      <c r="CJ48" s="868"/>
      <c r="CU48" s="868"/>
    </row>
    <row r="49" spans="1:99" x14ac:dyDescent="0.3">
      <c r="A49" s="883">
        <f t="shared" si="53"/>
        <v>33</v>
      </c>
      <c r="B49" s="883"/>
      <c r="C49" s="724">
        <v>456</v>
      </c>
      <c r="D49" s="444" t="s">
        <v>199</v>
      </c>
      <c r="E49" s="444"/>
      <c r="F49" s="1335">
        <f>+H49+I49</f>
        <v>625.76354437388466</v>
      </c>
      <c r="G49" s="1336"/>
      <c r="H49" s="72"/>
      <c r="I49" s="1335">
        <f>SUM(J49:R49)</f>
        <v>625.76354437388466</v>
      </c>
      <c r="J49" s="1159">
        <f>'MFR E-12'!I21-J17</f>
        <v>588.85139407602765</v>
      </c>
      <c r="K49" s="1159">
        <f>'MFR E-12'!I22-K17</f>
        <v>2.6381167492029221</v>
      </c>
      <c r="L49" s="1159">
        <f>'MFR E-12'!I23-L17</f>
        <v>0.29786305661869505</v>
      </c>
      <c r="M49" s="1159">
        <f>'MFR E-12'!I24+'MFR E-12'!I27-M17</f>
        <v>25.76228422344343</v>
      </c>
      <c r="N49" s="1159">
        <f>'MFR E-12'!I25+'MFR E-12'!I29-N17</f>
        <v>0.26783165846514034</v>
      </c>
      <c r="O49" s="1159">
        <f>'MFR E-12'!I26+'MFR E-12'!I28-O17</f>
        <v>7.5771083295474</v>
      </c>
      <c r="P49" s="1159">
        <f>'MFR E-12'!I30-P17</f>
        <v>0.3689462805793422</v>
      </c>
      <c r="Q49" s="72">
        <v>0</v>
      </c>
      <c r="R49" s="72">
        <v>0</v>
      </c>
      <c r="T49" s="868"/>
      <c r="U49" s="900">
        <f t="shared" si="36"/>
        <v>0</v>
      </c>
      <c r="V49" s="868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868"/>
      <c r="AR49" s="868"/>
      <c r="BC49" s="868"/>
      <c r="BN49" s="868"/>
      <c r="BY49" s="868"/>
      <c r="CJ49" s="868"/>
      <c r="CU49" s="868"/>
    </row>
    <row r="50" spans="1:99" x14ac:dyDescent="0.3">
      <c r="A50" s="883">
        <f t="shared" si="53"/>
        <v>34</v>
      </c>
      <c r="B50" s="883"/>
      <c r="C50" s="724"/>
      <c r="D50" s="896" t="s">
        <v>167</v>
      </c>
      <c r="E50" s="896"/>
      <c r="F50" s="903">
        <f>SUM(F48:F49)</f>
        <v>97678.22244769473</v>
      </c>
      <c r="G50" s="899"/>
      <c r="H50" s="903">
        <f t="shared" ref="H50:O50" si="54">SUM(H48:H49)</f>
        <v>0</v>
      </c>
      <c r="I50" s="903">
        <f t="shared" si="54"/>
        <v>97678.22244769473</v>
      </c>
      <c r="J50" s="903">
        <f t="shared" si="54"/>
        <v>57598.273294076454</v>
      </c>
      <c r="K50" s="903">
        <f t="shared" si="54"/>
        <v>5913.5045067491837</v>
      </c>
      <c r="L50" s="903">
        <f t="shared" si="54"/>
        <v>485.80607305661863</v>
      </c>
      <c r="M50" s="903">
        <f t="shared" si="54"/>
        <v>23684.77264789549</v>
      </c>
      <c r="N50" s="903">
        <f t="shared" si="54"/>
        <v>429.85687680646419</v>
      </c>
      <c r="O50" s="903">
        <f t="shared" si="54"/>
        <v>4089.9567556295442</v>
      </c>
      <c r="P50" s="903">
        <f>SUM(P48:P49)</f>
        <v>604.85901628057741</v>
      </c>
      <c r="Q50" s="903">
        <f>SUM(Q48:Q49)</f>
        <v>4402.3984536882053</v>
      </c>
      <c r="R50" s="903">
        <f>SUM(R48:R49)</f>
        <v>468.79482351220577</v>
      </c>
      <c r="T50" s="868"/>
      <c r="U50" s="900">
        <f t="shared" si="36"/>
        <v>0</v>
      </c>
      <c r="V50" s="868"/>
      <c r="W50" s="897"/>
      <c r="X50" s="897"/>
      <c r="Y50" s="897"/>
      <c r="Z50" s="897"/>
      <c r="AA50" s="897"/>
      <c r="AB50" s="897"/>
      <c r="AC50" s="897"/>
      <c r="AD50" s="897"/>
      <c r="AE50" s="897"/>
      <c r="AF50" s="897"/>
      <c r="AG50" s="868"/>
      <c r="AR50" s="868"/>
      <c r="BC50" s="868"/>
      <c r="BN50" s="868"/>
      <c r="BY50" s="868"/>
      <c r="CJ50" s="868"/>
      <c r="CU50" s="868"/>
    </row>
    <row r="51" spans="1:99" x14ac:dyDescent="0.3">
      <c r="A51" s="883">
        <f t="shared" si="53"/>
        <v>35</v>
      </c>
      <c r="B51" s="883"/>
      <c r="C51" s="724"/>
      <c r="D51" s="896"/>
      <c r="E51" s="896"/>
      <c r="F51" s="1336"/>
      <c r="G51" s="1336"/>
      <c r="H51" s="72"/>
      <c r="I51" s="72"/>
      <c r="J51" s="1159"/>
      <c r="K51" s="1159"/>
      <c r="L51" s="1159"/>
      <c r="M51" s="1159"/>
      <c r="N51" s="1159"/>
      <c r="O51" s="1159"/>
      <c r="P51" s="72"/>
      <c r="Q51" s="72"/>
      <c r="R51" s="72"/>
      <c r="T51" s="868"/>
      <c r="U51" s="900">
        <f t="shared" si="36"/>
        <v>0</v>
      </c>
      <c r="V51" s="868"/>
      <c r="W51" s="1"/>
      <c r="X51" s="1"/>
      <c r="Y51" s="1"/>
      <c r="Z51" s="1"/>
      <c r="AA51" s="1"/>
      <c r="AB51" s="1"/>
      <c r="AC51" s="1"/>
      <c r="AD51" s="1"/>
      <c r="AE51" s="1"/>
      <c r="AG51" s="868"/>
      <c r="AR51" s="868"/>
      <c r="BC51" s="868"/>
      <c r="BN51" s="868"/>
      <c r="BY51" s="868"/>
      <c r="CJ51" s="868"/>
      <c r="CU51" s="868"/>
    </row>
    <row r="52" spans="1:99" x14ac:dyDescent="0.3">
      <c r="A52" s="883">
        <f t="shared" si="53"/>
        <v>36</v>
      </c>
      <c r="B52" s="883"/>
      <c r="C52" s="724">
        <v>451</v>
      </c>
      <c r="D52" s="896" t="s">
        <v>170</v>
      </c>
      <c r="E52" s="896"/>
      <c r="F52" s="1336"/>
      <c r="G52" s="1336"/>
      <c r="H52" s="72"/>
      <c r="I52" s="72"/>
      <c r="J52" s="415"/>
      <c r="K52" s="4"/>
      <c r="L52" s="4"/>
      <c r="M52" s="4"/>
      <c r="N52" s="4"/>
      <c r="O52" s="4"/>
      <c r="P52" s="72"/>
      <c r="Q52" s="72"/>
      <c r="R52" s="72"/>
      <c r="T52" s="868"/>
      <c r="U52" s="900">
        <f t="shared" si="36"/>
        <v>0</v>
      </c>
      <c r="V52" s="868"/>
      <c r="W52" s="1"/>
      <c r="X52" s="1"/>
      <c r="Y52" s="1"/>
      <c r="Z52" s="1"/>
      <c r="AA52" s="1"/>
      <c r="AB52" s="1"/>
      <c r="AC52" s="1"/>
      <c r="AD52" s="1"/>
      <c r="AE52" s="1"/>
      <c r="AG52" s="868"/>
      <c r="AR52" s="868"/>
      <c r="BC52" s="868"/>
      <c r="BN52" s="868"/>
      <c r="BY52" s="868"/>
      <c r="CJ52" s="868"/>
      <c r="CU52" s="868"/>
    </row>
    <row r="53" spans="1:99" x14ac:dyDescent="0.3">
      <c r="A53" s="883">
        <f t="shared" si="53"/>
        <v>37</v>
      </c>
      <c r="B53" s="883"/>
      <c r="C53" s="724"/>
      <c r="D53" s="911" t="s">
        <v>200</v>
      </c>
      <c r="E53" s="911"/>
      <c r="F53" s="1335">
        <f>I53</f>
        <v>0</v>
      </c>
      <c r="G53" s="1336"/>
      <c r="H53" s="72"/>
      <c r="I53" s="72"/>
      <c r="J53" s="1159"/>
      <c r="K53" s="1159"/>
      <c r="L53" s="1159"/>
      <c r="M53" s="1159"/>
      <c r="N53" s="1159"/>
      <c r="O53" s="1159"/>
      <c r="P53" s="1159"/>
      <c r="Q53" s="1336"/>
      <c r="R53" s="1336"/>
      <c r="T53" s="868"/>
      <c r="U53" s="900">
        <f t="shared" si="36"/>
        <v>0</v>
      </c>
      <c r="V53" s="868"/>
      <c r="Y53" s="725"/>
      <c r="Z53" s="725"/>
      <c r="AA53" s="725"/>
      <c r="AB53" s="725"/>
      <c r="AC53" s="725"/>
      <c r="AD53" s="725"/>
      <c r="AE53" s="725"/>
      <c r="AG53" s="868"/>
      <c r="AR53" s="868"/>
      <c r="BC53" s="868"/>
      <c r="BN53" s="868"/>
      <c r="BY53" s="868"/>
      <c r="CJ53" s="868"/>
      <c r="CU53" s="868"/>
    </row>
    <row r="54" spans="1:99" x14ac:dyDescent="0.3">
      <c r="A54" s="883">
        <f t="shared" si="53"/>
        <v>38</v>
      </c>
      <c r="B54" s="883"/>
      <c r="C54" s="724"/>
      <c r="D54" s="912" t="s">
        <v>179</v>
      </c>
      <c r="E54" s="912"/>
      <c r="F54" s="1335">
        <f>I54</f>
        <v>0</v>
      </c>
      <c r="G54" s="1336"/>
      <c r="H54" s="72"/>
      <c r="I54" s="72">
        <v>0</v>
      </c>
      <c r="J54" s="1159"/>
      <c r="K54" s="1159"/>
      <c r="L54" s="1159"/>
      <c r="M54" s="1159"/>
      <c r="N54" s="1159"/>
      <c r="O54" s="1159"/>
      <c r="P54" s="1159"/>
      <c r="Q54" s="72">
        <f>+I54</f>
        <v>0</v>
      </c>
      <c r="R54" s="72">
        <f>+J54</f>
        <v>0</v>
      </c>
      <c r="T54" s="868"/>
      <c r="U54" s="900">
        <f t="shared" si="36"/>
        <v>0</v>
      </c>
      <c r="V54" s="868"/>
      <c r="Y54" s="725"/>
      <c r="Z54" s="725"/>
      <c r="AA54" s="725"/>
      <c r="AB54" s="725"/>
      <c r="AC54" s="725"/>
      <c r="AD54" s="725"/>
      <c r="AE54" s="725"/>
      <c r="AG54" s="868"/>
      <c r="AR54" s="868"/>
      <c r="BC54" s="868"/>
      <c r="BN54" s="868"/>
      <c r="BY54" s="868"/>
      <c r="CJ54" s="868"/>
      <c r="CU54" s="868"/>
    </row>
    <row r="55" spans="1:99" x14ac:dyDescent="0.3">
      <c r="A55" s="883">
        <f t="shared" si="53"/>
        <v>39</v>
      </c>
      <c r="C55" s="724"/>
      <c r="D55" s="896" t="s">
        <v>196</v>
      </c>
      <c r="E55" s="896"/>
      <c r="F55" s="915">
        <f>SUM(F52:F54)</f>
        <v>0</v>
      </c>
      <c r="G55" s="1339"/>
      <c r="H55" s="915">
        <f t="shared" ref="H55:R55" si="55">SUM(H52:H54)</f>
        <v>0</v>
      </c>
      <c r="I55" s="915">
        <f t="shared" si="55"/>
        <v>0</v>
      </c>
      <c r="J55" s="915">
        <f t="shared" si="55"/>
        <v>0</v>
      </c>
      <c r="K55" s="915">
        <f t="shared" si="55"/>
        <v>0</v>
      </c>
      <c r="L55" s="915">
        <f t="shared" si="55"/>
        <v>0</v>
      </c>
      <c r="M55" s="915">
        <f t="shared" si="55"/>
        <v>0</v>
      </c>
      <c r="N55" s="915">
        <f t="shared" si="55"/>
        <v>0</v>
      </c>
      <c r="O55" s="915">
        <f t="shared" si="55"/>
        <v>0</v>
      </c>
      <c r="P55" s="915">
        <f t="shared" si="55"/>
        <v>0</v>
      </c>
      <c r="Q55" s="915">
        <f t="shared" si="55"/>
        <v>0</v>
      </c>
      <c r="R55" s="915">
        <f t="shared" si="55"/>
        <v>0</v>
      </c>
      <c r="T55" s="868"/>
      <c r="U55" s="900">
        <f t="shared" si="36"/>
        <v>0</v>
      </c>
      <c r="V55" s="868"/>
      <c r="Y55" s="725"/>
      <c r="Z55" s="725"/>
      <c r="AA55" s="725"/>
      <c r="AB55" s="725"/>
      <c r="AC55" s="725"/>
      <c r="AD55" s="725"/>
      <c r="AE55" s="725"/>
      <c r="AG55" s="868"/>
      <c r="AR55" s="868"/>
      <c r="BC55" s="868"/>
      <c r="BN55" s="868"/>
      <c r="BY55" s="868"/>
      <c r="CJ55" s="868"/>
      <c r="CU55" s="868"/>
    </row>
    <row r="56" spans="1:99" x14ac:dyDescent="0.3">
      <c r="A56" s="883">
        <f t="shared" si="53"/>
        <v>40</v>
      </c>
      <c r="C56" s="724"/>
      <c r="D56" s="446"/>
      <c r="E56" s="446"/>
      <c r="F56" s="1339"/>
      <c r="G56" s="1339"/>
      <c r="H56" s="1339"/>
      <c r="I56" s="1339"/>
      <c r="J56" s="415"/>
      <c r="K56" s="4"/>
      <c r="L56" s="4"/>
      <c r="M56" s="4"/>
      <c r="N56" s="4"/>
      <c r="O56" s="4"/>
      <c r="P56" s="72"/>
      <c r="Q56" s="72"/>
      <c r="R56" s="72"/>
      <c r="T56" s="868"/>
      <c r="U56" s="900">
        <f t="shared" si="36"/>
        <v>0</v>
      </c>
      <c r="V56" s="868"/>
      <c r="Y56" s="725"/>
      <c r="Z56" s="725"/>
      <c r="AA56" s="725"/>
      <c r="AB56" s="725"/>
      <c r="AC56" s="725"/>
      <c r="AD56" s="725"/>
      <c r="AE56" s="725"/>
      <c r="AG56" s="868"/>
      <c r="AR56" s="868"/>
      <c r="BC56" s="868"/>
      <c r="BN56" s="868"/>
      <c r="BY56" s="868"/>
      <c r="CJ56" s="868"/>
      <c r="CU56" s="868"/>
    </row>
    <row r="57" spans="1:99" x14ac:dyDescent="0.3">
      <c r="A57" s="883">
        <f t="shared" si="53"/>
        <v>41</v>
      </c>
      <c r="D57" s="922" t="s">
        <v>201</v>
      </c>
      <c r="E57" s="922"/>
      <c r="F57" s="915">
        <f>+F50+F55</f>
        <v>97678.22244769473</v>
      </c>
      <c r="G57" s="1339"/>
      <c r="H57" s="915">
        <f t="shared" ref="H57:R57" si="56">+H50+H55</f>
        <v>0</v>
      </c>
      <c r="I57" s="915">
        <f t="shared" si="56"/>
        <v>97678.22244769473</v>
      </c>
      <c r="J57" s="915">
        <f t="shared" si="56"/>
        <v>57598.273294076454</v>
      </c>
      <c r="K57" s="915">
        <f t="shared" si="56"/>
        <v>5913.5045067491837</v>
      </c>
      <c r="L57" s="915">
        <f t="shared" si="56"/>
        <v>485.80607305661863</v>
      </c>
      <c r="M57" s="915">
        <f t="shared" si="56"/>
        <v>23684.77264789549</v>
      </c>
      <c r="N57" s="915">
        <f t="shared" si="56"/>
        <v>429.85687680646419</v>
      </c>
      <c r="O57" s="915">
        <f t="shared" si="56"/>
        <v>4089.9567556295442</v>
      </c>
      <c r="P57" s="915">
        <f t="shared" si="56"/>
        <v>604.85901628057741</v>
      </c>
      <c r="Q57" s="915">
        <f t="shared" si="56"/>
        <v>4402.3984536882053</v>
      </c>
      <c r="R57" s="915">
        <f t="shared" si="56"/>
        <v>468.79482351220577</v>
      </c>
      <c r="T57" s="868"/>
      <c r="U57" s="900">
        <f t="shared" si="36"/>
        <v>0</v>
      </c>
      <c r="V57" s="868"/>
      <c r="Y57" s="725"/>
      <c r="Z57" s="725"/>
      <c r="AA57" s="725"/>
      <c r="AB57" s="725"/>
      <c r="AC57" s="725"/>
      <c r="AD57" s="725"/>
      <c r="AE57" s="725"/>
      <c r="AG57" s="868"/>
      <c r="AR57" s="868"/>
      <c r="BC57" s="868"/>
      <c r="BN57" s="868"/>
      <c r="BY57" s="868"/>
      <c r="CJ57" s="868"/>
      <c r="CU57" s="868"/>
    </row>
    <row r="58" spans="1:99" x14ac:dyDescent="0.3">
      <c r="A58" s="883">
        <f t="shared" si="53"/>
        <v>42</v>
      </c>
      <c r="F58" s="1339"/>
      <c r="G58" s="1339"/>
      <c r="H58" s="1339"/>
      <c r="I58" s="72"/>
      <c r="J58" s="415"/>
      <c r="K58" s="72"/>
      <c r="L58" s="72"/>
      <c r="M58" s="72"/>
      <c r="N58" s="72"/>
      <c r="O58" s="72"/>
      <c r="P58" s="72"/>
      <c r="Q58" s="72"/>
      <c r="R58" s="72"/>
      <c r="T58" s="868"/>
      <c r="U58" s="900">
        <f t="shared" si="36"/>
        <v>0</v>
      </c>
      <c r="V58" s="868"/>
      <c r="Y58" s="725"/>
      <c r="Z58" s="725"/>
      <c r="AA58" s="725"/>
      <c r="AB58" s="725"/>
      <c r="AC58" s="725"/>
      <c r="AD58" s="725"/>
      <c r="AE58" s="725"/>
      <c r="AG58" s="868"/>
      <c r="AR58" s="868"/>
      <c r="BC58" s="868"/>
      <c r="BN58" s="868"/>
      <c r="BY58" s="868"/>
      <c r="CJ58" s="868"/>
      <c r="CU58" s="868"/>
    </row>
    <row r="59" spans="1:99" ht="14.4" thickBot="1" x14ac:dyDescent="0.35">
      <c r="A59" s="883">
        <f t="shared" si="53"/>
        <v>43</v>
      </c>
      <c r="D59" s="922" t="s">
        <v>202</v>
      </c>
      <c r="E59" s="922"/>
      <c r="F59" s="1342">
        <f>+F44+F57</f>
        <v>3934537.6795630637</v>
      </c>
      <c r="G59" s="1339"/>
      <c r="H59" s="1342">
        <f t="shared" ref="H59:R59" si="57">+H44+H57</f>
        <v>236401.99600786023</v>
      </c>
      <c r="I59" s="1342">
        <f t="shared" si="57"/>
        <v>3698135.6835552035</v>
      </c>
      <c r="J59" s="1342">
        <f t="shared" si="57"/>
        <v>2341820.1446493994</v>
      </c>
      <c r="K59" s="1342">
        <f t="shared" si="57"/>
        <v>209142.99418662279</v>
      </c>
      <c r="L59" s="1342">
        <f t="shared" si="57"/>
        <v>12767.155587923266</v>
      </c>
      <c r="M59" s="1342">
        <f t="shared" si="57"/>
        <v>882950.78705462092</v>
      </c>
      <c r="N59" s="1342">
        <f t="shared" si="57"/>
        <v>11244.608870322612</v>
      </c>
      <c r="O59" s="1342">
        <f t="shared" si="57"/>
        <v>105424.79508801462</v>
      </c>
      <c r="P59" s="1342">
        <f t="shared" si="57"/>
        <v>16636.764692466801</v>
      </c>
      <c r="Q59" s="1342">
        <f t="shared" si="57"/>
        <v>113105.08005148388</v>
      </c>
      <c r="R59" s="1342">
        <f t="shared" si="57"/>
        <v>5043.353374348103</v>
      </c>
      <c r="T59" s="868"/>
      <c r="U59" s="900">
        <f t="shared" si="36"/>
        <v>0</v>
      </c>
      <c r="V59" s="868"/>
      <c r="Y59" s="725"/>
      <c r="Z59" s="725"/>
      <c r="AA59" s="725"/>
      <c r="AB59" s="725"/>
      <c r="AC59" s="725"/>
      <c r="AD59" s="725"/>
      <c r="AE59" s="725"/>
      <c r="AG59" s="868"/>
      <c r="AR59" s="868"/>
      <c r="BC59" s="868"/>
      <c r="BN59" s="868"/>
      <c r="BY59" s="868"/>
      <c r="CJ59" s="868"/>
      <c r="CU59" s="868"/>
    </row>
    <row r="60" spans="1:99" ht="7.35" customHeight="1" thickTop="1" x14ac:dyDescent="0.3">
      <c r="A60" s="883"/>
      <c r="F60" s="1339"/>
      <c r="G60" s="1339"/>
      <c r="H60" s="1339"/>
      <c r="I60" s="1336"/>
      <c r="J60" s="1336"/>
      <c r="K60" s="1336"/>
      <c r="L60" s="1336"/>
      <c r="M60" s="1336"/>
      <c r="N60" s="1336"/>
      <c r="O60" s="1336"/>
      <c r="P60" s="1336"/>
      <c r="Q60" s="1336"/>
      <c r="R60" s="1336"/>
      <c r="T60" s="868"/>
      <c r="V60" s="868"/>
      <c r="Y60" s="725"/>
      <c r="Z60" s="725"/>
      <c r="AA60" s="725"/>
      <c r="AB60" s="725"/>
      <c r="AC60" s="725"/>
      <c r="AD60" s="725"/>
      <c r="AE60" s="725"/>
      <c r="AG60" s="868"/>
      <c r="AR60" s="868"/>
      <c r="BC60" s="868"/>
      <c r="BN60" s="868"/>
      <c r="BY60" s="868"/>
      <c r="CJ60" s="868"/>
      <c r="CU60" s="868"/>
    </row>
    <row r="61" spans="1:99" x14ac:dyDescent="0.3">
      <c r="A61" s="379"/>
      <c r="B61" s="380" t="s">
        <v>98</v>
      </c>
      <c r="C61" s="379"/>
      <c r="D61" s="380" t="s">
        <v>203</v>
      </c>
      <c r="E61" s="381"/>
      <c r="F61" s="1343"/>
      <c r="G61" s="1343"/>
      <c r="H61" s="1343"/>
      <c r="I61" s="1343"/>
      <c r="J61" s="1343"/>
      <c r="K61" s="1343"/>
      <c r="L61" s="1343"/>
      <c r="M61" s="1343"/>
      <c r="N61" s="1343"/>
      <c r="O61" s="1344"/>
      <c r="P61" s="1345"/>
      <c r="Q61" s="1346"/>
      <c r="R61" s="1346" t="s">
        <v>99</v>
      </c>
      <c r="S61" s="379"/>
      <c r="T61" s="868"/>
      <c r="U61" s="21"/>
      <c r="V61" s="868"/>
      <c r="Y61" s="725"/>
      <c r="Z61" s="725"/>
      <c r="AA61" s="725"/>
      <c r="AB61" s="725"/>
      <c r="AC61" s="725"/>
      <c r="AD61" s="725"/>
      <c r="AE61" s="725"/>
      <c r="AG61" s="868"/>
      <c r="AR61" s="868"/>
      <c r="BC61" s="868"/>
      <c r="BN61" s="868"/>
      <c r="BY61" s="868"/>
      <c r="CJ61" s="868"/>
      <c r="CU61" s="868"/>
    </row>
    <row r="62" spans="1:99" x14ac:dyDescent="0.3">
      <c r="A62" s="868"/>
      <c r="B62" s="868"/>
      <c r="C62" s="868"/>
      <c r="D62" s="868"/>
      <c r="E62" s="868"/>
      <c r="F62" s="868"/>
      <c r="G62" s="868"/>
      <c r="H62" s="868"/>
      <c r="I62" s="868"/>
      <c r="J62" s="868"/>
      <c r="K62" s="868"/>
      <c r="L62" s="868"/>
      <c r="M62" s="868"/>
      <c r="N62" s="868"/>
      <c r="O62" s="868"/>
      <c r="P62" s="868"/>
      <c r="Q62" s="868"/>
      <c r="R62" s="868"/>
      <c r="S62" s="868"/>
      <c r="T62" s="868"/>
      <c r="U62" s="868"/>
      <c r="V62" s="868"/>
      <c r="W62" s="868"/>
      <c r="X62" s="868"/>
      <c r="Y62" s="923"/>
      <c r="Z62" s="923"/>
      <c r="AA62" s="923"/>
      <c r="AB62" s="923"/>
      <c r="AC62" s="923"/>
      <c r="AD62" s="923"/>
      <c r="AE62" s="923"/>
      <c r="AF62" s="868"/>
      <c r="AG62" s="868"/>
      <c r="AH62" s="868"/>
      <c r="AI62" s="868"/>
      <c r="AJ62" s="868"/>
      <c r="AK62" s="868"/>
      <c r="AL62" s="868"/>
      <c r="AM62" s="868"/>
      <c r="AN62" s="868"/>
      <c r="AO62" s="868"/>
      <c r="AP62" s="868"/>
      <c r="AQ62" s="868"/>
      <c r="AR62" s="868"/>
      <c r="AS62" s="868"/>
      <c r="AT62" s="868"/>
      <c r="AU62" s="868"/>
      <c r="AV62" s="868"/>
      <c r="AW62" s="868"/>
      <c r="AX62" s="868"/>
      <c r="AY62" s="868"/>
      <c r="AZ62" s="868"/>
      <c r="BA62" s="868"/>
      <c r="BB62" s="868"/>
      <c r="BC62" s="868"/>
      <c r="BD62" s="868"/>
      <c r="BE62" s="868"/>
      <c r="BF62" s="868"/>
      <c r="BG62" s="868"/>
      <c r="BH62" s="868"/>
      <c r="BI62" s="868"/>
      <c r="BJ62" s="868"/>
      <c r="BK62" s="868"/>
      <c r="BL62" s="868"/>
      <c r="BM62" s="868"/>
      <c r="BN62" s="868"/>
      <c r="BO62" s="868"/>
      <c r="BP62" s="868"/>
      <c r="BQ62" s="868"/>
      <c r="BR62" s="868"/>
      <c r="BS62" s="868"/>
      <c r="BT62" s="868"/>
      <c r="BU62" s="868"/>
      <c r="BV62" s="868"/>
      <c r="BW62" s="868"/>
      <c r="BX62" s="868"/>
      <c r="BY62" s="868"/>
      <c r="BZ62" s="868"/>
      <c r="CA62" s="868"/>
      <c r="CB62" s="868"/>
      <c r="CC62" s="868"/>
      <c r="CD62" s="868"/>
      <c r="CE62" s="868"/>
      <c r="CF62" s="868"/>
      <c r="CG62" s="868"/>
      <c r="CH62" s="868"/>
      <c r="CI62" s="868"/>
      <c r="CJ62" s="868"/>
      <c r="CK62" s="868"/>
      <c r="CL62" s="868"/>
      <c r="CM62" s="868"/>
      <c r="CN62" s="868"/>
      <c r="CO62" s="868"/>
      <c r="CP62" s="868"/>
      <c r="CQ62" s="868"/>
      <c r="CR62" s="868"/>
      <c r="CS62" s="868"/>
      <c r="CT62" s="868"/>
      <c r="CU62" s="868"/>
    </row>
    <row r="63" spans="1:99" x14ac:dyDescent="0.3">
      <c r="F63" s="1339"/>
      <c r="G63" s="1339"/>
      <c r="H63" s="1339"/>
      <c r="I63" s="1336"/>
      <c r="J63" s="1336"/>
      <c r="K63" s="1336"/>
      <c r="L63" s="1336"/>
      <c r="M63" s="1336"/>
      <c r="N63" s="1336"/>
      <c r="O63" s="1336"/>
      <c r="P63" s="1336"/>
      <c r="Q63" s="1336"/>
      <c r="R63" s="1336"/>
    </row>
    <row r="64" spans="1:99" x14ac:dyDescent="0.3">
      <c r="F64" s="1336"/>
      <c r="G64" s="1336"/>
      <c r="H64" s="1336"/>
      <c r="I64" s="1336"/>
      <c r="J64" s="1336"/>
      <c r="K64" s="1336"/>
      <c r="L64" s="1336"/>
      <c r="M64" s="1336"/>
      <c r="N64" s="1336"/>
      <c r="O64" s="1336"/>
      <c r="P64" s="1336"/>
      <c r="Q64" s="1336"/>
      <c r="R64" s="1336"/>
      <c r="W64" s="924"/>
      <c r="Y64" s="924"/>
    </row>
    <row r="65" spans="6:31" x14ac:dyDescent="0.3">
      <c r="F65" s="1336"/>
      <c r="G65" s="1336"/>
      <c r="H65" s="1336"/>
      <c r="I65" s="1336"/>
      <c r="J65" s="1336"/>
      <c r="K65" s="1336"/>
      <c r="L65" s="1336"/>
      <c r="M65" s="1336"/>
      <c r="N65" s="1336"/>
      <c r="O65" s="1336"/>
      <c r="P65" s="1336"/>
      <c r="Q65" s="1336"/>
      <c r="R65" s="1336"/>
      <c r="W65" s="439"/>
    </row>
    <row r="66" spans="6:31" x14ac:dyDescent="0.3">
      <c r="F66" s="1336"/>
      <c r="G66" s="1336"/>
      <c r="H66" s="1336"/>
      <c r="I66" s="1336"/>
      <c r="J66" s="1336"/>
      <c r="K66" s="1336"/>
      <c r="L66" s="1336"/>
      <c r="M66" s="1336"/>
      <c r="N66" s="1336"/>
      <c r="O66" s="1336"/>
      <c r="P66" s="1336"/>
      <c r="Q66" s="1336"/>
      <c r="R66" s="1336"/>
      <c r="S66" s="925"/>
      <c r="U66" s="925"/>
      <c r="W66" s="439"/>
      <c r="AE66" s="439">
        <v>1</v>
      </c>
    </row>
    <row r="67" spans="6:31" x14ac:dyDescent="0.3">
      <c r="F67" s="1336"/>
      <c r="G67" s="1336"/>
      <c r="H67" s="1336"/>
      <c r="I67" s="1336"/>
      <c r="J67" s="1336"/>
      <c r="K67" s="1336"/>
      <c r="L67" s="1336"/>
      <c r="M67" s="1336"/>
      <c r="N67" s="1336"/>
      <c r="O67" s="1336"/>
      <c r="P67" s="1336"/>
      <c r="Q67" s="1336"/>
      <c r="R67" s="1336"/>
      <c r="W67" s="439"/>
      <c r="Z67" s="725"/>
      <c r="AB67" s="725"/>
      <c r="AE67" s="439">
        <v>5</v>
      </c>
    </row>
    <row r="68" spans="6:31" x14ac:dyDescent="0.3">
      <c r="F68" s="1336"/>
      <c r="G68" s="1336"/>
      <c r="H68" s="1336"/>
      <c r="I68" s="1336"/>
      <c r="J68" s="1336"/>
      <c r="K68" s="1336"/>
      <c r="L68" s="1336"/>
      <c r="M68" s="1336"/>
      <c r="N68" s="1336"/>
      <c r="O68" s="1336"/>
      <c r="P68" s="1336"/>
      <c r="Q68" s="1336"/>
      <c r="R68" s="1336"/>
      <c r="W68" s="439"/>
      <c r="Z68" s="725"/>
      <c r="AB68" s="725"/>
      <c r="AE68" s="439">
        <v>6</v>
      </c>
    </row>
    <row r="69" spans="6:31" x14ac:dyDescent="0.3">
      <c r="F69" s="1336"/>
      <c r="G69" s="1336"/>
      <c r="H69" s="1336"/>
      <c r="I69" s="1336"/>
      <c r="J69" s="1336"/>
      <c r="K69" s="1336"/>
      <c r="L69" s="1336"/>
      <c r="M69" s="1336"/>
      <c r="N69" s="1336"/>
      <c r="O69" s="1336"/>
      <c r="P69" s="1336"/>
      <c r="Q69" s="1336"/>
      <c r="R69" s="1336"/>
      <c r="W69" s="439"/>
      <c r="Z69" s="725"/>
      <c r="AB69" s="725"/>
      <c r="AE69" s="439">
        <v>7</v>
      </c>
    </row>
    <row r="70" spans="6:31" x14ac:dyDescent="0.3">
      <c r="F70" s="1336"/>
      <c r="G70" s="1336"/>
      <c r="H70" s="1336"/>
      <c r="I70" s="1336"/>
      <c r="J70" s="1336"/>
      <c r="K70" s="1336"/>
      <c r="L70" s="1336"/>
      <c r="M70" s="1336"/>
      <c r="N70" s="1336"/>
      <c r="O70" s="1336"/>
      <c r="P70" s="1336"/>
      <c r="Q70" s="1336"/>
      <c r="R70" s="1336"/>
      <c r="W70" s="439"/>
      <c r="Z70" s="725"/>
      <c r="AB70" s="725"/>
      <c r="AE70" s="439">
        <v>8</v>
      </c>
    </row>
    <row r="71" spans="6:31" x14ac:dyDescent="0.3">
      <c r="F71" s="1339"/>
      <c r="G71" s="1339"/>
      <c r="H71" s="1339"/>
      <c r="I71" s="1336"/>
      <c r="J71" s="1336"/>
      <c r="K71" s="1336"/>
      <c r="L71" s="1336"/>
      <c r="M71" s="1336"/>
      <c r="N71" s="1336"/>
      <c r="O71" s="1336"/>
      <c r="P71" s="1336"/>
      <c r="Q71" s="1336"/>
      <c r="R71" s="1336"/>
    </row>
    <row r="72" spans="6:31" x14ac:dyDescent="0.3">
      <c r="F72" s="1339"/>
      <c r="G72" s="1339"/>
      <c r="H72" s="1339"/>
      <c r="I72" s="1336"/>
      <c r="J72" s="1336"/>
      <c r="K72" s="1336"/>
      <c r="L72" s="1336"/>
      <c r="M72" s="1336"/>
      <c r="N72" s="1336"/>
      <c r="O72" s="1336"/>
      <c r="P72" s="1336"/>
      <c r="Q72" s="1336"/>
      <c r="R72" s="1336"/>
    </row>
    <row r="73" spans="6:31" x14ac:dyDescent="0.3">
      <c r="F73" s="1339"/>
      <c r="G73" s="1339"/>
      <c r="H73" s="1339"/>
      <c r="I73" s="1336"/>
      <c r="J73" s="1336"/>
      <c r="K73" s="1336"/>
      <c r="L73" s="1336"/>
      <c r="M73" s="1336"/>
      <c r="N73" s="1336"/>
      <c r="O73" s="1336"/>
      <c r="P73" s="1336"/>
      <c r="Q73" s="1336"/>
      <c r="R73" s="1336"/>
    </row>
    <row r="74" spans="6:31" x14ac:dyDescent="0.3">
      <c r="F74" s="1339"/>
      <c r="G74" s="1339"/>
      <c r="H74" s="1339"/>
      <c r="I74" s="1336"/>
      <c r="J74" s="1336"/>
      <c r="K74" s="1336"/>
      <c r="L74" s="1336"/>
      <c r="M74" s="1336"/>
      <c r="N74" s="1336"/>
      <c r="O74" s="1336"/>
      <c r="P74" s="1336"/>
      <c r="Q74" s="1336"/>
      <c r="R74" s="1336"/>
    </row>
    <row r="75" spans="6:31" x14ac:dyDescent="0.3">
      <c r="F75" s="1339"/>
      <c r="G75" s="1339"/>
      <c r="H75" s="1339"/>
      <c r="I75" s="1336"/>
      <c r="J75" s="1336"/>
      <c r="K75" s="1336"/>
      <c r="L75" s="1336"/>
      <c r="M75" s="1336"/>
      <c r="N75" s="1336"/>
      <c r="O75" s="1336"/>
      <c r="P75" s="1336"/>
      <c r="Q75" s="1336"/>
      <c r="R75" s="1336"/>
    </row>
    <row r="76" spans="6:31" x14ac:dyDescent="0.3">
      <c r="F76" s="1339"/>
      <c r="G76" s="1336"/>
      <c r="H76" s="1339"/>
      <c r="I76" s="1336"/>
      <c r="J76" s="1336"/>
      <c r="K76" s="1336"/>
      <c r="L76" s="1336"/>
      <c r="M76" s="1336"/>
      <c r="N76" s="1336"/>
      <c r="O76" s="1336"/>
      <c r="P76" s="1336"/>
      <c r="Q76" s="1336"/>
      <c r="R76" s="1336"/>
    </row>
    <row r="77" spans="6:31" x14ac:dyDescent="0.3">
      <c r="F77" s="1339"/>
      <c r="G77" s="1339"/>
      <c r="H77" s="1339"/>
      <c r="I77" s="1336"/>
      <c r="J77" s="1336"/>
      <c r="K77" s="1336"/>
      <c r="L77" s="1336"/>
      <c r="M77" s="1336"/>
      <c r="N77" s="1336"/>
      <c r="O77" s="1336"/>
      <c r="P77" s="1336"/>
      <c r="Q77" s="1336"/>
      <c r="R77" s="1336"/>
    </row>
    <row r="78" spans="6:31" x14ac:dyDescent="0.3">
      <c r="F78" s="1339"/>
      <c r="G78" s="1339"/>
      <c r="H78" s="1339"/>
      <c r="I78" s="1336"/>
      <c r="J78" s="1336"/>
      <c r="K78" s="1336"/>
      <c r="L78" s="1336"/>
      <c r="M78" s="1336"/>
      <c r="N78" s="1336"/>
      <c r="O78" s="1336"/>
      <c r="P78" s="1336"/>
      <c r="Q78" s="1336"/>
      <c r="R78" s="1336"/>
    </row>
    <row r="79" spans="6:31" x14ac:dyDescent="0.3">
      <c r="F79" s="1339"/>
      <c r="G79" s="1339"/>
      <c r="H79" s="1339"/>
      <c r="I79" s="1336"/>
      <c r="J79" s="1336"/>
      <c r="K79" s="1336"/>
      <c r="L79" s="1336"/>
      <c r="M79" s="1336"/>
      <c r="N79" s="1336"/>
      <c r="O79" s="1336"/>
      <c r="P79" s="1336"/>
      <c r="Q79" s="1336"/>
      <c r="R79" s="1336"/>
    </row>
    <row r="80" spans="6:31" x14ac:dyDescent="0.3">
      <c r="F80" s="1339"/>
      <c r="G80" s="1339"/>
      <c r="H80" s="1339"/>
      <c r="I80" s="1336"/>
      <c r="J80" s="1336"/>
      <c r="K80" s="1336"/>
      <c r="L80" s="1336"/>
      <c r="M80" s="1336"/>
      <c r="N80" s="1336"/>
      <c r="O80" s="1336"/>
      <c r="P80" s="1336"/>
      <c r="Q80" s="1336"/>
      <c r="R80" s="1336"/>
    </row>
    <row r="81" spans="6:18" x14ac:dyDescent="0.3">
      <c r="F81" s="1339"/>
      <c r="G81" s="1339"/>
      <c r="H81" s="1339"/>
      <c r="I81" s="1336"/>
      <c r="J81" s="1336"/>
      <c r="K81" s="1336"/>
      <c r="L81" s="1336"/>
      <c r="M81" s="1336"/>
      <c r="N81" s="1336"/>
      <c r="O81" s="1336"/>
      <c r="P81" s="1336"/>
      <c r="Q81" s="1336"/>
      <c r="R81" s="1336"/>
    </row>
    <row r="82" spans="6:18" x14ac:dyDescent="0.3">
      <c r="F82" s="1339"/>
      <c r="G82" s="1339"/>
      <c r="H82" s="1339"/>
      <c r="I82" s="1336"/>
      <c r="J82" s="1336"/>
      <c r="K82" s="1336"/>
      <c r="L82" s="1336"/>
      <c r="M82" s="1336"/>
      <c r="N82" s="1336"/>
      <c r="O82" s="1336"/>
      <c r="P82" s="1336"/>
      <c r="Q82" s="1336"/>
      <c r="R82" s="1336"/>
    </row>
    <row r="83" spans="6:18" x14ac:dyDescent="0.3">
      <c r="F83" s="1339"/>
      <c r="G83" s="1339"/>
      <c r="H83" s="1339"/>
      <c r="I83" s="1336"/>
      <c r="J83" s="1336"/>
      <c r="K83" s="1336"/>
      <c r="L83" s="1336"/>
      <c r="M83" s="1336"/>
      <c r="N83" s="1336"/>
      <c r="O83" s="1336"/>
      <c r="P83" s="1336"/>
      <c r="Q83" s="1336"/>
      <c r="R83" s="1336"/>
    </row>
    <row r="84" spans="6:18" x14ac:dyDescent="0.3">
      <c r="F84" s="1339"/>
      <c r="G84" s="1339"/>
      <c r="H84" s="1339"/>
      <c r="I84" s="1336"/>
      <c r="J84" s="1336"/>
      <c r="K84" s="1336"/>
      <c r="L84" s="1336"/>
      <c r="M84" s="1336"/>
      <c r="N84" s="1336"/>
      <c r="O84" s="1336"/>
      <c r="P84" s="1336"/>
      <c r="Q84" s="1336"/>
      <c r="R84" s="1336"/>
    </row>
    <row r="85" spans="6:18" x14ac:dyDescent="0.3">
      <c r="F85" s="1339"/>
      <c r="G85" s="1339"/>
      <c r="H85" s="1339"/>
      <c r="I85" s="1336"/>
      <c r="J85" s="1336"/>
      <c r="K85" s="1336"/>
      <c r="L85" s="1336"/>
      <c r="M85" s="1336"/>
      <c r="N85" s="1336"/>
      <c r="O85" s="1336"/>
      <c r="P85" s="1336"/>
      <c r="Q85" s="1336"/>
      <c r="R85" s="1336"/>
    </row>
    <row r="86" spans="6:18" x14ac:dyDescent="0.3">
      <c r="F86" s="1339"/>
      <c r="G86" s="1339"/>
      <c r="H86" s="1339"/>
      <c r="I86" s="1336"/>
      <c r="J86" s="1336"/>
      <c r="K86" s="1336"/>
      <c r="L86" s="1336"/>
      <c r="M86" s="1336"/>
      <c r="N86" s="1336"/>
      <c r="O86" s="1336"/>
      <c r="P86" s="1336"/>
      <c r="Q86" s="1336"/>
      <c r="R86" s="1336"/>
    </row>
    <row r="87" spans="6:18" x14ac:dyDescent="0.3">
      <c r="F87" s="1339"/>
      <c r="G87" s="1339"/>
      <c r="H87" s="1339"/>
      <c r="I87" s="1336"/>
      <c r="J87" s="1336"/>
      <c r="K87" s="1336"/>
      <c r="L87" s="1336"/>
      <c r="M87" s="1336"/>
      <c r="N87" s="1336"/>
      <c r="O87" s="1336"/>
      <c r="P87" s="1336"/>
      <c r="Q87" s="1336"/>
      <c r="R87" s="1336"/>
    </row>
    <row r="88" spans="6:18" x14ac:dyDescent="0.3">
      <c r="F88" s="1339"/>
      <c r="G88" s="1339"/>
      <c r="H88" s="1339"/>
      <c r="I88" s="1336"/>
      <c r="J88" s="1336"/>
      <c r="K88" s="1336"/>
      <c r="L88" s="1336"/>
      <c r="M88" s="1336"/>
      <c r="N88" s="1336"/>
      <c r="O88" s="1336"/>
      <c r="P88" s="1336"/>
      <c r="Q88" s="1336"/>
      <c r="R88" s="1336"/>
    </row>
    <row r="89" spans="6:18" x14ac:dyDescent="0.3">
      <c r="J89" s="725"/>
      <c r="N89" s="725"/>
    </row>
    <row r="90" spans="6:18" x14ac:dyDescent="0.3">
      <c r="J90" s="725"/>
      <c r="N90" s="725"/>
    </row>
    <row r="91" spans="6:18" x14ac:dyDescent="0.3">
      <c r="J91" s="725"/>
      <c r="N91" s="725"/>
    </row>
    <row r="92" spans="6:18" x14ac:dyDescent="0.3">
      <c r="J92" s="725"/>
      <c r="N92" s="725"/>
    </row>
    <row r="93" spans="6:18" x14ac:dyDescent="0.3">
      <c r="J93" s="725"/>
      <c r="N93" s="725"/>
    </row>
    <row r="94" spans="6:18" x14ac:dyDescent="0.3">
      <c r="J94" s="725"/>
      <c r="N94" s="725"/>
    </row>
    <row r="95" spans="6:18" x14ac:dyDescent="0.3">
      <c r="J95" s="725"/>
      <c r="N95" s="725"/>
    </row>
    <row r="96" spans="6:18" x14ac:dyDescent="0.3">
      <c r="J96" s="725"/>
      <c r="N96" s="725"/>
    </row>
    <row r="97" spans="10:14" x14ac:dyDescent="0.3">
      <c r="J97" s="725"/>
      <c r="N97" s="725"/>
    </row>
    <row r="98" spans="10:14" x14ac:dyDescent="0.3">
      <c r="J98" s="725"/>
      <c r="N98" s="725"/>
    </row>
    <row r="99" spans="10:14" x14ac:dyDescent="0.3">
      <c r="J99" s="725"/>
      <c r="N99" s="725"/>
    </row>
    <row r="100" spans="10:14" x14ac:dyDescent="0.3">
      <c r="J100" s="725"/>
      <c r="N100" s="725"/>
    </row>
    <row r="101" spans="10:14" x14ac:dyDescent="0.3">
      <c r="J101" s="725"/>
      <c r="N101" s="725"/>
    </row>
    <row r="102" spans="10:14" x14ac:dyDescent="0.3">
      <c r="J102" s="725"/>
      <c r="N102" s="725"/>
    </row>
    <row r="103" spans="10:14" x14ac:dyDescent="0.3">
      <c r="J103" s="725"/>
      <c r="N103" s="725"/>
    </row>
    <row r="104" spans="10:14" x14ac:dyDescent="0.3">
      <c r="J104" s="725"/>
      <c r="N104" s="725"/>
    </row>
    <row r="105" spans="10:14" x14ac:dyDescent="0.3">
      <c r="J105" s="725"/>
      <c r="N105" s="725"/>
    </row>
    <row r="106" spans="10:14" x14ac:dyDescent="0.3">
      <c r="J106" s="725"/>
      <c r="N106" s="725"/>
    </row>
    <row r="107" spans="10:14" x14ac:dyDescent="0.3">
      <c r="J107" s="725"/>
      <c r="N107" s="725"/>
    </row>
    <row r="108" spans="10:14" x14ac:dyDescent="0.3">
      <c r="J108" s="725"/>
      <c r="N108" s="725"/>
    </row>
    <row r="109" spans="10:14" x14ac:dyDescent="0.3">
      <c r="J109" s="725"/>
      <c r="N109" s="725"/>
    </row>
    <row r="110" spans="10:14" x14ac:dyDescent="0.3">
      <c r="J110" s="725"/>
      <c r="N110" s="725"/>
    </row>
    <row r="111" spans="10:14" x14ac:dyDescent="0.3">
      <c r="J111" s="725"/>
      <c r="N111" s="725"/>
    </row>
    <row r="112" spans="10:14" x14ac:dyDescent="0.3">
      <c r="J112" s="725"/>
      <c r="N112" s="725"/>
    </row>
    <row r="113" spans="10:14" x14ac:dyDescent="0.3">
      <c r="J113" s="725"/>
      <c r="N113" s="725"/>
    </row>
    <row r="114" spans="10:14" x14ac:dyDescent="0.3">
      <c r="J114" s="725"/>
      <c r="N114" s="725"/>
    </row>
    <row r="115" spans="10:14" x14ac:dyDescent="0.3">
      <c r="J115" s="725"/>
      <c r="N115" s="725"/>
    </row>
    <row r="116" spans="10:14" x14ac:dyDescent="0.3">
      <c r="J116" s="725"/>
      <c r="N116" s="725"/>
    </row>
    <row r="117" spans="10:14" x14ac:dyDescent="0.3">
      <c r="J117" s="725"/>
      <c r="N117" s="725"/>
    </row>
    <row r="118" spans="10:14" x14ac:dyDescent="0.3">
      <c r="J118" s="725"/>
      <c r="N118" s="725"/>
    </row>
    <row r="119" spans="10:14" x14ac:dyDescent="0.3">
      <c r="J119" s="725"/>
      <c r="N119" s="725"/>
    </row>
    <row r="120" spans="10:14" x14ac:dyDescent="0.3">
      <c r="J120" s="725"/>
      <c r="N120" s="725"/>
    </row>
    <row r="121" spans="10:14" x14ac:dyDescent="0.3">
      <c r="J121" s="725"/>
      <c r="N121" s="725"/>
    </row>
    <row r="122" spans="10:14" x14ac:dyDescent="0.3">
      <c r="J122" s="725"/>
      <c r="N122" s="725"/>
    </row>
    <row r="123" spans="10:14" x14ac:dyDescent="0.3">
      <c r="J123" s="725"/>
      <c r="N123" s="725"/>
    </row>
    <row r="124" spans="10:14" x14ac:dyDescent="0.3">
      <c r="J124" s="725"/>
      <c r="N124" s="725"/>
    </row>
    <row r="125" spans="10:14" x14ac:dyDescent="0.3">
      <c r="J125" s="725"/>
      <c r="N125" s="725"/>
    </row>
    <row r="126" spans="10:14" x14ac:dyDescent="0.3">
      <c r="J126" s="725"/>
      <c r="N126" s="725"/>
    </row>
    <row r="127" spans="10:14" x14ac:dyDescent="0.3">
      <c r="J127" s="725"/>
      <c r="N127" s="725"/>
    </row>
    <row r="128" spans="10:14" x14ac:dyDescent="0.3">
      <c r="J128" s="725"/>
      <c r="N128" s="725"/>
    </row>
    <row r="129" spans="10:14" x14ac:dyDescent="0.3">
      <c r="J129" s="725"/>
      <c r="N129" s="725"/>
    </row>
    <row r="130" spans="10:14" x14ac:dyDescent="0.3">
      <c r="J130" s="725"/>
      <c r="N130" s="725"/>
    </row>
    <row r="131" spans="10:14" x14ac:dyDescent="0.3">
      <c r="J131" s="725"/>
      <c r="N131" s="725"/>
    </row>
    <row r="132" spans="10:14" x14ac:dyDescent="0.3">
      <c r="J132" s="725"/>
      <c r="N132" s="725"/>
    </row>
    <row r="133" spans="10:14" x14ac:dyDescent="0.3">
      <c r="J133" s="725"/>
      <c r="N133" s="725"/>
    </row>
    <row r="134" spans="10:14" x14ac:dyDescent="0.3">
      <c r="J134" s="725"/>
      <c r="N134" s="725"/>
    </row>
    <row r="135" spans="10:14" x14ac:dyDescent="0.3">
      <c r="J135" s="725"/>
      <c r="N135" s="725"/>
    </row>
    <row r="136" spans="10:14" x14ac:dyDescent="0.3">
      <c r="J136" s="725"/>
      <c r="N136" s="725"/>
    </row>
    <row r="137" spans="10:14" x14ac:dyDescent="0.3">
      <c r="J137" s="725"/>
      <c r="N137" s="725"/>
    </row>
    <row r="138" spans="10:14" x14ac:dyDescent="0.3">
      <c r="J138" s="725"/>
      <c r="N138" s="725"/>
    </row>
    <row r="139" spans="10:14" x14ac:dyDescent="0.3">
      <c r="J139" s="725"/>
      <c r="N139" s="725"/>
    </row>
    <row r="140" spans="10:14" x14ac:dyDescent="0.3">
      <c r="J140" s="725"/>
      <c r="N140" s="725"/>
    </row>
    <row r="141" spans="10:14" x14ac:dyDescent="0.3">
      <c r="J141" s="725"/>
      <c r="N141" s="725"/>
    </row>
    <row r="142" spans="10:14" x14ac:dyDescent="0.3">
      <c r="J142" s="725"/>
      <c r="N142" s="725"/>
    </row>
    <row r="143" spans="10:14" x14ac:dyDescent="0.3">
      <c r="J143" s="725"/>
      <c r="N143" s="725"/>
    </row>
    <row r="144" spans="10:14" x14ac:dyDescent="0.3">
      <c r="J144" s="725"/>
      <c r="N144" s="725"/>
    </row>
    <row r="145" spans="10:14" x14ac:dyDescent="0.3">
      <c r="J145" s="725"/>
      <c r="N145" s="725"/>
    </row>
    <row r="146" spans="10:14" x14ac:dyDescent="0.3">
      <c r="J146" s="725"/>
      <c r="N146" s="725"/>
    </row>
    <row r="147" spans="10:14" x14ac:dyDescent="0.3">
      <c r="J147" s="725"/>
      <c r="N147" s="725"/>
    </row>
    <row r="148" spans="10:14" x14ac:dyDescent="0.3">
      <c r="J148" s="725"/>
      <c r="N148" s="725"/>
    </row>
    <row r="149" spans="10:14" x14ac:dyDescent="0.3">
      <c r="J149" s="725"/>
      <c r="N149" s="725"/>
    </row>
    <row r="150" spans="10:14" x14ac:dyDescent="0.3">
      <c r="J150" s="725"/>
      <c r="N150" s="725"/>
    </row>
    <row r="151" spans="10:14" x14ac:dyDescent="0.3">
      <c r="J151" s="725"/>
      <c r="N151" s="725"/>
    </row>
    <row r="152" spans="10:14" x14ac:dyDescent="0.3">
      <c r="J152" s="725"/>
      <c r="N152" s="725"/>
    </row>
    <row r="153" spans="10:14" x14ac:dyDescent="0.3">
      <c r="J153" s="725"/>
      <c r="N153" s="725"/>
    </row>
    <row r="154" spans="10:14" x14ac:dyDescent="0.3">
      <c r="J154" s="725"/>
      <c r="N154" s="725"/>
    </row>
    <row r="155" spans="10:14" x14ac:dyDescent="0.3">
      <c r="J155" s="725"/>
      <c r="N155" s="725"/>
    </row>
    <row r="156" spans="10:14" x14ac:dyDescent="0.3">
      <c r="J156" s="725"/>
      <c r="N156" s="725"/>
    </row>
    <row r="157" spans="10:14" x14ac:dyDescent="0.3">
      <c r="J157" s="725"/>
      <c r="N157" s="725"/>
    </row>
    <row r="158" spans="10:14" x14ac:dyDescent="0.3">
      <c r="J158" s="725"/>
      <c r="N158" s="725"/>
    </row>
    <row r="159" spans="10:14" x14ac:dyDescent="0.3">
      <c r="J159" s="725"/>
      <c r="N159" s="725"/>
    </row>
    <row r="160" spans="10:14" x14ac:dyDescent="0.3">
      <c r="J160" s="725"/>
      <c r="N160" s="725"/>
    </row>
    <row r="161" spans="10:14" x14ac:dyDescent="0.3">
      <c r="J161" s="725"/>
      <c r="N161" s="725"/>
    </row>
    <row r="162" spans="10:14" x14ac:dyDescent="0.3">
      <c r="J162" s="725"/>
      <c r="N162" s="725"/>
    </row>
  </sheetData>
  <printOptions horizontalCentered="1"/>
  <pageMargins left="0.5" right="0.5" top="0.75" bottom="0.5" header="0.5" footer="0.5"/>
  <pageSetup scale="60" fitToHeight="0" orientation="landscape" r:id="rId1"/>
  <headerFooter alignWithMargins="0">
    <oddHeader xml:space="preserve">&amp;RDEF’s Response to OPC POD 1 (1-26)
Q7
Page &amp;P of &amp;N
</oddHeader>
    <oddFooter>&amp;R20240025-OPCPOD1-00004300</oddFooter>
  </headerFooter>
  <colBreaks count="1" manualBreakCount="1">
    <brk id="18" min="1" max="6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F038D-7D86-4B2F-B8CF-9D51416DE98F}">
  <sheetPr codeName="Sheet56">
    <tabColor rgb="FF92D050"/>
    <pageSetUpPr fitToPage="1"/>
  </sheetPr>
  <dimension ref="A1:AA64"/>
  <sheetViews>
    <sheetView tabSelected="1" workbookViewId="0">
      <selection activeCell="S8" sqref="S8"/>
    </sheetView>
  </sheetViews>
  <sheetFormatPr defaultColWidth="9.109375" defaultRowHeight="13.8" x14ac:dyDescent="0.3"/>
  <cols>
    <col min="1" max="1" width="1.33203125" style="662" customWidth="1"/>
    <col min="2" max="2" width="4.6640625" style="662" customWidth="1"/>
    <col min="3" max="3" width="2.6640625" style="662" customWidth="1"/>
    <col min="4" max="4" width="4" style="662" customWidth="1"/>
    <col min="5" max="5" width="3.6640625" style="662" customWidth="1"/>
    <col min="6" max="6" width="37" style="662" customWidth="1"/>
    <col min="7" max="7" width="2.6640625" style="662" customWidth="1"/>
    <col min="8" max="8" width="5.6640625" style="662" customWidth="1"/>
    <col min="9" max="9" width="12.33203125" style="662" customWidth="1"/>
    <col min="10" max="10" width="11.5546875" style="662" bestFit="1" customWidth="1"/>
    <col min="11" max="11" width="4.6640625" style="662" customWidth="1"/>
    <col min="12" max="12" width="64.33203125" style="662" bestFit="1" customWidth="1"/>
    <col min="13" max="13" width="1.6640625" style="662" customWidth="1"/>
    <col min="14" max="15" width="0.88671875" style="662" customWidth="1"/>
    <col min="16" max="16" width="8.33203125" style="662" customWidth="1"/>
    <col min="17" max="17" width="10.5546875" style="662" customWidth="1"/>
    <col min="18" max="18" width="4.109375" style="662" bestFit="1" customWidth="1"/>
    <col min="19" max="26" width="0.88671875" style="662" customWidth="1"/>
    <col min="27" max="27" width="1.33203125" style="662" customWidth="1"/>
    <col min="28" max="16384" width="9.109375" style="662"/>
  </cols>
  <sheetData>
    <row r="1" spans="1:27" s="661" customFormat="1" ht="18" x14ac:dyDescent="0.35">
      <c r="A1" s="660"/>
      <c r="B1" s="459">
        <v>2026</v>
      </c>
      <c r="C1" s="575"/>
      <c r="D1" s="57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60"/>
    </row>
    <row r="2" spans="1:27" x14ac:dyDescent="0.3">
      <c r="A2" s="663"/>
      <c r="L2" s="466" t="s">
        <v>702</v>
      </c>
      <c r="AA2" s="663"/>
    </row>
    <row r="3" spans="1:27" x14ac:dyDescent="0.3">
      <c r="A3" s="663"/>
      <c r="L3" s="469" t="str">
        <f>"DOCKET NO.  " &amp; +"20240025-EI"</f>
        <v>DOCKET NO.  20240025-EI</v>
      </c>
      <c r="AA3" s="663"/>
    </row>
    <row r="4" spans="1:27" x14ac:dyDescent="0.3">
      <c r="A4" s="663"/>
      <c r="L4" s="469" t="s">
        <v>703</v>
      </c>
      <c r="AA4" s="663"/>
    </row>
    <row r="5" spans="1:27" x14ac:dyDescent="0.3">
      <c r="A5" s="663"/>
      <c r="L5" s="466" t="s">
        <v>898</v>
      </c>
      <c r="AA5" s="663"/>
    </row>
    <row r="6" spans="1:27" x14ac:dyDescent="0.3">
      <c r="A6" s="663"/>
      <c r="L6" s="472" t="s">
        <v>925</v>
      </c>
      <c r="AA6" s="663"/>
    </row>
    <row r="7" spans="1:27" x14ac:dyDescent="0.3">
      <c r="A7" s="663"/>
      <c r="B7" s="515"/>
      <c r="L7" s="343" t="s">
        <v>204</v>
      </c>
      <c r="AA7" s="663"/>
    </row>
    <row r="8" spans="1:27" x14ac:dyDescent="0.3">
      <c r="A8" s="663"/>
      <c r="B8" s="515"/>
      <c r="L8" s="343"/>
      <c r="AA8" s="663"/>
    </row>
    <row r="9" spans="1:27" s="664" customFormat="1" ht="15.6" x14ac:dyDescent="0.3">
      <c r="A9" s="665"/>
      <c r="B9" s="579" t="s">
        <v>900</v>
      </c>
      <c r="C9" s="628"/>
      <c r="D9" s="628"/>
      <c r="E9" s="628"/>
      <c r="F9" s="628"/>
      <c r="G9" s="628"/>
      <c r="H9" s="628"/>
      <c r="I9" s="628"/>
      <c r="J9" s="628"/>
      <c r="K9" s="628"/>
      <c r="L9" s="628"/>
      <c r="M9" s="628"/>
      <c r="AA9" s="665"/>
    </row>
    <row r="10" spans="1:27" s="664" customFormat="1" ht="15.6" x14ac:dyDescent="0.3">
      <c r="A10" s="665"/>
      <c r="B10" s="579" t="s">
        <v>498</v>
      </c>
      <c r="C10" s="628"/>
      <c r="D10" s="628"/>
      <c r="E10" s="628"/>
      <c r="F10" s="628"/>
      <c r="G10" s="628"/>
      <c r="H10" s="628"/>
      <c r="I10" s="628"/>
      <c r="J10" s="628"/>
      <c r="K10" s="628"/>
      <c r="L10" s="628"/>
      <c r="M10" s="628"/>
      <c r="AA10" s="665"/>
    </row>
    <row r="11" spans="1:27" s="664" customFormat="1" ht="15.6" x14ac:dyDescent="0.3">
      <c r="A11" s="665"/>
      <c r="AA11" s="665"/>
    </row>
    <row r="12" spans="1:27" s="664" customFormat="1" ht="15.6" x14ac:dyDescent="0.3">
      <c r="A12" s="665"/>
      <c r="B12" s="631" t="s">
        <v>926</v>
      </c>
      <c r="C12" s="632"/>
      <c r="D12" s="632"/>
      <c r="E12" s="632"/>
      <c r="F12" s="634"/>
      <c r="G12" s="634"/>
      <c r="H12" s="634"/>
      <c r="I12" s="634"/>
      <c r="J12" s="634"/>
      <c r="K12" s="634"/>
      <c r="L12" s="634"/>
      <c r="M12" s="632"/>
      <c r="AA12" s="665"/>
    </row>
    <row r="13" spans="1:27" s="664" customFormat="1" ht="15.6" x14ac:dyDescent="0.3">
      <c r="A13" s="665"/>
      <c r="B13" s="633" t="s">
        <v>902</v>
      </c>
      <c r="C13" s="632"/>
      <c r="D13" s="632"/>
      <c r="E13" s="632"/>
      <c r="F13" s="634"/>
      <c r="G13" s="634"/>
      <c r="H13" s="634"/>
      <c r="I13" s="634"/>
      <c r="J13" s="634"/>
      <c r="K13" s="634"/>
      <c r="L13" s="634"/>
      <c r="M13" s="632"/>
      <c r="AA13" s="665"/>
    </row>
    <row r="14" spans="1:27" x14ac:dyDescent="0.3">
      <c r="A14" s="663"/>
      <c r="AA14" s="663"/>
    </row>
    <row r="15" spans="1:27" ht="15.75" customHeight="1" x14ac:dyDescent="0.3">
      <c r="A15" s="663"/>
      <c r="B15" s="666"/>
      <c r="C15" s="666"/>
      <c r="D15" s="667">
        <v>-1</v>
      </c>
      <c r="E15" s="667"/>
      <c r="F15" s="667"/>
      <c r="G15" s="668"/>
      <c r="H15" s="668"/>
      <c r="I15" s="668">
        <f>+D15-1</f>
        <v>-2</v>
      </c>
      <c r="J15" s="668"/>
      <c r="K15" s="668"/>
      <c r="L15" s="669">
        <f>+I15-1</f>
        <v>-3</v>
      </c>
      <c r="AA15" s="663"/>
    </row>
    <row r="16" spans="1:27" ht="15.75" customHeight="1" x14ac:dyDescent="0.3">
      <c r="A16" s="663"/>
      <c r="B16" s="670" t="s">
        <v>30</v>
      </c>
      <c r="C16" s="671"/>
      <c r="D16" s="671"/>
      <c r="E16" s="672" t="s">
        <v>816</v>
      </c>
      <c r="F16" s="672"/>
      <c r="G16" s="671"/>
      <c r="H16" s="671"/>
      <c r="I16" s="672" t="s">
        <v>927</v>
      </c>
      <c r="J16" s="672"/>
      <c r="K16" s="671"/>
      <c r="L16" s="670" t="s">
        <v>41</v>
      </c>
      <c r="AA16" s="663"/>
    </row>
    <row r="17" spans="1:27" x14ac:dyDescent="0.3">
      <c r="A17" s="663"/>
      <c r="B17" s="646"/>
      <c r="I17" s="673"/>
      <c r="J17" s="673"/>
      <c r="L17" s="646"/>
      <c r="AA17" s="663"/>
    </row>
    <row r="18" spans="1:27" x14ac:dyDescent="0.3">
      <c r="A18" s="663"/>
      <c r="B18" s="646">
        <v>1</v>
      </c>
      <c r="D18" s="674" t="s">
        <v>542</v>
      </c>
      <c r="I18" s="673"/>
      <c r="J18" s="673"/>
      <c r="L18" s="646"/>
      <c r="AA18" s="663"/>
    </row>
    <row r="19" spans="1:27" x14ac:dyDescent="0.3">
      <c r="A19" s="663"/>
      <c r="B19" s="646">
        <f>+B18+1</f>
        <v>2</v>
      </c>
      <c r="E19" s="662" t="s">
        <v>928</v>
      </c>
      <c r="J19" s="675"/>
      <c r="AA19" s="663"/>
    </row>
    <row r="20" spans="1:27" x14ac:dyDescent="0.3">
      <c r="A20" s="663"/>
      <c r="B20" s="646">
        <f t="shared" ref="B20:B57" si="0">+B19+1</f>
        <v>3</v>
      </c>
      <c r="F20" s="662" t="s">
        <v>149</v>
      </c>
      <c r="I20" s="676">
        <f>'MFR E-14E'!J53</f>
        <v>95.531058081229432</v>
      </c>
      <c r="J20" s="675" t="s">
        <v>929</v>
      </c>
      <c r="L20" s="662" t="s">
        <v>930</v>
      </c>
      <c r="AA20" s="663"/>
    </row>
    <row r="21" spans="1:27" x14ac:dyDescent="0.3">
      <c r="A21" s="663"/>
      <c r="B21" s="646">
        <f t="shared" si="0"/>
        <v>4</v>
      </c>
      <c r="F21" s="662" t="s">
        <v>148</v>
      </c>
      <c r="I21" s="676">
        <f>'MFR E-14E'!J54</f>
        <v>240.37860095595573</v>
      </c>
      <c r="J21" s="675" t="s">
        <v>929</v>
      </c>
      <c r="L21" s="662" t="str">
        <f>L20</f>
        <v>Schedule E-14E - CS/IS Customer Unit Cost</v>
      </c>
      <c r="AA21" s="663"/>
    </row>
    <row r="22" spans="1:27" x14ac:dyDescent="0.3">
      <c r="A22" s="663"/>
      <c r="B22" s="646">
        <f t="shared" si="0"/>
        <v>5</v>
      </c>
      <c r="F22" s="662" t="s">
        <v>216</v>
      </c>
      <c r="I22" s="676">
        <f>'MFR E-14E'!J55</f>
        <v>425.73937849400534</v>
      </c>
      <c r="J22" s="675" t="s">
        <v>929</v>
      </c>
      <c r="L22" s="662" t="str">
        <f>L20</f>
        <v>Schedule E-14E - CS/IS Customer Unit Cost</v>
      </c>
      <c r="AA22" s="663"/>
    </row>
    <row r="23" spans="1:27" x14ac:dyDescent="0.3">
      <c r="A23" s="663"/>
      <c r="B23" s="646">
        <f t="shared" si="0"/>
        <v>6</v>
      </c>
      <c r="I23" s="676"/>
      <c r="J23" s="675"/>
      <c r="AA23" s="663"/>
    </row>
    <row r="24" spans="1:27" x14ac:dyDescent="0.3">
      <c r="A24" s="663"/>
      <c r="B24" s="646">
        <f t="shared" si="0"/>
        <v>7</v>
      </c>
      <c r="E24" s="662" t="s">
        <v>140</v>
      </c>
      <c r="I24" s="676"/>
      <c r="J24" s="675"/>
      <c r="AA24" s="663"/>
    </row>
    <row r="25" spans="1:27" x14ac:dyDescent="0.3">
      <c r="A25" s="663"/>
      <c r="B25" s="646">
        <f t="shared" si="0"/>
        <v>8</v>
      </c>
      <c r="F25" s="662" t="s">
        <v>149</v>
      </c>
      <c r="I25" s="676">
        <f>'MFR E-14E'!K53</f>
        <v>374.46769549622667</v>
      </c>
      <c r="J25" s="675" t="s">
        <v>929</v>
      </c>
      <c r="L25" s="662" t="s">
        <v>931</v>
      </c>
      <c r="AA25" s="663"/>
    </row>
    <row r="26" spans="1:27" x14ac:dyDescent="0.3">
      <c r="A26" s="663"/>
      <c r="B26" s="646">
        <f t="shared" si="0"/>
        <v>9</v>
      </c>
      <c r="F26" s="662" t="s">
        <v>148</v>
      </c>
      <c r="I26" s="676">
        <f>'MFR E-14E'!K54</f>
        <v>519.31523837095301</v>
      </c>
      <c r="J26" s="675" t="s">
        <v>929</v>
      </c>
      <c r="L26" s="662" t="str">
        <f>L25</f>
        <v>Schedule E-14E - CS/IS Unit Cost + IS Equipment</v>
      </c>
      <c r="AA26" s="663"/>
    </row>
    <row r="27" spans="1:27" x14ac:dyDescent="0.3">
      <c r="A27" s="663"/>
      <c r="B27" s="646">
        <f t="shared" si="0"/>
        <v>10</v>
      </c>
      <c r="F27" s="662" t="s">
        <v>216</v>
      </c>
      <c r="I27" s="676">
        <f>'MFR E-14E'!K55</f>
        <v>704.67601590900256</v>
      </c>
      <c r="J27" s="675" t="s">
        <v>929</v>
      </c>
      <c r="L27" s="662" t="str">
        <f>L25</f>
        <v>Schedule E-14E - CS/IS Unit Cost + IS Equipment</v>
      </c>
      <c r="AA27" s="663"/>
    </row>
    <row r="28" spans="1:27" x14ac:dyDescent="0.3">
      <c r="A28" s="663"/>
      <c r="B28" s="646">
        <f t="shared" si="0"/>
        <v>11</v>
      </c>
      <c r="I28" s="677"/>
      <c r="AA28" s="663"/>
    </row>
    <row r="29" spans="1:27" x14ac:dyDescent="0.3">
      <c r="A29" s="663"/>
      <c r="B29" s="646">
        <f t="shared" si="0"/>
        <v>12</v>
      </c>
      <c r="I29" s="677"/>
      <c r="AA29" s="663"/>
    </row>
    <row r="30" spans="1:27" x14ac:dyDescent="0.3">
      <c r="A30" s="663"/>
      <c r="B30" s="646">
        <f t="shared" si="0"/>
        <v>13</v>
      </c>
      <c r="D30" s="674" t="s">
        <v>932</v>
      </c>
      <c r="I30" s="677">
        <f>+'MFR E-14D1'!Q23</f>
        <v>6.09</v>
      </c>
      <c r="J30" s="675" t="s">
        <v>933</v>
      </c>
      <c r="L30" s="662" t="s">
        <v>934</v>
      </c>
      <c r="AA30" s="663"/>
    </row>
    <row r="31" spans="1:27" x14ac:dyDescent="0.3">
      <c r="A31" s="663"/>
      <c r="B31" s="646">
        <f t="shared" si="0"/>
        <v>14</v>
      </c>
      <c r="D31" s="674"/>
      <c r="I31" s="677"/>
      <c r="AA31" s="663"/>
    </row>
    <row r="32" spans="1:27" x14ac:dyDescent="0.3">
      <c r="A32" s="663"/>
      <c r="B32" s="646">
        <f t="shared" si="0"/>
        <v>15</v>
      </c>
      <c r="I32" s="677"/>
      <c r="AA32" s="663"/>
    </row>
    <row r="33" spans="1:27" x14ac:dyDescent="0.3">
      <c r="A33" s="663"/>
      <c r="B33" s="646">
        <f t="shared" si="0"/>
        <v>16</v>
      </c>
      <c r="D33" s="674" t="s">
        <v>935</v>
      </c>
      <c r="I33" s="677"/>
      <c r="AA33" s="663"/>
    </row>
    <row r="34" spans="1:27" x14ac:dyDescent="0.3">
      <c r="A34" s="663"/>
      <c r="B34" s="646">
        <f t="shared" si="0"/>
        <v>17</v>
      </c>
      <c r="E34" s="662" t="s">
        <v>786</v>
      </c>
      <c r="I34" s="676">
        <f>+'MFR E-14D1'!J49</f>
        <v>6.52</v>
      </c>
      <c r="J34" s="675" t="s">
        <v>936</v>
      </c>
      <c r="L34" s="662" t="s">
        <v>937</v>
      </c>
      <c r="AA34" s="663"/>
    </row>
    <row r="35" spans="1:27" x14ac:dyDescent="0.3">
      <c r="A35" s="663"/>
      <c r="B35" s="646">
        <f t="shared" si="0"/>
        <v>18</v>
      </c>
      <c r="AA35" s="663"/>
    </row>
    <row r="36" spans="1:27" x14ac:dyDescent="0.3">
      <c r="A36" s="663"/>
      <c r="B36" s="646">
        <f t="shared" si="0"/>
        <v>19</v>
      </c>
      <c r="AA36" s="663"/>
    </row>
    <row r="37" spans="1:27" x14ac:dyDescent="0.3">
      <c r="A37" s="663"/>
      <c r="B37" s="646">
        <f t="shared" si="0"/>
        <v>20</v>
      </c>
      <c r="D37" s="674" t="s">
        <v>938</v>
      </c>
      <c r="AA37" s="663"/>
    </row>
    <row r="38" spans="1:27" x14ac:dyDescent="0.3">
      <c r="A38" s="663"/>
      <c r="B38" s="646">
        <f t="shared" si="0"/>
        <v>21</v>
      </c>
      <c r="E38" s="662" t="s">
        <v>788</v>
      </c>
      <c r="AA38" s="663"/>
    </row>
    <row r="39" spans="1:27" x14ac:dyDescent="0.3">
      <c r="A39" s="663"/>
      <c r="B39" s="646">
        <f t="shared" si="0"/>
        <v>22</v>
      </c>
      <c r="AA39" s="663"/>
    </row>
    <row r="40" spans="1:27" x14ac:dyDescent="0.3">
      <c r="A40" s="663"/>
      <c r="B40" s="646">
        <f t="shared" si="0"/>
        <v>23</v>
      </c>
      <c r="E40" s="662" t="s">
        <v>939</v>
      </c>
      <c r="AA40" s="663"/>
    </row>
    <row r="41" spans="1:27" x14ac:dyDescent="0.3">
      <c r="A41" s="663"/>
      <c r="B41" s="646">
        <f t="shared" si="0"/>
        <v>24</v>
      </c>
      <c r="F41" s="662" t="s">
        <v>786</v>
      </c>
      <c r="I41" s="678">
        <f>ROUND(('MFR E-14D1'!Q22+'MFR E-14D1'!Q24)*0.1,3)</f>
        <v>2.21</v>
      </c>
      <c r="J41" s="675" t="s">
        <v>936</v>
      </c>
      <c r="L41" s="662" t="s">
        <v>940</v>
      </c>
      <c r="AA41" s="663"/>
    </row>
    <row r="42" spans="1:27" x14ac:dyDescent="0.3">
      <c r="A42" s="663"/>
      <c r="B42" s="646">
        <f t="shared" si="0"/>
        <v>25</v>
      </c>
      <c r="I42" s="679"/>
      <c r="L42" s="662" t="s">
        <v>941</v>
      </c>
      <c r="AA42" s="663"/>
    </row>
    <row r="43" spans="1:27" x14ac:dyDescent="0.3">
      <c r="A43" s="663"/>
      <c r="B43" s="646">
        <f t="shared" si="0"/>
        <v>26</v>
      </c>
      <c r="I43" s="679"/>
      <c r="AA43" s="663"/>
    </row>
    <row r="44" spans="1:27" x14ac:dyDescent="0.3">
      <c r="A44" s="663"/>
      <c r="B44" s="646">
        <f t="shared" si="0"/>
        <v>27</v>
      </c>
      <c r="E44" s="662" t="s">
        <v>942</v>
      </c>
      <c r="I44" s="680">
        <f>ROUND(('MFR E-14D1'!Q22+'MFR E-14D1'!Q24)/21,3)</f>
        <v>1.052</v>
      </c>
      <c r="J44" s="675" t="s">
        <v>943</v>
      </c>
      <c r="L44" s="662" t="s">
        <v>940</v>
      </c>
      <c r="AA44" s="663"/>
    </row>
    <row r="45" spans="1:27" x14ac:dyDescent="0.3">
      <c r="A45" s="663"/>
      <c r="B45" s="646">
        <f t="shared" si="0"/>
        <v>28</v>
      </c>
      <c r="I45" s="678"/>
      <c r="L45" s="662" t="s">
        <v>944</v>
      </c>
      <c r="AA45" s="663"/>
    </row>
    <row r="46" spans="1:27" x14ac:dyDescent="0.3">
      <c r="A46" s="663"/>
      <c r="B46" s="646">
        <f t="shared" si="0"/>
        <v>29</v>
      </c>
      <c r="I46" s="678"/>
      <c r="AA46" s="663"/>
    </row>
    <row r="47" spans="1:27" x14ac:dyDescent="0.3">
      <c r="A47" s="663"/>
      <c r="B47" s="646">
        <f t="shared" si="0"/>
        <v>30</v>
      </c>
      <c r="I47" s="678"/>
      <c r="AA47" s="663"/>
    </row>
    <row r="48" spans="1:27" x14ac:dyDescent="0.3">
      <c r="A48" s="663"/>
      <c r="B48" s="646">
        <f t="shared" si="0"/>
        <v>31</v>
      </c>
      <c r="D48" s="674" t="s">
        <v>945</v>
      </c>
      <c r="I48" s="678"/>
      <c r="AA48" s="663"/>
    </row>
    <row r="49" spans="1:27" x14ac:dyDescent="0.3">
      <c r="A49" s="663"/>
      <c r="B49" s="646">
        <f t="shared" si="0"/>
        <v>32</v>
      </c>
      <c r="E49" s="662" t="s">
        <v>946</v>
      </c>
      <c r="I49" s="681"/>
      <c r="AA49" s="663"/>
    </row>
    <row r="50" spans="1:27" x14ac:dyDescent="0.3">
      <c r="A50" s="663"/>
      <c r="B50" s="646">
        <f t="shared" si="0"/>
        <v>33</v>
      </c>
      <c r="F50" s="662" t="s">
        <v>947</v>
      </c>
      <c r="I50" s="680">
        <f>ROUND('MFR E-14A'!I116*0.1,3)</f>
        <v>0.58199999999999996</v>
      </c>
      <c r="J50" s="675" t="s">
        <v>936</v>
      </c>
      <c r="L50" s="662" t="s">
        <v>948</v>
      </c>
      <c r="Q50" s="728"/>
      <c r="R50" s="729"/>
      <c r="AA50" s="663"/>
    </row>
    <row r="51" spans="1:27" x14ac:dyDescent="0.3">
      <c r="A51" s="663"/>
      <c r="B51" s="646">
        <f t="shared" si="0"/>
        <v>34</v>
      </c>
      <c r="I51" s="680"/>
      <c r="AA51" s="663"/>
    </row>
    <row r="52" spans="1:27" x14ac:dyDescent="0.3">
      <c r="A52" s="663"/>
      <c r="B52" s="646">
        <f t="shared" si="0"/>
        <v>35</v>
      </c>
      <c r="F52" s="662" t="s">
        <v>949</v>
      </c>
      <c r="I52" s="680">
        <f>ROUND(I50/0.1/21,3)</f>
        <v>0.27700000000000002</v>
      </c>
      <c r="J52" s="675" t="s">
        <v>943</v>
      </c>
      <c r="L52" s="662" t="s">
        <v>950</v>
      </c>
      <c r="AA52" s="663"/>
    </row>
    <row r="53" spans="1:27" x14ac:dyDescent="0.3">
      <c r="A53" s="663"/>
      <c r="B53" s="646">
        <f t="shared" si="0"/>
        <v>36</v>
      </c>
      <c r="I53" s="678"/>
      <c r="AA53" s="663"/>
    </row>
    <row r="54" spans="1:27" x14ac:dyDescent="0.3">
      <c r="A54" s="663"/>
      <c r="B54" s="646">
        <f t="shared" si="0"/>
        <v>37</v>
      </c>
      <c r="E54" s="662" t="s">
        <v>951</v>
      </c>
      <c r="I54" s="678"/>
      <c r="AA54" s="663"/>
    </row>
    <row r="55" spans="1:27" x14ac:dyDescent="0.3">
      <c r="A55" s="663"/>
      <c r="B55" s="646">
        <f t="shared" si="0"/>
        <v>38</v>
      </c>
      <c r="F55" s="662" t="s">
        <v>947</v>
      </c>
      <c r="I55" s="680">
        <f>ROUND('MFR E-14A'!I153*0.1,3)</f>
        <v>0.46200000000000002</v>
      </c>
      <c r="J55" s="675" t="s">
        <v>936</v>
      </c>
      <c r="L55" s="662" t="s">
        <v>952</v>
      </c>
      <c r="Q55" s="728"/>
      <c r="R55" s="729"/>
      <c r="AA55" s="663"/>
    </row>
    <row r="56" spans="1:27" x14ac:dyDescent="0.3">
      <c r="A56" s="663"/>
      <c r="B56" s="646">
        <f t="shared" si="0"/>
        <v>39</v>
      </c>
      <c r="I56" s="678"/>
      <c r="AA56" s="663"/>
    </row>
    <row r="57" spans="1:27" x14ac:dyDescent="0.3">
      <c r="A57" s="663"/>
      <c r="B57" s="646">
        <f t="shared" si="0"/>
        <v>40</v>
      </c>
      <c r="F57" s="662" t="s">
        <v>949</v>
      </c>
      <c r="I57" s="680">
        <f>ROUND(I55/0.1/21,3)</f>
        <v>0.22</v>
      </c>
      <c r="J57" s="675" t="s">
        <v>943</v>
      </c>
      <c r="L57" s="662" t="s">
        <v>953</v>
      </c>
      <c r="AA57" s="663"/>
    </row>
    <row r="58" spans="1:27" x14ac:dyDescent="0.3">
      <c r="A58" s="663"/>
      <c r="B58" s="646"/>
      <c r="AA58" s="663"/>
    </row>
    <row r="59" spans="1:27" x14ac:dyDescent="0.3">
      <c r="A59" s="663"/>
      <c r="AA59" s="663"/>
    </row>
    <row r="62" spans="1:27" x14ac:dyDescent="0.3">
      <c r="I62" s="682"/>
    </row>
    <row r="64" spans="1:27" x14ac:dyDescent="0.3">
      <c r="I64" s="682"/>
    </row>
  </sheetData>
  <printOptions horizontalCentered="1"/>
  <pageMargins left="0.5" right="0.5" top="0.75" bottom="0.5" header="0.5" footer="0.5"/>
  <pageSetup scale="83" fitToHeight="0" orientation="landscape" r:id="rId1"/>
  <headerFooter alignWithMargins="0">
    <oddHeader xml:space="preserve">&amp;RDEF’s Response to OPC POD 1 (1-26)
Q7
Page &amp;P of &amp;N
</oddHeader>
    <oddFooter>&amp;R20240025-OPCPOD1-00004300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D1257-43B0-4962-AABD-F02B37DC0DC3}">
  <sheetPr>
    <tabColor rgb="FFFFFF00"/>
  </sheetPr>
  <dimension ref="A1:AA33"/>
  <sheetViews>
    <sheetView workbookViewId="0">
      <selection activeCell="H33" sqref="H33"/>
    </sheetView>
  </sheetViews>
  <sheetFormatPr defaultRowHeight="14.4" x14ac:dyDescent="0.3"/>
  <cols>
    <col min="1" max="1" width="1" customWidth="1"/>
    <col min="4" max="4" width="13.88671875" bestFit="1" customWidth="1"/>
    <col min="6" max="6" width="12.88671875" bestFit="1" customWidth="1"/>
    <col min="7" max="7" width="2.6640625" customWidth="1"/>
    <col min="8" max="8" width="11.6640625" bestFit="1" customWidth="1"/>
    <col min="9" max="9" width="2.6640625" customWidth="1"/>
    <col min="10" max="10" width="11.33203125" bestFit="1" customWidth="1"/>
    <col min="11" max="27" width="1" customWidth="1"/>
  </cols>
  <sheetData>
    <row r="1" spans="1:27" ht="18" x14ac:dyDescent="0.35">
      <c r="A1" s="694"/>
      <c r="B1" s="459">
        <v>2026</v>
      </c>
      <c r="C1" s="575"/>
      <c r="D1" s="57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94"/>
    </row>
    <row r="2" spans="1:27" x14ac:dyDescent="0.3">
      <c r="A2" s="695"/>
      <c r="B2" s="696" t="s">
        <v>954</v>
      </c>
      <c r="C2" s="697"/>
      <c r="D2" s="698"/>
      <c r="E2" s="697"/>
      <c r="F2" s="339"/>
      <c r="G2" s="697"/>
      <c r="H2" s="697"/>
      <c r="I2" s="697"/>
      <c r="J2" s="697"/>
      <c r="K2" s="697"/>
      <c r="L2" s="697"/>
      <c r="M2" s="697"/>
      <c r="N2" s="697"/>
      <c r="O2" s="697"/>
      <c r="P2" s="697"/>
      <c r="Q2" s="697"/>
      <c r="R2" s="697"/>
      <c r="S2" s="697"/>
      <c r="T2" s="697"/>
      <c r="U2" s="697"/>
      <c r="V2" s="697"/>
      <c r="W2" s="697"/>
      <c r="X2" s="697"/>
      <c r="Y2" s="697"/>
      <c r="Z2" s="697"/>
      <c r="AA2" s="695"/>
    </row>
    <row r="3" spans="1:27" x14ac:dyDescent="0.3">
      <c r="A3" s="695"/>
      <c r="B3" s="697"/>
      <c r="C3" s="697"/>
      <c r="D3" s="339"/>
      <c r="E3" s="697"/>
      <c r="F3" s="339"/>
      <c r="G3" s="697"/>
      <c r="H3" s="697"/>
      <c r="I3" s="697"/>
      <c r="J3" s="697"/>
      <c r="K3" s="697"/>
      <c r="L3" s="697"/>
      <c r="M3" s="697"/>
      <c r="N3" s="697"/>
      <c r="O3" s="697"/>
      <c r="P3" s="697"/>
      <c r="Q3" s="697"/>
      <c r="R3" s="697"/>
      <c r="S3" s="697"/>
      <c r="T3" s="697"/>
      <c r="U3" s="697"/>
      <c r="V3" s="697"/>
      <c r="W3" s="697"/>
      <c r="X3" s="697"/>
      <c r="Y3" s="697"/>
      <c r="Z3" s="697"/>
      <c r="AA3" s="695"/>
    </row>
    <row r="4" spans="1:27" x14ac:dyDescent="0.3">
      <c r="A4" s="695"/>
      <c r="B4" s="697"/>
      <c r="C4" s="697"/>
      <c r="D4" s="339"/>
      <c r="E4" s="697"/>
      <c r="F4" s="339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5"/>
    </row>
    <row r="5" spans="1:27" x14ac:dyDescent="0.3">
      <c r="A5" s="695"/>
      <c r="B5" s="699" t="s">
        <v>955</v>
      </c>
      <c r="C5" s="697"/>
      <c r="D5" s="339"/>
      <c r="E5" s="697"/>
      <c r="F5" s="339"/>
      <c r="G5" s="697"/>
      <c r="H5" s="697"/>
      <c r="I5" s="697"/>
      <c r="J5" s="697"/>
      <c r="K5" s="697"/>
      <c r="L5" s="697"/>
      <c r="M5" s="697"/>
      <c r="N5" s="697"/>
      <c r="O5" s="697"/>
      <c r="P5" s="697"/>
      <c r="Q5" s="697"/>
      <c r="R5" s="697"/>
      <c r="S5" s="697"/>
      <c r="T5" s="697"/>
      <c r="U5" s="697"/>
      <c r="V5" s="697"/>
      <c r="W5" s="697"/>
      <c r="X5" s="697"/>
      <c r="Y5" s="697"/>
      <c r="Z5" s="697"/>
      <c r="AA5" s="695"/>
    </row>
    <row r="6" spans="1:27" x14ac:dyDescent="0.3">
      <c r="A6" s="695"/>
      <c r="B6" s="699"/>
      <c r="C6" s="697"/>
      <c r="D6" s="339"/>
      <c r="E6" s="697"/>
      <c r="F6" s="339"/>
      <c r="G6" s="697"/>
      <c r="H6" s="697"/>
      <c r="I6" s="697"/>
      <c r="J6" s="697"/>
      <c r="K6" s="697"/>
      <c r="L6" s="697"/>
      <c r="M6" s="697"/>
      <c r="N6" s="697"/>
      <c r="O6" s="697"/>
      <c r="P6" s="697"/>
      <c r="Q6" s="697"/>
      <c r="R6" s="697"/>
      <c r="S6" s="697"/>
      <c r="T6" s="697"/>
      <c r="U6" s="697"/>
      <c r="V6" s="697"/>
      <c r="W6" s="697"/>
      <c r="X6" s="697"/>
      <c r="Y6" s="697"/>
      <c r="Z6" s="697"/>
      <c r="AA6" s="695"/>
    </row>
    <row r="7" spans="1:27" x14ac:dyDescent="0.3">
      <c r="A7" s="695"/>
      <c r="B7" s="697"/>
      <c r="C7" s="697"/>
      <c r="D7" s="700" t="s">
        <v>956</v>
      </c>
      <c r="E7" s="697"/>
      <c r="F7" s="339"/>
      <c r="G7" s="697"/>
      <c r="H7" s="697"/>
      <c r="I7" s="697"/>
      <c r="J7" s="701" t="s">
        <v>957</v>
      </c>
      <c r="K7" s="697"/>
      <c r="L7" s="697"/>
      <c r="M7" s="697"/>
      <c r="N7" s="697"/>
      <c r="O7" s="697"/>
      <c r="P7" s="697"/>
      <c r="Q7" s="697"/>
      <c r="R7" s="697"/>
      <c r="S7" s="697"/>
      <c r="T7" s="697"/>
      <c r="U7" s="697"/>
      <c r="V7" s="697"/>
      <c r="W7" s="697"/>
      <c r="X7" s="697"/>
      <c r="Y7" s="697"/>
      <c r="Z7" s="697"/>
      <c r="AA7" s="695"/>
    </row>
    <row r="8" spans="1:27" x14ac:dyDescent="0.3">
      <c r="A8" s="695"/>
      <c r="B8" s="697"/>
      <c r="C8" s="697"/>
      <c r="D8" s="702" t="s">
        <v>436</v>
      </c>
      <c r="E8" s="697"/>
      <c r="F8" s="702" t="s">
        <v>958</v>
      </c>
      <c r="G8" s="697"/>
      <c r="H8" s="701" t="s">
        <v>451</v>
      </c>
      <c r="I8" s="697"/>
      <c r="J8" s="701" t="s">
        <v>959</v>
      </c>
      <c r="K8" s="697"/>
      <c r="L8" s="697"/>
      <c r="M8" s="697"/>
      <c r="N8" s="697"/>
      <c r="O8" s="697"/>
      <c r="P8" s="697"/>
      <c r="Q8" s="697"/>
      <c r="R8" s="697"/>
      <c r="S8" s="697"/>
      <c r="T8" s="697"/>
      <c r="U8" s="697"/>
      <c r="V8" s="697"/>
      <c r="W8" s="697"/>
      <c r="X8" s="697"/>
      <c r="Y8" s="697"/>
      <c r="Z8" s="697"/>
      <c r="AA8" s="695"/>
    </row>
    <row r="9" spans="1:27" x14ac:dyDescent="0.3">
      <c r="A9" s="695"/>
      <c r="B9" s="703" t="s">
        <v>272</v>
      </c>
      <c r="C9" s="697"/>
      <c r="D9" s="704" t="s">
        <v>960</v>
      </c>
      <c r="E9" s="697"/>
      <c r="F9" s="704" t="s">
        <v>961</v>
      </c>
      <c r="G9" s="697"/>
      <c r="H9" s="705" t="s">
        <v>962</v>
      </c>
      <c r="I9" s="697"/>
      <c r="J9" s="705" t="s">
        <v>963</v>
      </c>
      <c r="K9" s="697"/>
      <c r="L9" s="697"/>
      <c r="M9" s="697"/>
      <c r="N9" s="697"/>
      <c r="O9" s="697"/>
      <c r="P9" s="697"/>
      <c r="Q9" s="697"/>
      <c r="R9" s="697"/>
      <c r="S9" s="697"/>
      <c r="T9" s="697"/>
      <c r="U9" s="697"/>
      <c r="V9" s="697"/>
      <c r="W9" s="697"/>
      <c r="X9" s="697"/>
      <c r="Y9" s="697"/>
      <c r="Z9" s="697"/>
      <c r="AA9" s="695"/>
    </row>
    <row r="10" spans="1:27" x14ac:dyDescent="0.3">
      <c r="A10" s="695"/>
      <c r="B10" s="697" t="s">
        <v>216</v>
      </c>
      <c r="C10" s="697"/>
      <c r="D10" s="706">
        <v>487884.82014897035</v>
      </c>
      <c r="E10" s="503">
        <v>0.98</v>
      </c>
      <c r="F10" s="339">
        <f>+D10*E10</f>
        <v>478127.12374599092</v>
      </c>
      <c r="G10" s="697"/>
      <c r="H10" s="727">
        <v>0.47744031106676094</v>
      </c>
      <c r="I10" s="697"/>
      <c r="J10" s="707">
        <f>(+F10*1000)/8760/H10</f>
        <v>114319.46700700703</v>
      </c>
      <c r="K10" s="697"/>
      <c r="L10" s="697"/>
      <c r="M10" s="697"/>
      <c r="N10" s="697"/>
      <c r="O10" s="697"/>
      <c r="P10" s="697"/>
      <c r="Q10" s="697"/>
      <c r="R10" s="697"/>
      <c r="S10" s="697"/>
      <c r="T10" s="697"/>
      <c r="U10" s="697"/>
      <c r="V10" s="697"/>
      <c r="W10" s="697"/>
      <c r="X10" s="697"/>
      <c r="Y10" s="697"/>
      <c r="Z10" s="697"/>
      <c r="AA10" s="695"/>
    </row>
    <row r="11" spans="1:27" x14ac:dyDescent="0.3">
      <c r="A11" s="695"/>
      <c r="B11" s="697" t="s">
        <v>148</v>
      </c>
      <c r="C11" s="697"/>
      <c r="D11" s="706">
        <v>1770410.8621130725</v>
      </c>
      <c r="E11" s="503">
        <v>0.99</v>
      </c>
      <c r="F11" s="339">
        <f>+D11*E11</f>
        <v>1752706.7534919418</v>
      </c>
      <c r="G11" s="697"/>
      <c r="H11" s="708">
        <f>H10</f>
        <v>0.47744031106676094</v>
      </c>
      <c r="I11" s="697"/>
      <c r="J11" s="707">
        <f t="shared" ref="J11:J13" si="0">(+F11*1000)/8760/H11</f>
        <v>419069.51504643756</v>
      </c>
      <c r="K11" s="697"/>
      <c r="L11" s="697"/>
      <c r="M11" s="697"/>
      <c r="N11" s="697"/>
      <c r="O11" s="697"/>
      <c r="P11" s="697"/>
      <c r="Q11" s="697"/>
      <c r="R11" s="697"/>
      <c r="S11" s="697"/>
      <c r="T11" s="697"/>
      <c r="U11" s="697"/>
      <c r="V11" s="697"/>
      <c r="W11" s="697"/>
      <c r="X11" s="697"/>
      <c r="Y11" s="697"/>
      <c r="Z11" s="697"/>
      <c r="AA11" s="695"/>
    </row>
    <row r="12" spans="1:27" x14ac:dyDescent="0.3">
      <c r="A12" s="695"/>
      <c r="B12" s="697" t="s">
        <v>964</v>
      </c>
      <c r="C12" s="697"/>
      <c r="D12" s="706">
        <v>0</v>
      </c>
      <c r="E12" s="503">
        <f>+E11</f>
        <v>0.99</v>
      </c>
      <c r="F12" s="339">
        <f>+D12*E12</f>
        <v>0</v>
      </c>
      <c r="G12" s="697"/>
      <c r="H12" s="708">
        <f>H10</f>
        <v>0.47744031106676094</v>
      </c>
      <c r="I12" s="697"/>
      <c r="J12" s="707">
        <f t="shared" si="0"/>
        <v>0</v>
      </c>
      <c r="K12" s="697"/>
      <c r="L12" s="697"/>
      <c r="M12" s="697"/>
      <c r="N12" s="697"/>
      <c r="O12" s="697"/>
      <c r="P12" s="697"/>
      <c r="Q12" s="697"/>
      <c r="R12" s="697"/>
      <c r="S12" s="697"/>
      <c r="T12" s="697"/>
      <c r="U12" s="697"/>
      <c r="V12" s="697"/>
      <c r="W12" s="697"/>
      <c r="X12" s="697"/>
      <c r="Y12" s="697"/>
      <c r="Z12" s="697"/>
      <c r="AA12" s="695"/>
    </row>
    <row r="13" spans="1:27" x14ac:dyDescent="0.3">
      <c r="A13" s="695"/>
      <c r="B13" s="697" t="s">
        <v>149</v>
      </c>
      <c r="C13" s="697"/>
      <c r="D13" s="706">
        <v>10979556.808945941</v>
      </c>
      <c r="E13" s="501">
        <v>1</v>
      </c>
      <c r="F13" s="339">
        <f>+D13*E13</f>
        <v>10979556.808945941</v>
      </c>
      <c r="G13" s="697"/>
      <c r="H13" s="708">
        <f>H10</f>
        <v>0.47744031106676094</v>
      </c>
      <c r="I13" s="697"/>
      <c r="J13" s="707">
        <f t="shared" si="0"/>
        <v>2625195.3090171856</v>
      </c>
      <c r="K13" s="697"/>
      <c r="L13" s="697"/>
      <c r="M13" s="697"/>
      <c r="N13" s="697"/>
      <c r="O13" s="697"/>
      <c r="P13" s="697"/>
      <c r="Q13" s="697"/>
      <c r="R13" s="697"/>
      <c r="S13" s="697"/>
      <c r="T13" s="697"/>
      <c r="U13" s="697"/>
      <c r="V13" s="697"/>
      <c r="W13" s="697"/>
      <c r="X13" s="697"/>
      <c r="Y13" s="697"/>
      <c r="Z13" s="697"/>
      <c r="AA13" s="695"/>
    </row>
    <row r="14" spans="1:27" x14ac:dyDescent="0.3">
      <c r="A14" s="695"/>
      <c r="B14" s="697"/>
      <c r="C14" s="697"/>
      <c r="D14" s="709">
        <f>SUM(D10:D13)</f>
        <v>13237852.491207983</v>
      </c>
      <c r="E14" s="697"/>
      <c r="F14" s="710">
        <f>SUM(F10:F13)</f>
        <v>13210390.686183874</v>
      </c>
      <c r="G14" s="697"/>
      <c r="H14" s="697"/>
      <c r="I14" s="697"/>
      <c r="J14" s="710">
        <f>SUM(J10:J13)</f>
        <v>3158584.2910706303</v>
      </c>
      <c r="K14" s="339"/>
      <c r="L14" s="697"/>
      <c r="M14" s="697"/>
      <c r="N14" s="697"/>
      <c r="O14" s="697"/>
      <c r="P14" s="697"/>
      <c r="Q14" s="697"/>
      <c r="R14" s="697"/>
      <c r="S14" s="697"/>
      <c r="T14" s="697"/>
      <c r="U14" s="697"/>
      <c r="V14" s="697"/>
      <c r="W14" s="697"/>
      <c r="X14" s="697"/>
      <c r="Y14" s="697"/>
      <c r="Z14" s="697"/>
      <c r="AA14" s="695"/>
    </row>
    <row r="15" spans="1:27" x14ac:dyDescent="0.3">
      <c r="A15" s="695"/>
      <c r="B15" s="697"/>
      <c r="C15" s="697"/>
      <c r="D15" s="706"/>
      <c r="E15" s="697"/>
      <c r="F15" s="339"/>
      <c r="G15" s="697"/>
      <c r="H15" s="697"/>
      <c r="I15" s="697"/>
      <c r="J15" s="697"/>
      <c r="K15" s="697"/>
      <c r="L15" s="697"/>
      <c r="M15" s="697"/>
      <c r="N15" s="697"/>
      <c r="O15" s="697"/>
      <c r="P15" s="697"/>
      <c r="Q15" s="697"/>
      <c r="R15" s="697"/>
      <c r="S15" s="697"/>
      <c r="T15" s="697"/>
      <c r="U15" s="697"/>
      <c r="V15" s="697"/>
      <c r="W15" s="697"/>
      <c r="X15" s="697"/>
      <c r="Y15" s="697"/>
      <c r="Z15" s="697"/>
      <c r="AA15" s="695"/>
    </row>
    <row r="16" spans="1:27" x14ac:dyDescent="0.3">
      <c r="A16" s="695"/>
      <c r="B16" s="697"/>
      <c r="C16" s="697"/>
      <c r="D16" s="706"/>
      <c r="E16" s="697"/>
      <c r="F16" s="700" t="s">
        <v>958</v>
      </c>
      <c r="G16" s="697"/>
      <c r="H16" s="697"/>
      <c r="I16" s="697"/>
      <c r="J16" s="697"/>
      <c r="K16" s="697"/>
      <c r="L16" s="697"/>
      <c r="M16" s="697"/>
      <c r="N16" s="697"/>
      <c r="O16" s="697"/>
      <c r="P16" s="697"/>
      <c r="Q16" s="697"/>
      <c r="R16" s="697"/>
      <c r="S16" s="697"/>
      <c r="T16" s="697"/>
      <c r="U16" s="697"/>
      <c r="V16" s="697"/>
      <c r="W16" s="697"/>
      <c r="X16" s="697"/>
      <c r="Y16" s="697"/>
      <c r="Z16" s="697"/>
      <c r="AA16" s="695"/>
    </row>
    <row r="17" spans="1:27" x14ac:dyDescent="0.3">
      <c r="A17" s="695"/>
      <c r="B17" s="703" t="s">
        <v>138</v>
      </c>
      <c r="C17" s="697"/>
      <c r="D17" s="711" t="s">
        <v>960</v>
      </c>
      <c r="E17" s="697"/>
      <c r="F17" s="711" t="s">
        <v>961</v>
      </c>
      <c r="G17" s="697"/>
      <c r="H17" s="697"/>
      <c r="I17" s="697"/>
      <c r="J17" s="697"/>
      <c r="K17" s="697"/>
      <c r="L17" s="697"/>
      <c r="M17" s="697"/>
      <c r="N17" s="697"/>
      <c r="O17" s="697"/>
      <c r="P17" s="697"/>
      <c r="Q17" s="697"/>
      <c r="R17" s="697"/>
      <c r="S17" s="697"/>
      <c r="T17" s="697"/>
      <c r="U17" s="697"/>
      <c r="V17" s="697"/>
      <c r="W17" s="697"/>
      <c r="X17" s="697"/>
      <c r="Y17" s="697"/>
      <c r="Z17" s="697"/>
      <c r="AA17" s="695"/>
    </row>
    <row r="18" spans="1:27" x14ac:dyDescent="0.3">
      <c r="A18" s="695"/>
      <c r="B18" s="697" t="s">
        <v>216</v>
      </c>
      <c r="C18" s="697"/>
      <c r="D18" s="706">
        <v>8558.2339143357058</v>
      </c>
      <c r="E18" s="712">
        <f>+E10</f>
        <v>0.98</v>
      </c>
      <c r="F18" s="706">
        <f>+D18*E18</f>
        <v>8387.069236048992</v>
      </c>
      <c r="G18" s="697"/>
      <c r="H18" s="684">
        <v>0.16911287900598132</v>
      </c>
      <c r="I18" s="697"/>
      <c r="J18" s="707">
        <f>(+F18*1000)/8760/H18</f>
        <v>5661.4729795292442</v>
      </c>
      <c r="K18" s="697"/>
      <c r="L18" s="697"/>
      <c r="M18" s="697"/>
      <c r="N18" s="697"/>
      <c r="O18" s="697"/>
      <c r="P18" s="697"/>
      <c r="Q18" s="697"/>
      <c r="R18" s="697"/>
      <c r="S18" s="697"/>
      <c r="T18" s="697"/>
      <c r="U18" s="697"/>
      <c r="V18" s="697"/>
      <c r="W18" s="697"/>
      <c r="X18" s="697"/>
      <c r="Y18" s="697"/>
      <c r="Z18" s="697"/>
      <c r="AA18" s="695"/>
    </row>
    <row r="19" spans="1:27" x14ac:dyDescent="0.3">
      <c r="A19" s="695"/>
      <c r="B19" s="697" t="s">
        <v>148</v>
      </c>
      <c r="C19" s="697"/>
      <c r="D19" s="706">
        <v>55967.088711695913</v>
      </c>
      <c r="E19" s="712">
        <f>+E11</f>
        <v>0.99</v>
      </c>
      <c r="F19" s="706">
        <f>+D19*E19</f>
        <v>55407.417824578952</v>
      </c>
      <c r="G19" s="697"/>
      <c r="H19" s="708">
        <f>H18</f>
        <v>0.16911287900598132</v>
      </c>
      <c r="I19" s="697"/>
      <c r="J19" s="707">
        <f t="shared" ref="J19:J21" si="1">(+F19*1000)/8760/H19</f>
        <v>37401.33651586662</v>
      </c>
      <c r="K19" s="697"/>
      <c r="L19" s="697"/>
      <c r="M19" s="697"/>
      <c r="N19" s="697"/>
      <c r="O19" s="697"/>
      <c r="P19" s="697"/>
      <c r="Q19" s="697"/>
      <c r="R19" s="697"/>
      <c r="S19" s="697"/>
      <c r="T19" s="697"/>
      <c r="U19" s="697"/>
      <c r="V19" s="697"/>
      <c r="W19" s="697"/>
      <c r="X19" s="697"/>
      <c r="Y19" s="697"/>
      <c r="Z19" s="697"/>
      <c r="AA19" s="695"/>
    </row>
    <row r="20" spans="1:27" x14ac:dyDescent="0.3">
      <c r="A20" s="695"/>
      <c r="B20" s="697" t="s">
        <v>964</v>
      </c>
      <c r="C20" s="697"/>
      <c r="D20" s="713">
        <v>0</v>
      </c>
      <c r="E20" s="712">
        <f>+E12</f>
        <v>0.99</v>
      </c>
      <c r="F20" s="706">
        <f>+D20*E20</f>
        <v>0</v>
      </c>
      <c r="G20" s="697"/>
      <c r="H20" s="708">
        <f>H18</f>
        <v>0.16911287900598132</v>
      </c>
      <c r="I20" s="697"/>
      <c r="J20" s="707">
        <f t="shared" si="1"/>
        <v>0</v>
      </c>
      <c r="K20" s="697"/>
      <c r="L20" s="697"/>
      <c r="M20" s="697"/>
      <c r="N20" s="697"/>
      <c r="O20" s="697"/>
      <c r="P20" s="697"/>
      <c r="Q20" s="697"/>
      <c r="R20" s="697"/>
      <c r="S20" s="697"/>
      <c r="T20" s="697"/>
      <c r="U20" s="697"/>
      <c r="V20" s="697"/>
      <c r="W20" s="697"/>
      <c r="X20" s="697"/>
      <c r="Y20" s="697"/>
      <c r="Z20" s="697"/>
      <c r="AA20" s="695"/>
    </row>
    <row r="21" spans="1:27" x14ac:dyDescent="0.3">
      <c r="A21" s="695"/>
      <c r="B21" s="697" t="s">
        <v>149</v>
      </c>
      <c r="C21" s="697"/>
      <c r="D21" s="713">
        <v>0</v>
      </c>
      <c r="E21" s="712">
        <f>+E13</f>
        <v>1</v>
      </c>
      <c r="F21" s="706">
        <f>+D21*E21</f>
        <v>0</v>
      </c>
      <c r="G21" s="697"/>
      <c r="H21" s="708">
        <f>H18</f>
        <v>0.16911287900598132</v>
      </c>
      <c r="I21" s="697"/>
      <c r="J21" s="707">
        <f t="shared" si="1"/>
        <v>0</v>
      </c>
      <c r="K21" s="697"/>
      <c r="L21" s="697"/>
      <c r="M21" s="697"/>
      <c r="N21" s="697"/>
      <c r="O21" s="697"/>
      <c r="P21" s="697"/>
      <c r="Q21" s="697"/>
      <c r="R21" s="697"/>
      <c r="S21" s="697"/>
      <c r="T21" s="697"/>
      <c r="U21" s="697"/>
      <c r="V21" s="697"/>
      <c r="W21" s="697"/>
      <c r="X21" s="697"/>
      <c r="Y21" s="697"/>
      <c r="Z21" s="697"/>
      <c r="AA21" s="695"/>
    </row>
    <row r="22" spans="1:27" x14ac:dyDescent="0.3">
      <c r="A22" s="695"/>
      <c r="B22" s="697"/>
      <c r="C22" s="697"/>
      <c r="D22" s="709">
        <f>SUM(D18:D21)</f>
        <v>64525.322626031615</v>
      </c>
      <c r="E22" s="697"/>
      <c r="F22" s="709">
        <f>SUM(F18:F21)</f>
        <v>63794.487060627944</v>
      </c>
      <c r="G22" s="697"/>
      <c r="H22" s="697"/>
      <c r="I22" s="697"/>
      <c r="J22" s="709">
        <f>SUM(J18:J21)</f>
        <v>43062.809495395864</v>
      </c>
      <c r="K22" s="339"/>
      <c r="L22" s="697"/>
      <c r="M22" s="697"/>
      <c r="N22" s="697"/>
      <c r="O22" s="697"/>
      <c r="P22" s="697"/>
      <c r="Q22" s="697"/>
      <c r="R22" s="697"/>
      <c r="S22" s="697"/>
      <c r="T22" s="697"/>
      <c r="U22" s="697"/>
      <c r="V22" s="697"/>
      <c r="W22" s="697"/>
      <c r="X22" s="697"/>
      <c r="Y22" s="697"/>
      <c r="Z22" s="697"/>
      <c r="AA22" s="695"/>
    </row>
    <row r="23" spans="1:27" x14ac:dyDescent="0.3">
      <c r="A23" s="695"/>
      <c r="B23" s="697"/>
      <c r="C23" s="697"/>
      <c r="D23" s="706"/>
      <c r="E23" s="697"/>
      <c r="F23" s="706"/>
      <c r="G23" s="697"/>
      <c r="H23" s="697"/>
      <c r="I23" s="697"/>
      <c r="J23" s="697"/>
      <c r="K23" s="697"/>
      <c r="L23" s="697"/>
      <c r="M23" s="697"/>
      <c r="N23" s="697"/>
      <c r="O23" s="697"/>
      <c r="P23" s="697"/>
      <c r="Q23" s="697"/>
      <c r="R23" s="697"/>
      <c r="S23" s="697"/>
      <c r="T23" s="697"/>
      <c r="U23" s="697"/>
      <c r="V23" s="697"/>
      <c r="W23" s="697"/>
      <c r="X23" s="697"/>
      <c r="Y23" s="697"/>
      <c r="Z23" s="697"/>
      <c r="AA23" s="695"/>
    </row>
    <row r="24" spans="1:27" x14ac:dyDescent="0.3">
      <c r="A24" s="695"/>
      <c r="B24" s="697"/>
      <c r="C24" s="697"/>
      <c r="D24" s="706"/>
      <c r="E24" s="697"/>
      <c r="F24" s="700"/>
      <c r="G24" s="697"/>
      <c r="H24" s="697"/>
      <c r="I24" s="697"/>
      <c r="J24" s="697"/>
      <c r="K24" s="697"/>
      <c r="L24" s="697"/>
      <c r="M24" s="697"/>
      <c r="N24" s="697"/>
      <c r="O24" s="697"/>
      <c r="P24" s="697"/>
      <c r="Q24" s="697"/>
      <c r="R24" s="697"/>
      <c r="S24" s="697"/>
      <c r="T24" s="697"/>
      <c r="U24" s="697"/>
      <c r="V24" s="697"/>
      <c r="W24" s="697"/>
      <c r="X24" s="697"/>
      <c r="Y24" s="697"/>
      <c r="Z24" s="697"/>
      <c r="AA24" s="695"/>
    </row>
    <row r="25" spans="1:27" x14ac:dyDescent="0.3">
      <c r="A25" s="695"/>
      <c r="B25" s="703" t="s">
        <v>965</v>
      </c>
      <c r="C25" s="697"/>
      <c r="D25" s="714"/>
      <c r="E25" s="697"/>
      <c r="F25" s="714"/>
      <c r="G25" s="697"/>
      <c r="H25" s="697"/>
      <c r="I25" s="697"/>
      <c r="J25" s="714"/>
      <c r="K25" s="697"/>
      <c r="L25" s="697"/>
      <c r="M25" s="697"/>
      <c r="N25" s="697"/>
      <c r="O25" s="697"/>
      <c r="P25" s="697"/>
      <c r="Q25" s="697"/>
      <c r="R25" s="697"/>
      <c r="S25" s="697"/>
      <c r="T25" s="697"/>
      <c r="U25" s="697"/>
      <c r="V25" s="697"/>
      <c r="W25" s="697"/>
      <c r="X25" s="697"/>
      <c r="Y25" s="697"/>
      <c r="Z25" s="697"/>
      <c r="AA25" s="695"/>
    </row>
    <row r="26" spans="1:27" x14ac:dyDescent="0.3">
      <c r="A26" s="695"/>
      <c r="B26" s="697" t="s">
        <v>216</v>
      </c>
      <c r="C26" s="697"/>
      <c r="D26" s="706">
        <v>496443.05406330607</v>
      </c>
      <c r="E26" s="712"/>
      <c r="F26" s="706">
        <f>+F10+F18</f>
        <v>486514.19298203988</v>
      </c>
      <c r="G26" s="697"/>
      <c r="H26" s="697"/>
      <c r="I26" s="697"/>
      <c r="J26" s="706">
        <f>+J10+J18</f>
        <v>119980.93998653628</v>
      </c>
      <c r="K26" s="697"/>
      <c r="L26" s="697"/>
      <c r="M26" s="697"/>
      <c r="N26" s="697"/>
      <c r="O26" s="697"/>
      <c r="P26" s="697"/>
      <c r="Q26" s="697"/>
      <c r="R26" s="697"/>
      <c r="S26" s="697"/>
      <c r="T26" s="697"/>
      <c r="U26" s="697"/>
      <c r="V26" s="697"/>
      <c r="W26" s="697"/>
      <c r="X26" s="697"/>
      <c r="Y26" s="697"/>
      <c r="Z26" s="697"/>
      <c r="AA26" s="695"/>
    </row>
    <row r="27" spans="1:27" x14ac:dyDescent="0.3">
      <c r="A27" s="695"/>
      <c r="B27" s="697" t="s">
        <v>148</v>
      </c>
      <c r="C27" s="697"/>
      <c r="D27" s="706">
        <v>1826377.9508247685</v>
      </c>
      <c r="E27" s="712"/>
      <c r="F27" s="706">
        <f>+F11+F19</f>
        <v>1808114.1713165208</v>
      </c>
      <c r="G27" s="697"/>
      <c r="H27" s="697"/>
      <c r="I27" s="697"/>
      <c r="J27" s="706">
        <f>+J11+J19</f>
        <v>456470.85156230419</v>
      </c>
      <c r="K27" s="697"/>
      <c r="L27" s="697"/>
      <c r="M27" s="697"/>
      <c r="N27" s="697"/>
      <c r="O27" s="697"/>
      <c r="P27" s="697"/>
      <c r="Q27" s="697"/>
      <c r="R27" s="697"/>
      <c r="S27" s="697"/>
      <c r="T27" s="697"/>
      <c r="U27" s="697"/>
      <c r="V27" s="697"/>
      <c r="W27" s="697"/>
      <c r="X27" s="697"/>
      <c r="Y27" s="697"/>
      <c r="Z27" s="697"/>
      <c r="AA27" s="695"/>
    </row>
    <row r="28" spans="1:27" x14ac:dyDescent="0.3">
      <c r="A28" s="695"/>
      <c r="B28" s="697" t="s">
        <v>964</v>
      </c>
      <c r="C28" s="697"/>
      <c r="D28" s="706">
        <v>0</v>
      </c>
      <c r="E28" s="712"/>
      <c r="F28" s="706">
        <f>+F12+F20</f>
        <v>0</v>
      </c>
      <c r="G28" s="697"/>
      <c r="H28" s="697"/>
      <c r="I28" s="697"/>
      <c r="J28" s="706">
        <f>+J12+J20</f>
        <v>0</v>
      </c>
      <c r="K28" s="697"/>
      <c r="L28" s="697"/>
      <c r="M28" s="697"/>
      <c r="N28" s="697"/>
      <c r="O28" s="697"/>
      <c r="P28" s="697"/>
      <c r="Q28" s="697"/>
      <c r="R28" s="697"/>
      <c r="S28" s="697"/>
      <c r="T28" s="697"/>
      <c r="U28" s="697"/>
      <c r="V28" s="697"/>
      <c r="W28" s="697"/>
      <c r="X28" s="697"/>
      <c r="Y28" s="697"/>
      <c r="Z28" s="697"/>
      <c r="AA28" s="695"/>
    </row>
    <row r="29" spans="1:27" x14ac:dyDescent="0.3">
      <c r="A29" s="695"/>
      <c r="B29" s="697" t="s">
        <v>149</v>
      </c>
      <c r="C29" s="697"/>
      <c r="D29" s="706">
        <v>10979556.808945941</v>
      </c>
      <c r="E29" s="712"/>
      <c r="F29" s="706">
        <f>+F13+F21</f>
        <v>10979556.808945941</v>
      </c>
      <c r="G29" s="697"/>
      <c r="H29" s="697"/>
      <c r="I29" s="697"/>
      <c r="J29" s="706">
        <f>+J13+J21</f>
        <v>2625195.3090171856</v>
      </c>
      <c r="K29" s="697"/>
      <c r="L29" s="697"/>
      <c r="M29" s="697"/>
      <c r="N29" s="697"/>
      <c r="O29" s="697"/>
      <c r="P29" s="697"/>
      <c r="Q29" s="697"/>
      <c r="R29" s="697"/>
      <c r="S29" s="697"/>
      <c r="T29" s="697"/>
      <c r="U29" s="697"/>
      <c r="V29" s="697"/>
      <c r="W29" s="697"/>
      <c r="X29" s="697"/>
      <c r="Y29" s="697"/>
      <c r="Z29" s="697"/>
      <c r="AA29" s="695"/>
    </row>
    <row r="30" spans="1:27" x14ac:dyDescent="0.3">
      <c r="A30" s="695"/>
      <c r="B30" s="697"/>
      <c r="C30" s="697"/>
      <c r="D30" s="709">
        <f>SUM(D26:D29)</f>
        <v>13302377.813834015</v>
      </c>
      <c r="E30" s="697"/>
      <c r="F30" s="709">
        <f>SUM(F26:F29)</f>
        <v>13274185.173244502</v>
      </c>
      <c r="G30" s="697"/>
      <c r="H30" s="712"/>
      <c r="I30" s="697"/>
      <c r="J30" s="709">
        <f>SUM(J26:J29)</f>
        <v>3201647.1005660258</v>
      </c>
      <c r="K30" s="707"/>
      <c r="L30" s="697"/>
      <c r="M30" s="697"/>
      <c r="N30" s="697"/>
      <c r="O30" s="697"/>
      <c r="P30" s="697"/>
      <c r="Q30" s="697"/>
      <c r="R30" s="697"/>
      <c r="S30" s="697"/>
      <c r="T30" s="697"/>
      <c r="U30" s="697"/>
      <c r="V30" s="697"/>
      <c r="W30" s="697"/>
      <c r="X30" s="697"/>
      <c r="Y30" s="697"/>
      <c r="Z30" s="697"/>
      <c r="AA30" s="695"/>
    </row>
    <row r="33" spans="4:8" x14ac:dyDescent="0.3">
      <c r="D33" s="715"/>
      <c r="H33" s="715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31BD1-D667-4958-A710-AFA66027474F}">
  <sheetPr codeName="Sheet11">
    <tabColor rgb="FF92D050"/>
    <pageSetUpPr fitToPage="1"/>
  </sheetPr>
  <dimension ref="A1:AD58"/>
  <sheetViews>
    <sheetView tabSelected="1" workbookViewId="0">
      <selection activeCell="S8" sqref="S8"/>
    </sheetView>
  </sheetViews>
  <sheetFormatPr defaultColWidth="9.109375" defaultRowHeight="13.8" x14ac:dyDescent="0.3"/>
  <cols>
    <col min="1" max="1" width="0.6640625" style="515" customWidth="1"/>
    <col min="2" max="2" width="5.6640625" style="515" customWidth="1"/>
    <col min="3" max="3" width="2.6640625" style="515" customWidth="1"/>
    <col min="4" max="4" width="5.6640625" style="515" customWidth="1"/>
    <col min="5" max="5" width="36.109375" style="515" customWidth="1"/>
    <col min="6" max="11" width="20.109375" style="515" customWidth="1"/>
    <col min="12" max="12" width="1.44140625" style="515" customWidth="1"/>
    <col min="13" max="13" width="36.6640625" style="515" customWidth="1"/>
    <col min="14" max="30" width="0.6640625" style="515" customWidth="1"/>
    <col min="31" max="16384" width="9.109375" style="515"/>
  </cols>
  <sheetData>
    <row r="1" spans="1:30" s="578" customFormat="1" ht="18" x14ac:dyDescent="0.35">
      <c r="A1" s="577"/>
      <c r="B1" s="459">
        <v>2026</v>
      </c>
      <c r="C1" s="575"/>
      <c r="D1" s="575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7"/>
      <c r="AB1" s="576"/>
      <c r="AC1" s="576"/>
      <c r="AD1" s="577"/>
    </row>
    <row r="2" spans="1:30" x14ac:dyDescent="0.3">
      <c r="A2" s="514"/>
      <c r="M2" s="466" t="s">
        <v>702</v>
      </c>
      <c r="AA2" s="514"/>
      <c r="AD2" s="514"/>
    </row>
    <row r="3" spans="1:30" x14ac:dyDescent="0.3">
      <c r="A3" s="514"/>
      <c r="M3" s="469" t="str">
        <f>"DOCKET NO.  " &amp; +"20240025-EI"</f>
        <v>DOCKET NO.  20240025-EI</v>
      </c>
      <c r="AA3" s="514"/>
      <c r="AD3" s="514"/>
    </row>
    <row r="4" spans="1:30" x14ac:dyDescent="0.3">
      <c r="A4" s="514"/>
      <c r="M4" s="469" t="s">
        <v>703</v>
      </c>
      <c r="AA4" s="514"/>
      <c r="AD4" s="514"/>
    </row>
    <row r="5" spans="1:30" x14ac:dyDescent="0.3">
      <c r="A5" s="514"/>
      <c r="M5" s="466" t="s">
        <v>966</v>
      </c>
      <c r="AA5" s="514"/>
      <c r="AD5" s="514"/>
    </row>
    <row r="6" spans="1:30" x14ac:dyDescent="0.3">
      <c r="A6" s="514"/>
      <c r="M6" s="472" t="s">
        <v>103</v>
      </c>
      <c r="AA6" s="514"/>
      <c r="AD6" s="514"/>
    </row>
    <row r="7" spans="1:30" x14ac:dyDescent="0.3">
      <c r="A7" s="514"/>
      <c r="M7" s="343" t="s">
        <v>204</v>
      </c>
      <c r="AA7" s="514"/>
      <c r="AD7" s="514"/>
    </row>
    <row r="8" spans="1:30" s="518" customFormat="1" ht="15.6" x14ac:dyDescent="0.3">
      <c r="A8" s="519"/>
      <c r="B8" s="516" t="s">
        <v>967</v>
      </c>
      <c r="C8" s="517"/>
      <c r="D8" s="517"/>
      <c r="E8" s="517"/>
      <c r="F8" s="517"/>
      <c r="G8" s="517"/>
      <c r="H8" s="517"/>
      <c r="I8" s="517"/>
      <c r="J8" s="517"/>
      <c r="K8" s="517"/>
      <c r="L8" s="517"/>
      <c r="M8" s="517"/>
      <c r="AA8" s="519"/>
      <c r="AD8" s="519"/>
    </row>
    <row r="9" spans="1:30" s="518" customFormat="1" ht="15.6" x14ac:dyDescent="0.3">
      <c r="A9" s="519"/>
      <c r="B9" s="579" t="s">
        <v>498</v>
      </c>
      <c r="C9" s="517"/>
      <c r="D9" s="517"/>
      <c r="E9" s="517"/>
      <c r="F9" s="517"/>
      <c r="G9" s="517"/>
      <c r="H9" s="517"/>
      <c r="I9" s="517"/>
      <c r="J9" s="517"/>
      <c r="K9" s="517"/>
      <c r="L9" s="517"/>
      <c r="M9" s="517"/>
      <c r="AA9" s="519"/>
      <c r="AD9" s="519"/>
    </row>
    <row r="10" spans="1:30" ht="6.75" customHeight="1" x14ac:dyDescent="0.3">
      <c r="A10" s="514"/>
      <c r="B10" s="542"/>
      <c r="AA10" s="514"/>
      <c r="AD10" s="514"/>
    </row>
    <row r="11" spans="1:30" ht="18" customHeight="1" x14ac:dyDescent="0.3">
      <c r="A11" s="514"/>
      <c r="B11" s="560"/>
      <c r="C11" s="562"/>
      <c r="D11" s="580">
        <v>-1</v>
      </c>
      <c r="E11" s="581"/>
      <c r="F11" s="561">
        <f>D11-1</f>
        <v>-2</v>
      </c>
      <c r="G11" s="561">
        <f>+F11-1</f>
        <v>-3</v>
      </c>
      <c r="H11" s="561">
        <f>+G11-1</f>
        <v>-4</v>
      </c>
      <c r="I11" s="561">
        <f>+H11-1</f>
        <v>-5</v>
      </c>
      <c r="J11" s="561">
        <f>+I11-1</f>
        <v>-6</v>
      </c>
      <c r="K11" s="561">
        <f>+J11-1</f>
        <v>-7</v>
      </c>
      <c r="L11" s="582"/>
      <c r="M11" s="561">
        <f>+K11-1</f>
        <v>-8</v>
      </c>
      <c r="AA11" s="514"/>
      <c r="AD11" s="514"/>
    </row>
    <row r="12" spans="1:30" ht="18.75" customHeight="1" x14ac:dyDescent="0.3">
      <c r="A12" s="514"/>
      <c r="B12" s="564"/>
      <c r="C12" s="564"/>
      <c r="D12" s="564"/>
      <c r="E12" s="564"/>
      <c r="F12" s="564"/>
      <c r="G12" s="565" t="s">
        <v>968</v>
      </c>
      <c r="H12" s="564"/>
      <c r="I12" s="565"/>
      <c r="M12" s="564"/>
      <c r="AA12" s="514"/>
      <c r="AD12" s="514"/>
    </row>
    <row r="13" spans="1:30" x14ac:dyDescent="0.3">
      <c r="A13" s="514"/>
      <c r="B13" s="564"/>
      <c r="C13" s="564"/>
      <c r="D13" s="564"/>
      <c r="E13" s="564"/>
      <c r="F13" s="565" t="s">
        <v>969</v>
      </c>
      <c r="G13" s="565" t="s">
        <v>149</v>
      </c>
      <c r="H13" s="567" t="s">
        <v>272</v>
      </c>
      <c r="I13" s="565" t="s">
        <v>136</v>
      </c>
      <c r="J13" s="567" t="s">
        <v>970</v>
      </c>
      <c r="K13" s="567" t="s">
        <v>970</v>
      </c>
      <c r="M13" s="564"/>
      <c r="AA13" s="514"/>
      <c r="AD13" s="514"/>
    </row>
    <row r="14" spans="1:30" x14ac:dyDescent="0.3">
      <c r="A14" s="514"/>
      <c r="B14" s="570" t="s">
        <v>30</v>
      </c>
      <c r="C14" s="571"/>
      <c r="D14" s="571"/>
      <c r="E14" s="571"/>
      <c r="F14" s="583" t="s">
        <v>971</v>
      </c>
      <c r="G14" s="570" t="s">
        <v>543</v>
      </c>
      <c r="H14" s="524"/>
      <c r="I14" s="570"/>
      <c r="J14" s="570" t="s">
        <v>972</v>
      </c>
      <c r="K14" s="570" t="s">
        <v>973</v>
      </c>
      <c r="L14" s="524"/>
      <c r="M14" s="570" t="s">
        <v>41</v>
      </c>
      <c r="AA14" s="514"/>
      <c r="AD14" s="514"/>
    </row>
    <row r="15" spans="1:30" x14ac:dyDescent="0.3">
      <c r="A15" s="514"/>
      <c r="B15" s="530"/>
      <c r="H15" s="568"/>
      <c r="J15" s="568"/>
      <c r="AA15" s="514"/>
      <c r="AD15" s="514"/>
    </row>
    <row r="16" spans="1:30" x14ac:dyDescent="0.3">
      <c r="A16" s="514"/>
      <c r="B16" s="530">
        <v>1</v>
      </c>
      <c r="C16" s="531" t="s">
        <v>974</v>
      </c>
      <c r="AA16" s="514"/>
      <c r="AD16" s="514"/>
    </row>
    <row r="17" spans="1:30" x14ac:dyDescent="0.3">
      <c r="A17" s="514"/>
      <c r="B17" s="530">
        <f t="shared" ref="B17:B55" si="0">+B16+1</f>
        <v>2</v>
      </c>
      <c r="D17" s="515" t="s">
        <v>975</v>
      </c>
      <c r="H17" s="533">
        <f>'MFR E-6b'!K53</f>
        <v>10.228496027374327</v>
      </c>
      <c r="I17" s="533">
        <f>'MFR E-6b'!I53</f>
        <v>4.5429749193303888</v>
      </c>
      <c r="J17" s="533">
        <f>'MFR E-6b'!L53</f>
        <v>100.6238917107307</v>
      </c>
      <c r="K17" s="533">
        <f>'MFR E-6b'!L53</f>
        <v>100.6238917107307</v>
      </c>
      <c r="M17" s="515" t="s">
        <v>276</v>
      </c>
      <c r="AA17" s="514"/>
      <c r="AD17" s="514"/>
    </row>
    <row r="18" spans="1:30" x14ac:dyDescent="0.3">
      <c r="A18" s="514"/>
      <c r="B18" s="530">
        <f t="shared" si="0"/>
        <v>3</v>
      </c>
      <c r="AA18" s="514"/>
      <c r="AD18" s="514"/>
    </row>
    <row r="19" spans="1:30" x14ac:dyDescent="0.3">
      <c r="A19" s="514"/>
      <c r="B19" s="530">
        <f t="shared" si="0"/>
        <v>4</v>
      </c>
      <c r="C19" s="531" t="s">
        <v>976</v>
      </c>
      <c r="AA19" s="514"/>
      <c r="AD19" s="514"/>
    </row>
    <row r="20" spans="1:30" x14ac:dyDescent="0.3">
      <c r="A20" s="514"/>
      <c r="B20" s="530">
        <f t="shared" si="0"/>
        <v>5</v>
      </c>
      <c r="D20" s="515" t="s">
        <v>977</v>
      </c>
      <c r="H20" s="72">
        <v>48741.784361920349</v>
      </c>
      <c r="I20" s="72">
        <f>SUM('MFR E-13c'!J77:J79)/12</f>
        <v>1316.3028054870772</v>
      </c>
      <c r="J20" s="72">
        <v>68.533842440050648</v>
      </c>
      <c r="K20" s="72">
        <f>+J20</f>
        <v>68.533842440050648</v>
      </c>
      <c r="M20" s="515" t="s">
        <v>978</v>
      </c>
      <c r="AA20" s="514"/>
      <c r="AD20" s="514"/>
    </row>
    <row r="21" spans="1:30" x14ac:dyDescent="0.3">
      <c r="A21" s="514"/>
      <c r="B21" s="530">
        <f t="shared" si="0"/>
        <v>6</v>
      </c>
      <c r="D21" s="515" t="s">
        <v>979</v>
      </c>
      <c r="H21" s="72">
        <v>0</v>
      </c>
      <c r="I21" s="72">
        <v>13609.719731288706</v>
      </c>
      <c r="J21" s="72">
        <v>0</v>
      </c>
      <c r="K21" s="72">
        <f>+J21</f>
        <v>0</v>
      </c>
      <c r="M21" s="515" t="s">
        <v>980</v>
      </c>
      <c r="AA21" s="514"/>
      <c r="AD21" s="514"/>
    </row>
    <row r="22" spans="1:30" x14ac:dyDescent="0.3">
      <c r="A22" s="514"/>
      <c r="B22" s="530">
        <f t="shared" si="0"/>
        <v>7</v>
      </c>
      <c r="D22" s="515" t="s">
        <v>148</v>
      </c>
      <c r="H22" s="72">
        <v>383.30548251846875</v>
      </c>
      <c r="I22" s="72">
        <v>0</v>
      </c>
      <c r="J22" s="72">
        <v>75.468897875710809</v>
      </c>
      <c r="K22" s="72">
        <f>+J22</f>
        <v>75.468897875710809</v>
      </c>
      <c r="M22" s="515" t="s">
        <v>980</v>
      </c>
      <c r="AA22" s="514"/>
      <c r="AD22" s="514"/>
    </row>
    <row r="23" spans="1:30" x14ac:dyDescent="0.3">
      <c r="A23" s="514"/>
      <c r="B23" s="530">
        <f t="shared" si="0"/>
        <v>8</v>
      </c>
      <c r="D23" s="515" t="s">
        <v>216</v>
      </c>
      <c r="H23" s="72">
        <v>10.376466927289918</v>
      </c>
      <c r="I23" s="72">
        <v>0</v>
      </c>
      <c r="J23" s="72">
        <v>10.771624830785271</v>
      </c>
      <c r="K23" s="72">
        <f>J23</f>
        <v>10.771624830785271</v>
      </c>
      <c r="M23" s="515" t="s">
        <v>980</v>
      </c>
      <c r="AA23" s="514"/>
      <c r="AD23" s="514"/>
    </row>
    <row r="24" spans="1:30" ht="14.4" thickBot="1" x14ac:dyDescent="0.35">
      <c r="A24" s="514"/>
      <c r="B24" s="530">
        <f t="shared" si="0"/>
        <v>9</v>
      </c>
      <c r="H24" s="584">
        <f>SUM(H20:H23)</f>
        <v>49135.466311366108</v>
      </c>
      <c r="I24" s="584">
        <f>SUM(I20:I23)</f>
        <v>14926.022536775783</v>
      </c>
      <c r="J24" s="584">
        <f>SUM(J20:J23)</f>
        <v>154.77436514654673</v>
      </c>
      <c r="K24" s="584">
        <f>SUM(K20:K23)</f>
        <v>154.77436514654673</v>
      </c>
      <c r="AA24" s="514"/>
      <c r="AD24" s="514"/>
    </row>
    <row r="25" spans="1:30" ht="14.4" thickTop="1" x14ac:dyDescent="0.3">
      <c r="A25" s="514"/>
      <c r="B25" s="530">
        <f t="shared" si="0"/>
        <v>10</v>
      </c>
      <c r="C25" s="585" t="s">
        <v>981</v>
      </c>
      <c r="AA25" s="514"/>
      <c r="AD25" s="514"/>
    </row>
    <row r="26" spans="1:30" x14ac:dyDescent="0.3">
      <c r="A26" s="514"/>
      <c r="B26" s="530">
        <f t="shared" si="0"/>
        <v>11</v>
      </c>
      <c r="D26" s="515" t="s">
        <v>977</v>
      </c>
      <c r="E26" s="13"/>
      <c r="H26" s="676">
        <v>9.0458934136267093</v>
      </c>
      <c r="I26" s="676">
        <v>4.54</v>
      </c>
      <c r="J26" s="676">
        <v>7.0104119359019537</v>
      </c>
      <c r="K26" s="676">
        <f>J26</f>
        <v>7.0104119359019537</v>
      </c>
      <c r="M26" s="515" t="s">
        <v>982</v>
      </c>
      <c r="AA26" s="514"/>
      <c r="AD26" s="514"/>
    </row>
    <row r="27" spans="1:30" x14ac:dyDescent="0.3">
      <c r="A27" s="514"/>
      <c r="B27" s="530">
        <f t="shared" si="0"/>
        <v>12</v>
      </c>
      <c r="D27" s="515" t="s">
        <v>979</v>
      </c>
      <c r="E27" s="13"/>
      <c r="H27" s="676">
        <f>+H$26*G35</f>
        <v>4.4476275893601587</v>
      </c>
      <c r="I27" s="676">
        <f>+I$26*I35</f>
        <v>4.54</v>
      </c>
      <c r="J27" s="676">
        <f>+J$26*K35</f>
        <v>7.0104119359019537</v>
      </c>
      <c r="K27" s="676">
        <f>+J27</f>
        <v>7.0104119359019537</v>
      </c>
      <c r="M27" s="515" t="s">
        <v>983</v>
      </c>
      <c r="AA27" s="514"/>
      <c r="AD27" s="514"/>
    </row>
    <row r="28" spans="1:30" x14ac:dyDescent="0.3">
      <c r="A28" s="514"/>
      <c r="B28" s="530">
        <f t="shared" si="0"/>
        <v>13</v>
      </c>
      <c r="D28" s="515" t="s">
        <v>148</v>
      </c>
      <c r="E28" s="13"/>
      <c r="H28" s="586">
        <f>+H$26*G36</f>
        <v>151.07010034090374</v>
      </c>
      <c r="I28" s="586">
        <f>+I$26*I36</f>
        <v>70.357868042160817</v>
      </c>
      <c r="J28" s="586">
        <f>+J$26*K36</f>
        <v>151.85795481062826</v>
      </c>
      <c r="K28" s="586">
        <f>+J28</f>
        <v>151.85795481062826</v>
      </c>
      <c r="M28" s="515" t="s">
        <v>984</v>
      </c>
      <c r="AA28" s="514"/>
      <c r="AD28" s="514"/>
    </row>
    <row r="29" spans="1:30" x14ac:dyDescent="0.3">
      <c r="A29" s="514"/>
      <c r="B29" s="530">
        <f t="shared" si="0"/>
        <v>14</v>
      </c>
      <c r="D29" s="515" t="s">
        <v>216</v>
      </c>
      <c r="E29" s="13"/>
      <c r="H29" s="586">
        <f>+H$26*G37</f>
        <v>369.76328831082753</v>
      </c>
      <c r="I29" s="586">
        <f>+I$26*I37</f>
        <v>437.03065002728255</v>
      </c>
      <c r="J29" s="586">
        <f>+J$26*K37</f>
        <v>337.21873234867786</v>
      </c>
      <c r="K29" s="586">
        <f>+J29</f>
        <v>337.21873234867786</v>
      </c>
      <c r="M29" s="515" t="s">
        <v>985</v>
      </c>
      <c r="AA29" s="514"/>
      <c r="AD29" s="514"/>
    </row>
    <row r="30" spans="1:30" ht="14.4" thickBot="1" x14ac:dyDescent="0.35">
      <c r="A30" s="514"/>
      <c r="B30" s="530">
        <f t="shared" si="0"/>
        <v>15</v>
      </c>
      <c r="D30" s="515" t="s">
        <v>986</v>
      </c>
      <c r="H30" s="587">
        <f>SUMPRODUCT(H20:H23*H26:H29)/H24</f>
        <v>10.230000000000004</v>
      </c>
      <c r="I30" s="587">
        <f>SUMPRODUCT(I20:I23*I26:I29)/I24</f>
        <v>4.54</v>
      </c>
      <c r="J30" s="587">
        <f>(J20*J26+J21*J27+J22*J28+J23*J29)/J24</f>
        <v>100.61999999999989</v>
      </c>
      <c r="K30" s="587">
        <f>(K20*K26+K21*K27+K22*K28+K23*K29)/K24</f>
        <v>100.61999999999989</v>
      </c>
      <c r="AA30" s="514"/>
      <c r="AD30" s="514"/>
    </row>
    <row r="31" spans="1:30" ht="14.4" thickTop="1" x14ac:dyDescent="0.3">
      <c r="A31" s="514"/>
      <c r="B31" s="530">
        <f t="shared" si="0"/>
        <v>16</v>
      </c>
      <c r="H31" s="533"/>
      <c r="J31" s="533"/>
      <c r="AA31" s="514"/>
      <c r="AD31" s="514"/>
    </row>
    <row r="32" spans="1:30" x14ac:dyDescent="0.3">
      <c r="A32" s="514"/>
      <c r="B32" s="530">
        <f t="shared" si="0"/>
        <v>17</v>
      </c>
      <c r="AA32" s="514"/>
      <c r="AD32" s="514"/>
    </row>
    <row r="33" spans="1:30" x14ac:dyDescent="0.3">
      <c r="A33" s="514"/>
      <c r="B33" s="530">
        <f t="shared" si="0"/>
        <v>18</v>
      </c>
      <c r="C33" s="585" t="s">
        <v>987</v>
      </c>
      <c r="D33" s="13"/>
      <c r="E33" s="13"/>
      <c r="F33" s="588"/>
      <c r="G33" s="588"/>
      <c r="I33" s="588"/>
      <c r="AA33" s="514"/>
      <c r="AD33" s="514"/>
    </row>
    <row r="34" spans="1:30" x14ac:dyDescent="0.3">
      <c r="A34" s="514"/>
      <c r="B34" s="530">
        <f t="shared" si="0"/>
        <v>19</v>
      </c>
      <c r="C34" s="13"/>
      <c r="D34" s="515" t="s">
        <v>977</v>
      </c>
      <c r="E34" s="13"/>
      <c r="F34" s="1064">
        <v>485.48881905696248</v>
      </c>
      <c r="G34" s="1065">
        <f>+F34/F$34</f>
        <v>1</v>
      </c>
      <c r="H34" s="1064">
        <v>238.70206813523856</v>
      </c>
      <c r="I34" s="1065">
        <f>+H34/H$34</f>
        <v>1</v>
      </c>
      <c r="J34" s="1064">
        <v>494.22269841269849</v>
      </c>
      <c r="K34" s="1065">
        <f>+J34/J$34</f>
        <v>1</v>
      </c>
      <c r="M34" s="515" t="s">
        <v>980</v>
      </c>
      <c r="AA34" s="514"/>
      <c r="AD34" s="514"/>
    </row>
    <row r="35" spans="1:30" x14ac:dyDescent="0.3">
      <c r="A35" s="514"/>
      <c r="B35" s="530">
        <f t="shared" si="0"/>
        <v>20</v>
      </c>
      <c r="C35" s="13"/>
      <c r="D35" s="515" t="s">
        <v>979</v>
      </c>
      <c r="E35" s="13"/>
      <c r="F35" s="1064">
        <v>238.70206813523856</v>
      </c>
      <c r="G35" s="1065">
        <f>+F35/F$34</f>
        <v>0.49167366737488472</v>
      </c>
      <c r="H35" s="1064">
        <v>238.70206813523856</v>
      </c>
      <c r="I35" s="1065">
        <f>+H35/H$34</f>
        <v>1</v>
      </c>
      <c r="J35" s="1064">
        <v>494.22269841269849</v>
      </c>
      <c r="K35" s="1065">
        <f>+J35/J$34</f>
        <v>1</v>
      </c>
      <c r="M35" s="515" t="s">
        <v>980</v>
      </c>
      <c r="AA35" s="514"/>
      <c r="AD35" s="514"/>
    </row>
    <row r="36" spans="1:30" x14ac:dyDescent="0.3">
      <c r="A36" s="514"/>
      <c r="B36" s="530">
        <f t="shared" si="0"/>
        <v>21</v>
      </c>
      <c r="C36" s="13"/>
      <c r="D36" s="515" t="s">
        <v>148</v>
      </c>
      <c r="E36" s="13"/>
      <c r="F36" s="1064">
        <v>8107.8608000000004</v>
      </c>
      <c r="G36" s="1065">
        <f>+F36/F$34</f>
        <v>16.700406851282612</v>
      </c>
      <c r="H36" s="1064">
        <v>3699.244187499999</v>
      </c>
      <c r="I36" s="1065">
        <f>+H36/H$34</f>
        <v>15.497327762590489</v>
      </c>
      <c r="J36" s="1064">
        <v>10705.74010317216</v>
      </c>
      <c r="K36" s="1065">
        <f>+J36/J$34</f>
        <v>21.661773402063332</v>
      </c>
      <c r="M36" s="515" t="s">
        <v>980</v>
      </c>
      <c r="AA36" s="514"/>
      <c r="AD36" s="514"/>
    </row>
    <row r="37" spans="1:30" x14ac:dyDescent="0.3">
      <c r="A37" s="514"/>
      <c r="B37" s="530">
        <f t="shared" si="0"/>
        <v>22</v>
      </c>
      <c r="C37" s="13"/>
      <c r="D37" s="515" t="s">
        <v>216</v>
      </c>
      <c r="E37" s="13"/>
      <c r="F37" s="1064">
        <v>19845.020714285718</v>
      </c>
      <c r="G37" s="1065">
        <f>+F37/F$34</f>
        <v>40.876370238214072</v>
      </c>
      <c r="H37" s="1064">
        <v>22978</v>
      </c>
      <c r="I37" s="1065">
        <f>+H37/H$34</f>
        <v>96.262257715260475</v>
      </c>
      <c r="J37" s="1064">
        <v>23773.375</v>
      </c>
      <c r="K37" s="1065">
        <f>+J37/J$34</f>
        <v>48.102555945635963</v>
      </c>
      <c r="M37" s="515" t="s">
        <v>980</v>
      </c>
      <c r="AA37" s="514"/>
      <c r="AD37" s="514"/>
    </row>
    <row r="38" spans="1:30" x14ac:dyDescent="0.3">
      <c r="A38" s="514"/>
      <c r="B38" s="530">
        <f t="shared" si="0"/>
        <v>23</v>
      </c>
      <c r="C38" s="13"/>
      <c r="D38" s="515" t="s">
        <v>988</v>
      </c>
      <c r="E38" s="13"/>
      <c r="F38" s="439"/>
      <c r="G38" s="589"/>
      <c r="I38" s="589"/>
      <c r="AA38" s="514"/>
      <c r="AD38" s="514"/>
    </row>
    <row r="39" spans="1:30" x14ac:dyDescent="0.3">
      <c r="A39" s="514"/>
      <c r="B39" s="530">
        <f t="shared" si="0"/>
        <v>24</v>
      </c>
      <c r="AA39" s="514"/>
      <c r="AD39" s="514"/>
    </row>
    <row r="40" spans="1:30" x14ac:dyDescent="0.3">
      <c r="A40" s="514"/>
      <c r="B40" s="530">
        <f t="shared" si="0"/>
        <v>25</v>
      </c>
      <c r="C40" s="531" t="s">
        <v>989</v>
      </c>
      <c r="AA40" s="514"/>
      <c r="AD40" s="514"/>
    </row>
    <row r="41" spans="1:30" x14ac:dyDescent="0.3">
      <c r="A41" s="514"/>
      <c r="B41" s="530">
        <f t="shared" si="0"/>
        <v>26</v>
      </c>
      <c r="D41" s="515" t="s">
        <v>149</v>
      </c>
      <c r="H41" s="533">
        <f>SUM(+H26*H20+H27*H21)/(H20+H21)</f>
        <v>9.0458934136267093</v>
      </c>
      <c r="I41" s="533">
        <f>SUM(+I26*I20+I27*I21)/(I20+I21)</f>
        <v>4.54</v>
      </c>
      <c r="J41" s="533">
        <f>SUM(+J26*J20+J27*J21)/(J21+J20)</f>
        <v>7.0104119359019537</v>
      </c>
      <c r="K41" s="533">
        <f>+J41</f>
        <v>7.0104119359019537</v>
      </c>
      <c r="M41" s="515" t="s">
        <v>990</v>
      </c>
      <c r="AA41" s="514"/>
      <c r="AD41" s="514"/>
    </row>
    <row r="42" spans="1:30" x14ac:dyDescent="0.3">
      <c r="A42" s="514"/>
      <c r="B42" s="530">
        <f t="shared" si="0"/>
        <v>27</v>
      </c>
      <c r="D42" s="515" t="s">
        <v>148</v>
      </c>
      <c r="H42" s="533">
        <f t="shared" ref="H42:J43" si="1">H28</f>
        <v>151.07010034090374</v>
      </c>
      <c r="I42" s="533">
        <f t="shared" si="1"/>
        <v>70.357868042160817</v>
      </c>
      <c r="J42" s="533">
        <f t="shared" si="1"/>
        <v>151.85795481062826</v>
      </c>
      <c r="K42" s="533">
        <f>+J42</f>
        <v>151.85795481062826</v>
      </c>
      <c r="M42" s="515" t="s">
        <v>991</v>
      </c>
      <c r="AA42" s="514"/>
      <c r="AD42" s="514"/>
    </row>
    <row r="43" spans="1:30" x14ac:dyDescent="0.3">
      <c r="A43" s="514"/>
      <c r="B43" s="530">
        <f t="shared" si="0"/>
        <v>28</v>
      </c>
      <c r="D43" s="515" t="s">
        <v>216</v>
      </c>
      <c r="H43" s="533">
        <f t="shared" si="1"/>
        <v>369.76328831082753</v>
      </c>
      <c r="I43" s="533">
        <f t="shared" si="1"/>
        <v>437.03065002728255</v>
      </c>
      <c r="J43" s="533">
        <f t="shared" si="1"/>
        <v>337.21873234867786</v>
      </c>
      <c r="K43" s="533">
        <f>+J43</f>
        <v>337.21873234867786</v>
      </c>
      <c r="M43" s="515" t="s">
        <v>992</v>
      </c>
      <c r="AA43" s="514"/>
      <c r="AD43" s="514"/>
    </row>
    <row r="44" spans="1:30" x14ac:dyDescent="0.3">
      <c r="A44" s="514"/>
      <c r="B44" s="530">
        <f t="shared" si="0"/>
        <v>29</v>
      </c>
      <c r="F44" s="536"/>
      <c r="G44" s="590"/>
      <c r="H44" s="536"/>
      <c r="I44" s="590"/>
      <c r="AA44" s="514"/>
      <c r="AD44" s="514"/>
    </row>
    <row r="45" spans="1:30" x14ac:dyDescent="0.3">
      <c r="A45" s="514"/>
      <c r="B45" s="530">
        <f t="shared" si="0"/>
        <v>30</v>
      </c>
      <c r="C45" s="531" t="s">
        <v>993</v>
      </c>
      <c r="H45" s="568"/>
      <c r="J45" s="568"/>
      <c r="K45" s="568"/>
      <c r="AA45" s="514"/>
      <c r="AD45" s="514"/>
    </row>
    <row r="46" spans="1:30" x14ac:dyDescent="0.3">
      <c r="A46" s="514"/>
      <c r="B46" s="530">
        <f t="shared" si="0"/>
        <v>31</v>
      </c>
      <c r="D46" s="537" t="s">
        <v>994</v>
      </c>
      <c r="H46" s="533">
        <f>'MFR E-6b'!K55</f>
        <v>9.6078715884204122</v>
      </c>
      <c r="I46" s="533">
        <f>'MFR E-6b'!I55</f>
        <v>8.5036943514994103</v>
      </c>
      <c r="J46" s="533">
        <f>'MFR E-6b'!L55</f>
        <v>86.361659696408552</v>
      </c>
      <c r="K46" s="533">
        <f>+J46</f>
        <v>86.361659696408552</v>
      </c>
      <c r="M46" s="515" t="s">
        <v>276</v>
      </c>
      <c r="AA46" s="514"/>
      <c r="AD46" s="514"/>
    </row>
    <row r="47" spans="1:30" x14ac:dyDescent="0.3">
      <c r="A47" s="514"/>
      <c r="B47" s="530">
        <f t="shared" si="0"/>
        <v>32</v>
      </c>
      <c r="D47" s="537" t="s">
        <v>995</v>
      </c>
      <c r="H47" s="533">
        <f>'MFR E-6b'!K52</f>
        <v>2.1589488167051103</v>
      </c>
      <c r="I47" s="533">
        <f>'MFR E-6b'!I52</f>
        <v>2.1589864489189217</v>
      </c>
      <c r="J47" s="533">
        <f>'MFR E-6b'!L52</f>
        <v>2.1589864489189217</v>
      </c>
      <c r="K47" s="533">
        <f>+J47</f>
        <v>2.1589864489189217</v>
      </c>
      <c r="M47" s="515" t="s">
        <v>276</v>
      </c>
      <c r="AA47" s="514"/>
      <c r="AD47" s="514"/>
    </row>
    <row r="48" spans="1:30" x14ac:dyDescent="0.3">
      <c r="A48" s="514"/>
      <c r="B48" s="530">
        <f t="shared" si="0"/>
        <v>33</v>
      </c>
      <c r="D48" s="537" t="s">
        <v>121</v>
      </c>
      <c r="H48" s="591">
        <f>SUM(H46:H47)</f>
        <v>11.766820405125522</v>
      </c>
      <c r="I48" s="591">
        <f>SUM(I46:I47)</f>
        <v>10.662680800418332</v>
      </c>
      <c r="J48" s="591">
        <f>SUM(J46:J47)</f>
        <v>88.520646145327476</v>
      </c>
      <c r="K48" s="591">
        <f>SUM(K46:K47)</f>
        <v>88.520646145327476</v>
      </c>
      <c r="AA48" s="514"/>
      <c r="AD48" s="514"/>
    </row>
    <row r="49" spans="1:30" x14ac:dyDescent="0.3">
      <c r="A49" s="514"/>
      <c r="B49" s="530">
        <f t="shared" si="0"/>
        <v>34</v>
      </c>
      <c r="AA49" s="514"/>
      <c r="AD49" s="514"/>
    </row>
    <row r="50" spans="1:30" x14ac:dyDescent="0.3">
      <c r="A50" s="514"/>
      <c r="B50" s="530">
        <f t="shared" si="0"/>
        <v>35</v>
      </c>
      <c r="C50" s="531" t="s">
        <v>996</v>
      </c>
      <c r="H50" s="592" t="s">
        <v>238</v>
      </c>
      <c r="I50" s="592" t="s">
        <v>238</v>
      </c>
      <c r="J50" s="593" t="s">
        <v>238</v>
      </c>
      <c r="K50" s="533">
        <f>'MFR E-6b'!L54</f>
        <v>278.93663741499722</v>
      </c>
      <c r="M50" s="515" t="s">
        <v>276</v>
      </c>
      <c r="AA50" s="514"/>
      <c r="AD50" s="514"/>
    </row>
    <row r="51" spans="1:30" x14ac:dyDescent="0.3">
      <c r="A51" s="514"/>
      <c r="B51" s="530">
        <f t="shared" si="0"/>
        <v>36</v>
      </c>
      <c r="AA51" s="514"/>
      <c r="AD51" s="514"/>
    </row>
    <row r="52" spans="1:30" x14ac:dyDescent="0.3">
      <c r="A52" s="514"/>
      <c r="B52" s="530">
        <f t="shared" si="0"/>
        <v>37</v>
      </c>
      <c r="C52" s="531" t="s">
        <v>997</v>
      </c>
      <c r="AA52" s="514"/>
      <c r="AD52" s="514"/>
    </row>
    <row r="53" spans="1:30" x14ac:dyDescent="0.3">
      <c r="A53" s="514"/>
      <c r="B53" s="530">
        <f t="shared" si="0"/>
        <v>38</v>
      </c>
      <c r="C53" s="531"/>
      <c r="D53" s="515" t="s">
        <v>149</v>
      </c>
      <c r="H53" s="533">
        <f>SUM(H41,H48)</f>
        <v>20.812713818752229</v>
      </c>
      <c r="I53" s="533">
        <f>SUM(I41,I48)</f>
        <v>15.202680800418332</v>
      </c>
      <c r="J53" s="533">
        <f t="shared" ref="J53" si="2">SUM(J41,J48)</f>
        <v>95.531058081229432</v>
      </c>
      <c r="K53" s="533">
        <f>SUM(K41,K48,K50)</f>
        <v>374.46769549622667</v>
      </c>
      <c r="M53" s="515" t="s">
        <v>998</v>
      </c>
      <c r="AA53" s="514"/>
      <c r="AD53" s="514"/>
    </row>
    <row r="54" spans="1:30" x14ac:dyDescent="0.3">
      <c r="A54" s="514"/>
      <c r="B54" s="530">
        <f t="shared" si="0"/>
        <v>39</v>
      </c>
      <c r="D54" s="515" t="s">
        <v>148</v>
      </c>
      <c r="H54" s="533">
        <f>SUM(H42,H48)</f>
        <v>162.83692074602925</v>
      </c>
      <c r="I54" s="533">
        <f t="shared" ref="I54:J54" si="3">SUM(I42,I48)</f>
        <v>81.020548842579146</v>
      </c>
      <c r="J54" s="533">
        <f t="shared" si="3"/>
        <v>240.37860095595573</v>
      </c>
      <c r="K54" s="533">
        <f>SUM(K42,K48,K50)</f>
        <v>519.31523837095301</v>
      </c>
      <c r="M54" s="515" t="s">
        <v>999</v>
      </c>
      <c r="AA54" s="514"/>
      <c r="AD54" s="514"/>
    </row>
    <row r="55" spans="1:30" x14ac:dyDescent="0.3">
      <c r="A55" s="514"/>
      <c r="B55" s="530">
        <f t="shared" si="0"/>
        <v>40</v>
      </c>
      <c r="D55" s="515" t="s">
        <v>216</v>
      </c>
      <c r="H55" s="533">
        <f>SUM(H43,H48)</f>
        <v>381.53010871595308</v>
      </c>
      <c r="I55" s="533">
        <f t="shared" ref="I55:J55" si="4">SUM(I43,I48)</f>
        <v>447.69333082770089</v>
      </c>
      <c r="J55" s="533">
        <f t="shared" si="4"/>
        <v>425.73937849400534</v>
      </c>
      <c r="K55" s="533">
        <f>SUM(K43,K48,K50)</f>
        <v>704.67601590900256</v>
      </c>
      <c r="M55" s="515" t="s">
        <v>1000</v>
      </c>
      <c r="AA55" s="514"/>
      <c r="AD55" s="514"/>
    </row>
    <row r="56" spans="1:30" x14ac:dyDescent="0.3">
      <c r="F56" s="533"/>
      <c r="G56" s="533"/>
      <c r="I56" s="533"/>
    </row>
    <row r="57" spans="1:30" x14ac:dyDescent="0.3">
      <c r="C57" s="531"/>
      <c r="F57" s="594"/>
      <c r="G57" s="594"/>
      <c r="H57" s="595"/>
      <c r="I57" s="594"/>
    </row>
    <row r="58" spans="1:30" x14ac:dyDescent="0.3">
      <c r="B58" s="596"/>
    </row>
  </sheetData>
  <printOptions horizontalCentered="1"/>
  <pageMargins left="0.5" right="0.5" top="0.75" bottom="0.5" header="0.5" footer="0.5"/>
  <pageSetup scale="61" fitToHeight="0" orientation="landscape" r:id="rId1"/>
  <headerFooter alignWithMargins="0">
    <oddHeader xml:space="preserve">&amp;RDEF’s Response to OPC POD 1 (1-26)
Q7
Page &amp;P of &amp;N
</oddHeader>
    <oddFooter>&amp;R20240025-OPCPOD1-00004300</oddFooter>
  </headerFooter>
  <ignoredErrors>
    <ignoredError sqref="I34:I37 K34:K37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9EE08-C448-4CBE-973F-D272A04BCB51}">
  <sheetPr codeName="Sheet12">
    <tabColor rgb="FF92D050"/>
    <pageSetUpPr fitToPage="1"/>
  </sheetPr>
  <dimension ref="A1:J304"/>
  <sheetViews>
    <sheetView tabSelected="1" workbookViewId="0">
      <selection activeCell="S8" sqref="S8"/>
    </sheetView>
  </sheetViews>
  <sheetFormatPr defaultColWidth="9.109375" defaultRowHeight="13.8" x14ac:dyDescent="0.3"/>
  <cols>
    <col min="1" max="1" width="5.6640625" style="515" customWidth="1"/>
    <col min="2" max="2" width="2.6640625" style="515" customWidth="1"/>
    <col min="3" max="3" width="5.6640625" style="515" customWidth="1"/>
    <col min="4" max="4" width="39.44140625" style="515" customWidth="1"/>
    <col min="5" max="5" width="8.6640625" style="515" customWidth="1"/>
    <col min="6" max="6" width="2" style="515" customWidth="1"/>
    <col min="7" max="7" width="11.6640625" style="515" customWidth="1"/>
    <col min="8" max="8" width="2" style="515" customWidth="1"/>
    <col min="9" max="9" width="13.44140625" style="515" bestFit="1" customWidth="1"/>
    <col min="10" max="10" width="12.6640625" style="515" customWidth="1"/>
    <col min="11" max="16384" width="9.109375" style="515"/>
  </cols>
  <sheetData>
    <row r="1" spans="1:10" x14ac:dyDescent="0.3">
      <c r="J1" s="466" t="s">
        <v>702</v>
      </c>
    </row>
    <row r="2" spans="1:10" x14ac:dyDescent="0.3">
      <c r="J2" s="469" t="str">
        <f>"DOCKET NO.  " &amp; +"20240025-EI"</f>
        <v>DOCKET NO.  20240025-EI</v>
      </c>
    </row>
    <row r="3" spans="1:10" x14ac:dyDescent="0.3">
      <c r="J3" s="469" t="s">
        <v>703</v>
      </c>
    </row>
    <row r="4" spans="1:10" x14ac:dyDescent="0.3">
      <c r="J4" s="466" t="s">
        <v>1001</v>
      </c>
    </row>
    <row r="5" spans="1:10" x14ac:dyDescent="0.3">
      <c r="J5" s="472" t="s">
        <v>103</v>
      </c>
    </row>
    <row r="6" spans="1:10" x14ac:dyDescent="0.3">
      <c r="J6" s="343" t="s">
        <v>204</v>
      </c>
    </row>
    <row r="7" spans="1:10" x14ac:dyDescent="0.3">
      <c r="J7" s="343"/>
    </row>
    <row r="8" spans="1:10" s="518" customFormat="1" ht="15.6" x14ac:dyDescent="0.3">
      <c r="A8" s="516" t="s">
        <v>1002</v>
      </c>
      <c r="B8" s="517"/>
      <c r="C8" s="517"/>
      <c r="D8" s="517"/>
      <c r="E8" s="517"/>
      <c r="F8" s="517"/>
      <c r="G8" s="517"/>
      <c r="H8" s="517"/>
      <c r="I8" s="517"/>
      <c r="J8" s="517"/>
    </row>
    <row r="9" spans="1:10" s="518" customFormat="1" ht="15.6" x14ac:dyDescent="0.3">
      <c r="A9" s="516" t="s">
        <v>1003</v>
      </c>
      <c r="B9" s="517"/>
      <c r="C9" s="517"/>
      <c r="D9" s="517"/>
      <c r="E9" s="517"/>
      <c r="F9" s="517"/>
      <c r="G9" s="517"/>
      <c r="H9" s="517"/>
      <c r="I9" s="517"/>
      <c r="J9" s="517"/>
    </row>
    <row r="10" spans="1:10" x14ac:dyDescent="0.3">
      <c r="A10" s="542"/>
    </row>
    <row r="11" spans="1:10" x14ac:dyDescent="0.3">
      <c r="A11" s="542"/>
    </row>
    <row r="12" spans="1:10" x14ac:dyDescent="0.3">
      <c r="A12" s="542"/>
    </row>
    <row r="14" spans="1:10" x14ac:dyDescent="0.3">
      <c r="A14" s="597" t="s">
        <v>30</v>
      </c>
    </row>
    <row r="15" spans="1:10" x14ac:dyDescent="0.3">
      <c r="A15" s="530">
        <v>1</v>
      </c>
      <c r="C15" s="531" t="s">
        <v>1004</v>
      </c>
      <c r="E15" s="598"/>
      <c r="G15" s="527" t="s">
        <v>1005</v>
      </c>
      <c r="I15" s="527" t="s">
        <v>1006</v>
      </c>
    </row>
    <row r="16" spans="1:10" x14ac:dyDescent="0.3">
      <c r="A16" s="530">
        <f t="shared" ref="A16:A35" si="0">+A15+1</f>
        <v>2</v>
      </c>
      <c r="E16" s="599"/>
      <c r="G16" s="599"/>
    </row>
    <row r="17" spans="1:10" x14ac:dyDescent="0.3">
      <c r="A17" s="530">
        <f t="shared" si="0"/>
        <v>3</v>
      </c>
      <c r="C17" s="515" t="s">
        <v>1007</v>
      </c>
      <c r="G17" s="676">
        <f>'MFR E-6b'!K71</f>
        <v>5.27241907699905</v>
      </c>
      <c r="I17" s="676">
        <f>'MFR E-6b'!L71</f>
        <v>4.1226770373783541</v>
      </c>
    </row>
    <row r="18" spans="1:10" x14ac:dyDescent="0.3">
      <c r="A18" s="530">
        <f t="shared" si="0"/>
        <v>4</v>
      </c>
      <c r="G18" s="541"/>
      <c r="I18" s="600"/>
      <c r="J18" s="601"/>
    </row>
    <row r="19" spans="1:10" x14ac:dyDescent="0.3">
      <c r="A19" s="530">
        <f t="shared" si="0"/>
        <v>5</v>
      </c>
      <c r="C19" s="515" t="s">
        <v>1008</v>
      </c>
      <c r="G19" s="540">
        <v>0.5</v>
      </c>
      <c r="I19" s="540">
        <f>+G19</f>
        <v>0.5</v>
      </c>
    </row>
    <row r="20" spans="1:10" x14ac:dyDescent="0.3">
      <c r="A20" s="530">
        <f t="shared" si="0"/>
        <v>6</v>
      </c>
      <c r="G20" s="540"/>
      <c r="I20" s="599"/>
      <c r="J20" s="439"/>
    </row>
    <row r="21" spans="1:10" ht="14.4" thickBot="1" x14ac:dyDescent="0.35">
      <c r="A21" s="530">
        <f t="shared" si="0"/>
        <v>7</v>
      </c>
      <c r="C21" s="515" t="s">
        <v>1009</v>
      </c>
    </row>
    <row r="22" spans="1:10" ht="14.4" thickBot="1" x14ac:dyDescent="0.35">
      <c r="A22" s="530">
        <f t="shared" si="0"/>
        <v>8</v>
      </c>
      <c r="D22" s="515" t="s">
        <v>1010</v>
      </c>
      <c r="G22" s="602">
        <f>ROUND(+G17*G19,2)</f>
        <v>2.64</v>
      </c>
      <c r="I22" s="602">
        <f>ROUND(+I17*I19,2)</f>
        <v>2.06</v>
      </c>
    </row>
    <row r="23" spans="1:10" x14ac:dyDescent="0.3">
      <c r="A23" s="530">
        <f t="shared" si="0"/>
        <v>9</v>
      </c>
    </row>
    <row r="24" spans="1:10" x14ac:dyDescent="0.3">
      <c r="A24" s="530">
        <f t="shared" si="0"/>
        <v>10</v>
      </c>
    </row>
    <row r="25" spans="1:10" x14ac:dyDescent="0.3">
      <c r="A25" s="530">
        <f t="shared" si="0"/>
        <v>11</v>
      </c>
    </row>
    <row r="26" spans="1:10" x14ac:dyDescent="0.3">
      <c r="A26" s="530">
        <f t="shared" si="0"/>
        <v>12</v>
      </c>
      <c r="C26" s="531" t="s">
        <v>1011</v>
      </c>
      <c r="G26" s="527" t="s">
        <v>136</v>
      </c>
      <c r="H26" s="568"/>
      <c r="I26" s="527" t="s">
        <v>137</v>
      </c>
    </row>
    <row r="27" spans="1:10" x14ac:dyDescent="0.3">
      <c r="A27" s="530">
        <f t="shared" si="0"/>
        <v>13</v>
      </c>
    </row>
    <row r="28" spans="1:10" x14ac:dyDescent="0.3">
      <c r="A28" s="530">
        <f t="shared" si="0"/>
        <v>14</v>
      </c>
      <c r="C28" s="515" t="s">
        <v>1012</v>
      </c>
      <c r="G28" s="603">
        <v>0.21110968723217588</v>
      </c>
      <c r="H28" s="604"/>
      <c r="I28" s="605">
        <v>1</v>
      </c>
    </row>
    <row r="29" spans="1:10" x14ac:dyDescent="0.3">
      <c r="A29" s="530">
        <f t="shared" si="0"/>
        <v>15</v>
      </c>
      <c r="G29" s="603"/>
      <c r="H29" s="604"/>
      <c r="I29" s="604"/>
    </row>
    <row r="30" spans="1:10" x14ac:dyDescent="0.3">
      <c r="A30" s="530">
        <f t="shared" si="0"/>
        <v>16</v>
      </c>
      <c r="C30" s="515" t="s">
        <v>1013</v>
      </c>
      <c r="G30" s="439">
        <f>8760/12</f>
        <v>730</v>
      </c>
      <c r="H30" s="439"/>
      <c r="I30" s="439">
        <f>+G30</f>
        <v>730</v>
      </c>
    </row>
    <row r="31" spans="1:10" x14ac:dyDescent="0.3">
      <c r="A31" s="530">
        <f t="shared" si="0"/>
        <v>17</v>
      </c>
      <c r="G31" s="439"/>
      <c r="H31" s="439"/>
      <c r="I31" s="439"/>
    </row>
    <row r="32" spans="1:10" x14ac:dyDescent="0.3">
      <c r="A32" s="530">
        <f t="shared" si="0"/>
        <v>18</v>
      </c>
      <c r="C32" s="515" t="s">
        <v>1014</v>
      </c>
      <c r="G32" s="439">
        <f>+G30*G28</f>
        <v>154.11007167948839</v>
      </c>
      <c r="H32" s="439"/>
      <c r="I32" s="439">
        <f>+I30*I28</f>
        <v>730</v>
      </c>
    </row>
    <row r="33" spans="1:9" x14ac:dyDescent="0.3">
      <c r="A33" s="530">
        <f t="shared" si="0"/>
        <v>19</v>
      </c>
      <c r="G33" s="439"/>
      <c r="H33" s="439"/>
      <c r="I33" s="439"/>
    </row>
    <row r="34" spans="1:9" ht="14.4" thickBot="1" x14ac:dyDescent="0.35">
      <c r="A34" s="530">
        <f t="shared" si="0"/>
        <v>20</v>
      </c>
      <c r="C34" s="515" t="s">
        <v>1015</v>
      </c>
    </row>
    <row r="35" spans="1:9" ht="14.4" thickBot="1" x14ac:dyDescent="0.35">
      <c r="A35" s="530">
        <f t="shared" si="0"/>
        <v>21</v>
      </c>
      <c r="D35" s="515" t="s">
        <v>1016</v>
      </c>
      <c r="G35" s="606">
        <f>ROUND(+G22/G32,5)</f>
        <v>1.7129999999999999E-2</v>
      </c>
      <c r="H35" s="607"/>
      <c r="I35" s="606">
        <f>ROUND(+G22/I32,5)</f>
        <v>3.62E-3</v>
      </c>
    </row>
    <row r="36" spans="1:9" x14ac:dyDescent="0.3">
      <c r="A36" s="530"/>
    </row>
    <row r="37" spans="1:9" x14ac:dyDescent="0.3">
      <c r="A37" s="530"/>
    </row>
    <row r="38" spans="1:9" x14ac:dyDescent="0.3">
      <c r="A38" s="530"/>
    </row>
    <row r="39" spans="1:9" x14ac:dyDescent="0.3">
      <c r="A39" s="530"/>
    </row>
    <row r="304" spans="9:9" x14ac:dyDescent="0.3">
      <c r="I304" s="515" t="s">
        <v>375</v>
      </c>
    </row>
  </sheetData>
  <printOptions horizontalCentered="1"/>
  <pageMargins left="0.5" right="0.5" top="0.75" bottom="0.5" header="0.5" footer="0.5"/>
  <pageSetup fitToHeight="0" orientation="landscape" r:id="rId1"/>
  <headerFooter alignWithMargins="0">
    <oddHeader xml:space="preserve">&amp;RDEF’s Response to OPC POD 1 (1-26)
Q7
Page &amp;P of &amp;N
</oddHeader>
    <oddFooter>&amp;R20240025-OPCPOD1-00004300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898E6-1EE7-4E3A-A6DB-29F7DD23AC2D}">
  <sheetPr codeName="Sheet13">
    <tabColor rgb="FF92D050"/>
    <pageSetUpPr fitToPage="1"/>
  </sheetPr>
  <dimension ref="A1:DW27"/>
  <sheetViews>
    <sheetView tabSelected="1" workbookViewId="0">
      <selection activeCell="S8" sqref="S8"/>
    </sheetView>
  </sheetViews>
  <sheetFormatPr defaultColWidth="11.44140625" defaultRowHeight="15.6" x14ac:dyDescent="0.3"/>
  <cols>
    <col min="1" max="1" width="1.33203125" style="564" customWidth="1"/>
    <col min="2" max="2" width="5.6640625" style="611" customWidth="1"/>
    <col min="3" max="3" width="36.33203125" style="611" customWidth="1"/>
    <col min="4" max="4" width="8.6640625" style="611" customWidth="1"/>
    <col min="5" max="5" width="38.5546875" style="611" customWidth="1"/>
    <col min="6" max="6" width="26.44140625" style="611" customWidth="1"/>
    <col min="7" max="7" width="17.33203125" style="611" customWidth="1"/>
    <col min="8" max="10" width="11.44140625" style="611"/>
    <col min="11" max="11" width="1.33203125" style="564" customWidth="1"/>
    <col min="12" max="16384" width="11.44140625" style="611"/>
  </cols>
  <sheetData>
    <row r="1" spans="1:127" s="609" customFormat="1" ht="18" x14ac:dyDescent="0.35">
      <c r="A1" s="608"/>
      <c r="B1" s="1391"/>
      <c r="C1" s="1391"/>
      <c r="D1" s="1391"/>
      <c r="E1" s="1391"/>
      <c r="F1" s="1391"/>
      <c r="G1" s="1391"/>
      <c r="H1" s="576"/>
      <c r="I1" s="576"/>
      <c r="J1" s="576"/>
      <c r="K1" s="608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608"/>
      <c r="X1" s="459">
        <v>2022</v>
      </c>
      <c r="Y1" s="575"/>
      <c r="Z1" s="575"/>
      <c r="AA1" s="576"/>
      <c r="AB1" s="576"/>
      <c r="AC1" s="576"/>
      <c r="AD1" s="576"/>
      <c r="AE1" s="576"/>
      <c r="AF1" s="576"/>
      <c r="AG1" s="576"/>
      <c r="AH1" s="576"/>
      <c r="AI1" s="576"/>
      <c r="AJ1" s="576"/>
      <c r="AK1" s="576"/>
      <c r="AL1" s="576"/>
      <c r="AM1" s="576"/>
      <c r="AN1" s="576"/>
      <c r="AO1" s="576"/>
      <c r="AP1" s="576"/>
      <c r="AQ1" s="576"/>
      <c r="AR1" s="576"/>
      <c r="AS1" s="576"/>
      <c r="AT1" s="576"/>
      <c r="AU1" s="576"/>
      <c r="AV1" s="576"/>
      <c r="AW1" s="608"/>
      <c r="AX1" s="459">
        <v>2023</v>
      </c>
      <c r="AY1" s="575"/>
      <c r="AZ1" s="575"/>
      <c r="BA1" s="576"/>
      <c r="BB1" s="576"/>
      <c r="BC1" s="576"/>
      <c r="BD1" s="576"/>
      <c r="BE1" s="576"/>
      <c r="BF1" s="576"/>
      <c r="BG1" s="576"/>
      <c r="BH1" s="576"/>
      <c r="BI1" s="576"/>
      <c r="BJ1" s="576"/>
      <c r="BK1" s="576"/>
      <c r="BL1" s="576"/>
      <c r="BM1" s="576"/>
      <c r="BN1" s="576"/>
      <c r="BO1" s="576"/>
      <c r="BP1" s="576"/>
      <c r="BQ1" s="576"/>
      <c r="BR1" s="576"/>
      <c r="BS1" s="576"/>
      <c r="BT1" s="576"/>
      <c r="BU1" s="576"/>
      <c r="BV1" s="576"/>
      <c r="BW1" s="608"/>
      <c r="BX1" s="459">
        <v>2024</v>
      </c>
      <c r="BY1" s="575"/>
      <c r="BZ1" s="575"/>
      <c r="CA1" s="576"/>
      <c r="CB1" s="576"/>
      <c r="CC1" s="576"/>
      <c r="CD1" s="576"/>
      <c r="CE1" s="576"/>
      <c r="CF1" s="576"/>
      <c r="CG1" s="576"/>
      <c r="CH1" s="576"/>
      <c r="CI1" s="576"/>
      <c r="CJ1" s="576"/>
      <c r="CK1" s="576"/>
      <c r="CL1" s="576"/>
      <c r="CM1" s="576"/>
      <c r="CN1" s="576"/>
      <c r="CO1" s="576"/>
      <c r="CP1" s="576"/>
      <c r="CQ1" s="576"/>
      <c r="CR1" s="576"/>
      <c r="CS1" s="576"/>
      <c r="CT1" s="576"/>
      <c r="CU1" s="576"/>
      <c r="CV1" s="576"/>
      <c r="CW1" s="608"/>
      <c r="CX1" s="459">
        <v>2025</v>
      </c>
      <c r="CY1" s="575"/>
      <c r="CZ1" s="575"/>
      <c r="DA1" s="576"/>
      <c r="DB1" s="576"/>
      <c r="DC1" s="576"/>
      <c r="DD1" s="576"/>
      <c r="DE1" s="576"/>
      <c r="DF1" s="576"/>
      <c r="DG1" s="576"/>
      <c r="DH1" s="576"/>
      <c r="DI1" s="576"/>
      <c r="DJ1" s="576"/>
      <c r="DK1" s="576"/>
      <c r="DL1" s="576"/>
      <c r="DM1" s="576"/>
      <c r="DN1" s="576"/>
      <c r="DO1" s="576"/>
      <c r="DP1" s="576"/>
      <c r="DQ1" s="576"/>
      <c r="DR1" s="576"/>
      <c r="DS1" s="576"/>
      <c r="DT1" s="576"/>
      <c r="DU1" s="576"/>
      <c r="DV1" s="576"/>
      <c r="DW1" s="608"/>
    </row>
    <row r="2" spans="1:127" x14ac:dyDescent="0.3">
      <c r="A2" s="610"/>
      <c r="K2" s="610"/>
    </row>
    <row r="3" spans="1:127" x14ac:dyDescent="0.3">
      <c r="A3" s="610"/>
      <c r="G3" s="612" t="s">
        <v>702</v>
      </c>
      <c r="K3" s="610"/>
    </row>
    <row r="4" spans="1:127" x14ac:dyDescent="0.3">
      <c r="A4" s="610"/>
      <c r="G4" s="469" t="str">
        <f>"DOCKET NO.  " &amp; +"20240025-EI"</f>
        <v>DOCKET NO.  20240025-EI</v>
      </c>
      <c r="K4" s="610"/>
    </row>
    <row r="5" spans="1:127" x14ac:dyDescent="0.3">
      <c r="A5" s="610"/>
      <c r="G5" s="613" t="s">
        <v>703</v>
      </c>
      <c r="K5" s="610"/>
    </row>
    <row r="6" spans="1:127" x14ac:dyDescent="0.3">
      <c r="A6" s="610"/>
      <c r="G6" s="612" t="s">
        <v>1017</v>
      </c>
      <c r="K6" s="610"/>
    </row>
    <row r="7" spans="1:127" x14ac:dyDescent="0.3">
      <c r="A7" s="610"/>
      <c r="G7" s="614" t="s">
        <v>103</v>
      </c>
      <c r="K7" s="610"/>
    </row>
    <row r="8" spans="1:127" x14ac:dyDescent="0.3">
      <c r="A8" s="610"/>
      <c r="B8" s="1392" t="s">
        <v>1018</v>
      </c>
      <c r="C8" s="1392"/>
      <c r="D8" s="1392"/>
      <c r="E8" s="1392"/>
      <c r="F8" s="1392"/>
      <c r="G8" s="615"/>
      <c r="H8" s="616"/>
      <c r="I8" s="517"/>
      <c r="K8" s="610"/>
    </row>
    <row r="9" spans="1:127" x14ac:dyDescent="0.3">
      <c r="A9" s="610"/>
      <c r="C9" s="617"/>
      <c r="D9" s="618"/>
      <c r="E9" s="619"/>
      <c r="F9" s="617"/>
      <c r="G9" s="620"/>
      <c r="K9" s="610"/>
    </row>
    <row r="10" spans="1:127" x14ac:dyDescent="0.3">
      <c r="A10" s="621"/>
      <c r="C10" s="622" t="s">
        <v>714</v>
      </c>
      <c r="D10" s="622">
        <v>2026</v>
      </c>
      <c r="E10" s="622" t="s">
        <v>1019</v>
      </c>
      <c r="F10" s="622" t="s">
        <v>1020</v>
      </c>
      <c r="G10" s="620"/>
      <c r="K10" s="621"/>
    </row>
    <row r="11" spans="1:127" x14ac:dyDescent="0.3">
      <c r="A11" s="621"/>
      <c r="C11" s="623" t="s">
        <v>719</v>
      </c>
      <c r="D11" s="1224">
        <v>15.13</v>
      </c>
      <c r="E11" s="623" t="s">
        <v>1021</v>
      </c>
      <c r="F11" s="623" t="s">
        <v>451</v>
      </c>
      <c r="K11" s="621"/>
    </row>
    <row r="12" spans="1:127" x14ac:dyDescent="0.3">
      <c r="A12" s="610"/>
      <c r="C12" s="623" t="s">
        <v>1022</v>
      </c>
      <c r="D12" s="1305">
        <v>1.931</v>
      </c>
      <c r="E12" s="623" t="s">
        <v>1023</v>
      </c>
      <c r="F12" s="623" t="s">
        <v>1024</v>
      </c>
      <c r="K12" s="610"/>
    </row>
    <row r="13" spans="1:127" x14ac:dyDescent="0.3">
      <c r="A13" s="610"/>
      <c r="C13" s="623" t="s">
        <v>1025</v>
      </c>
      <c r="D13" s="1305">
        <v>1.4159999999999999</v>
      </c>
      <c r="E13" s="623" t="s">
        <v>1026</v>
      </c>
      <c r="F13" s="623" t="s">
        <v>1027</v>
      </c>
      <c r="K13" s="610"/>
    </row>
    <row r="14" spans="1:127" x14ac:dyDescent="0.3">
      <c r="A14" s="610"/>
      <c r="C14" s="623" t="s">
        <v>1028</v>
      </c>
      <c r="D14" s="1305">
        <v>1.131</v>
      </c>
      <c r="E14" s="623" t="s">
        <v>1029</v>
      </c>
      <c r="F14" s="623" t="s">
        <v>1030</v>
      </c>
      <c r="K14" s="610"/>
    </row>
    <row r="15" spans="1:127" x14ac:dyDescent="0.3">
      <c r="A15" s="610"/>
      <c r="C15" s="623" t="s">
        <v>1031</v>
      </c>
      <c r="D15" s="1306">
        <v>17.649999999999999</v>
      </c>
      <c r="E15" s="623" t="s">
        <v>1032</v>
      </c>
      <c r="F15" s="623" t="s">
        <v>1033</v>
      </c>
      <c r="K15" s="610"/>
    </row>
    <row r="16" spans="1:127" x14ac:dyDescent="0.3">
      <c r="A16" s="610"/>
      <c r="C16" s="623" t="s">
        <v>1034</v>
      </c>
      <c r="D16" s="1306">
        <v>6.63</v>
      </c>
      <c r="E16" s="623" t="s">
        <v>1035</v>
      </c>
      <c r="F16" s="623" t="s">
        <v>1036</v>
      </c>
      <c r="K16" s="610"/>
    </row>
    <row r="17" spans="1:11" x14ac:dyDescent="0.3">
      <c r="A17" s="610"/>
      <c r="C17" s="623" t="s">
        <v>1037</v>
      </c>
      <c r="D17" s="1306">
        <v>1.28</v>
      </c>
      <c r="E17" s="623" t="s">
        <v>1038</v>
      </c>
      <c r="F17" s="623" t="s">
        <v>1039</v>
      </c>
      <c r="K17" s="610"/>
    </row>
    <row r="18" spans="1:11" x14ac:dyDescent="0.3">
      <c r="A18" s="610"/>
      <c r="C18" s="624"/>
      <c r="D18" s="624"/>
      <c r="K18" s="610"/>
    </row>
    <row r="19" spans="1:11" x14ac:dyDescent="0.3">
      <c r="A19" s="610"/>
      <c r="C19" s="1393" t="s">
        <v>1040</v>
      </c>
      <c r="D19" s="1393"/>
      <c r="E19" s="1393"/>
      <c r="F19" s="1393"/>
      <c r="K19" s="610"/>
    </row>
    <row r="20" spans="1:11" x14ac:dyDescent="0.3">
      <c r="A20" s="610"/>
      <c r="C20" s="1393"/>
      <c r="D20" s="1393"/>
      <c r="E20" s="1393"/>
      <c r="F20" s="1393"/>
      <c r="K20" s="610"/>
    </row>
    <row r="21" spans="1:11" x14ac:dyDescent="0.3">
      <c r="A21" s="610"/>
      <c r="C21" s="624"/>
      <c r="D21" s="624"/>
      <c r="K21" s="610"/>
    </row>
    <row r="22" spans="1:11" x14ac:dyDescent="0.3">
      <c r="A22" s="610"/>
      <c r="K22" s="610"/>
    </row>
    <row r="23" spans="1:11" x14ac:dyDescent="0.3">
      <c r="A23" s="610"/>
      <c r="K23" s="610"/>
    </row>
    <row r="24" spans="1:11" ht="26.4" customHeight="1" x14ac:dyDescent="0.3">
      <c r="A24" s="610"/>
      <c r="K24" s="610"/>
    </row>
    <row r="25" spans="1:11" x14ac:dyDescent="0.3">
      <c r="A25" s="610"/>
      <c r="K25" s="610"/>
    </row>
    <row r="26" spans="1:11" x14ac:dyDescent="0.3">
      <c r="A26" s="610"/>
      <c r="K26" s="610"/>
    </row>
    <row r="27" spans="1:11" x14ac:dyDescent="0.3">
      <c r="A27" s="610"/>
      <c r="K27" s="610"/>
    </row>
  </sheetData>
  <mergeCells count="3">
    <mergeCell ref="B1:G1"/>
    <mergeCell ref="B8:F8"/>
    <mergeCell ref="C19:F20"/>
  </mergeCells>
  <printOptions horizontalCentered="1"/>
  <pageMargins left="0.5" right="0.5" top="0.75" bottom="0.5" header="0.5" footer="0.5"/>
  <pageSetup scale="96" fitToHeight="0" orientation="landscape" r:id="rId1"/>
  <headerFooter alignWithMargins="0">
    <oddHeader xml:space="preserve">&amp;RDEF’s Response to OPC POD 1 (1-26)
Q7
Page &amp;P of &amp;N
</oddHeader>
    <oddFooter>&amp;R20240025-OPCPOD1-00004300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9797B-DE5B-4F29-878D-98A9B3D9E7CE}">
  <sheetPr>
    <tabColor rgb="FFFFFF00"/>
    <pageSetUpPr fitToPage="1"/>
  </sheetPr>
  <dimension ref="B1:O303"/>
  <sheetViews>
    <sheetView workbookViewId="0"/>
  </sheetViews>
  <sheetFormatPr defaultColWidth="11.44140625" defaultRowHeight="10.199999999999999" x14ac:dyDescent="0.2"/>
  <cols>
    <col min="1" max="1" width="2.33203125" style="777" customWidth="1"/>
    <col min="2" max="2" width="24.33203125" style="777" customWidth="1"/>
    <col min="3" max="3" width="8.5546875" style="777" bestFit="1" customWidth="1"/>
    <col min="4" max="5" width="7.109375" style="777" bestFit="1" customWidth="1"/>
    <col min="6" max="6" width="8.88671875" style="777" customWidth="1"/>
    <col min="7" max="7" width="5.44140625" style="777" bestFit="1" customWidth="1"/>
    <col min="8" max="8" width="4.5546875" style="777" bestFit="1" customWidth="1"/>
    <col min="9" max="9" width="5.44140625" style="777" bestFit="1" customWidth="1"/>
    <col min="10" max="10" width="4.5546875" style="777" bestFit="1" customWidth="1"/>
    <col min="11" max="13" width="5.44140625" style="777" bestFit="1" customWidth="1"/>
    <col min="14" max="14" width="4.5546875" style="777" bestFit="1" customWidth="1"/>
    <col min="15" max="15" width="5.44140625" style="777" bestFit="1" customWidth="1"/>
    <col min="16" max="16384" width="11.44140625" style="777"/>
  </cols>
  <sheetData>
    <row r="1" spans="2:15" x14ac:dyDescent="0.2">
      <c r="B1" s="776" t="s">
        <v>1041</v>
      </c>
    </row>
    <row r="3" spans="2:15" x14ac:dyDescent="0.2">
      <c r="B3" s="778" t="s">
        <v>702</v>
      </c>
      <c r="C3" s="778"/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O3" s="778"/>
    </row>
    <row r="4" spans="2:15" ht="10.199999999999999" customHeight="1" x14ac:dyDescent="0.2">
      <c r="B4" s="778" t="s">
        <v>1042</v>
      </c>
      <c r="C4" s="778"/>
      <c r="D4" s="778"/>
      <c r="E4" s="778"/>
      <c r="F4" s="778"/>
      <c r="G4" s="778"/>
      <c r="H4" s="778"/>
      <c r="I4" s="778"/>
      <c r="J4" s="778"/>
      <c r="K4" s="778"/>
      <c r="L4" s="778"/>
      <c r="M4" s="778"/>
      <c r="N4" s="778"/>
      <c r="O4" s="778"/>
    </row>
    <row r="5" spans="2:15" x14ac:dyDescent="0.2"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778"/>
      <c r="O5" s="778"/>
    </row>
    <row r="6" spans="2:15" ht="10.199999999999999" customHeight="1" x14ac:dyDescent="0.2">
      <c r="B6" s="779"/>
      <c r="C6" s="1396" t="s">
        <v>1043</v>
      </c>
      <c r="D6" s="1397"/>
      <c r="E6" s="1397"/>
      <c r="F6" s="1398"/>
      <c r="G6" s="1394" t="s">
        <v>325</v>
      </c>
      <c r="H6" s="1395"/>
      <c r="I6" s="1394" t="s">
        <v>326</v>
      </c>
      <c r="J6" s="1395"/>
      <c r="K6" s="780" t="s">
        <v>327</v>
      </c>
      <c r="L6" s="780" t="s">
        <v>328</v>
      </c>
      <c r="M6" s="1394" t="s">
        <v>329</v>
      </c>
      <c r="N6" s="1395"/>
      <c r="O6" s="780" t="s">
        <v>330</v>
      </c>
    </row>
    <row r="7" spans="2:15" ht="20.399999999999999" x14ac:dyDescent="0.2">
      <c r="B7" s="781" t="s">
        <v>1044</v>
      </c>
      <c r="C7" s="782" t="s">
        <v>1045</v>
      </c>
      <c r="D7" s="783" t="s">
        <v>1046</v>
      </c>
      <c r="E7" s="783" t="s">
        <v>1047</v>
      </c>
      <c r="F7" s="783" t="s">
        <v>1048</v>
      </c>
      <c r="G7" s="784" t="s">
        <v>730</v>
      </c>
      <c r="H7" s="785" t="s">
        <v>761</v>
      </c>
      <c r="I7" s="784" t="s">
        <v>730</v>
      </c>
      <c r="J7" s="785" t="s">
        <v>761</v>
      </c>
      <c r="K7" s="786" t="s">
        <v>730</v>
      </c>
      <c r="L7" s="786" t="s">
        <v>730</v>
      </c>
      <c r="M7" s="784" t="s">
        <v>730</v>
      </c>
      <c r="N7" s="785" t="s">
        <v>761</v>
      </c>
      <c r="O7" s="786" t="s">
        <v>730</v>
      </c>
    </row>
    <row r="8" spans="2:15" x14ac:dyDescent="0.2">
      <c r="B8" s="787" t="s">
        <v>1049</v>
      </c>
      <c r="C8" s="788"/>
      <c r="D8" s="789">
        <v>6.7060000000000004</v>
      </c>
      <c r="E8" s="789">
        <v>5.2839999999999998</v>
      </c>
      <c r="F8" s="789">
        <v>3.7360000000000002</v>
      </c>
      <c r="G8" s="790">
        <v>0.33</v>
      </c>
      <c r="H8" s="791"/>
      <c r="I8" s="790">
        <v>0.94599999999999995</v>
      </c>
      <c r="J8" s="791"/>
      <c r="K8" s="792">
        <v>4.5999999999999999E-2</v>
      </c>
      <c r="L8" s="792">
        <v>0.23599999999999999</v>
      </c>
      <c r="M8" s="790">
        <v>0.51</v>
      </c>
      <c r="N8" s="791"/>
      <c r="O8" s="792">
        <v>0.50900000000000001</v>
      </c>
    </row>
    <row r="9" spans="2:15" x14ac:dyDescent="0.2">
      <c r="B9" s="793" t="s">
        <v>1050</v>
      </c>
      <c r="C9" s="794">
        <v>4.9470000000000001</v>
      </c>
      <c r="D9" s="795"/>
      <c r="E9" s="796"/>
      <c r="F9" s="796"/>
      <c r="G9" s="797"/>
      <c r="H9" s="798"/>
      <c r="I9" s="797"/>
      <c r="J9" s="798"/>
      <c r="K9" s="799"/>
      <c r="L9" s="799"/>
      <c r="M9" s="797"/>
      <c r="N9" s="798"/>
      <c r="O9" s="799"/>
    </row>
    <row r="10" spans="2:15" x14ac:dyDescent="0.2">
      <c r="B10" s="793" t="s">
        <v>1051</v>
      </c>
      <c r="C10" s="794">
        <v>6.0170000000000003</v>
      </c>
      <c r="D10" s="795"/>
      <c r="E10" s="795"/>
      <c r="F10" s="795"/>
      <c r="G10" s="797"/>
      <c r="H10" s="798"/>
      <c r="I10" s="797"/>
      <c r="J10" s="798"/>
      <c r="K10" s="799"/>
      <c r="L10" s="799"/>
      <c r="M10" s="797"/>
      <c r="N10" s="798"/>
      <c r="O10" s="799"/>
    </row>
    <row r="11" spans="2:15" x14ac:dyDescent="0.2">
      <c r="B11" s="787"/>
      <c r="C11" s="800"/>
      <c r="D11" s="795"/>
      <c r="E11" s="795"/>
      <c r="F11" s="795"/>
      <c r="G11" s="801"/>
      <c r="H11" s="802"/>
      <c r="I11" s="801"/>
      <c r="J11" s="802"/>
      <c r="K11" s="803"/>
      <c r="L11" s="803"/>
      <c r="M11" s="801"/>
      <c r="N11" s="802"/>
      <c r="O11" s="803"/>
    </row>
    <row r="12" spans="2:15" x14ac:dyDescent="0.2">
      <c r="B12" s="787" t="s">
        <v>1052</v>
      </c>
      <c r="C12" s="788"/>
      <c r="D12" s="796"/>
      <c r="E12" s="796"/>
      <c r="F12" s="796"/>
      <c r="G12" s="788"/>
      <c r="H12" s="804"/>
      <c r="I12" s="788"/>
      <c r="J12" s="804"/>
      <c r="K12" s="805"/>
      <c r="L12" s="805"/>
      <c r="M12" s="788"/>
      <c r="N12" s="804"/>
      <c r="O12" s="805"/>
    </row>
    <row r="13" spans="2:15" x14ac:dyDescent="0.2">
      <c r="B13" s="793" t="s">
        <v>149</v>
      </c>
      <c r="C13" s="794">
        <v>5.2469999999999999</v>
      </c>
      <c r="D13" s="809">
        <v>6.7060000000000004</v>
      </c>
      <c r="E13" s="809">
        <v>5.2839999999999998</v>
      </c>
      <c r="F13" s="809">
        <v>3.7360000000000002</v>
      </c>
      <c r="G13" s="790">
        <v>0.28999999999999998</v>
      </c>
      <c r="H13" s="791"/>
      <c r="I13" s="794">
        <v>0.81599999999999995</v>
      </c>
      <c r="J13" s="806"/>
      <c r="K13" s="807">
        <v>4.3999999999999997E-2</v>
      </c>
      <c r="L13" s="807">
        <v>0.20399999999999999</v>
      </c>
      <c r="M13" s="794">
        <v>0.49399999999999999</v>
      </c>
      <c r="N13" s="806"/>
      <c r="O13" s="807">
        <v>0.443</v>
      </c>
    </row>
    <row r="14" spans="2:15" x14ac:dyDescent="0.2">
      <c r="B14" s="793" t="s">
        <v>148</v>
      </c>
      <c r="C14" s="808">
        <v>5.1950000000000003</v>
      </c>
      <c r="D14" s="809">
        <v>6.6390000000000002</v>
      </c>
      <c r="E14" s="809">
        <v>5.2309999999999999</v>
      </c>
      <c r="F14" s="809">
        <v>3.6989999999999998</v>
      </c>
      <c r="G14" s="790">
        <v>0.28699999999999998</v>
      </c>
      <c r="H14" s="804"/>
      <c r="I14" s="808">
        <v>0.80800000000000005</v>
      </c>
      <c r="J14" s="804"/>
      <c r="K14" s="807">
        <v>4.3999999999999997E-2</v>
      </c>
      <c r="L14" s="807">
        <v>0.20200000000000001</v>
      </c>
      <c r="M14" s="808">
        <v>0.48899999999999999</v>
      </c>
      <c r="N14" s="804"/>
      <c r="O14" s="807">
        <v>0.439</v>
      </c>
    </row>
    <row r="15" spans="2:15" x14ac:dyDescent="0.2">
      <c r="B15" s="793" t="s">
        <v>216</v>
      </c>
      <c r="C15" s="808">
        <v>5.1420000000000003</v>
      </c>
      <c r="D15" s="809">
        <v>6.5709999999999997</v>
      </c>
      <c r="E15" s="809">
        <v>5.1779999999999999</v>
      </c>
      <c r="F15" s="809">
        <v>3.661</v>
      </c>
      <c r="G15" s="790">
        <v>0.28399999999999997</v>
      </c>
      <c r="H15" s="804"/>
      <c r="I15" s="808">
        <v>0.8</v>
      </c>
      <c r="J15" s="804"/>
      <c r="K15" s="807">
        <v>4.2999999999999997E-2</v>
      </c>
      <c r="L15" s="807">
        <v>0.2</v>
      </c>
      <c r="M15" s="808">
        <v>0.48399999999999999</v>
      </c>
      <c r="N15" s="804"/>
      <c r="O15" s="807">
        <v>0.434</v>
      </c>
    </row>
    <row r="16" spans="2:15" x14ac:dyDescent="0.2">
      <c r="B16" s="787"/>
      <c r="C16" s="800"/>
      <c r="D16" s="810"/>
      <c r="E16" s="810" t="s">
        <v>416</v>
      </c>
      <c r="F16" s="810" t="s">
        <v>416</v>
      </c>
      <c r="G16" s="800"/>
      <c r="H16" s="811"/>
      <c r="I16" s="800"/>
      <c r="J16" s="811"/>
      <c r="K16" s="812"/>
      <c r="L16" s="812"/>
      <c r="M16" s="800"/>
      <c r="N16" s="811"/>
      <c r="O16" s="812"/>
    </row>
    <row r="17" spans="2:15" x14ac:dyDescent="0.2">
      <c r="B17" s="787" t="s">
        <v>1053</v>
      </c>
      <c r="C17" s="788">
        <v>5.2469999999999999</v>
      </c>
      <c r="D17" s="796" t="s">
        <v>1054</v>
      </c>
      <c r="E17" s="796" t="s">
        <v>1054</v>
      </c>
      <c r="F17" s="796" t="s">
        <v>1054</v>
      </c>
      <c r="G17" s="790">
        <v>0.22700000000000001</v>
      </c>
      <c r="H17" s="791"/>
      <c r="I17" s="794">
        <v>0.59699999999999998</v>
      </c>
      <c r="J17" s="806"/>
      <c r="K17" s="813">
        <v>4.2000000000000003E-2</v>
      </c>
      <c r="L17" s="813">
        <v>0.14099999999999999</v>
      </c>
      <c r="M17" s="794">
        <v>0.23100000000000001</v>
      </c>
      <c r="N17" s="806"/>
      <c r="O17" s="813">
        <v>0.221</v>
      </c>
    </row>
    <row r="18" spans="2:15" x14ac:dyDescent="0.2">
      <c r="B18" s="787"/>
      <c r="C18" s="788"/>
      <c r="D18" s="796"/>
      <c r="E18" s="796"/>
      <c r="F18" s="796"/>
      <c r="G18" s="788"/>
      <c r="H18" s="804"/>
      <c r="I18" s="788" t="s">
        <v>416</v>
      </c>
      <c r="J18" s="804"/>
      <c r="K18" s="805"/>
      <c r="L18" s="805"/>
      <c r="M18" s="788"/>
      <c r="N18" s="804"/>
      <c r="O18" s="805"/>
    </row>
    <row r="19" spans="2:15" x14ac:dyDescent="0.2">
      <c r="B19" s="787" t="s">
        <v>305</v>
      </c>
      <c r="C19" s="788"/>
      <c r="D19" s="796"/>
      <c r="E19" s="796"/>
      <c r="F19" s="796"/>
      <c r="G19" s="788" t="s">
        <v>416</v>
      </c>
      <c r="H19" s="804" t="s">
        <v>416</v>
      </c>
      <c r="I19" s="788" t="s">
        <v>416</v>
      </c>
      <c r="J19" s="804"/>
      <c r="K19" s="805" t="s">
        <v>416</v>
      </c>
      <c r="L19" s="805"/>
      <c r="M19" s="788"/>
      <c r="N19" s="804"/>
      <c r="O19" s="805"/>
    </row>
    <row r="20" spans="2:15" x14ac:dyDescent="0.2">
      <c r="B20" s="793" t="s">
        <v>149</v>
      </c>
      <c r="C20" s="788">
        <v>5.2469999999999999</v>
      </c>
      <c r="D20" s="796">
        <v>6.7060000000000004</v>
      </c>
      <c r="E20" s="796">
        <v>5.2839999999999998</v>
      </c>
      <c r="F20" s="796">
        <v>3.7360000000000002</v>
      </c>
      <c r="G20" s="790"/>
      <c r="H20" s="814">
        <v>0.93</v>
      </c>
      <c r="I20" s="794"/>
      <c r="J20" s="815">
        <v>2.5299999999999998</v>
      </c>
      <c r="K20" s="807">
        <v>4.2999999999999997E-2</v>
      </c>
      <c r="L20" s="807">
        <v>0.17599999999999999</v>
      </c>
      <c r="M20" s="794"/>
      <c r="N20" s="815">
        <v>1.34</v>
      </c>
      <c r="O20" s="807">
        <v>0.32900000000000001</v>
      </c>
    </row>
    <row r="21" spans="2:15" x14ac:dyDescent="0.2">
      <c r="B21" s="793" t="s">
        <v>148</v>
      </c>
      <c r="C21" s="788">
        <v>5.1950000000000003</v>
      </c>
      <c r="D21" s="796">
        <v>6.6390000000000002</v>
      </c>
      <c r="E21" s="796">
        <v>5.2309999999999999</v>
      </c>
      <c r="F21" s="796">
        <v>3.6989999999999998</v>
      </c>
      <c r="G21" s="788"/>
      <c r="H21" s="815">
        <v>0.92</v>
      </c>
      <c r="I21" s="788"/>
      <c r="J21" s="815">
        <v>2.5</v>
      </c>
      <c r="K21" s="807">
        <v>4.2999999999999997E-2</v>
      </c>
      <c r="L21" s="807">
        <v>0.17399999999999999</v>
      </c>
      <c r="M21" s="788"/>
      <c r="N21" s="815">
        <v>1.31</v>
      </c>
      <c r="O21" s="807">
        <v>0.32600000000000001</v>
      </c>
    </row>
    <row r="22" spans="2:15" x14ac:dyDescent="0.2">
      <c r="B22" s="793" t="s">
        <v>216</v>
      </c>
      <c r="C22" s="788">
        <v>5.1420000000000003</v>
      </c>
      <c r="D22" s="796">
        <v>6.5709999999999997</v>
      </c>
      <c r="E22" s="796">
        <v>5.1779999999999999</v>
      </c>
      <c r="F22" s="796">
        <v>3.661</v>
      </c>
      <c r="G22" s="788"/>
      <c r="H22" s="815">
        <v>0.91</v>
      </c>
      <c r="I22" s="788"/>
      <c r="J22" s="815">
        <v>2.48</v>
      </c>
      <c r="K22" s="807">
        <v>4.2000000000000003E-2</v>
      </c>
      <c r="L22" s="807">
        <v>0.17199999999999999</v>
      </c>
      <c r="M22" s="788"/>
      <c r="N22" s="815">
        <v>0.25</v>
      </c>
      <c r="O22" s="807">
        <v>0.32200000000000001</v>
      </c>
    </row>
    <row r="23" spans="2:15" x14ac:dyDescent="0.2">
      <c r="B23" s="787"/>
      <c r="C23" s="800"/>
      <c r="D23" s="810"/>
      <c r="E23" s="810"/>
      <c r="F23" s="810"/>
      <c r="G23" s="800"/>
      <c r="H23" s="816"/>
      <c r="I23" s="800"/>
      <c r="J23" s="816"/>
      <c r="K23" s="817"/>
      <c r="L23" s="817"/>
      <c r="M23" s="800"/>
      <c r="N23" s="816"/>
      <c r="O23" s="817"/>
    </row>
    <row r="24" spans="2:15" x14ac:dyDescent="0.2">
      <c r="B24" s="818" t="s">
        <v>306</v>
      </c>
      <c r="C24" s="788"/>
      <c r="D24" s="796"/>
      <c r="E24" s="796"/>
      <c r="F24" s="796"/>
      <c r="G24" s="788"/>
      <c r="H24" s="815"/>
      <c r="I24" s="788"/>
      <c r="J24" s="815"/>
      <c r="K24" s="807"/>
      <c r="L24" s="807"/>
      <c r="M24" s="788"/>
      <c r="N24" s="815"/>
      <c r="O24" s="807"/>
    </row>
    <row r="25" spans="2:15" x14ac:dyDescent="0.2">
      <c r="B25" s="793" t="s">
        <v>149</v>
      </c>
      <c r="C25" s="788">
        <v>5.2469999999999999</v>
      </c>
      <c r="D25" s="796">
        <v>6.7060000000000004</v>
      </c>
      <c r="E25" s="796">
        <v>5.2839999999999998</v>
      </c>
      <c r="F25" s="796">
        <v>3.7360000000000002</v>
      </c>
      <c r="G25" s="790"/>
      <c r="H25" s="814">
        <v>0.79</v>
      </c>
      <c r="I25" s="794"/>
      <c r="J25" s="815">
        <v>2.0499999999999998</v>
      </c>
      <c r="K25" s="807">
        <v>4.1000000000000002E-2</v>
      </c>
      <c r="L25" s="807">
        <v>0.12</v>
      </c>
      <c r="M25" s="794"/>
      <c r="N25" s="815">
        <v>2.11</v>
      </c>
      <c r="O25" s="807">
        <v>0.32900000000000001</v>
      </c>
    </row>
    <row r="26" spans="2:15" x14ac:dyDescent="0.2">
      <c r="B26" s="793" t="s">
        <v>148</v>
      </c>
      <c r="C26" s="788">
        <v>5.1950000000000003</v>
      </c>
      <c r="D26" s="796">
        <v>6.6390000000000002</v>
      </c>
      <c r="E26" s="796">
        <v>5.2309999999999999</v>
      </c>
      <c r="F26" s="796">
        <v>3.6989999999999998</v>
      </c>
      <c r="G26" s="788"/>
      <c r="H26" s="815">
        <v>0.78</v>
      </c>
      <c r="I26" s="788"/>
      <c r="J26" s="815">
        <v>2.0299999999999998</v>
      </c>
      <c r="K26" s="807">
        <v>4.1000000000000002E-2</v>
      </c>
      <c r="L26" s="807">
        <v>0.11899999999999999</v>
      </c>
      <c r="M26" s="788"/>
      <c r="N26" s="815">
        <v>2.09</v>
      </c>
      <c r="O26" s="807">
        <v>0.32600000000000001</v>
      </c>
    </row>
    <row r="27" spans="2:15" x14ac:dyDescent="0.2">
      <c r="B27" s="793" t="s">
        <v>216</v>
      </c>
      <c r="C27" s="788">
        <v>5.1420000000000003</v>
      </c>
      <c r="D27" s="796">
        <v>6.5709999999999997</v>
      </c>
      <c r="E27" s="796">
        <v>5.1779999999999999</v>
      </c>
      <c r="F27" s="796">
        <v>3.661</v>
      </c>
      <c r="G27" s="788"/>
      <c r="H27" s="815">
        <v>0.77</v>
      </c>
      <c r="I27" s="788"/>
      <c r="J27" s="815">
        <v>2.0099999999999998</v>
      </c>
      <c r="K27" s="807">
        <v>0.04</v>
      </c>
      <c r="L27" s="807">
        <v>0.11799999999999999</v>
      </c>
      <c r="M27" s="788"/>
      <c r="N27" s="815">
        <v>2.0699999999999998</v>
      </c>
      <c r="O27" s="807">
        <v>0.32200000000000001</v>
      </c>
    </row>
    <row r="28" spans="2:15" x14ac:dyDescent="0.2">
      <c r="B28" s="787"/>
      <c r="C28" s="800"/>
      <c r="D28" s="810"/>
      <c r="E28" s="810"/>
      <c r="F28" s="810"/>
      <c r="G28" s="800"/>
      <c r="H28" s="816"/>
      <c r="I28" s="800"/>
      <c r="J28" s="816"/>
      <c r="K28" s="817"/>
      <c r="L28" s="817"/>
      <c r="M28" s="800"/>
      <c r="N28" s="816"/>
      <c r="O28" s="817"/>
    </row>
    <row r="29" spans="2:15" x14ac:dyDescent="0.2">
      <c r="B29" s="787" t="s">
        <v>307</v>
      </c>
      <c r="C29" s="788"/>
      <c r="D29" s="796"/>
      <c r="E29" s="796"/>
      <c r="F29" s="796"/>
      <c r="G29" s="788"/>
      <c r="H29" s="815"/>
      <c r="I29" s="788"/>
      <c r="J29" s="815"/>
      <c r="K29" s="807"/>
      <c r="L29" s="807"/>
      <c r="M29" s="788"/>
      <c r="N29" s="815"/>
      <c r="O29" s="807"/>
    </row>
    <row r="30" spans="2:15" x14ac:dyDescent="0.2">
      <c r="B30" s="787" t="s">
        <v>149</v>
      </c>
      <c r="C30" s="788">
        <v>5.2469999999999999</v>
      </c>
      <c r="D30" s="796">
        <v>6.7060000000000004</v>
      </c>
      <c r="E30" s="796">
        <v>5.2839999999999998</v>
      </c>
      <c r="F30" s="796">
        <v>3.7360000000000002</v>
      </c>
      <c r="G30" s="790"/>
      <c r="H30" s="814">
        <v>0.76</v>
      </c>
      <c r="I30" s="794"/>
      <c r="J30" s="815">
        <v>1.99</v>
      </c>
      <c r="K30" s="807">
        <v>4.1000000000000002E-2</v>
      </c>
      <c r="L30" s="807">
        <v>0.14299999999999999</v>
      </c>
      <c r="M30" s="794"/>
      <c r="N30" s="815">
        <v>1.02</v>
      </c>
      <c r="O30" s="807">
        <v>0.161</v>
      </c>
    </row>
    <row r="31" spans="2:15" x14ac:dyDescent="0.2">
      <c r="B31" s="787" t="s">
        <v>148</v>
      </c>
      <c r="C31" s="788">
        <v>5.1950000000000003</v>
      </c>
      <c r="D31" s="796">
        <v>6.6390000000000002</v>
      </c>
      <c r="E31" s="796">
        <v>5.2309999999999999</v>
      </c>
      <c r="F31" s="796">
        <v>3.6989999999999998</v>
      </c>
      <c r="G31" s="788"/>
      <c r="H31" s="815">
        <v>0.75</v>
      </c>
      <c r="I31" s="788"/>
      <c r="J31" s="815">
        <v>1.97</v>
      </c>
      <c r="K31" s="807">
        <v>4.1000000000000002E-2</v>
      </c>
      <c r="L31" s="807">
        <v>0.14199999999999999</v>
      </c>
      <c r="M31" s="788"/>
      <c r="N31" s="815">
        <v>0.83</v>
      </c>
      <c r="O31" s="807">
        <v>0.159</v>
      </c>
    </row>
    <row r="32" spans="2:15" x14ac:dyDescent="0.2">
      <c r="B32" s="787" t="s">
        <v>216</v>
      </c>
      <c r="C32" s="788">
        <v>5.1420000000000003</v>
      </c>
      <c r="D32" s="796">
        <v>6.5709999999999997</v>
      </c>
      <c r="E32" s="796">
        <v>5.1779999999999999</v>
      </c>
      <c r="F32" s="796">
        <v>3.661</v>
      </c>
      <c r="G32" s="788"/>
      <c r="H32" s="815">
        <v>0.74</v>
      </c>
      <c r="I32" s="788"/>
      <c r="J32" s="815">
        <v>1.95</v>
      </c>
      <c r="K32" s="807">
        <v>0.04</v>
      </c>
      <c r="L32" s="807">
        <v>0.14000000000000001</v>
      </c>
      <c r="M32" s="788"/>
      <c r="N32" s="815">
        <v>0.19</v>
      </c>
      <c r="O32" s="807">
        <v>0.158</v>
      </c>
    </row>
    <row r="33" spans="2:15" x14ac:dyDescent="0.2">
      <c r="B33" s="787"/>
      <c r="C33" s="800"/>
      <c r="D33" s="810"/>
      <c r="E33" s="810"/>
      <c r="F33" s="810"/>
      <c r="G33" s="800"/>
      <c r="H33" s="819"/>
      <c r="I33" s="800"/>
      <c r="J33" s="811"/>
      <c r="K33" s="817"/>
      <c r="L33" s="817"/>
      <c r="M33" s="800"/>
      <c r="N33" s="811"/>
      <c r="O33" s="817"/>
    </row>
    <row r="34" spans="2:15" x14ac:dyDescent="0.2">
      <c r="B34" s="787" t="s">
        <v>1055</v>
      </c>
      <c r="C34" s="794">
        <v>4.88</v>
      </c>
      <c r="D34" s="820" t="s">
        <v>1054</v>
      </c>
      <c r="E34" s="796" t="s">
        <v>1054</v>
      </c>
      <c r="F34" s="796" t="s">
        <v>1054</v>
      </c>
      <c r="G34" s="790">
        <v>0.11700000000000001</v>
      </c>
      <c r="H34" s="821"/>
      <c r="I34" s="794">
        <v>0.23699999999999999</v>
      </c>
      <c r="J34" s="806"/>
      <c r="K34" s="807">
        <v>3.6999999999999998E-2</v>
      </c>
      <c r="L34" s="807">
        <v>5.6000000000000001E-2</v>
      </c>
      <c r="M34" s="794">
        <v>0.373</v>
      </c>
      <c r="N34" s="806"/>
      <c r="O34" s="807">
        <v>0.42199999999999999</v>
      </c>
    </row>
    <row r="35" spans="2:15" x14ac:dyDescent="0.2">
      <c r="B35" s="787"/>
      <c r="C35" s="822"/>
      <c r="D35" s="823"/>
      <c r="E35" s="823"/>
      <c r="F35" s="823"/>
      <c r="G35" s="822"/>
      <c r="H35" s="824"/>
      <c r="I35" s="822"/>
      <c r="J35" s="825"/>
      <c r="K35" s="787"/>
      <c r="L35" s="787"/>
      <c r="M35" s="822"/>
      <c r="N35" s="825"/>
      <c r="O35" s="787"/>
    </row>
    <row r="36" spans="2:15" x14ac:dyDescent="0.2">
      <c r="B36" s="826" t="s">
        <v>1056</v>
      </c>
      <c r="C36" s="827"/>
      <c r="D36" s="828"/>
      <c r="E36" s="828"/>
      <c r="F36" s="828"/>
      <c r="G36" s="827"/>
      <c r="H36" s="829"/>
      <c r="I36" s="827"/>
      <c r="J36" s="830"/>
      <c r="K36" s="826"/>
      <c r="L36" s="826"/>
      <c r="M36" s="827"/>
      <c r="N36" s="830"/>
      <c r="O36" s="826"/>
    </row>
    <row r="37" spans="2:15" x14ac:dyDescent="0.2">
      <c r="B37" s="826" t="s">
        <v>362</v>
      </c>
      <c r="C37" s="827"/>
      <c r="D37" s="828"/>
      <c r="E37" s="828"/>
      <c r="F37" s="828"/>
      <c r="G37" s="827"/>
      <c r="H37" s="829"/>
      <c r="I37" s="827"/>
      <c r="J37" s="830"/>
      <c r="K37" s="826"/>
      <c r="L37" s="826"/>
      <c r="M37" s="827"/>
      <c r="N37" s="830"/>
      <c r="O37" s="826"/>
    </row>
    <row r="38" spans="2:15" x14ac:dyDescent="0.2">
      <c r="B38" s="826" t="s">
        <v>363</v>
      </c>
      <c r="C38" s="831" t="s">
        <v>1054</v>
      </c>
      <c r="D38" s="832" t="s">
        <v>1054</v>
      </c>
      <c r="E38" s="832" t="s">
        <v>1054</v>
      </c>
      <c r="F38" s="832" t="s">
        <v>1054</v>
      </c>
      <c r="G38" s="831" t="s">
        <v>1054</v>
      </c>
      <c r="H38" s="833">
        <v>0.09</v>
      </c>
      <c r="I38" s="831" t="s">
        <v>1054</v>
      </c>
      <c r="J38" s="834">
        <v>0.24399999999999999</v>
      </c>
      <c r="K38" s="835" t="s">
        <v>1054</v>
      </c>
      <c r="L38" s="835" t="s">
        <v>1054</v>
      </c>
      <c r="M38" s="831" t="s">
        <v>1054</v>
      </c>
      <c r="N38" s="834">
        <v>0.11899999999999999</v>
      </c>
      <c r="O38" s="835" t="s">
        <v>1054</v>
      </c>
    </row>
    <row r="39" spans="2:15" x14ac:dyDescent="0.2">
      <c r="B39" s="826" t="s">
        <v>364</v>
      </c>
      <c r="C39" s="831" t="s">
        <v>1054</v>
      </c>
      <c r="D39" s="832" t="s">
        <v>1054</v>
      </c>
      <c r="E39" s="832" t="s">
        <v>1054</v>
      </c>
      <c r="F39" s="832" t="s">
        <v>1054</v>
      </c>
      <c r="G39" s="831" t="s">
        <v>1054</v>
      </c>
      <c r="H39" s="834">
        <v>8.8999999999999996E-2</v>
      </c>
      <c r="I39" s="831" t="s">
        <v>1054</v>
      </c>
      <c r="J39" s="834">
        <v>0.24199999999999999</v>
      </c>
      <c r="K39" s="835" t="s">
        <v>1054</v>
      </c>
      <c r="L39" s="835" t="s">
        <v>1054</v>
      </c>
      <c r="M39" s="831" t="s">
        <v>1054</v>
      </c>
      <c r="N39" s="834">
        <v>0.11799999999999999</v>
      </c>
      <c r="O39" s="835" t="s">
        <v>1054</v>
      </c>
    </row>
    <row r="40" spans="2:15" x14ac:dyDescent="0.2">
      <c r="B40" s="826" t="s">
        <v>365</v>
      </c>
      <c r="C40" s="831" t="s">
        <v>1054</v>
      </c>
      <c r="D40" s="832" t="s">
        <v>1054</v>
      </c>
      <c r="E40" s="832" t="s">
        <v>1054</v>
      </c>
      <c r="F40" s="832" t="s">
        <v>1054</v>
      </c>
      <c r="G40" s="831" t="s">
        <v>1054</v>
      </c>
      <c r="H40" s="834">
        <v>8.7999999999999995E-2</v>
      </c>
      <c r="I40" s="831" t="s">
        <v>1054</v>
      </c>
      <c r="J40" s="834">
        <v>0.23899999999999999</v>
      </c>
      <c r="K40" s="835" t="s">
        <v>1054</v>
      </c>
      <c r="L40" s="835" t="s">
        <v>1054</v>
      </c>
      <c r="M40" s="831" t="s">
        <v>1054</v>
      </c>
      <c r="N40" s="834">
        <v>0.11700000000000001</v>
      </c>
      <c r="O40" s="835" t="s">
        <v>1054</v>
      </c>
    </row>
    <row r="41" spans="2:15" x14ac:dyDescent="0.2">
      <c r="B41" s="826" t="s">
        <v>366</v>
      </c>
      <c r="C41" s="827"/>
      <c r="D41" s="828"/>
      <c r="E41" s="828"/>
      <c r="F41" s="828"/>
      <c r="G41" s="827"/>
      <c r="H41" s="836"/>
      <c r="I41" s="827"/>
      <c r="J41" s="837"/>
      <c r="K41" s="826"/>
      <c r="L41" s="826"/>
      <c r="M41" s="827"/>
      <c r="N41" s="837"/>
      <c r="O41" s="826"/>
    </row>
    <row r="42" spans="2:15" x14ac:dyDescent="0.2">
      <c r="B42" s="826" t="s">
        <v>363</v>
      </c>
      <c r="C42" s="831" t="s">
        <v>1054</v>
      </c>
      <c r="D42" s="832" t="s">
        <v>1054</v>
      </c>
      <c r="E42" s="832" t="s">
        <v>1054</v>
      </c>
      <c r="F42" s="832" t="s">
        <v>1054</v>
      </c>
      <c r="G42" s="831" t="s">
        <v>1054</v>
      </c>
      <c r="H42" s="834">
        <v>4.2999999999999997E-2</v>
      </c>
      <c r="I42" s="831" t="s">
        <v>1054</v>
      </c>
      <c r="J42" s="834">
        <v>0.11600000000000001</v>
      </c>
      <c r="K42" s="835" t="s">
        <v>1054</v>
      </c>
      <c r="L42" s="835" t="s">
        <v>1054</v>
      </c>
      <c r="M42" s="831" t="s">
        <v>1054</v>
      </c>
      <c r="N42" s="834">
        <v>5.7000000000000002E-2</v>
      </c>
      <c r="O42" s="835" t="s">
        <v>1054</v>
      </c>
    </row>
    <row r="43" spans="2:15" x14ac:dyDescent="0.2">
      <c r="B43" s="826" t="s">
        <v>364</v>
      </c>
      <c r="C43" s="831" t="s">
        <v>1054</v>
      </c>
      <c r="D43" s="832" t="s">
        <v>1054</v>
      </c>
      <c r="E43" s="832" t="s">
        <v>1054</v>
      </c>
      <c r="F43" s="832" t="s">
        <v>1054</v>
      </c>
      <c r="G43" s="831" t="s">
        <v>1054</v>
      </c>
      <c r="H43" s="834">
        <v>4.2999999999999997E-2</v>
      </c>
      <c r="I43" s="831" t="s">
        <v>1054</v>
      </c>
      <c r="J43" s="834">
        <v>0.115</v>
      </c>
      <c r="K43" s="835" t="s">
        <v>1054</v>
      </c>
      <c r="L43" s="835" t="s">
        <v>1054</v>
      </c>
      <c r="M43" s="831" t="s">
        <v>1054</v>
      </c>
      <c r="N43" s="834">
        <v>5.6000000000000001E-2</v>
      </c>
      <c r="O43" s="835" t="s">
        <v>1054</v>
      </c>
    </row>
    <row r="44" spans="2:15" x14ac:dyDescent="0.2">
      <c r="B44" s="826" t="s">
        <v>365</v>
      </c>
      <c r="C44" s="831" t="s">
        <v>1054</v>
      </c>
      <c r="D44" s="832" t="s">
        <v>1054</v>
      </c>
      <c r="E44" s="832" t="s">
        <v>1054</v>
      </c>
      <c r="F44" s="832" t="s">
        <v>1054</v>
      </c>
      <c r="G44" s="831" t="s">
        <v>1054</v>
      </c>
      <c r="H44" s="834">
        <v>4.2000000000000003E-2</v>
      </c>
      <c r="I44" s="831" t="s">
        <v>1054</v>
      </c>
      <c r="J44" s="834">
        <v>0.114</v>
      </c>
      <c r="K44" s="835" t="s">
        <v>1054</v>
      </c>
      <c r="L44" s="835" t="s">
        <v>1054</v>
      </c>
      <c r="M44" s="831" t="s">
        <v>1054</v>
      </c>
      <c r="N44" s="834">
        <v>5.6000000000000001E-2</v>
      </c>
      <c r="O44" s="835" t="s">
        <v>1054</v>
      </c>
    </row>
    <row r="45" spans="2:15" x14ac:dyDescent="0.2">
      <c r="B45" s="826"/>
      <c r="C45" s="827"/>
      <c r="D45" s="828"/>
      <c r="E45" s="828"/>
      <c r="F45" s="828"/>
      <c r="G45" s="827"/>
      <c r="H45" s="830"/>
      <c r="I45" s="827"/>
      <c r="J45" s="830"/>
      <c r="K45" s="826"/>
      <c r="L45" s="826"/>
      <c r="M45" s="827"/>
      <c r="N45" s="830"/>
      <c r="O45" s="826"/>
    </row>
    <row r="46" spans="2:15" ht="10.199999999999999" customHeight="1" x14ac:dyDescent="0.2">
      <c r="B46" s="838" t="s">
        <v>1057</v>
      </c>
      <c r="C46" s="839" t="s">
        <v>1058</v>
      </c>
      <c r="D46" s="840"/>
      <c r="E46" s="840"/>
      <c r="F46" s="840"/>
      <c r="G46" s="839"/>
      <c r="H46" s="841"/>
      <c r="I46" s="839"/>
      <c r="J46" s="841"/>
      <c r="K46" s="842"/>
      <c r="L46" s="842"/>
      <c r="M46" s="839"/>
      <c r="N46" s="841"/>
      <c r="O46" s="842"/>
    </row>
    <row r="47" spans="2:15" x14ac:dyDescent="0.2">
      <c r="B47" s="823"/>
      <c r="C47" s="843"/>
      <c r="D47" s="843"/>
      <c r="E47" s="843"/>
      <c r="F47" s="843"/>
      <c r="G47" s="843"/>
      <c r="H47" s="843"/>
      <c r="I47" s="843"/>
      <c r="J47" s="843"/>
      <c r="K47" s="843"/>
      <c r="L47" s="843"/>
      <c r="M47" s="843"/>
      <c r="N47" s="843"/>
      <c r="O47" s="843"/>
    </row>
    <row r="48" spans="2:15" x14ac:dyDescent="0.2">
      <c r="B48" s="828"/>
      <c r="C48" s="844"/>
      <c r="D48" s="844"/>
      <c r="E48" s="844"/>
      <c r="F48" s="844"/>
      <c r="G48" s="844"/>
      <c r="H48" s="844"/>
      <c r="I48" s="844"/>
      <c r="J48" s="844"/>
      <c r="K48" s="844"/>
      <c r="L48" s="844"/>
      <c r="M48" s="844"/>
      <c r="N48" s="844"/>
      <c r="O48" s="844"/>
    </row>
    <row r="303" spans="10:14" x14ac:dyDescent="0.2">
      <c r="J303" s="777" t="s">
        <v>375</v>
      </c>
      <c r="N303" s="777" t="s">
        <v>375</v>
      </c>
    </row>
  </sheetData>
  <mergeCells count="4">
    <mergeCell ref="M6:N6"/>
    <mergeCell ref="G6:H6"/>
    <mergeCell ref="I6:J6"/>
    <mergeCell ref="C6:F6"/>
  </mergeCells>
  <printOptions horizontalCentered="1"/>
  <pageMargins left="0" right="0.5" top="1" bottom="0.25" header="0.5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F5878-D264-459B-8D78-F57F1B02387A}">
  <sheetPr>
    <tabColor rgb="FFFFFF00"/>
    <pageSetUpPr fitToPage="1"/>
  </sheetPr>
  <dimension ref="B1:O303"/>
  <sheetViews>
    <sheetView workbookViewId="0"/>
  </sheetViews>
  <sheetFormatPr defaultColWidth="11.44140625" defaultRowHeight="10.199999999999999" x14ac:dyDescent="0.2"/>
  <cols>
    <col min="1" max="1" width="2.33203125" style="777" customWidth="1"/>
    <col min="2" max="2" width="24.33203125" style="777" customWidth="1"/>
    <col min="3" max="3" width="8.5546875" style="777" bestFit="1" customWidth="1"/>
    <col min="4" max="5" width="7.109375" style="777" bestFit="1" customWidth="1"/>
    <col min="6" max="6" width="8.88671875" style="777" customWidth="1"/>
    <col min="7" max="7" width="5.44140625" style="777" bestFit="1" customWidth="1"/>
    <col min="8" max="8" width="4.5546875" style="777" bestFit="1" customWidth="1"/>
    <col min="9" max="9" width="5.5546875" style="777" bestFit="1" customWidth="1"/>
    <col min="10" max="10" width="4.88671875" style="777" bestFit="1" customWidth="1"/>
    <col min="11" max="12" width="5.44140625" style="777" bestFit="1" customWidth="1"/>
    <col min="13" max="13" width="5.5546875" style="777" bestFit="1" customWidth="1"/>
    <col min="14" max="14" width="4.88671875" style="777" bestFit="1" customWidth="1"/>
    <col min="15" max="15" width="5.44140625" style="777" bestFit="1" customWidth="1"/>
    <col min="16" max="16384" width="11.44140625" style="777"/>
  </cols>
  <sheetData>
    <row r="1" spans="2:15" x14ac:dyDescent="0.2">
      <c r="B1" s="776" t="s">
        <v>1059</v>
      </c>
    </row>
    <row r="3" spans="2:15" x14ac:dyDescent="0.2">
      <c r="B3" s="778" t="s">
        <v>702</v>
      </c>
      <c r="C3" s="778"/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O3" s="778"/>
    </row>
    <row r="4" spans="2:15" ht="10.199999999999999" customHeight="1" x14ac:dyDescent="0.2">
      <c r="B4" s="778" t="s">
        <v>1060</v>
      </c>
      <c r="C4" s="778"/>
      <c r="D4" s="778"/>
      <c r="E4" s="778"/>
      <c r="F4" s="778"/>
      <c r="G4" s="778"/>
      <c r="H4" s="778"/>
      <c r="I4" s="778"/>
      <c r="J4" s="778"/>
      <c r="K4" s="778"/>
      <c r="L4" s="778"/>
      <c r="M4" s="778"/>
      <c r="N4" s="778"/>
      <c r="O4" s="778"/>
    </row>
    <row r="5" spans="2:15" x14ac:dyDescent="0.2"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778"/>
      <c r="O5" s="778"/>
    </row>
    <row r="6" spans="2:15" ht="10.199999999999999" customHeight="1" x14ac:dyDescent="0.2">
      <c r="B6" s="779"/>
      <c r="C6" s="1396" t="s">
        <v>1043</v>
      </c>
      <c r="D6" s="1397"/>
      <c r="E6" s="1397"/>
      <c r="F6" s="1398"/>
      <c r="G6" s="1394" t="s">
        <v>325</v>
      </c>
      <c r="H6" s="1395"/>
      <c r="I6" s="1394" t="s">
        <v>326</v>
      </c>
      <c r="J6" s="1395"/>
      <c r="K6" s="780" t="s">
        <v>327</v>
      </c>
      <c r="L6" s="780" t="s">
        <v>328</v>
      </c>
      <c r="M6" s="1394" t="s">
        <v>329</v>
      </c>
      <c r="N6" s="1395"/>
      <c r="O6" s="780" t="s">
        <v>330</v>
      </c>
    </row>
    <row r="7" spans="2:15" ht="20.399999999999999" x14ac:dyDescent="0.2">
      <c r="B7" s="781" t="s">
        <v>1044</v>
      </c>
      <c r="C7" s="782" t="s">
        <v>1045</v>
      </c>
      <c r="D7" s="783" t="s">
        <v>1046</v>
      </c>
      <c r="E7" s="783" t="s">
        <v>1047</v>
      </c>
      <c r="F7" s="783" t="s">
        <v>1048</v>
      </c>
      <c r="G7" s="784" t="s">
        <v>730</v>
      </c>
      <c r="H7" s="785" t="s">
        <v>761</v>
      </c>
      <c r="I7" s="784" t="s">
        <v>730</v>
      </c>
      <c r="J7" s="785" t="s">
        <v>761</v>
      </c>
      <c r="K7" s="786" t="s">
        <v>730</v>
      </c>
      <c r="L7" s="786" t="s">
        <v>730</v>
      </c>
      <c r="M7" s="784" t="s">
        <v>730</v>
      </c>
      <c r="N7" s="785" t="s">
        <v>761</v>
      </c>
      <c r="O7" s="786" t="s">
        <v>730</v>
      </c>
    </row>
    <row r="8" spans="2:15" x14ac:dyDescent="0.2">
      <c r="B8" s="787" t="s">
        <v>1049</v>
      </c>
      <c r="C8" s="1243"/>
      <c r="D8" s="1244">
        <v>4.5030000000000001</v>
      </c>
      <c r="E8" s="1244">
        <v>3.9750000000000001</v>
      </c>
      <c r="F8" s="1244">
        <v>3.6429999999999998</v>
      </c>
      <c r="G8" s="790">
        <v>0.33</v>
      </c>
      <c r="H8" s="791"/>
      <c r="I8" s="1248">
        <v>0.41099999999999998</v>
      </c>
      <c r="J8" s="1249"/>
      <c r="K8" s="792">
        <v>4.5999999999999999E-2</v>
      </c>
      <c r="L8" s="792">
        <v>0.23599999999999999</v>
      </c>
      <c r="M8" s="1248">
        <v>0.85599999999999998</v>
      </c>
      <c r="N8" s="1249"/>
      <c r="O8" s="1262">
        <v>0</v>
      </c>
    </row>
    <row r="9" spans="2:15" x14ac:dyDescent="0.2">
      <c r="B9" s="793" t="s">
        <v>1050</v>
      </c>
      <c r="C9" s="1243">
        <v>3.7010000000000001</v>
      </c>
      <c r="D9" s="1245"/>
      <c r="E9" s="1246"/>
      <c r="F9" s="1246"/>
      <c r="G9" s="797"/>
      <c r="H9" s="798"/>
      <c r="I9" s="1248"/>
      <c r="J9" s="1249"/>
      <c r="K9" s="799"/>
      <c r="L9" s="799"/>
      <c r="M9" s="1248"/>
      <c r="N9" s="1249"/>
      <c r="O9" s="1262"/>
    </row>
    <row r="10" spans="2:15" x14ac:dyDescent="0.2">
      <c r="B10" s="793" t="s">
        <v>1051</v>
      </c>
      <c r="C10" s="1243">
        <v>4.7709999999999999</v>
      </c>
      <c r="D10" s="1245"/>
      <c r="E10" s="1245"/>
      <c r="F10" s="1245"/>
      <c r="G10" s="797"/>
      <c r="H10" s="798"/>
      <c r="I10" s="1248"/>
      <c r="J10" s="1249"/>
      <c r="K10" s="799"/>
      <c r="L10" s="799"/>
      <c r="M10" s="1248"/>
      <c r="N10" s="1249"/>
      <c r="O10" s="1262"/>
    </row>
    <row r="11" spans="2:15" x14ac:dyDescent="0.2">
      <c r="B11" s="787"/>
      <c r="C11" s="1247"/>
      <c r="D11" s="1245"/>
      <c r="E11" s="1245"/>
      <c r="F11" s="1245"/>
      <c r="G11" s="801"/>
      <c r="H11" s="802"/>
      <c r="I11" s="1250"/>
      <c r="J11" s="1251"/>
      <c r="K11" s="803"/>
      <c r="L11" s="803"/>
      <c r="M11" s="1250"/>
      <c r="N11" s="1251"/>
      <c r="O11" s="1263"/>
    </row>
    <row r="12" spans="2:15" x14ac:dyDescent="0.2">
      <c r="B12" s="787" t="s">
        <v>1052</v>
      </c>
      <c r="C12" s="1243"/>
      <c r="D12" s="1246"/>
      <c r="E12" s="1246"/>
      <c r="F12" s="1246"/>
      <c r="G12" s="788"/>
      <c r="H12" s="804"/>
      <c r="I12" s="1243"/>
      <c r="J12" s="1252"/>
      <c r="K12" s="805"/>
      <c r="L12" s="805"/>
      <c r="M12" s="1243"/>
      <c r="N12" s="1252"/>
      <c r="O12" s="1264"/>
    </row>
    <row r="13" spans="2:15" x14ac:dyDescent="0.2">
      <c r="B13" s="793" t="s">
        <v>149</v>
      </c>
      <c r="C13" s="1243">
        <v>3.9990000000000001</v>
      </c>
      <c r="D13" s="1246">
        <v>4.5030000000000001</v>
      </c>
      <c r="E13" s="1246">
        <v>3.9750000000000001</v>
      </c>
      <c r="F13" s="1246">
        <v>3.6429999999999998</v>
      </c>
      <c r="G13" s="790">
        <v>0.28999999999999998</v>
      </c>
      <c r="H13" s="791"/>
      <c r="I13" s="1243">
        <v>0.35899999999999999</v>
      </c>
      <c r="J13" s="1252"/>
      <c r="K13" s="807">
        <v>4.3999999999999997E-2</v>
      </c>
      <c r="L13" s="807">
        <v>0.20399999999999999</v>
      </c>
      <c r="M13" s="1243">
        <v>0.83199999999999996</v>
      </c>
      <c r="N13" s="1252"/>
      <c r="O13" s="1264">
        <v>0</v>
      </c>
    </row>
    <row r="14" spans="2:15" x14ac:dyDescent="0.2">
      <c r="B14" s="793" t="s">
        <v>148</v>
      </c>
      <c r="C14" s="1243">
        <v>3.9590000000000001</v>
      </c>
      <c r="D14" s="1246">
        <v>4.4580000000000002</v>
      </c>
      <c r="E14" s="1246">
        <v>3.9350000000000001</v>
      </c>
      <c r="F14" s="1246">
        <v>3.6070000000000002</v>
      </c>
      <c r="G14" s="790">
        <v>0.28699999999999998</v>
      </c>
      <c r="H14" s="804"/>
      <c r="I14" s="1243">
        <v>0.35499999999999998</v>
      </c>
      <c r="J14" s="1252"/>
      <c r="K14" s="807">
        <v>4.3999999999999997E-2</v>
      </c>
      <c r="L14" s="807">
        <v>0.20200000000000001</v>
      </c>
      <c r="M14" s="1243">
        <v>0.82399999999999995</v>
      </c>
      <c r="N14" s="1252"/>
      <c r="O14" s="1264">
        <v>0</v>
      </c>
    </row>
    <row r="15" spans="2:15" x14ac:dyDescent="0.2">
      <c r="B15" s="793" t="s">
        <v>216</v>
      </c>
      <c r="C15" s="1243">
        <v>3.919</v>
      </c>
      <c r="D15" s="1246">
        <v>4.4130000000000003</v>
      </c>
      <c r="E15" s="1246">
        <v>3.895</v>
      </c>
      <c r="F15" s="1246">
        <v>3.57</v>
      </c>
      <c r="G15" s="790">
        <v>0.28399999999999997</v>
      </c>
      <c r="H15" s="804"/>
      <c r="I15" s="1243">
        <v>0.35199999999999998</v>
      </c>
      <c r="J15" s="1252"/>
      <c r="K15" s="807">
        <v>4.2999999999999997E-2</v>
      </c>
      <c r="L15" s="807">
        <v>0.2</v>
      </c>
      <c r="M15" s="1243">
        <v>0.81499999999999995</v>
      </c>
      <c r="N15" s="1252"/>
      <c r="O15" s="1264">
        <v>0</v>
      </c>
    </row>
    <row r="16" spans="2:15" x14ac:dyDescent="0.2">
      <c r="B16" s="787"/>
      <c r="C16" s="800"/>
      <c r="D16" s="810"/>
      <c r="E16" s="810" t="s">
        <v>416</v>
      </c>
      <c r="F16" s="810" t="s">
        <v>416</v>
      </c>
      <c r="G16" s="800"/>
      <c r="H16" s="811"/>
      <c r="I16" s="1247"/>
      <c r="J16" s="1253"/>
      <c r="K16" s="812"/>
      <c r="L16" s="812"/>
      <c r="M16" s="1247"/>
      <c r="N16" s="1253"/>
      <c r="O16" s="1265"/>
    </row>
    <row r="17" spans="2:15" x14ac:dyDescent="0.2">
      <c r="B17" s="787" t="s">
        <v>1053</v>
      </c>
      <c r="C17" s="788">
        <f>C13</f>
        <v>3.9990000000000001</v>
      </c>
      <c r="D17" s="796" t="s">
        <v>1054</v>
      </c>
      <c r="E17" s="796" t="s">
        <v>1054</v>
      </c>
      <c r="F17" s="796" t="s">
        <v>1054</v>
      </c>
      <c r="G17" s="790">
        <v>0.22700000000000001</v>
      </c>
      <c r="H17" s="791"/>
      <c r="I17" s="1243">
        <v>0.253</v>
      </c>
      <c r="J17" s="1252"/>
      <c r="K17" s="813">
        <v>4.2000000000000003E-2</v>
      </c>
      <c r="L17" s="813">
        <v>0.14099999999999999</v>
      </c>
      <c r="M17" s="1243">
        <v>0.38800000000000001</v>
      </c>
      <c r="N17" s="1252"/>
      <c r="O17" s="1264">
        <v>0</v>
      </c>
    </row>
    <row r="18" spans="2:15" x14ac:dyDescent="0.2">
      <c r="B18" s="787"/>
      <c r="C18" s="788"/>
      <c r="D18" s="796"/>
      <c r="E18" s="796"/>
      <c r="F18" s="796"/>
      <c r="G18" s="788"/>
      <c r="H18" s="804"/>
      <c r="I18" s="1243" t="s">
        <v>416</v>
      </c>
      <c r="J18" s="1252"/>
      <c r="K18" s="805"/>
      <c r="L18" s="805"/>
      <c r="M18" s="1243"/>
      <c r="N18" s="1252"/>
      <c r="O18" s="1264"/>
    </row>
    <row r="19" spans="2:15" x14ac:dyDescent="0.2">
      <c r="B19" s="787" t="s">
        <v>305</v>
      </c>
      <c r="C19" s="788"/>
      <c r="D19" s="796"/>
      <c r="E19" s="796"/>
      <c r="F19" s="796"/>
      <c r="G19" s="788" t="s">
        <v>416</v>
      </c>
      <c r="H19" s="804" t="s">
        <v>416</v>
      </c>
      <c r="I19" s="1243" t="s">
        <v>416</v>
      </c>
      <c r="J19" s="1252"/>
      <c r="K19" s="805" t="s">
        <v>416</v>
      </c>
      <c r="L19" s="805"/>
      <c r="M19" s="1243"/>
      <c r="N19" s="1252"/>
      <c r="O19" s="1264"/>
    </row>
    <row r="20" spans="2:15" x14ac:dyDescent="0.2">
      <c r="B20" s="793" t="s">
        <v>149</v>
      </c>
      <c r="C20" s="788">
        <f>C13</f>
        <v>3.9990000000000001</v>
      </c>
      <c r="D20" s="796">
        <f t="shared" ref="D20:F20" si="0">D13</f>
        <v>4.5030000000000001</v>
      </c>
      <c r="E20" s="796">
        <f t="shared" si="0"/>
        <v>3.9750000000000001</v>
      </c>
      <c r="F20" s="796">
        <f t="shared" si="0"/>
        <v>3.6429999999999998</v>
      </c>
      <c r="G20" s="790"/>
      <c r="H20" s="814">
        <v>0.93</v>
      </c>
      <c r="I20" s="1243"/>
      <c r="J20" s="1254">
        <v>1.0900000000000001</v>
      </c>
      <c r="K20" s="807">
        <v>4.2999999999999997E-2</v>
      </c>
      <c r="L20" s="807">
        <v>0.17599999999999999</v>
      </c>
      <c r="M20" s="1243"/>
      <c r="N20" s="1254">
        <v>2.25</v>
      </c>
      <c r="O20" s="1264">
        <v>0</v>
      </c>
    </row>
    <row r="21" spans="2:15" x14ac:dyDescent="0.2">
      <c r="B21" s="793" t="s">
        <v>148</v>
      </c>
      <c r="C21" s="788">
        <f t="shared" ref="C21:F21" si="1">C14</f>
        <v>3.9590000000000001</v>
      </c>
      <c r="D21" s="796">
        <f t="shared" si="1"/>
        <v>4.4580000000000002</v>
      </c>
      <c r="E21" s="796">
        <f t="shared" si="1"/>
        <v>3.9350000000000001</v>
      </c>
      <c r="F21" s="796">
        <f t="shared" si="1"/>
        <v>3.6070000000000002</v>
      </c>
      <c r="G21" s="788"/>
      <c r="H21" s="815">
        <v>0.92</v>
      </c>
      <c r="I21" s="1243"/>
      <c r="J21" s="1254">
        <v>1.08</v>
      </c>
      <c r="K21" s="807">
        <v>4.2999999999999997E-2</v>
      </c>
      <c r="L21" s="807">
        <v>0.17399999999999999</v>
      </c>
      <c r="M21" s="1243"/>
      <c r="N21" s="1254">
        <v>2.2000000000000002</v>
      </c>
      <c r="O21" s="1264">
        <v>0</v>
      </c>
    </row>
    <row r="22" spans="2:15" x14ac:dyDescent="0.2">
      <c r="B22" s="793" t="s">
        <v>216</v>
      </c>
      <c r="C22" s="788">
        <f t="shared" ref="C22:F22" si="2">C15</f>
        <v>3.919</v>
      </c>
      <c r="D22" s="796">
        <f t="shared" si="2"/>
        <v>4.4130000000000003</v>
      </c>
      <c r="E22" s="796">
        <f t="shared" si="2"/>
        <v>3.895</v>
      </c>
      <c r="F22" s="796">
        <f t="shared" si="2"/>
        <v>3.57</v>
      </c>
      <c r="G22" s="788"/>
      <c r="H22" s="815">
        <v>0.91</v>
      </c>
      <c r="I22" s="1243"/>
      <c r="J22" s="1254">
        <v>1.07</v>
      </c>
      <c r="K22" s="807">
        <v>4.2000000000000003E-2</v>
      </c>
      <c r="L22" s="807">
        <v>0.17199999999999999</v>
      </c>
      <c r="M22" s="1243"/>
      <c r="N22" s="1254">
        <v>0.39</v>
      </c>
      <c r="O22" s="1264">
        <v>0</v>
      </c>
    </row>
    <row r="23" spans="2:15" x14ac:dyDescent="0.2">
      <c r="B23" s="787"/>
      <c r="C23" s="800"/>
      <c r="D23" s="810"/>
      <c r="E23" s="810"/>
      <c r="F23" s="810"/>
      <c r="G23" s="800"/>
      <c r="H23" s="816"/>
      <c r="I23" s="1247"/>
      <c r="J23" s="1255"/>
      <c r="K23" s="817"/>
      <c r="L23" s="817"/>
      <c r="M23" s="1247"/>
      <c r="N23" s="1255"/>
      <c r="O23" s="1265"/>
    </row>
    <row r="24" spans="2:15" x14ac:dyDescent="0.2">
      <c r="B24" s="818" t="s">
        <v>306</v>
      </c>
      <c r="C24" s="788"/>
      <c r="D24" s="796"/>
      <c r="E24" s="796"/>
      <c r="F24" s="796"/>
      <c r="G24" s="788"/>
      <c r="H24" s="815"/>
      <c r="I24" s="1243"/>
      <c r="J24" s="1254"/>
      <c r="K24" s="807"/>
      <c r="L24" s="807"/>
      <c r="M24" s="1243"/>
      <c r="N24" s="1254"/>
      <c r="O24" s="1264"/>
    </row>
    <row r="25" spans="2:15" x14ac:dyDescent="0.2">
      <c r="B25" s="793" t="s">
        <v>149</v>
      </c>
      <c r="C25" s="788">
        <f>C20</f>
        <v>3.9990000000000001</v>
      </c>
      <c r="D25" s="796">
        <f t="shared" ref="D25:F25" si="3">D20</f>
        <v>4.5030000000000001</v>
      </c>
      <c r="E25" s="796">
        <f t="shared" si="3"/>
        <v>3.9750000000000001</v>
      </c>
      <c r="F25" s="796">
        <f t="shared" si="3"/>
        <v>3.6429999999999998</v>
      </c>
      <c r="G25" s="790"/>
      <c r="H25" s="814">
        <v>0.79</v>
      </c>
      <c r="I25" s="1243"/>
      <c r="J25" s="1254">
        <v>0.79</v>
      </c>
      <c r="K25" s="807">
        <v>4.1000000000000002E-2</v>
      </c>
      <c r="L25" s="807">
        <v>0.12</v>
      </c>
      <c r="M25" s="1243"/>
      <c r="N25" s="1254">
        <v>2.4700000000000002</v>
      </c>
      <c r="O25" s="1264">
        <v>0</v>
      </c>
    </row>
    <row r="26" spans="2:15" x14ac:dyDescent="0.2">
      <c r="B26" s="793" t="s">
        <v>148</v>
      </c>
      <c r="C26" s="788">
        <f t="shared" ref="C26:F26" si="4">C21</f>
        <v>3.9590000000000001</v>
      </c>
      <c r="D26" s="796">
        <f t="shared" si="4"/>
        <v>4.4580000000000002</v>
      </c>
      <c r="E26" s="796">
        <f t="shared" si="4"/>
        <v>3.9350000000000001</v>
      </c>
      <c r="F26" s="796">
        <f t="shared" si="4"/>
        <v>3.6070000000000002</v>
      </c>
      <c r="G26" s="788"/>
      <c r="H26" s="815">
        <v>0.78</v>
      </c>
      <c r="I26" s="1243"/>
      <c r="J26" s="1254">
        <v>0.78</v>
      </c>
      <c r="K26" s="807">
        <v>4.1000000000000002E-2</v>
      </c>
      <c r="L26" s="807">
        <v>0.11899999999999999</v>
      </c>
      <c r="M26" s="1243"/>
      <c r="N26" s="1254">
        <v>2.4500000000000002</v>
      </c>
      <c r="O26" s="1264">
        <v>0</v>
      </c>
    </row>
    <row r="27" spans="2:15" x14ac:dyDescent="0.2">
      <c r="B27" s="793" t="s">
        <v>216</v>
      </c>
      <c r="C27" s="788">
        <f t="shared" ref="C27:F27" si="5">C22</f>
        <v>3.919</v>
      </c>
      <c r="D27" s="796">
        <f t="shared" si="5"/>
        <v>4.4130000000000003</v>
      </c>
      <c r="E27" s="796">
        <f t="shared" si="5"/>
        <v>3.895</v>
      </c>
      <c r="F27" s="796">
        <f t="shared" si="5"/>
        <v>3.57</v>
      </c>
      <c r="G27" s="788"/>
      <c r="H27" s="815">
        <v>0.77</v>
      </c>
      <c r="I27" s="1243"/>
      <c r="J27" s="1254">
        <v>0.77</v>
      </c>
      <c r="K27" s="807">
        <v>0.04</v>
      </c>
      <c r="L27" s="807">
        <v>0.11799999999999999</v>
      </c>
      <c r="M27" s="1243"/>
      <c r="N27" s="1254">
        <v>2.42</v>
      </c>
      <c r="O27" s="1264">
        <v>0</v>
      </c>
    </row>
    <row r="28" spans="2:15" x14ac:dyDescent="0.2">
      <c r="B28" s="787"/>
      <c r="C28" s="800"/>
      <c r="D28" s="810"/>
      <c r="E28" s="810"/>
      <c r="F28" s="810"/>
      <c r="G28" s="800"/>
      <c r="H28" s="816"/>
      <c r="I28" s="1247"/>
      <c r="J28" s="1255"/>
      <c r="K28" s="817"/>
      <c r="L28" s="817"/>
      <c r="M28" s="1247"/>
      <c r="N28" s="1255"/>
      <c r="O28" s="1265"/>
    </row>
    <row r="29" spans="2:15" x14ac:dyDescent="0.2">
      <c r="B29" s="787" t="s">
        <v>307</v>
      </c>
      <c r="C29" s="788"/>
      <c r="D29" s="796"/>
      <c r="E29" s="796"/>
      <c r="F29" s="796"/>
      <c r="G29" s="788"/>
      <c r="H29" s="815"/>
      <c r="I29" s="1243"/>
      <c r="J29" s="1254"/>
      <c r="K29" s="807"/>
      <c r="L29" s="807"/>
      <c r="M29" s="1243"/>
      <c r="N29" s="1254"/>
      <c r="O29" s="1264"/>
    </row>
    <row r="30" spans="2:15" x14ac:dyDescent="0.2">
      <c r="B30" s="787" t="s">
        <v>149</v>
      </c>
      <c r="C30" s="788">
        <f>C25</f>
        <v>3.9990000000000001</v>
      </c>
      <c r="D30" s="796">
        <f t="shared" ref="D30:F30" si="6">D25</f>
        <v>4.5030000000000001</v>
      </c>
      <c r="E30" s="796">
        <f t="shared" si="6"/>
        <v>3.9750000000000001</v>
      </c>
      <c r="F30" s="796">
        <f t="shared" si="6"/>
        <v>3.6429999999999998</v>
      </c>
      <c r="G30" s="790"/>
      <c r="H30" s="814">
        <v>0.76</v>
      </c>
      <c r="I30" s="1243"/>
      <c r="J30" s="1254">
        <v>0.85</v>
      </c>
      <c r="K30" s="807">
        <v>4.1000000000000002E-2</v>
      </c>
      <c r="L30" s="807">
        <v>0.14299999999999999</v>
      </c>
      <c r="M30" s="1243"/>
      <c r="N30" s="1254">
        <v>1.71</v>
      </c>
      <c r="O30" s="1264">
        <v>0</v>
      </c>
    </row>
    <row r="31" spans="2:15" x14ac:dyDescent="0.2">
      <c r="B31" s="787" t="s">
        <v>148</v>
      </c>
      <c r="C31" s="788">
        <f t="shared" ref="C31:F31" si="7">C26</f>
        <v>3.9590000000000001</v>
      </c>
      <c r="D31" s="796">
        <f t="shared" si="7"/>
        <v>4.4580000000000002</v>
      </c>
      <c r="E31" s="796">
        <f t="shared" si="7"/>
        <v>3.9350000000000001</v>
      </c>
      <c r="F31" s="796">
        <f t="shared" si="7"/>
        <v>3.6070000000000002</v>
      </c>
      <c r="G31" s="788"/>
      <c r="H31" s="815">
        <v>0.75</v>
      </c>
      <c r="I31" s="1243"/>
      <c r="J31" s="1254">
        <v>0.84</v>
      </c>
      <c r="K31" s="807">
        <v>4.1000000000000002E-2</v>
      </c>
      <c r="L31" s="807">
        <v>0.14199999999999999</v>
      </c>
      <c r="M31" s="1243"/>
      <c r="N31" s="1254">
        <v>1.4</v>
      </c>
      <c r="O31" s="1264">
        <v>0</v>
      </c>
    </row>
    <row r="32" spans="2:15" x14ac:dyDescent="0.2">
      <c r="B32" s="787" t="s">
        <v>216</v>
      </c>
      <c r="C32" s="788">
        <f t="shared" ref="C32:F32" si="8">C27</f>
        <v>3.919</v>
      </c>
      <c r="D32" s="796">
        <f t="shared" si="8"/>
        <v>4.4130000000000003</v>
      </c>
      <c r="E32" s="796">
        <f t="shared" si="8"/>
        <v>3.895</v>
      </c>
      <c r="F32" s="796">
        <f t="shared" si="8"/>
        <v>3.57</v>
      </c>
      <c r="G32" s="788"/>
      <c r="H32" s="815">
        <v>0.74</v>
      </c>
      <c r="I32" s="1243"/>
      <c r="J32" s="1254">
        <v>0.83</v>
      </c>
      <c r="K32" s="807">
        <v>0.04</v>
      </c>
      <c r="L32" s="807">
        <v>0.14000000000000001</v>
      </c>
      <c r="M32" s="1243"/>
      <c r="N32" s="1254">
        <v>0.28999999999999998</v>
      </c>
      <c r="O32" s="1264">
        <v>0</v>
      </c>
    </row>
    <row r="33" spans="2:15" x14ac:dyDescent="0.2">
      <c r="B33" s="787"/>
      <c r="C33" s="800"/>
      <c r="D33" s="810"/>
      <c r="E33" s="810"/>
      <c r="F33" s="810"/>
      <c r="G33" s="800"/>
      <c r="H33" s="819"/>
      <c r="I33" s="1247"/>
      <c r="J33" s="1253"/>
      <c r="K33" s="817"/>
      <c r="L33" s="817"/>
      <c r="M33" s="1247"/>
      <c r="N33" s="1253"/>
      <c r="O33" s="1265"/>
    </row>
    <row r="34" spans="2:15" x14ac:dyDescent="0.2">
      <c r="B34" s="787" t="s">
        <v>1055</v>
      </c>
      <c r="C34" s="1243">
        <v>3.9180000000000001</v>
      </c>
      <c r="D34" s="820" t="s">
        <v>1054</v>
      </c>
      <c r="E34" s="796" t="s">
        <v>1054</v>
      </c>
      <c r="F34" s="796" t="s">
        <v>1054</v>
      </c>
      <c r="G34" s="790">
        <v>0.11700000000000001</v>
      </c>
      <c r="H34" s="821"/>
      <c r="I34" s="1243">
        <v>0.108</v>
      </c>
      <c r="J34" s="1252"/>
      <c r="K34" s="807">
        <v>3.6999999999999998E-2</v>
      </c>
      <c r="L34" s="807">
        <v>5.6000000000000001E-2</v>
      </c>
      <c r="M34" s="1243">
        <v>0.63800000000000001</v>
      </c>
      <c r="N34" s="1252"/>
      <c r="O34" s="1264">
        <v>0</v>
      </c>
    </row>
    <row r="35" spans="2:15" x14ac:dyDescent="0.2">
      <c r="B35" s="787"/>
      <c r="C35" s="822"/>
      <c r="D35" s="823"/>
      <c r="E35" s="823"/>
      <c r="F35" s="823"/>
      <c r="G35" s="822"/>
      <c r="H35" s="824"/>
      <c r="I35" s="1256"/>
      <c r="J35" s="1257"/>
      <c r="K35" s="787"/>
      <c r="L35" s="787"/>
      <c r="M35" s="1256"/>
      <c r="N35" s="1257"/>
      <c r="O35" s="1266"/>
    </row>
    <row r="36" spans="2:15" x14ac:dyDescent="0.2">
      <c r="B36" s="826" t="s">
        <v>1056</v>
      </c>
      <c r="C36" s="827"/>
      <c r="D36" s="828"/>
      <c r="E36" s="828"/>
      <c r="F36" s="828"/>
      <c r="G36" s="827"/>
      <c r="H36" s="829"/>
      <c r="I36" s="1258"/>
      <c r="J36" s="1259"/>
      <c r="K36" s="826"/>
      <c r="L36" s="826"/>
      <c r="M36" s="1258"/>
      <c r="N36" s="1259"/>
      <c r="O36" s="1267"/>
    </row>
    <row r="37" spans="2:15" x14ac:dyDescent="0.2">
      <c r="B37" s="826" t="s">
        <v>362</v>
      </c>
      <c r="C37" s="827"/>
      <c r="D37" s="828"/>
      <c r="E37" s="828"/>
      <c r="F37" s="828"/>
      <c r="G37" s="827"/>
      <c r="H37" s="829"/>
      <c r="I37" s="1258"/>
      <c r="J37" s="1259"/>
      <c r="K37" s="826"/>
      <c r="L37" s="826"/>
      <c r="M37" s="1258"/>
      <c r="N37" s="1259"/>
      <c r="O37" s="1267"/>
    </row>
    <row r="38" spans="2:15" x14ac:dyDescent="0.2">
      <c r="B38" s="826" t="s">
        <v>363</v>
      </c>
      <c r="C38" s="831" t="s">
        <v>1054</v>
      </c>
      <c r="D38" s="832" t="s">
        <v>1054</v>
      </c>
      <c r="E38" s="832" t="s">
        <v>1054</v>
      </c>
      <c r="F38" s="832" t="s">
        <v>1054</v>
      </c>
      <c r="G38" s="831" t="s">
        <v>1054</v>
      </c>
      <c r="H38" s="833">
        <v>0.09</v>
      </c>
      <c r="I38" s="1260" t="s">
        <v>1054</v>
      </c>
      <c r="J38" s="1261">
        <v>0.105</v>
      </c>
      <c r="K38" s="835" t="s">
        <v>1054</v>
      </c>
      <c r="L38" s="835" t="s">
        <v>1054</v>
      </c>
      <c r="M38" s="1260" t="s">
        <v>1054</v>
      </c>
      <c r="N38" s="1261">
        <v>0.19900000000000001</v>
      </c>
      <c r="O38" s="1268" t="s">
        <v>1054</v>
      </c>
    </row>
    <row r="39" spans="2:15" x14ac:dyDescent="0.2">
      <c r="B39" s="826" t="s">
        <v>364</v>
      </c>
      <c r="C39" s="831" t="s">
        <v>1054</v>
      </c>
      <c r="D39" s="832" t="s">
        <v>1054</v>
      </c>
      <c r="E39" s="832" t="s">
        <v>1054</v>
      </c>
      <c r="F39" s="832" t="s">
        <v>1054</v>
      </c>
      <c r="G39" s="831" t="s">
        <v>1054</v>
      </c>
      <c r="H39" s="834">
        <v>8.8999999999999996E-2</v>
      </c>
      <c r="I39" s="1260" t="s">
        <v>1054</v>
      </c>
      <c r="J39" s="1261">
        <v>0.104</v>
      </c>
      <c r="K39" s="835" t="s">
        <v>1054</v>
      </c>
      <c r="L39" s="835" t="s">
        <v>1054</v>
      </c>
      <c r="M39" s="1260" t="s">
        <v>1054</v>
      </c>
      <c r="N39" s="1261">
        <v>0.19700000000000001</v>
      </c>
      <c r="O39" s="1268" t="s">
        <v>1054</v>
      </c>
    </row>
    <row r="40" spans="2:15" x14ac:dyDescent="0.2">
      <c r="B40" s="826" t="s">
        <v>365</v>
      </c>
      <c r="C40" s="831" t="s">
        <v>1054</v>
      </c>
      <c r="D40" s="832" t="s">
        <v>1054</v>
      </c>
      <c r="E40" s="832" t="s">
        <v>1054</v>
      </c>
      <c r="F40" s="832" t="s">
        <v>1054</v>
      </c>
      <c r="G40" s="831" t="s">
        <v>1054</v>
      </c>
      <c r="H40" s="834">
        <v>8.7999999999999995E-2</v>
      </c>
      <c r="I40" s="1260" t="s">
        <v>1054</v>
      </c>
      <c r="J40" s="1261">
        <v>0.10299999999999999</v>
      </c>
      <c r="K40" s="835" t="s">
        <v>1054</v>
      </c>
      <c r="L40" s="835" t="s">
        <v>1054</v>
      </c>
      <c r="M40" s="1260" t="s">
        <v>1054</v>
      </c>
      <c r="N40" s="1261">
        <v>0.19500000000000001</v>
      </c>
      <c r="O40" s="1268" t="s">
        <v>1054</v>
      </c>
    </row>
    <row r="41" spans="2:15" x14ac:dyDescent="0.2">
      <c r="B41" s="826" t="s">
        <v>366</v>
      </c>
      <c r="C41" s="827"/>
      <c r="D41" s="828"/>
      <c r="E41" s="828"/>
      <c r="F41" s="828"/>
      <c r="G41" s="827"/>
      <c r="H41" s="836"/>
      <c r="I41" s="1258"/>
      <c r="J41" s="1259"/>
      <c r="K41" s="826"/>
      <c r="L41" s="826"/>
      <c r="M41" s="1258"/>
      <c r="N41" s="1259"/>
      <c r="O41" s="1267"/>
    </row>
    <row r="42" spans="2:15" x14ac:dyDescent="0.2">
      <c r="B42" s="826" t="s">
        <v>363</v>
      </c>
      <c r="C42" s="831" t="s">
        <v>1054</v>
      </c>
      <c r="D42" s="832" t="s">
        <v>1054</v>
      </c>
      <c r="E42" s="832" t="s">
        <v>1054</v>
      </c>
      <c r="F42" s="832" t="s">
        <v>1054</v>
      </c>
      <c r="G42" s="831" t="s">
        <v>1054</v>
      </c>
      <c r="H42" s="834">
        <v>4.2999999999999997E-2</v>
      </c>
      <c r="I42" s="1260" t="s">
        <v>1054</v>
      </c>
      <c r="J42" s="1261">
        <v>0.05</v>
      </c>
      <c r="K42" s="835" t="s">
        <v>1054</v>
      </c>
      <c r="L42" s="835" t="s">
        <v>1054</v>
      </c>
      <c r="M42" s="1260" t="s">
        <v>1054</v>
      </c>
      <c r="N42" s="1261">
        <v>9.5000000000000001E-2</v>
      </c>
      <c r="O42" s="1268" t="s">
        <v>1054</v>
      </c>
    </row>
    <row r="43" spans="2:15" x14ac:dyDescent="0.2">
      <c r="B43" s="826" t="s">
        <v>364</v>
      </c>
      <c r="C43" s="831" t="s">
        <v>1054</v>
      </c>
      <c r="D43" s="832" t="s">
        <v>1054</v>
      </c>
      <c r="E43" s="832" t="s">
        <v>1054</v>
      </c>
      <c r="F43" s="832" t="s">
        <v>1054</v>
      </c>
      <c r="G43" s="831" t="s">
        <v>1054</v>
      </c>
      <c r="H43" s="834">
        <v>4.2999999999999997E-2</v>
      </c>
      <c r="I43" s="1260" t="s">
        <v>1054</v>
      </c>
      <c r="J43" s="1261">
        <v>0.05</v>
      </c>
      <c r="K43" s="835" t="s">
        <v>1054</v>
      </c>
      <c r="L43" s="835" t="s">
        <v>1054</v>
      </c>
      <c r="M43" s="1260" t="s">
        <v>1054</v>
      </c>
      <c r="N43" s="1261">
        <v>9.4E-2</v>
      </c>
      <c r="O43" s="1268" t="s">
        <v>1054</v>
      </c>
    </row>
    <row r="44" spans="2:15" x14ac:dyDescent="0.2">
      <c r="B44" s="826" t="s">
        <v>365</v>
      </c>
      <c r="C44" s="831" t="s">
        <v>1054</v>
      </c>
      <c r="D44" s="832" t="s">
        <v>1054</v>
      </c>
      <c r="E44" s="832" t="s">
        <v>1054</v>
      </c>
      <c r="F44" s="832" t="s">
        <v>1054</v>
      </c>
      <c r="G44" s="831" t="s">
        <v>1054</v>
      </c>
      <c r="H44" s="834">
        <v>4.2000000000000003E-2</v>
      </c>
      <c r="I44" s="1260" t="s">
        <v>1054</v>
      </c>
      <c r="J44" s="1261">
        <v>4.9000000000000002E-2</v>
      </c>
      <c r="K44" s="835" t="s">
        <v>1054</v>
      </c>
      <c r="L44" s="835" t="s">
        <v>1054</v>
      </c>
      <c r="M44" s="1260" t="s">
        <v>1054</v>
      </c>
      <c r="N44" s="1261">
        <v>9.2999999999999999E-2</v>
      </c>
      <c r="O44" s="1268" t="s">
        <v>1054</v>
      </c>
    </row>
    <row r="45" spans="2:15" x14ac:dyDescent="0.2">
      <c r="B45" s="826"/>
      <c r="C45" s="827"/>
      <c r="D45" s="828"/>
      <c r="E45" s="828"/>
      <c r="F45" s="828"/>
      <c r="G45" s="827"/>
      <c r="H45" s="830"/>
      <c r="I45" s="827"/>
      <c r="J45" s="830"/>
      <c r="K45" s="826"/>
      <c r="L45" s="826"/>
      <c r="M45" s="827"/>
      <c r="N45" s="830"/>
      <c r="O45" s="826"/>
    </row>
    <row r="46" spans="2:15" ht="10.199999999999999" customHeight="1" x14ac:dyDescent="0.2">
      <c r="B46" s="838" t="s">
        <v>1057</v>
      </c>
      <c r="C46" s="839" t="s">
        <v>1058</v>
      </c>
      <c r="D46" s="840"/>
      <c r="E46" s="840"/>
      <c r="F46" s="840"/>
      <c r="G46" s="839"/>
      <c r="H46" s="841"/>
      <c r="I46" s="839"/>
      <c r="J46" s="841"/>
      <c r="K46" s="842"/>
      <c r="L46" s="842"/>
      <c r="M46" s="839"/>
      <c r="N46" s="841"/>
      <c r="O46" s="842"/>
    </row>
    <row r="47" spans="2:15" x14ac:dyDescent="0.2">
      <c r="B47" s="823"/>
      <c r="C47" s="843"/>
      <c r="D47" s="843"/>
      <c r="E47" s="843"/>
      <c r="F47" s="843"/>
      <c r="G47" s="843"/>
      <c r="H47" s="843"/>
      <c r="I47" s="843"/>
      <c r="J47" s="843"/>
      <c r="K47" s="843"/>
      <c r="L47" s="843"/>
      <c r="M47" s="843"/>
      <c r="N47" s="843"/>
      <c r="O47" s="843"/>
    </row>
    <row r="48" spans="2:15" x14ac:dyDescent="0.2">
      <c r="B48" s="828"/>
      <c r="C48" s="844"/>
      <c r="D48" s="844"/>
      <c r="E48" s="844"/>
      <c r="F48" s="844"/>
      <c r="G48" s="844"/>
      <c r="H48" s="844"/>
      <c r="I48" s="844"/>
      <c r="J48" s="844"/>
      <c r="K48" s="844"/>
      <c r="L48" s="844"/>
      <c r="M48" s="844"/>
      <c r="N48" s="844"/>
      <c r="O48" s="844"/>
    </row>
    <row r="303" spans="10:14" x14ac:dyDescent="0.2">
      <c r="J303" s="777" t="s">
        <v>375</v>
      </c>
      <c r="N303" s="777" t="s">
        <v>375</v>
      </c>
    </row>
  </sheetData>
  <mergeCells count="4">
    <mergeCell ref="G6:H6"/>
    <mergeCell ref="I6:J6"/>
    <mergeCell ref="M6:N6"/>
    <mergeCell ref="C6:F6"/>
  </mergeCells>
  <printOptions horizontalCentered="1"/>
  <pageMargins left="0" right="0.5" top="1" bottom="0.25" header="0.5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7B286-2651-4D6B-BA4D-F8CEB58CE0E9}">
  <sheetPr>
    <tabColor rgb="FFFFFF00"/>
  </sheetPr>
  <dimension ref="A1:K23"/>
  <sheetViews>
    <sheetView workbookViewId="0"/>
  </sheetViews>
  <sheetFormatPr defaultRowHeight="14.4" x14ac:dyDescent="0.3"/>
  <cols>
    <col min="2" max="2" width="8.88671875" bestFit="1" customWidth="1"/>
    <col min="3" max="5" width="11.88671875" customWidth="1"/>
    <col min="8" max="8" width="12.5546875" customWidth="1"/>
  </cols>
  <sheetData>
    <row r="1" spans="1:8" x14ac:dyDescent="0.3">
      <c r="A1" t="s">
        <v>1061</v>
      </c>
    </row>
    <row r="4" spans="1:8" ht="15" thickBot="1" x14ac:dyDescent="0.35">
      <c r="C4" s="1399" t="s">
        <v>1062</v>
      </c>
      <c r="D4" s="1399"/>
      <c r="E4" s="1399"/>
    </row>
    <row r="5" spans="1:8" x14ac:dyDescent="0.3">
      <c r="C5" s="931" t="s">
        <v>346</v>
      </c>
      <c r="D5" s="931" t="s">
        <v>1063</v>
      </c>
      <c r="E5" s="931" t="s">
        <v>1064</v>
      </c>
    </row>
    <row r="6" spans="1:8" x14ac:dyDescent="0.3">
      <c r="B6" t="s">
        <v>559</v>
      </c>
      <c r="C6" s="1140">
        <v>0.15589505114081836</v>
      </c>
      <c r="D6" s="1140">
        <v>0.14599522646719373</v>
      </c>
      <c r="E6" s="1140">
        <v>0.12920487399005404</v>
      </c>
    </row>
    <row r="7" spans="1:8" x14ac:dyDescent="0.3">
      <c r="B7" t="s">
        <v>560</v>
      </c>
      <c r="C7" s="1140">
        <v>0.68049432733793513</v>
      </c>
      <c r="D7" s="1140">
        <v>0.6897817293962657</v>
      </c>
      <c r="E7" s="1140">
        <v>0.6651198528819805</v>
      </c>
      <c r="H7" s="1135"/>
    </row>
    <row r="8" spans="1:8" x14ac:dyDescent="0.3">
      <c r="B8" t="s">
        <v>561</v>
      </c>
      <c r="C8" s="1140">
        <v>0.16361062152124636</v>
      </c>
      <c r="D8" s="1140">
        <v>0.16422304413654065</v>
      </c>
      <c r="E8" s="1140">
        <v>0.20567527312796552</v>
      </c>
      <c r="H8" s="1135"/>
    </row>
    <row r="11" spans="1:8" ht="15" thickBot="1" x14ac:dyDescent="0.35">
      <c r="C11" s="1399" t="s">
        <v>1065</v>
      </c>
      <c r="D11" s="1399"/>
      <c r="E11" s="1399"/>
    </row>
    <row r="12" spans="1:8" x14ac:dyDescent="0.3">
      <c r="C12" s="931" t="s">
        <v>346</v>
      </c>
      <c r="D12" s="931" t="s">
        <v>1063</v>
      </c>
      <c r="E12" s="931" t="s">
        <v>1064</v>
      </c>
    </row>
    <row r="13" spans="1:8" x14ac:dyDescent="0.3">
      <c r="B13" t="s">
        <v>559</v>
      </c>
      <c r="C13" s="932">
        <v>0.10027182120205376</v>
      </c>
      <c r="D13" s="932">
        <v>0.12577820273397122</v>
      </c>
      <c r="E13" s="932">
        <v>0.12624819013155922</v>
      </c>
    </row>
    <row r="14" spans="1:8" x14ac:dyDescent="0.3">
      <c r="B14" t="s">
        <v>560</v>
      </c>
      <c r="C14" s="932">
        <v>0.6864995469646632</v>
      </c>
      <c r="D14" s="932">
        <v>0.71301566766843683</v>
      </c>
      <c r="E14" s="932">
        <v>0.68847700964588765</v>
      </c>
    </row>
    <row r="15" spans="1:8" x14ac:dyDescent="0.3">
      <c r="B15" t="s">
        <v>561</v>
      </c>
      <c r="C15" s="932">
        <v>0.213228631833283</v>
      </c>
      <c r="D15" s="932">
        <v>0.16120612959759198</v>
      </c>
      <c r="E15" s="932">
        <v>0.18527480022255316</v>
      </c>
    </row>
    <row r="18" spans="2:11" ht="15" thickBot="1" x14ac:dyDescent="0.35">
      <c r="C18" s="1399" t="s">
        <v>1066</v>
      </c>
      <c r="D18" s="1399"/>
      <c r="E18" s="1399"/>
    </row>
    <row r="19" spans="2:11" x14ac:dyDescent="0.3">
      <c r="C19" s="931" t="s">
        <v>346</v>
      </c>
      <c r="D19" s="931" t="s">
        <v>1063</v>
      </c>
      <c r="E19" s="931" t="s">
        <v>1064</v>
      </c>
      <c r="H19" s="1141"/>
      <c r="I19" s="1400" t="s">
        <v>1067</v>
      </c>
      <c r="J19" s="1400"/>
      <c r="K19" s="1400"/>
    </row>
    <row r="20" spans="2:11" x14ac:dyDescent="0.3">
      <c r="B20" t="s">
        <v>559</v>
      </c>
      <c r="C20" s="1138">
        <v>0</v>
      </c>
      <c r="D20" s="1138">
        <v>0</v>
      </c>
      <c r="E20" s="1138">
        <v>0</v>
      </c>
      <c r="H20" s="1143" t="s">
        <v>1068</v>
      </c>
      <c r="I20" s="1144" t="s">
        <v>346</v>
      </c>
      <c r="J20" s="1144" t="s">
        <v>1063</v>
      </c>
      <c r="K20" s="1144" t="s">
        <v>1064</v>
      </c>
    </row>
    <row r="21" spans="2:11" x14ac:dyDescent="0.3">
      <c r="B21" t="s">
        <v>560</v>
      </c>
      <c r="C21" s="1138">
        <v>-6.0052196267280644E-3</v>
      </c>
      <c r="D21" s="1138">
        <v>-2.3233938272171129E-2</v>
      </c>
      <c r="E21" s="1138">
        <v>-2.335715676390715E-2</v>
      </c>
      <c r="H21" s="1137">
        <f>-H22</f>
        <v>-3.0821917808219176E-2</v>
      </c>
      <c r="I21" s="1137">
        <f>-I22</f>
        <v>-6.0052196267280644E-3</v>
      </c>
      <c r="J21" s="1137">
        <f t="shared" ref="J21:K21" si="0">-J22</f>
        <v>-2.3233938272171129E-2</v>
      </c>
      <c r="K21" s="1137">
        <f t="shared" si="0"/>
        <v>-2.335715676390715E-2</v>
      </c>
    </row>
    <row r="22" spans="2:11" x14ac:dyDescent="0.3">
      <c r="B22" t="s">
        <v>561</v>
      </c>
      <c r="C22" s="1139">
        <v>6.0052196267280644E-3</v>
      </c>
      <c r="D22" s="1139">
        <v>2.3233938272171129E-2</v>
      </c>
      <c r="E22" s="1139">
        <v>2.335715676390715E-2</v>
      </c>
      <c r="H22" s="932">
        <f>270/8760</f>
        <v>3.0821917808219176E-2</v>
      </c>
      <c r="I22" s="1137">
        <f>C14-C7</f>
        <v>6.0052196267280644E-3</v>
      </c>
      <c r="J22" s="1137">
        <f>D14-D7</f>
        <v>2.3233938272171129E-2</v>
      </c>
      <c r="K22" s="1137">
        <f>E14-E7</f>
        <v>2.335715676390715E-2</v>
      </c>
    </row>
    <row r="23" spans="2:11" x14ac:dyDescent="0.3">
      <c r="C23" s="1137">
        <f>SUM(C20:C22)</f>
        <v>0</v>
      </c>
      <c r="D23" s="1137">
        <f t="shared" ref="D23:E23" si="1">SUM(D20:D22)</f>
        <v>0</v>
      </c>
      <c r="E23" s="1137">
        <f t="shared" si="1"/>
        <v>0</v>
      </c>
    </row>
  </sheetData>
  <mergeCells count="4">
    <mergeCell ref="C4:E4"/>
    <mergeCell ref="C11:E11"/>
    <mergeCell ref="C18:E18"/>
    <mergeCell ref="I19:K19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BFCD8-465A-4B65-930C-3DEB0EB58DC1}">
  <sheetPr>
    <tabColor rgb="FFFFFF00"/>
    <pageSetUpPr fitToPage="1"/>
  </sheetPr>
  <dimension ref="A1:AA47"/>
  <sheetViews>
    <sheetView workbookViewId="0">
      <selection activeCell="H29" sqref="H29"/>
    </sheetView>
  </sheetViews>
  <sheetFormatPr defaultColWidth="11.109375" defaultRowHeight="14.4" x14ac:dyDescent="0.3"/>
  <cols>
    <col min="1" max="1" width="43.6640625" style="685" bestFit="1" customWidth="1"/>
    <col min="2" max="2" width="16.109375" style="685" bestFit="1" customWidth="1"/>
    <col min="3" max="3" width="24.5546875" style="685" customWidth="1"/>
    <col min="4" max="4" width="13" style="685" bestFit="1" customWidth="1"/>
    <col min="5" max="5" width="15.5546875" style="685" bestFit="1" customWidth="1"/>
    <col min="6" max="6" width="9" style="685" bestFit="1" customWidth="1"/>
    <col min="7" max="7" width="10.44140625" style="685" bestFit="1" customWidth="1"/>
    <col min="8" max="8" width="27.6640625" style="685" bestFit="1" customWidth="1"/>
    <col min="9" max="25" width="0.109375" style="685" customWidth="1"/>
    <col min="26" max="26" width="7.109375" style="685" bestFit="1" customWidth="1"/>
    <col min="27" max="16384" width="11.109375" style="685"/>
  </cols>
  <sheetData>
    <row r="1" spans="1:27" x14ac:dyDescent="0.3">
      <c r="A1" s="1023"/>
      <c r="B1" s="1023"/>
      <c r="C1" s="1023"/>
      <c r="D1" s="1023"/>
      <c r="E1" s="1023"/>
      <c r="F1" s="1023"/>
      <c r="G1" s="1023"/>
      <c r="H1" s="1023"/>
    </row>
    <row r="2" spans="1:27" x14ac:dyDescent="0.3">
      <c r="A2" s="1024"/>
      <c r="B2" s="1025"/>
      <c r="C2" s="1025"/>
      <c r="D2" s="1025"/>
      <c r="E2" s="1025"/>
      <c r="F2" s="1025"/>
      <c r="G2" s="1025"/>
      <c r="H2" s="1025"/>
    </row>
    <row r="3" spans="1:27" x14ac:dyDescent="0.3">
      <c r="A3" s="1026" t="s">
        <v>1069</v>
      </c>
      <c r="H3" s="685" t="s">
        <v>1070</v>
      </c>
    </row>
    <row r="4" spans="1:27" x14ac:dyDescent="0.3">
      <c r="A4" s="1026" t="s">
        <v>1071</v>
      </c>
    </row>
    <row r="5" spans="1:27" x14ac:dyDescent="0.3">
      <c r="A5" s="1233" t="s">
        <v>1072</v>
      </c>
    </row>
    <row r="6" spans="1:27" x14ac:dyDescent="0.3">
      <c r="A6" s="1027">
        <v>2025</v>
      </c>
    </row>
    <row r="7" spans="1:27" x14ac:dyDescent="0.3">
      <c r="B7" s="1028">
        <v>-1</v>
      </c>
      <c r="C7" s="1029"/>
      <c r="D7" s="1028">
        <f>+B7-1</f>
        <v>-2</v>
      </c>
      <c r="E7" s="1029"/>
      <c r="F7" s="1030">
        <f>+D7-1</f>
        <v>-3</v>
      </c>
      <c r="G7" s="1031">
        <f>+F7-1</f>
        <v>-4</v>
      </c>
    </row>
    <row r="8" spans="1:27" x14ac:dyDescent="0.3">
      <c r="B8" s="1032"/>
      <c r="C8" s="1033"/>
      <c r="D8" s="1034" t="s">
        <v>1073</v>
      </c>
      <c r="E8" s="1033"/>
      <c r="F8" s="1035"/>
      <c r="G8" s="1036"/>
    </row>
    <row r="9" spans="1:27" x14ac:dyDescent="0.3">
      <c r="B9" s="1037" t="s">
        <v>1074</v>
      </c>
      <c r="C9" s="1038"/>
      <c r="D9" s="1037" t="s">
        <v>1075</v>
      </c>
      <c r="E9" s="1038"/>
      <c r="F9" s="1039" t="s">
        <v>709</v>
      </c>
      <c r="G9" s="1040" t="s">
        <v>1076</v>
      </c>
    </row>
    <row r="10" spans="1:27" x14ac:dyDescent="0.3">
      <c r="B10" s="1037" t="s">
        <v>1077</v>
      </c>
      <c r="C10" s="1038"/>
      <c r="D10" s="1037" t="s">
        <v>149</v>
      </c>
      <c r="E10" s="1038"/>
      <c r="F10" s="1039" t="s">
        <v>761</v>
      </c>
      <c r="G10" s="1040" t="s">
        <v>709</v>
      </c>
    </row>
    <row r="11" spans="1:27" x14ac:dyDescent="0.3">
      <c r="B11" s="1041" t="s">
        <v>1078</v>
      </c>
      <c r="C11" s="1042" t="str">
        <f>$B$11&amp;" Ref."</f>
        <v>E-6b (p.4) Ref.</v>
      </c>
      <c r="D11" s="1041" t="str">
        <f>+B11</f>
        <v>E-6b (p.4)</v>
      </c>
      <c r="E11" s="1042" t="str">
        <f>$B$11&amp;" Ref."</f>
        <v>E-6b (p.4) Ref.</v>
      </c>
      <c r="F11" s="1043" t="s">
        <v>1079</v>
      </c>
      <c r="G11" s="1044" t="s">
        <v>761</v>
      </c>
    </row>
    <row r="12" spans="1:27" x14ac:dyDescent="0.3">
      <c r="A12" s="685" t="s">
        <v>1080</v>
      </c>
      <c r="B12" s="1045"/>
      <c r="C12" s="1046"/>
      <c r="D12" s="1045"/>
      <c r="E12" s="1046"/>
      <c r="F12" s="1047"/>
      <c r="G12" s="1048"/>
    </row>
    <row r="13" spans="1:27" x14ac:dyDescent="0.3">
      <c r="B13" s="1045"/>
      <c r="C13" s="1046"/>
      <c r="D13" s="1045"/>
      <c r="E13" s="1046"/>
      <c r="F13" s="1047"/>
      <c r="G13" s="1048"/>
    </row>
    <row r="14" spans="1:27" x14ac:dyDescent="0.3">
      <c r="A14" s="685" t="s">
        <v>117</v>
      </c>
      <c r="B14" s="1049">
        <v>41863004.452868864</v>
      </c>
      <c r="C14" s="1050" t="s">
        <v>1081</v>
      </c>
      <c r="D14" s="1051">
        <v>32279185.281463262</v>
      </c>
      <c r="E14" s="1050" t="s">
        <v>1082</v>
      </c>
      <c r="F14" s="1052">
        <f>+B14/D14</f>
        <v>1.2969039982836628</v>
      </c>
      <c r="G14" s="1053">
        <f>+F14</f>
        <v>1.2969039982836628</v>
      </c>
      <c r="H14" s="685" t="s">
        <v>1083</v>
      </c>
    </row>
    <row r="15" spans="1:27" x14ac:dyDescent="0.3">
      <c r="A15" s="685" t="s">
        <v>116</v>
      </c>
      <c r="B15" s="1049">
        <v>200838214.79378265</v>
      </c>
      <c r="C15" s="1050" t="s">
        <v>1084</v>
      </c>
      <c r="D15" s="1051">
        <v>41150725.281788424</v>
      </c>
      <c r="E15" s="1050" t="s">
        <v>1085</v>
      </c>
      <c r="F15" s="1052">
        <f>+B15/D15</f>
        <v>4.8805510332685476</v>
      </c>
      <c r="G15" s="1053">
        <f>+G14+F15</f>
        <v>6.1774550315522099</v>
      </c>
      <c r="H15" s="685" t="s">
        <v>1086</v>
      </c>
    </row>
    <row r="16" spans="1:27" x14ac:dyDescent="0.3">
      <c r="A16" s="685" t="s">
        <v>597</v>
      </c>
      <c r="B16" s="1054">
        <v>108854002.54131678</v>
      </c>
      <c r="C16" s="1055" t="s">
        <v>1087</v>
      </c>
      <c r="D16" s="1056">
        <v>44836932.776185922</v>
      </c>
      <c r="E16" s="1055" t="s">
        <v>1088</v>
      </c>
      <c r="F16" s="1057">
        <f>+B16/D16</f>
        <v>2.4277754030296204</v>
      </c>
      <c r="G16" s="1058">
        <f>+G15+F16</f>
        <v>8.6052304345818307</v>
      </c>
      <c r="H16" s="685" t="s">
        <v>1089</v>
      </c>
      <c r="Z16" s="1208">
        <v>0.65364215958356664</v>
      </c>
      <c r="AA16" s="685" t="s">
        <v>1090</v>
      </c>
    </row>
    <row r="17" spans="1:26" x14ac:dyDescent="0.3">
      <c r="A17" s="1208"/>
      <c r="F17" s="1059"/>
    </row>
    <row r="18" spans="1:26" x14ac:dyDescent="0.3">
      <c r="F18" s="1059"/>
    </row>
    <row r="19" spans="1:26" x14ac:dyDescent="0.3">
      <c r="A19" s="1026"/>
    </row>
    <row r="20" spans="1:26" x14ac:dyDescent="0.3">
      <c r="A20" s="1026"/>
    </row>
    <row r="21" spans="1:26" x14ac:dyDescent="0.3">
      <c r="A21" s="1027">
        <v>2026</v>
      </c>
    </row>
    <row r="22" spans="1:26" x14ac:dyDescent="0.3">
      <c r="B22" s="1028">
        <v>-1</v>
      </c>
      <c r="C22" s="1029"/>
      <c r="D22" s="1028">
        <f>+B22-1</f>
        <v>-2</v>
      </c>
      <c r="E22" s="1029"/>
      <c r="F22" s="1030">
        <f>+D22-1</f>
        <v>-3</v>
      </c>
      <c r="G22" s="1031">
        <f>+F22-1</f>
        <v>-4</v>
      </c>
    </row>
    <row r="23" spans="1:26" x14ac:dyDescent="0.3">
      <c r="B23" s="1032"/>
      <c r="C23" s="1033"/>
      <c r="D23" s="1034" t="s">
        <v>1073</v>
      </c>
      <c r="E23" s="1033"/>
      <c r="F23" s="1035"/>
      <c r="G23" s="1036"/>
    </row>
    <row r="24" spans="1:26" x14ac:dyDescent="0.3">
      <c r="B24" s="1037" t="s">
        <v>1074</v>
      </c>
      <c r="C24" s="1038"/>
      <c r="D24" s="1037" t="s">
        <v>1075</v>
      </c>
      <c r="E24" s="1038"/>
      <c r="F24" s="1039" t="s">
        <v>709</v>
      </c>
      <c r="G24" s="1040" t="s">
        <v>1076</v>
      </c>
    </row>
    <row r="25" spans="1:26" x14ac:dyDescent="0.3">
      <c r="B25" s="1037" t="s">
        <v>1077</v>
      </c>
      <c r="C25" s="1038"/>
      <c r="D25" s="1037" t="s">
        <v>149</v>
      </c>
      <c r="E25" s="1038"/>
      <c r="F25" s="1039" t="s">
        <v>761</v>
      </c>
      <c r="G25" s="1040" t="s">
        <v>709</v>
      </c>
    </row>
    <row r="26" spans="1:26" x14ac:dyDescent="0.3">
      <c r="B26" s="1041" t="s">
        <v>1091</v>
      </c>
      <c r="C26" s="1042" t="str">
        <f>$B$26&amp;" Ref."</f>
        <v>E-6b (p.3) Ref.</v>
      </c>
      <c r="D26" s="1041" t="str">
        <f>+B26</f>
        <v>E-6b (p.3)</v>
      </c>
      <c r="E26" s="1042" t="str">
        <f>$B$26&amp;" Ref."</f>
        <v>E-6b (p.3) Ref.</v>
      </c>
      <c r="F26" s="1043" t="s">
        <v>1079</v>
      </c>
      <c r="G26" s="1044" t="s">
        <v>761</v>
      </c>
    </row>
    <row r="27" spans="1:26" x14ac:dyDescent="0.3">
      <c r="A27" s="685" t="s">
        <v>1080</v>
      </c>
      <c r="B27" s="1045"/>
      <c r="C27" s="1046"/>
      <c r="D27" s="1045"/>
      <c r="E27" s="1046"/>
      <c r="F27" s="1047"/>
      <c r="G27" s="1048"/>
    </row>
    <row r="28" spans="1:26" x14ac:dyDescent="0.3">
      <c r="B28" s="1045"/>
      <c r="C28" s="1046"/>
      <c r="D28" s="1045"/>
      <c r="E28" s="1046"/>
      <c r="F28" s="1047"/>
      <c r="G28" s="1048"/>
    </row>
    <row r="29" spans="1:26" x14ac:dyDescent="0.3">
      <c r="A29" s="685" t="s">
        <v>117</v>
      </c>
      <c r="B29" s="1049">
        <v>43510896.74023252</v>
      </c>
      <c r="C29" s="1050" t="s">
        <v>1081</v>
      </c>
      <c r="D29" s="1051">
        <v>32446480.852329295</v>
      </c>
      <c r="E29" s="1050" t="s">
        <v>1082</v>
      </c>
      <c r="F29" s="1052">
        <f>+B29/D29</f>
        <v>1.3410051135671597</v>
      </c>
      <c r="G29" s="1053">
        <f>+F29</f>
        <v>1.3410051135671597</v>
      </c>
      <c r="H29" s="685" t="s">
        <v>1083</v>
      </c>
    </row>
    <row r="30" spans="1:26" x14ac:dyDescent="0.3">
      <c r="A30" s="685" t="s">
        <v>116</v>
      </c>
      <c r="B30" s="1049">
        <v>212436197.75225869</v>
      </c>
      <c r="C30" s="1050" t="s">
        <v>1084</v>
      </c>
      <c r="D30" s="1051">
        <v>41387054.711511083</v>
      </c>
      <c r="E30" s="1050" t="s">
        <v>1085</v>
      </c>
      <c r="F30" s="1052">
        <f>+B30/D30</f>
        <v>5.1329141257585862</v>
      </c>
      <c r="G30" s="1053">
        <f>+G29+F30</f>
        <v>6.4739192393257454</v>
      </c>
      <c r="H30" s="685" t="s">
        <v>1086</v>
      </c>
    </row>
    <row r="31" spans="1:26" x14ac:dyDescent="0.3">
      <c r="A31" s="685" t="s">
        <v>597</v>
      </c>
      <c r="B31" s="1054">
        <v>115699581.03720413</v>
      </c>
      <c r="C31" s="1055" t="s">
        <v>1087</v>
      </c>
      <c r="D31" s="1056">
        <v>45124841.622339986</v>
      </c>
      <c r="E31" s="1055" t="s">
        <v>1088</v>
      </c>
      <c r="F31" s="1057">
        <f>+B31/D31</f>
        <v>2.5639886341434748</v>
      </c>
      <c r="G31" s="1058">
        <f>+G30+F31</f>
        <v>9.0379078734692193</v>
      </c>
      <c r="H31" s="685" t="s">
        <v>1089</v>
      </c>
      <c r="Z31" s="1208">
        <v>0.65364215958356664</v>
      </c>
    </row>
    <row r="32" spans="1:26" x14ac:dyDescent="0.3">
      <c r="A32" s="1208"/>
      <c r="F32" s="1059"/>
    </row>
    <row r="33" spans="1:26" x14ac:dyDescent="0.3">
      <c r="F33" s="1059"/>
    </row>
    <row r="34" spans="1:26" x14ac:dyDescent="0.3">
      <c r="A34" s="1026"/>
    </row>
    <row r="35" spans="1:26" x14ac:dyDescent="0.3">
      <c r="A35" s="1027">
        <v>2027</v>
      </c>
    </row>
    <row r="36" spans="1:26" x14ac:dyDescent="0.3">
      <c r="B36" s="1028">
        <v>-1</v>
      </c>
      <c r="C36" s="1029"/>
      <c r="D36" s="1028">
        <f>+B36-1</f>
        <v>-2</v>
      </c>
      <c r="E36" s="1029"/>
      <c r="F36" s="1030">
        <f>+D36-1</f>
        <v>-3</v>
      </c>
      <c r="G36" s="1031">
        <f>+F36-1</f>
        <v>-4</v>
      </c>
    </row>
    <row r="37" spans="1:26" x14ac:dyDescent="0.3">
      <c r="B37" s="1032"/>
      <c r="C37" s="1033"/>
      <c r="D37" s="1034" t="s">
        <v>1073</v>
      </c>
      <c r="E37" s="1033"/>
      <c r="F37" s="1035"/>
      <c r="G37" s="1036"/>
    </row>
    <row r="38" spans="1:26" x14ac:dyDescent="0.3">
      <c r="B38" s="1037"/>
      <c r="C38" s="1038"/>
      <c r="D38" s="1037" t="s">
        <v>1075</v>
      </c>
      <c r="E38" s="1038"/>
      <c r="F38" s="1039" t="s">
        <v>709</v>
      </c>
      <c r="G38" s="1040" t="s">
        <v>1076</v>
      </c>
    </row>
    <row r="39" spans="1:26" x14ac:dyDescent="0.3">
      <c r="B39" s="1037" t="s">
        <v>1092</v>
      </c>
      <c r="C39" s="1038"/>
      <c r="D39" s="1037" t="s">
        <v>149</v>
      </c>
      <c r="E39" s="1038"/>
      <c r="F39" s="1039" t="s">
        <v>761</v>
      </c>
      <c r="G39" s="1040" t="s">
        <v>709</v>
      </c>
    </row>
    <row r="40" spans="1:26" x14ac:dyDescent="0.3">
      <c r="B40" s="1041" t="s">
        <v>1093</v>
      </c>
      <c r="C40" s="1042" t="str">
        <f>$B$40&amp;" Ref."</f>
        <v>E-6b (p.2) Ref.</v>
      </c>
      <c r="D40" s="1041" t="str">
        <f>+B40</f>
        <v>E-6b (p.2)</v>
      </c>
      <c r="E40" s="1042" t="str">
        <f>$B$40&amp;" Ref."</f>
        <v>E-6b (p.2) Ref.</v>
      </c>
      <c r="F40" s="1043" t="s">
        <v>1079</v>
      </c>
      <c r="G40" s="1044" t="s">
        <v>761</v>
      </c>
    </row>
    <row r="41" spans="1:26" x14ac:dyDescent="0.3">
      <c r="A41" s="685" t="s">
        <v>1080</v>
      </c>
      <c r="B41" s="1045"/>
      <c r="C41" s="1046"/>
      <c r="D41" s="1045"/>
      <c r="E41" s="1046"/>
      <c r="F41" s="1047"/>
      <c r="G41" s="1048"/>
    </row>
    <row r="42" spans="1:26" x14ac:dyDescent="0.3">
      <c r="B42" s="1045"/>
      <c r="C42" s="1046"/>
      <c r="D42" s="1045"/>
      <c r="E42" s="1046"/>
      <c r="F42" s="1047"/>
      <c r="G42" s="1048"/>
    </row>
    <row r="43" spans="1:26" x14ac:dyDescent="0.3">
      <c r="A43" s="685" t="s">
        <v>1094</v>
      </c>
      <c r="B43" s="1049">
        <v>44538824.726535916</v>
      </c>
      <c r="C43" s="1050" t="s">
        <v>1081</v>
      </c>
      <c r="D43" s="1051">
        <v>32638119.656262673</v>
      </c>
      <c r="E43" s="1050" t="s">
        <v>1082</v>
      </c>
      <c r="F43" s="1052">
        <f>+B43/D43</f>
        <v>1.3646259403301657</v>
      </c>
      <c r="G43" s="1053">
        <f>+F43</f>
        <v>1.3646259403301657</v>
      </c>
      <c r="H43" s="685" t="s">
        <v>1083</v>
      </c>
    </row>
    <row r="44" spans="1:26" x14ac:dyDescent="0.3">
      <c r="A44" s="685" t="s">
        <v>1095</v>
      </c>
      <c r="B44" s="1049">
        <v>219495375.88989109</v>
      </c>
      <c r="C44" s="1050" t="s">
        <v>1084</v>
      </c>
      <c r="D44" s="1051">
        <v>41612889.205350488</v>
      </c>
      <c r="E44" s="1050" t="s">
        <v>1085</v>
      </c>
      <c r="F44" s="1052">
        <f>+B44/D44</f>
        <v>5.2746968567053711</v>
      </c>
      <c r="G44" s="1053">
        <f>+G43+F44</f>
        <v>6.6393227970355371</v>
      </c>
      <c r="H44" s="685" t="s">
        <v>1086</v>
      </c>
    </row>
    <row r="45" spans="1:26" x14ac:dyDescent="0.3">
      <c r="A45" s="685" t="s">
        <v>1096</v>
      </c>
      <c r="B45" s="1054">
        <v>117750258.87955035</v>
      </c>
      <c r="C45" s="1055" t="s">
        <v>1087</v>
      </c>
      <c r="D45" s="1056">
        <v>45362628.502647012</v>
      </c>
      <c r="E45" s="1055" t="s">
        <v>1088</v>
      </c>
      <c r="F45" s="1057">
        <f>+B45/D45</f>
        <v>2.5957547603900282</v>
      </c>
      <c r="G45" s="1058">
        <f>+G44+F45</f>
        <v>9.2350775574255657</v>
      </c>
      <c r="H45" s="685" t="s">
        <v>1089</v>
      </c>
    </row>
    <row r="46" spans="1:26" x14ac:dyDescent="0.3">
      <c r="A46" s="1208"/>
      <c r="F46" s="1059"/>
      <c r="Z46" s="1208">
        <v>0.65364215958356664</v>
      </c>
    </row>
    <row r="47" spans="1:26" x14ac:dyDescent="0.3">
      <c r="B47" s="1060"/>
      <c r="E47" s="1061" t="s">
        <v>1097</v>
      </c>
      <c r="F47" s="1062"/>
      <c r="G47" s="1063"/>
    </row>
  </sheetData>
  <pageMargins left="0.45" right="0.45" top="0.75" bottom="0.75" header="0.3" footer="0.3"/>
  <pageSetup scale="77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7AEF4-55B0-4AA5-9839-6F68CE2EC0F7}">
  <sheetPr>
    <tabColor rgb="FFFFFF00"/>
  </sheetPr>
  <dimension ref="A1:B28"/>
  <sheetViews>
    <sheetView workbookViewId="0"/>
  </sheetViews>
  <sheetFormatPr defaultRowHeight="14.4" x14ac:dyDescent="0.3"/>
  <cols>
    <col min="1" max="1" width="26.109375" bestFit="1" customWidth="1"/>
    <col min="2" max="2" width="10.5546875" bestFit="1" customWidth="1"/>
    <col min="5" max="5" width="27" bestFit="1" customWidth="1"/>
  </cols>
  <sheetData>
    <row r="1" spans="1:2" ht="21" x14ac:dyDescent="0.4">
      <c r="A1" s="1215" t="s">
        <v>1098</v>
      </c>
    </row>
    <row r="3" spans="1:2" x14ac:dyDescent="0.3">
      <c r="A3" s="1401" t="s">
        <v>1099</v>
      </c>
      <c r="B3" s="1401"/>
    </row>
    <row r="5" spans="1:2" x14ac:dyDescent="0.3">
      <c r="A5" t="s">
        <v>1100</v>
      </c>
      <c r="B5" s="1227">
        <v>225</v>
      </c>
    </row>
    <row r="7" spans="1:2" x14ac:dyDescent="0.3">
      <c r="A7" t="s">
        <v>1101</v>
      </c>
      <c r="B7" s="1212">
        <f>'MFR E-14A'!H20</f>
        <v>10.531000000000001</v>
      </c>
    </row>
    <row r="8" spans="1:2" x14ac:dyDescent="0.3">
      <c r="A8" t="s">
        <v>1102</v>
      </c>
      <c r="B8" s="1212">
        <f>'MFR E-14A'!H22</f>
        <v>9.4030000000000005</v>
      </c>
    </row>
    <row r="9" spans="1:2" x14ac:dyDescent="0.3">
      <c r="A9" t="s">
        <v>1103</v>
      </c>
      <c r="B9" s="1212">
        <f>'MFR E-14A'!H24</f>
        <v>8.9890000000000008</v>
      </c>
    </row>
    <row r="10" spans="1:2" x14ac:dyDescent="0.3">
      <c r="A10" t="s">
        <v>1104</v>
      </c>
      <c r="B10" s="1212">
        <f>'MFR E-14A'!H25</f>
        <v>5.4799999999999995</v>
      </c>
    </row>
    <row r="12" spans="1:2" x14ac:dyDescent="0.3">
      <c r="A12" t="s">
        <v>1105</v>
      </c>
      <c r="B12" s="1213">
        <f>$B$5*B7/100</f>
        <v>23.694749999999999</v>
      </c>
    </row>
    <row r="13" spans="1:2" x14ac:dyDescent="0.3">
      <c r="A13" t="s">
        <v>1106</v>
      </c>
      <c r="B13" s="1213">
        <f t="shared" ref="B13" si="0">$B$5*B8/100</f>
        <v>21.156750000000002</v>
      </c>
    </row>
    <row r="14" spans="1:2" x14ac:dyDescent="0.3">
      <c r="A14" t="s">
        <v>1107</v>
      </c>
      <c r="B14" s="1213">
        <f>$B$5*B9/100*0.25</f>
        <v>5.0563125000000007</v>
      </c>
    </row>
    <row r="15" spans="1:2" x14ac:dyDescent="0.3">
      <c r="A15" t="s">
        <v>1108</v>
      </c>
      <c r="B15" s="1213">
        <f>$B$5*B10/100*0.75</f>
        <v>9.2475000000000005</v>
      </c>
    </row>
    <row r="18" spans="1:2" x14ac:dyDescent="0.3">
      <c r="A18" t="s">
        <v>1109</v>
      </c>
      <c r="B18" s="1213">
        <f>(B12*3)+(B13*9)</f>
        <v>261.495</v>
      </c>
    </row>
    <row r="19" spans="1:2" x14ac:dyDescent="0.3">
      <c r="A19" t="s">
        <v>1110</v>
      </c>
      <c r="B19" s="1214">
        <f>(B14+B15)*12</f>
        <v>171.64575000000002</v>
      </c>
    </row>
    <row r="20" spans="1:2" x14ac:dyDescent="0.3">
      <c r="B20" s="1213">
        <f>B18-B19</f>
        <v>89.849249999999984</v>
      </c>
    </row>
    <row r="21" spans="1:2" x14ac:dyDescent="0.3">
      <c r="B21" s="1228">
        <v>12</v>
      </c>
    </row>
    <row r="22" spans="1:2" x14ac:dyDescent="0.3">
      <c r="B22" s="1213">
        <f>B20/B21</f>
        <v>7.4874374999999986</v>
      </c>
    </row>
    <row r="28" spans="1:2" x14ac:dyDescent="0.3">
      <c r="A28" s="1218" t="s">
        <v>1111</v>
      </c>
    </row>
  </sheetData>
  <mergeCells count="1">
    <mergeCell ref="A3:B3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2C23D-909D-41B9-9983-6E3127C7DFAB}">
  <sheetPr>
    <tabColor rgb="FF92D050"/>
    <pageSetUpPr fitToPage="1"/>
  </sheetPr>
  <dimension ref="A2:Y110"/>
  <sheetViews>
    <sheetView tabSelected="1" topLeftCell="D1" workbookViewId="0">
      <selection activeCell="S8" sqref="S8"/>
    </sheetView>
  </sheetViews>
  <sheetFormatPr defaultRowHeight="14.4" x14ac:dyDescent="0.3"/>
  <cols>
    <col min="1" max="16" width="16" style="950" customWidth="1"/>
    <col min="17" max="19" width="11" style="950"/>
    <col min="20" max="21" width="11.88671875" style="950" customWidth="1"/>
    <col min="22" max="25" width="1.44140625" style="950" customWidth="1"/>
  </cols>
  <sheetData>
    <row r="2" spans="1:25" ht="18" x14ac:dyDescent="0.35">
      <c r="A2" s="947">
        <v>2026</v>
      </c>
      <c r="B2" s="947"/>
      <c r="C2" s="947"/>
      <c r="D2" s="947"/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7"/>
      <c r="P2" s="947"/>
      <c r="Q2" s="947"/>
      <c r="R2" s="947"/>
      <c r="S2" s="947"/>
      <c r="T2" s="947"/>
      <c r="U2" s="947"/>
      <c r="V2" s="947"/>
      <c r="W2" s="947"/>
      <c r="X2" s="947"/>
      <c r="Y2" s="947"/>
    </row>
    <row r="3" spans="1:25" x14ac:dyDescent="0.3">
      <c r="A3" s="948" t="s">
        <v>276</v>
      </c>
      <c r="B3" s="949"/>
      <c r="H3" s="949" t="s">
        <v>277</v>
      </c>
      <c r="I3" s="951"/>
      <c r="J3" s="951"/>
      <c r="K3" s="951"/>
      <c r="L3" s="951"/>
      <c r="M3" s="948"/>
      <c r="O3" s="950" t="s">
        <v>278</v>
      </c>
      <c r="P3" s="952"/>
    </row>
    <row r="4" spans="1:25" x14ac:dyDescent="0.3">
      <c r="A4" s="953"/>
      <c r="B4" s="954"/>
      <c r="C4" s="954"/>
      <c r="D4" s="954"/>
      <c r="E4" s="954"/>
      <c r="F4" s="954"/>
      <c r="G4" s="954"/>
      <c r="H4" s="954"/>
      <c r="I4" s="954"/>
      <c r="J4" s="954"/>
      <c r="K4" s="954"/>
      <c r="L4" s="954"/>
      <c r="M4" s="954"/>
      <c r="N4" s="954"/>
      <c r="O4" s="954"/>
      <c r="P4" s="954"/>
    </row>
    <row r="5" spans="1:25" x14ac:dyDescent="0.3">
      <c r="A5" s="955" t="s">
        <v>3</v>
      </c>
      <c r="G5" s="948" t="s">
        <v>4</v>
      </c>
      <c r="H5" s="949" t="s">
        <v>279</v>
      </c>
      <c r="I5" s="951"/>
      <c r="J5" s="951"/>
      <c r="K5" s="951"/>
      <c r="L5" s="951"/>
      <c r="M5" s="950" t="s">
        <v>6</v>
      </c>
      <c r="N5" s="955"/>
    </row>
    <row r="6" spans="1:25" x14ac:dyDescent="0.3">
      <c r="A6" s="956" t="s">
        <v>9</v>
      </c>
      <c r="E6" s="957"/>
      <c r="F6" s="951"/>
      <c r="G6" s="951"/>
      <c r="H6" s="951"/>
      <c r="I6" s="951"/>
      <c r="J6" s="951"/>
      <c r="K6" s="951"/>
      <c r="L6" s="951"/>
      <c r="M6" s="950" t="s">
        <v>204</v>
      </c>
      <c r="N6" s="1018"/>
    </row>
    <row r="7" spans="1:25" x14ac:dyDescent="0.3">
      <c r="A7" s="956" t="s">
        <v>13</v>
      </c>
      <c r="B7" s="22" t="s">
        <v>14</v>
      </c>
      <c r="E7" s="957"/>
      <c r="F7" s="951"/>
      <c r="G7" s="951"/>
      <c r="H7" s="951"/>
      <c r="I7" s="951"/>
      <c r="J7" s="951"/>
      <c r="K7" s="951"/>
      <c r="L7" s="951"/>
      <c r="M7" s="950" t="s">
        <v>280</v>
      </c>
      <c r="N7" s="955"/>
    </row>
    <row r="8" spans="1:25" x14ac:dyDescent="0.3">
      <c r="A8" s="958" t="s">
        <v>281</v>
      </c>
      <c r="B8" s="959"/>
      <c r="C8" s="959"/>
      <c r="D8" s="959"/>
      <c r="E8" s="960"/>
      <c r="F8" s="960"/>
      <c r="G8" s="960"/>
      <c r="H8" s="960"/>
      <c r="I8" s="960"/>
      <c r="J8" s="960"/>
      <c r="K8" s="960"/>
      <c r="L8" s="960"/>
      <c r="M8" s="959"/>
      <c r="N8" s="959"/>
      <c r="O8" s="959"/>
      <c r="P8" s="959"/>
    </row>
    <row r="9" spans="1:25" x14ac:dyDescent="0.3">
      <c r="A9" s="961"/>
      <c r="B9" s="961"/>
      <c r="C9" s="961"/>
      <c r="D9" s="962"/>
      <c r="E9" s="962"/>
      <c r="F9" s="962"/>
      <c r="G9" s="963">
        <v>-1</v>
      </c>
      <c r="H9" s="963">
        <v>-2</v>
      </c>
      <c r="I9" s="963">
        <v>-3</v>
      </c>
      <c r="J9" s="963">
        <v>-4</v>
      </c>
      <c r="K9" s="963">
        <v>-5</v>
      </c>
      <c r="L9" s="963">
        <v>-6</v>
      </c>
      <c r="M9" s="963">
        <v>-7</v>
      </c>
      <c r="N9" s="963">
        <v>-8</v>
      </c>
      <c r="O9" s="963">
        <v>-9</v>
      </c>
      <c r="P9" s="964"/>
      <c r="Q9" s="962"/>
      <c r="R9" s="962"/>
      <c r="S9" s="962"/>
      <c r="T9" s="962"/>
      <c r="U9" s="962"/>
      <c r="V9" s="962"/>
      <c r="W9" s="962"/>
      <c r="X9" s="962"/>
      <c r="Y9" s="962"/>
    </row>
    <row r="10" spans="1:25" x14ac:dyDescent="0.3">
      <c r="A10" s="965"/>
      <c r="B10" s="965"/>
      <c r="C10" s="965"/>
      <c r="G10" s="966"/>
      <c r="H10" s="966"/>
      <c r="I10" s="966" t="s">
        <v>28</v>
      </c>
      <c r="J10" s="966" t="s">
        <v>28</v>
      </c>
      <c r="K10" s="966" t="s">
        <v>28</v>
      </c>
      <c r="L10" s="966" t="s">
        <v>29</v>
      </c>
      <c r="M10" s="967"/>
      <c r="N10" s="967"/>
      <c r="O10" s="966" t="s">
        <v>205</v>
      </c>
      <c r="P10" s="951"/>
    </row>
    <row r="11" spans="1:25" x14ac:dyDescent="0.3">
      <c r="A11" s="968" t="s">
        <v>30</v>
      </c>
      <c r="B11" s="965"/>
      <c r="C11" s="965"/>
      <c r="G11" s="966" t="s">
        <v>31</v>
      </c>
      <c r="H11" s="966" t="s">
        <v>32</v>
      </c>
      <c r="I11" s="966" t="s">
        <v>33</v>
      </c>
      <c r="J11" s="969" t="s">
        <v>34</v>
      </c>
      <c r="K11" s="966" t="s">
        <v>206</v>
      </c>
      <c r="L11" s="966" t="s">
        <v>36</v>
      </c>
      <c r="M11" s="970" t="s">
        <v>37</v>
      </c>
      <c r="N11" s="971"/>
      <c r="O11" s="966" t="s">
        <v>50</v>
      </c>
      <c r="P11" s="951"/>
      <c r="T11" s="966" t="s">
        <v>207</v>
      </c>
      <c r="U11" s="1019" t="s">
        <v>36</v>
      </c>
    </row>
    <row r="12" spans="1:25" x14ac:dyDescent="0.3">
      <c r="A12" s="972" t="s">
        <v>39</v>
      </c>
      <c r="B12" s="973"/>
      <c r="C12" s="973"/>
      <c r="D12" s="954"/>
      <c r="E12" s="954"/>
      <c r="F12" s="954"/>
      <c r="G12" s="974" t="s">
        <v>42</v>
      </c>
      <c r="H12" s="974" t="s">
        <v>43</v>
      </c>
      <c r="I12" s="974" t="s">
        <v>44</v>
      </c>
      <c r="J12" s="974" t="s">
        <v>45</v>
      </c>
      <c r="K12" s="974" t="s">
        <v>46</v>
      </c>
      <c r="L12" s="975" t="s">
        <v>208</v>
      </c>
      <c r="M12" s="974" t="s">
        <v>48</v>
      </c>
      <c r="N12" s="974" t="s">
        <v>49</v>
      </c>
      <c r="O12" s="975"/>
      <c r="P12" s="951"/>
      <c r="T12" s="975" t="s">
        <v>209</v>
      </c>
      <c r="U12" s="1020" t="s">
        <v>210</v>
      </c>
    </row>
    <row r="13" spans="1:25" x14ac:dyDescent="0.3">
      <c r="A13" s="976">
        <v>1</v>
      </c>
      <c r="B13" s="965"/>
      <c r="C13" s="977" t="s">
        <v>211</v>
      </c>
      <c r="G13" s="965"/>
      <c r="H13" s="978"/>
      <c r="I13" s="979"/>
      <c r="J13" s="979"/>
      <c r="K13" s="979"/>
      <c r="L13" s="979"/>
      <c r="M13" s="979"/>
      <c r="N13" s="979"/>
      <c r="O13" s="987"/>
      <c r="P13" s="951"/>
    </row>
    <row r="14" spans="1:25" x14ac:dyDescent="0.3">
      <c r="A14" s="980">
        <v>2</v>
      </c>
      <c r="B14" s="981"/>
      <c r="C14" s="982" t="s">
        <v>212</v>
      </c>
      <c r="G14" s="983">
        <v>1016261.0956996295</v>
      </c>
      <c r="H14" s="983">
        <v>635381.68094784406</v>
      </c>
      <c r="I14" s="983">
        <v>55242.936901136156</v>
      </c>
      <c r="J14" s="983">
        <v>3402.4421484023596</v>
      </c>
      <c r="K14" s="983">
        <v>277402.69372655364</v>
      </c>
      <c r="L14" s="983">
        <v>44475.650592198581</v>
      </c>
      <c r="M14" s="983">
        <v>355.69138349487031</v>
      </c>
      <c r="N14" s="983">
        <v>0</v>
      </c>
      <c r="O14" s="983">
        <v>0</v>
      </c>
      <c r="P14" s="951"/>
      <c r="T14" s="983">
        <v>2951.3874996117024</v>
      </c>
      <c r="U14" s="983">
        <v>41524.382459814646</v>
      </c>
    </row>
    <row r="15" spans="1:25" x14ac:dyDescent="0.3">
      <c r="A15" s="980">
        <v>3</v>
      </c>
      <c r="B15" s="981"/>
      <c r="C15" s="982" t="s">
        <v>213</v>
      </c>
      <c r="G15" s="965">
        <v>338753.69856654317</v>
      </c>
      <c r="H15" s="965">
        <v>178169.20152956655</v>
      </c>
      <c r="I15" s="965">
        <v>18889.922493166159</v>
      </c>
      <c r="J15" s="965">
        <v>1787.264513637082</v>
      </c>
      <c r="K15" s="965">
        <v>113302.27205215459</v>
      </c>
      <c r="L15" s="965">
        <v>23749.34429910325</v>
      </c>
      <c r="M15" s="965">
        <v>2855.6936789159595</v>
      </c>
      <c r="N15" s="965">
        <v>0</v>
      </c>
      <c r="O15" s="965">
        <v>0</v>
      </c>
      <c r="P15" s="951"/>
      <c r="T15" s="965">
        <v>1764.0639844345792</v>
      </c>
      <c r="U15" s="965">
        <v>21985.160947440898</v>
      </c>
    </row>
    <row r="16" spans="1:25" x14ac:dyDescent="0.3">
      <c r="A16" s="980">
        <v>4</v>
      </c>
      <c r="B16" s="981"/>
      <c r="C16" s="984" t="s">
        <v>214</v>
      </c>
      <c r="F16" s="950" t="s">
        <v>206</v>
      </c>
      <c r="G16" s="985">
        <v>1355014.7942661727</v>
      </c>
      <c r="H16" s="986">
        <v>813550.88247741037</v>
      </c>
      <c r="I16" s="986">
        <v>74132.859394302315</v>
      </c>
      <c r="J16" s="986">
        <v>5189.7066620394417</v>
      </c>
      <c r="K16" s="986">
        <v>390704.96577870823</v>
      </c>
      <c r="L16" s="986">
        <v>68224.994891301831</v>
      </c>
      <c r="M16" s="986">
        <v>3211.38506241083</v>
      </c>
      <c r="N16" s="986">
        <v>0</v>
      </c>
      <c r="O16" s="986">
        <v>0</v>
      </c>
      <c r="P16" s="1294"/>
      <c r="T16" s="985">
        <v>4715.4514840462816</v>
      </c>
      <c r="U16" s="985">
        <v>63509.543407255544</v>
      </c>
    </row>
    <row r="17" spans="1:21" x14ac:dyDescent="0.3">
      <c r="A17" s="980">
        <v>5</v>
      </c>
      <c r="B17" s="981"/>
      <c r="C17" s="984" t="s">
        <v>215</v>
      </c>
      <c r="F17" s="950" t="s">
        <v>48</v>
      </c>
      <c r="G17" s="965">
        <v>242347.18530529254</v>
      </c>
      <c r="H17" s="965">
        <v>127465.49407296517</v>
      </c>
      <c r="I17" s="965">
        <v>13509.173664006479</v>
      </c>
      <c r="J17" s="965">
        <v>1279.076911201093</v>
      </c>
      <c r="K17" s="965">
        <v>81056.448148258118</v>
      </c>
      <c r="L17" s="965">
        <v>16991.560247352812</v>
      </c>
      <c r="M17" s="965">
        <v>2045.4322615088895</v>
      </c>
      <c r="N17" s="965">
        <v>0</v>
      </c>
      <c r="O17" s="965">
        <v>0</v>
      </c>
      <c r="P17" s="951"/>
      <c r="T17" s="965">
        <v>1258.2341153563041</v>
      </c>
      <c r="U17" s="965">
        <v>15733.326131996508</v>
      </c>
    </row>
    <row r="18" spans="1:21" x14ac:dyDescent="0.3">
      <c r="A18" s="980">
        <v>6</v>
      </c>
      <c r="B18" s="981"/>
      <c r="C18" s="984" t="s">
        <v>216</v>
      </c>
      <c r="F18" s="950" t="s">
        <v>206</v>
      </c>
      <c r="G18" s="965">
        <v>558861.98134775215</v>
      </c>
      <c r="H18" s="965">
        <v>349408.96249666339</v>
      </c>
      <c r="I18" s="965">
        <v>30379.1409942584</v>
      </c>
      <c r="J18" s="965">
        <v>1870.9884015756468</v>
      </c>
      <c r="K18" s="965">
        <v>152549.42381039669</v>
      </c>
      <c r="L18" s="965">
        <v>24458.101394091296</v>
      </c>
      <c r="M18" s="965">
        <v>195.36425076693504</v>
      </c>
      <c r="N18" s="965">
        <v>0</v>
      </c>
      <c r="O18" s="965">
        <v>0</v>
      </c>
      <c r="P18" s="951"/>
      <c r="T18" s="965">
        <v>1623.0260832945369</v>
      </c>
      <c r="U18" s="965">
        <v>22835.075310796758</v>
      </c>
    </row>
    <row r="19" spans="1:21" x14ac:dyDescent="0.3">
      <c r="A19" s="980">
        <v>7</v>
      </c>
      <c r="B19" s="981"/>
      <c r="C19" s="984" t="s">
        <v>116</v>
      </c>
      <c r="F19" s="950" t="s">
        <v>206</v>
      </c>
      <c r="G19" s="965">
        <v>731012.67359764897</v>
      </c>
      <c r="H19" s="965">
        <v>466723.59853475261</v>
      </c>
      <c r="I19" s="965">
        <v>43258.433831214061</v>
      </c>
      <c r="J19" s="965">
        <v>1979.6636691733681</v>
      </c>
      <c r="K19" s="965">
        <v>191733.20901921671</v>
      </c>
      <c r="L19" s="965">
        <v>20702.988733041973</v>
      </c>
      <c r="M19" s="965">
        <v>6614.7798102499701</v>
      </c>
      <c r="N19" s="965">
        <v>0</v>
      </c>
      <c r="O19" s="965">
        <v>0</v>
      </c>
      <c r="P19" s="951"/>
      <c r="T19" s="965">
        <v>3100.6780360546727</v>
      </c>
      <c r="U19" s="965">
        <v>17602.310696987301</v>
      </c>
    </row>
    <row r="20" spans="1:21" x14ac:dyDescent="0.3">
      <c r="A20" s="980">
        <v>8</v>
      </c>
      <c r="B20" s="981"/>
      <c r="C20" s="984" t="s">
        <v>217</v>
      </c>
      <c r="F20" s="950" t="s">
        <v>218</v>
      </c>
      <c r="G20" s="965">
        <v>0</v>
      </c>
      <c r="H20" s="965">
        <v>0</v>
      </c>
      <c r="I20" s="965">
        <v>0</v>
      </c>
      <c r="J20" s="965">
        <v>0</v>
      </c>
      <c r="K20" s="965">
        <v>0</v>
      </c>
      <c r="L20" s="965">
        <v>0</v>
      </c>
      <c r="M20" s="965">
        <v>0</v>
      </c>
      <c r="N20" s="965">
        <v>0</v>
      </c>
      <c r="O20" s="965">
        <v>0</v>
      </c>
      <c r="P20" s="951"/>
      <c r="T20" s="965">
        <v>0</v>
      </c>
      <c r="U20" s="965">
        <v>0</v>
      </c>
    </row>
    <row r="21" spans="1:21" x14ac:dyDescent="0.3">
      <c r="A21" s="980">
        <v>9</v>
      </c>
      <c r="B21" s="981"/>
      <c r="C21" s="984" t="s">
        <v>117</v>
      </c>
      <c r="F21" s="950" t="s">
        <v>206</v>
      </c>
      <c r="G21" s="965">
        <v>291348.83553655708</v>
      </c>
      <c r="H21" s="965">
        <v>222194.76362305431</v>
      </c>
      <c r="I21" s="965">
        <v>18936.65146234024</v>
      </c>
      <c r="J21" s="965">
        <v>383.22709802687893</v>
      </c>
      <c r="K21" s="965">
        <v>42218.08243363582</v>
      </c>
      <c r="L21" s="965">
        <v>1292.8143065967001</v>
      </c>
      <c r="M21" s="965">
        <v>1280.5017893910169</v>
      </c>
      <c r="N21" s="965">
        <v>0</v>
      </c>
      <c r="O21" s="965">
        <v>5042.7948235122058</v>
      </c>
      <c r="P21" s="951"/>
      <c r="T21" s="965">
        <v>0</v>
      </c>
      <c r="U21" s="965">
        <v>1292.8143065967001</v>
      </c>
    </row>
    <row r="22" spans="1:21" x14ac:dyDescent="0.3">
      <c r="A22" s="980">
        <v>10</v>
      </c>
      <c r="B22" s="981"/>
      <c r="C22" s="984" t="s">
        <v>219</v>
      </c>
      <c r="F22" s="950" t="s">
        <v>218</v>
      </c>
      <c r="G22" s="965">
        <v>0</v>
      </c>
      <c r="H22" s="965">
        <v>0</v>
      </c>
      <c r="I22" s="965">
        <v>0</v>
      </c>
      <c r="J22" s="965">
        <v>0</v>
      </c>
      <c r="K22" s="965">
        <v>0</v>
      </c>
      <c r="L22" s="965">
        <v>0</v>
      </c>
      <c r="M22" s="965">
        <v>0</v>
      </c>
      <c r="N22" s="965">
        <v>0</v>
      </c>
      <c r="O22" s="965">
        <v>0</v>
      </c>
      <c r="P22" s="951"/>
      <c r="T22" s="965">
        <v>0</v>
      </c>
      <c r="U22" s="965">
        <v>0</v>
      </c>
    </row>
    <row r="23" spans="1:21" x14ac:dyDescent="0.3">
      <c r="A23" s="980">
        <v>11</v>
      </c>
      <c r="B23" s="981"/>
      <c r="C23" s="984" t="s">
        <v>118</v>
      </c>
      <c r="F23" s="950" t="s">
        <v>218</v>
      </c>
      <c r="G23" s="965">
        <v>53607.006680977727</v>
      </c>
      <c r="H23" s="965">
        <v>46842.185644139674</v>
      </c>
      <c r="I23" s="965">
        <v>3421.4248733044078</v>
      </c>
      <c r="J23" s="965">
        <v>386.70096471788827</v>
      </c>
      <c r="K23" s="965">
        <v>1262.7942232021708</v>
      </c>
      <c r="L23" s="965">
        <v>1.7755636454449655</v>
      </c>
      <c r="M23" s="965">
        <v>1692.1254119681678</v>
      </c>
      <c r="N23" s="965">
        <v>0</v>
      </c>
      <c r="O23" s="965">
        <v>0</v>
      </c>
      <c r="P23" s="951"/>
      <c r="T23" s="965">
        <v>1.4550201345989694E-2</v>
      </c>
      <c r="U23" s="965">
        <v>1.7610134440989758</v>
      </c>
    </row>
    <row r="24" spans="1:21" x14ac:dyDescent="0.3">
      <c r="A24" s="980">
        <v>12</v>
      </c>
      <c r="B24" s="981"/>
      <c r="C24" s="984" t="s">
        <v>220</v>
      </c>
      <c r="F24" s="950" t="s">
        <v>218</v>
      </c>
      <c r="G24" s="965">
        <v>87236.777528071194</v>
      </c>
      <c r="H24" s="965">
        <v>70365.977773165956</v>
      </c>
      <c r="I24" s="965">
        <v>7182.3442168919619</v>
      </c>
      <c r="J24" s="965">
        <v>612.17703854849231</v>
      </c>
      <c r="K24" s="965">
        <v>6030.9830636279194</v>
      </c>
      <c r="L24" s="965">
        <v>186.8879874972385</v>
      </c>
      <c r="M24" s="965">
        <v>2858.4074483396444</v>
      </c>
      <c r="N24" s="965">
        <v>0</v>
      </c>
      <c r="O24" s="965">
        <v>0</v>
      </c>
      <c r="P24" s="951"/>
      <c r="T24" s="965">
        <v>21.474704700662766</v>
      </c>
      <c r="U24" s="965">
        <v>165.41328279657574</v>
      </c>
    </row>
    <row r="25" spans="1:21" x14ac:dyDescent="0.3">
      <c r="A25" s="980">
        <v>13</v>
      </c>
      <c r="B25" s="981"/>
      <c r="C25" s="984" t="s">
        <v>221</v>
      </c>
      <c r="F25" s="950" t="s">
        <v>218</v>
      </c>
      <c r="G25" s="965">
        <v>517.36683759691482</v>
      </c>
      <c r="H25" s="965">
        <v>0</v>
      </c>
      <c r="I25" s="965">
        <v>0</v>
      </c>
      <c r="J25" s="965">
        <v>0</v>
      </c>
      <c r="K25" s="965">
        <v>0</v>
      </c>
      <c r="L25" s="965">
        <v>517.36683759691482</v>
      </c>
      <c r="M25" s="965">
        <v>0</v>
      </c>
      <c r="N25" s="965">
        <v>0</v>
      </c>
      <c r="O25" s="965">
        <v>0</v>
      </c>
      <c r="P25" s="951"/>
      <c r="T25" s="965">
        <v>0</v>
      </c>
      <c r="U25" s="965">
        <v>517.36683759691482</v>
      </c>
    </row>
    <row r="26" spans="1:21" x14ac:dyDescent="0.3">
      <c r="A26" s="980">
        <v>14</v>
      </c>
      <c r="B26" s="981"/>
      <c r="C26" s="984" t="s">
        <v>222</v>
      </c>
      <c r="F26" s="950" t="s">
        <v>223</v>
      </c>
      <c r="G26" s="965">
        <v>113089.39845368821</v>
      </c>
      <c r="H26" s="965">
        <v>0</v>
      </c>
      <c r="I26" s="965">
        <v>0</v>
      </c>
      <c r="J26" s="965">
        <v>0</v>
      </c>
      <c r="K26" s="965">
        <v>0</v>
      </c>
      <c r="L26" s="965">
        <v>0</v>
      </c>
      <c r="M26" s="965">
        <v>0</v>
      </c>
      <c r="N26" s="965">
        <v>113089.39845368821</v>
      </c>
      <c r="O26" s="965">
        <v>0</v>
      </c>
      <c r="P26" s="951"/>
      <c r="T26" s="965">
        <v>0</v>
      </c>
      <c r="U26" s="965">
        <v>0</v>
      </c>
    </row>
    <row r="27" spans="1:21" x14ac:dyDescent="0.3">
      <c r="A27" s="980">
        <v>15</v>
      </c>
      <c r="B27" s="981"/>
      <c r="C27" s="984" t="s">
        <v>224</v>
      </c>
      <c r="F27" s="950" t="s">
        <v>218</v>
      </c>
      <c r="G27" s="965">
        <v>212992.40864092062</v>
      </c>
      <c r="H27" s="965">
        <v>185445.39520830757</v>
      </c>
      <c r="I27" s="965">
        <v>13491.737060556545</v>
      </c>
      <c r="J27" s="965">
        <v>1533.4859212621056</v>
      </c>
      <c r="K27" s="965">
        <v>5665.0470090811523</v>
      </c>
      <c r="L27" s="965">
        <v>160.39885263016495</v>
      </c>
      <c r="M27" s="965">
        <v>6696.3446007240591</v>
      </c>
      <c r="N27" s="965">
        <v>0</v>
      </c>
      <c r="O27" s="965">
        <v>0</v>
      </c>
      <c r="P27" s="951"/>
      <c r="T27" s="965">
        <v>8.2465753819027903</v>
      </c>
      <c r="U27" s="965">
        <v>152.15227724826215</v>
      </c>
    </row>
    <row r="28" spans="1:21" x14ac:dyDescent="0.3">
      <c r="A28" s="980">
        <v>16</v>
      </c>
      <c r="B28" s="981"/>
      <c r="C28" s="984" t="s">
        <v>225</v>
      </c>
      <c r="G28" s="987"/>
      <c r="H28" s="987"/>
      <c r="I28" s="987"/>
      <c r="J28" s="987"/>
      <c r="K28" s="987"/>
      <c r="L28" s="987"/>
      <c r="M28" s="987"/>
      <c r="N28" s="987"/>
      <c r="O28" s="987"/>
      <c r="P28" s="951"/>
      <c r="T28" s="987"/>
      <c r="U28" s="987"/>
    </row>
    <row r="29" spans="1:21" ht="15" thickBot="1" x14ac:dyDescent="0.35">
      <c r="A29" s="980">
        <v>17</v>
      </c>
      <c r="B29" s="968"/>
      <c r="C29" s="988" t="s">
        <v>121</v>
      </c>
      <c r="D29" s="989"/>
      <c r="E29" s="989"/>
      <c r="F29" s="989"/>
      <c r="G29" s="990">
        <v>3646028.4281946779</v>
      </c>
      <c r="H29" s="990">
        <v>2281997.2598304595</v>
      </c>
      <c r="I29" s="990">
        <v>204311.7654968744</v>
      </c>
      <c r="J29" s="990">
        <v>13235.026666544913</v>
      </c>
      <c r="K29" s="990">
        <v>871220.95348612685</v>
      </c>
      <c r="L29" s="990">
        <v>132536.88881375437</v>
      </c>
      <c r="M29" s="990">
        <v>24594.340635359513</v>
      </c>
      <c r="N29" s="990">
        <v>113089.39845368821</v>
      </c>
      <c r="O29" s="990">
        <v>5042.7948235122058</v>
      </c>
      <c r="P29" s="951"/>
      <c r="T29" s="990">
        <v>10727.125549035705</v>
      </c>
      <c r="U29" s="990">
        <v>121809.76326471867</v>
      </c>
    </row>
    <row r="30" spans="1:21" ht="15" thickTop="1" x14ac:dyDescent="0.3">
      <c r="A30" s="980">
        <v>18</v>
      </c>
      <c r="B30" s="965"/>
      <c r="C30" s="991" t="s">
        <v>226</v>
      </c>
      <c r="G30" s="992"/>
      <c r="H30" s="993"/>
      <c r="I30" s="994"/>
      <c r="J30" s="994"/>
      <c r="K30" s="994"/>
      <c r="L30" s="994"/>
      <c r="M30" s="994"/>
      <c r="N30" s="994"/>
      <c r="O30" s="965"/>
      <c r="T30" s="994"/>
    </row>
    <row r="31" spans="1:21" x14ac:dyDescent="0.3">
      <c r="A31" s="980">
        <v>19</v>
      </c>
      <c r="B31" s="995"/>
      <c r="C31" s="996" t="s">
        <v>227</v>
      </c>
      <c r="G31" s="965"/>
      <c r="H31" s="965"/>
      <c r="I31" s="965"/>
      <c r="J31" s="965"/>
      <c r="K31" s="965"/>
      <c r="L31" s="965"/>
      <c r="M31" s="965"/>
      <c r="N31" s="965"/>
      <c r="O31" s="965"/>
      <c r="T31" s="965"/>
    </row>
    <row r="32" spans="1:21" x14ac:dyDescent="0.3">
      <c r="A32" s="980">
        <v>20</v>
      </c>
      <c r="B32" s="965"/>
      <c r="C32" s="997" t="s">
        <v>228</v>
      </c>
      <c r="G32" s="965">
        <v>24050731.960120562</v>
      </c>
      <c r="H32" s="965">
        <v>21696377.792271525</v>
      </c>
      <c r="I32" s="965">
        <v>1580978.1793711956</v>
      </c>
      <c r="J32" s="965">
        <v>168887.72794582756</v>
      </c>
      <c r="K32" s="965">
        <v>589625.59573639324</v>
      </c>
      <c r="L32" s="965">
        <v>1857.2923817585606</v>
      </c>
      <c r="M32" s="965">
        <v>13005.372413863894</v>
      </c>
      <c r="N32" s="965"/>
      <c r="P32" s="951"/>
      <c r="T32" s="965">
        <v>82.435236240856611</v>
      </c>
      <c r="U32" s="965">
        <v>1774.8571455177039</v>
      </c>
    </row>
    <row r="33" spans="1:21" x14ac:dyDescent="0.3">
      <c r="A33" s="980">
        <v>21</v>
      </c>
      <c r="B33" s="965"/>
      <c r="C33" s="998" t="s">
        <v>229</v>
      </c>
      <c r="G33" s="965">
        <v>786573.76539347216</v>
      </c>
      <c r="H33" s="965">
        <v>0</v>
      </c>
      <c r="I33" s="965">
        <v>5595.4323882179406</v>
      </c>
      <c r="J33" s="965">
        <v>10224.542495481846</v>
      </c>
      <c r="K33" s="965">
        <v>0</v>
      </c>
      <c r="L33" s="965">
        <v>0</v>
      </c>
      <c r="M33" s="965">
        <v>770753.79050977237</v>
      </c>
      <c r="N33" s="965"/>
      <c r="P33" s="951"/>
      <c r="T33" s="965">
        <v>0</v>
      </c>
      <c r="U33" s="965">
        <v>0</v>
      </c>
    </row>
    <row r="34" spans="1:21" x14ac:dyDescent="0.3">
      <c r="A34" s="980">
        <v>22</v>
      </c>
      <c r="B34" s="965"/>
      <c r="C34" s="982" t="s">
        <v>230</v>
      </c>
      <c r="G34" s="965">
        <v>24837305.725514036</v>
      </c>
      <c r="H34" s="965">
        <v>21696377.792271525</v>
      </c>
      <c r="I34" s="965">
        <v>1586573.6117594135</v>
      </c>
      <c r="J34" s="965">
        <v>179112.2704413094</v>
      </c>
      <c r="K34" s="965">
        <v>589625.59573639324</v>
      </c>
      <c r="L34" s="965">
        <v>1857.2923817585606</v>
      </c>
      <c r="M34" s="965">
        <v>783759.16292363626</v>
      </c>
      <c r="N34" s="965"/>
      <c r="P34" s="951"/>
      <c r="T34" s="965">
        <v>82.435236240856611</v>
      </c>
      <c r="U34" s="965">
        <v>1774.8571455177039</v>
      </c>
    </row>
    <row r="35" spans="1:21" x14ac:dyDescent="0.3">
      <c r="A35" s="980">
        <v>23</v>
      </c>
      <c r="B35" s="965"/>
      <c r="C35" s="999" t="s">
        <v>231</v>
      </c>
      <c r="G35" s="965">
        <v>24829719.852729637</v>
      </c>
      <c r="H35" s="965">
        <v>21696377.792271525</v>
      </c>
      <c r="I35" s="965">
        <v>1584736.6133389268</v>
      </c>
      <c r="J35" s="965">
        <v>179112.2704413094</v>
      </c>
      <c r="K35" s="965">
        <v>584911.60764496028</v>
      </c>
      <c r="L35" s="965">
        <v>822.40610928060755</v>
      </c>
      <c r="M35" s="965">
        <v>783759.16292363626</v>
      </c>
      <c r="N35" s="965"/>
      <c r="P35" s="951"/>
      <c r="T35" s="965">
        <v>6.7393666844344846</v>
      </c>
      <c r="U35" s="965">
        <v>815.66674259617309</v>
      </c>
    </row>
    <row r="36" spans="1:21" x14ac:dyDescent="0.3">
      <c r="A36" s="980">
        <v>24</v>
      </c>
      <c r="B36" s="965"/>
      <c r="C36" s="999" t="s">
        <v>232</v>
      </c>
      <c r="G36" s="965">
        <v>1854.7826574218905</v>
      </c>
      <c r="H36" s="965"/>
      <c r="I36" s="965"/>
      <c r="J36" s="965"/>
      <c r="K36" s="965"/>
      <c r="L36" s="965">
        <v>1854.7826574218905</v>
      </c>
      <c r="M36" s="965"/>
      <c r="N36" s="965"/>
      <c r="P36" s="951"/>
      <c r="T36" s="965">
        <v>82.011159520188841</v>
      </c>
      <c r="U36" s="965">
        <v>1772.7714979017014</v>
      </c>
    </row>
    <row r="37" spans="1:21" x14ac:dyDescent="0.3">
      <c r="A37" s="980">
        <v>25</v>
      </c>
      <c r="B37" s="965"/>
      <c r="C37" s="996" t="s">
        <v>233</v>
      </c>
      <c r="G37" s="965"/>
      <c r="H37" s="965"/>
      <c r="I37" s="965"/>
      <c r="J37" s="965"/>
      <c r="K37" s="965"/>
      <c r="L37" s="965"/>
      <c r="M37" s="965"/>
      <c r="N37" s="965"/>
      <c r="T37" s="965"/>
      <c r="U37" s="965"/>
    </row>
    <row r="38" spans="1:21" x14ac:dyDescent="0.3">
      <c r="A38" s="980">
        <v>26</v>
      </c>
      <c r="B38" s="965"/>
      <c r="C38" s="999" t="s">
        <v>234</v>
      </c>
      <c r="G38" s="965">
        <v>39863723.509141445</v>
      </c>
      <c r="H38" s="965">
        <v>21036571.744844668</v>
      </c>
      <c r="I38" s="965">
        <v>2207981.4668647805</v>
      </c>
      <c r="J38" s="965">
        <v>209117.90872189892</v>
      </c>
      <c r="K38" s="965">
        <v>13274257.005823161</v>
      </c>
      <c r="L38" s="965">
        <v>2801462.3261003816</v>
      </c>
      <c r="M38" s="965">
        <v>334333.05678655772</v>
      </c>
      <c r="N38" s="965"/>
      <c r="T38" s="965">
        <v>207490.80452770827</v>
      </c>
      <c r="U38" s="965">
        <v>2593971.5215726732</v>
      </c>
    </row>
    <row r="39" spans="1:21" x14ac:dyDescent="0.3">
      <c r="A39" s="980">
        <v>27</v>
      </c>
      <c r="B39" s="965"/>
      <c r="C39" s="999" t="s">
        <v>235</v>
      </c>
      <c r="G39" s="965">
        <v>38144668.584195964</v>
      </c>
      <c r="H39" s="965">
        <v>21036571.744844668</v>
      </c>
      <c r="I39" s="965">
        <v>2204837.4846280855</v>
      </c>
      <c r="J39" s="965">
        <v>209117.90872189892</v>
      </c>
      <c r="K39" s="965">
        <v>12787713.975054976</v>
      </c>
      <c r="L39" s="965">
        <v>1572094.4141597743</v>
      </c>
      <c r="M39" s="965">
        <v>334333.05678655772</v>
      </c>
      <c r="N39" s="965"/>
      <c r="T39" s="965">
        <v>207490.80452770827</v>
      </c>
      <c r="U39" s="965">
        <v>1364603.609632066</v>
      </c>
    </row>
    <row r="40" spans="1:21" x14ac:dyDescent="0.3">
      <c r="A40" s="980">
        <v>28</v>
      </c>
      <c r="B40" s="965"/>
      <c r="C40" s="999" t="s">
        <v>236</v>
      </c>
      <c r="G40" s="965">
        <v>35111647.718807831</v>
      </c>
      <c r="H40" s="965">
        <v>21036571.744844668</v>
      </c>
      <c r="I40" s="965">
        <v>2177907.2984351711</v>
      </c>
      <c r="J40" s="965">
        <v>209117.90872189892</v>
      </c>
      <c r="K40" s="965">
        <v>10979556.808945941</v>
      </c>
      <c r="L40" s="965">
        <v>374160.90107359481</v>
      </c>
      <c r="M40" s="965">
        <v>334333.05678655772</v>
      </c>
      <c r="N40" s="965"/>
      <c r="T40" s="965">
        <v>0</v>
      </c>
      <c r="U40" s="965">
        <v>374160.90107359481</v>
      </c>
    </row>
    <row r="41" spans="1:21" x14ac:dyDescent="0.3">
      <c r="A41" s="980">
        <v>29</v>
      </c>
      <c r="B41" s="965"/>
      <c r="C41" s="996" t="s">
        <v>237</v>
      </c>
      <c r="G41" s="965"/>
      <c r="H41" s="981"/>
      <c r="I41" s="981"/>
      <c r="J41" s="981"/>
      <c r="K41" s="981"/>
      <c r="L41" s="981"/>
      <c r="M41" s="981"/>
      <c r="N41" s="981"/>
      <c r="T41" s="981"/>
      <c r="U41" s="981"/>
    </row>
    <row r="42" spans="1:21" x14ac:dyDescent="0.3">
      <c r="A42" s="980">
        <v>30</v>
      </c>
      <c r="B42" s="965"/>
      <c r="C42" s="999" t="s">
        <v>234</v>
      </c>
      <c r="G42" s="981"/>
      <c r="H42" s="981"/>
      <c r="I42" s="981"/>
      <c r="J42" s="981"/>
      <c r="K42" s="965">
        <v>37106294.40702457</v>
      </c>
      <c r="L42" s="965">
        <v>8018547.2153154192</v>
      </c>
      <c r="M42" s="981"/>
      <c r="N42" s="981"/>
      <c r="O42" s="1000"/>
      <c r="T42" s="965">
        <v>480989.25814906077</v>
      </c>
      <c r="U42" s="965">
        <v>7537557.9571663588</v>
      </c>
    </row>
    <row r="43" spans="1:21" x14ac:dyDescent="0.3">
      <c r="A43" s="980">
        <v>31</v>
      </c>
      <c r="B43" s="965"/>
      <c r="C43" s="999" t="s">
        <v>235</v>
      </c>
      <c r="G43" s="981"/>
      <c r="H43" s="981"/>
      <c r="I43" s="981"/>
      <c r="J43" s="981"/>
      <c r="K43" s="965">
        <v>36365320.400203697</v>
      </c>
      <c r="L43" s="965">
        <v>5021734.3113073884</v>
      </c>
      <c r="M43" s="981"/>
      <c r="N43" s="981"/>
      <c r="O43" s="1000"/>
      <c r="T43" s="965">
        <v>774343.78510906082</v>
      </c>
      <c r="U43" s="965">
        <v>4247390.5261983275</v>
      </c>
    </row>
    <row r="44" spans="1:21" x14ac:dyDescent="0.3">
      <c r="A44" s="980">
        <v>32</v>
      </c>
      <c r="B44" s="965"/>
      <c r="C44" s="999" t="s">
        <v>236</v>
      </c>
      <c r="G44" s="981"/>
      <c r="H44" s="981"/>
      <c r="I44" s="981"/>
      <c r="J44" s="981"/>
      <c r="K44" s="965">
        <v>31633844.239382818</v>
      </c>
      <c r="L44" s="965">
        <v>812636.61294647702</v>
      </c>
      <c r="M44" s="981"/>
      <c r="N44" s="981"/>
      <c r="T44" s="965">
        <v>0</v>
      </c>
      <c r="U44" s="965">
        <v>812636.61294647702</v>
      </c>
    </row>
    <row r="45" spans="1:21" x14ac:dyDescent="0.3">
      <c r="A45" s="980">
        <v>33</v>
      </c>
      <c r="B45" s="965"/>
      <c r="C45" s="1001" t="s">
        <v>239</v>
      </c>
      <c r="G45" s="994">
        <v>1</v>
      </c>
      <c r="H45" s="1002">
        <v>0.62521499999999997</v>
      </c>
      <c r="I45" s="1002">
        <v>5.4358999999999998E-2</v>
      </c>
      <c r="J45" s="1002">
        <v>3.3479999999999998E-3</v>
      </c>
      <c r="K45" s="1002">
        <v>0.27296399999999998</v>
      </c>
      <c r="L45" s="1002">
        <v>4.3763999999999997E-2</v>
      </c>
      <c r="M45" s="1002">
        <v>3.5E-4</v>
      </c>
      <c r="N45" s="1002"/>
      <c r="O45" s="1017"/>
      <c r="P45" s="1017"/>
      <c r="Q45" s="1017"/>
      <c r="T45" s="1002">
        <v>2.9041626331074541E-3</v>
      </c>
      <c r="U45" s="1002">
        <v>4.0859954824136818E-2</v>
      </c>
    </row>
    <row r="46" spans="1:21" x14ac:dyDescent="0.3">
      <c r="A46" s="980">
        <v>34</v>
      </c>
      <c r="B46" s="965"/>
      <c r="C46" s="996" t="s">
        <v>240</v>
      </c>
      <c r="G46" s="994">
        <v>1</v>
      </c>
      <c r="H46" s="1002">
        <v>0.52597000000000005</v>
      </c>
      <c r="I46" s="1002">
        <v>5.5750000000000001E-2</v>
      </c>
      <c r="J46" s="1002">
        <v>5.2700000000000004E-3</v>
      </c>
      <c r="K46" s="1002">
        <v>0.33446999999999999</v>
      </c>
      <c r="L46" s="1002">
        <v>7.0110000000000006E-2</v>
      </c>
      <c r="M46" s="1002">
        <v>8.43E-3</v>
      </c>
      <c r="N46" s="1002"/>
      <c r="O46" s="1017"/>
      <c r="P46" s="1017"/>
      <c r="Q46" s="1017"/>
      <c r="T46" s="1002">
        <v>5.1900000000000002E-3</v>
      </c>
      <c r="U46" s="1002">
        <v>6.4920000000000005E-2</v>
      </c>
    </row>
    <row r="47" spans="1:21" ht="15" thickBot="1" x14ac:dyDescent="0.35">
      <c r="A47" s="980">
        <v>35</v>
      </c>
      <c r="B47" s="965"/>
      <c r="C47" s="1003" t="s">
        <v>241</v>
      </c>
      <c r="D47" s="989"/>
      <c r="E47" s="989"/>
      <c r="F47" s="989"/>
      <c r="G47" s="1004">
        <v>1</v>
      </c>
      <c r="H47" s="1005">
        <v>0.60040375000000001</v>
      </c>
      <c r="I47" s="1005">
        <v>5.4706749999999998E-2</v>
      </c>
      <c r="J47" s="1005">
        <v>3.8284999999999999E-3</v>
      </c>
      <c r="K47" s="1005">
        <v>0.2883405</v>
      </c>
      <c r="L47" s="1005">
        <v>5.0350499999999999E-2</v>
      </c>
      <c r="M47" s="1005">
        <v>2.3700000000000001E-3</v>
      </c>
      <c r="N47" s="1005"/>
      <c r="O47" s="1005"/>
      <c r="P47" s="1017"/>
      <c r="Q47" s="1017"/>
      <c r="T47" s="1005">
        <v>3.4756219748305907E-3</v>
      </c>
      <c r="U47" s="1005">
        <v>4.6874966118102615E-2</v>
      </c>
    </row>
    <row r="48" spans="1:21" ht="15" thickTop="1" x14ac:dyDescent="0.3">
      <c r="A48" s="980">
        <v>36</v>
      </c>
      <c r="B48" s="965"/>
      <c r="C48" s="991" t="s">
        <v>242</v>
      </c>
      <c r="G48" s="965"/>
      <c r="H48" s="965"/>
      <c r="I48" s="965"/>
      <c r="J48" s="965"/>
      <c r="K48" s="965"/>
      <c r="L48" s="965"/>
      <c r="M48" s="965"/>
      <c r="N48" s="965"/>
      <c r="O48" s="965"/>
      <c r="T48" s="965"/>
    </row>
    <row r="49" spans="1:21" x14ac:dyDescent="0.3">
      <c r="A49" s="980">
        <v>37</v>
      </c>
      <c r="B49" s="961"/>
      <c r="C49" s="996" t="s">
        <v>243</v>
      </c>
      <c r="G49" s="965"/>
      <c r="H49" s="1006"/>
      <c r="I49" s="1006"/>
      <c r="J49" s="1006"/>
      <c r="K49" s="1006"/>
      <c r="L49" s="1006"/>
      <c r="M49" s="1006"/>
      <c r="N49" s="1006"/>
      <c r="O49" s="965"/>
      <c r="T49" s="1006"/>
    </row>
    <row r="50" spans="1:21" x14ac:dyDescent="0.3">
      <c r="A50" s="980">
        <v>38</v>
      </c>
      <c r="B50" s="961"/>
      <c r="C50" s="999" t="s">
        <v>217</v>
      </c>
      <c r="F50" s="950" t="s">
        <v>244</v>
      </c>
      <c r="G50" s="965"/>
      <c r="H50" s="1007">
        <v>0</v>
      </c>
      <c r="I50" s="1007">
        <v>0</v>
      </c>
      <c r="J50" s="1007">
        <v>0</v>
      </c>
      <c r="K50" s="1007">
        <v>0</v>
      </c>
      <c r="L50" s="1007">
        <v>0</v>
      </c>
      <c r="M50" s="1007">
        <v>0</v>
      </c>
      <c r="N50" s="1006"/>
      <c r="O50" s="965"/>
      <c r="T50" s="1007">
        <v>0</v>
      </c>
      <c r="U50" s="1007">
        <v>0</v>
      </c>
    </row>
    <row r="51" spans="1:21" x14ac:dyDescent="0.3">
      <c r="A51" s="980">
        <v>39</v>
      </c>
      <c r="B51" s="961"/>
      <c r="C51" s="999" t="s">
        <v>219</v>
      </c>
      <c r="F51" s="950" t="s">
        <v>245</v>
      </c>
      <c r="G51" s="965"/>
      <c r="H51" s="1007">
        <v>0</v>
      </c>
      <c r="I51" s="1007">
        <v>0</v>
      </c>
      <c r="J51" s="1007">
        <v>0</v>
      </c>
      <c r="K51" s="1007">
        <v>0</v>
      </c>
      <c r="L51" s="1007">
        <v>0</v>
      </c>
      <c r="M51" s="1007">
        <v>0</v>
      </c>
      <c r="N51" s="1006"/>
      <c r="O51" s="965"/>
      <c r="T51" s="1007">
        <v>0</v>
      </c>
      <c r="U51" s="1007">
        <v>0</v>
      </c>
    </row>
    <row r="52" spans="1:21" x14ac:dyDescent="0.3">
      <c r="A52" s="980">
        <v>40</v>
      </c>
      <c r="B52" s="1008"/>
      <c r="C52" s="999" t="s">
        <v>246</v>
      </c>
      <c r="F52" s="950" t="s">
        <v>247</v>
      </c>
      <c r="G52" s="965"/>
      <c r="H52" s="1007">
        <v>2.158986448918923</v>
      </c>
      <c r="I52" s="1007">
        <v>2.1589864489189217</v>
      </c>
      <c r="J52" s="1007">
        <v>2.1589864489189226</v>
      </c>
      <c r="K52" s="1007">
        <v>2.1589488167051103</v>
      </c>
      <c r="L52" s="1007">
        <v>2.1589864489189217</v>
      </c>
      <c r="M52" s="1007">
        <v>2.1589864489189217</v>
      </c>
      <c r="N52" s="1009"/>
      <c r="O52" s="965"/>
      <c r="T52" s="1007">
        <v>2.1589864489189212</v>
      </c>
      <c r="U52" s="1007">
        <v>2.1589864489189212</v>
      </c>
    </row>
    <row r="53" spans="1:21" x14ac:dyDescent="0.3">
      <c r="A53" s="980">
        <v>41</v>
      </c>
      <c r="B53" s="1008"/>
      <c r="C53" s="999" t="s">
        <v>220</v>
      </c>
      <c r="F53" s="950" t="s">
        <v>248</v>
      </c>
      <c r="G53" s="965"/>
      <c r="H53" s="1007">
        <v>3.2432131504564348</v>
      </c>
      <c r="I53" s="1007">
        <v>4.5429749193303888</v>
      </c>
      <c r="J53" s="1007">
        <v>3.6247573816900083</v>
      </c>
      <c r="K53" s="1007">
        <v>10.228496027374327</v>
      </c>
      <c r="L53" s="1007">
        <v>100.6238917107307</v>
      </c>
      <c r="M53" s="1007">
        <v>219.78666641583791</v>
      </c>
      <c r="N53" s="1009"/>
      <c r="O53" s="965"/>
      <c r="T53" s="1007">
        <v>260.50395049416329</v>
      </c>
      <c r="U53" s="1007">
        <v>93.198082569246296</v>
      </c>
    </row>
    <row r="54" spans="1:21" x14ac:dyDescent="0.3">
      <c r="A54" s="980">
        <v>42</v>
      </c>
      <c r="B54" s="1008"/>
      <c r="C54" s="999" t="s">
        <v>221</v>
      </c>
      <c r="F54" s="950" t="s">
        <v>249</v>
      </c>
      <c r="G54" s="965"/>
      <c r="H54" s="1007">
        <v>0</v>
      </c>
      <c r="I54" s="1007">
        <v>0</v>
      </c>
      <c r="J54" s="1007">
        <v>0</v>
      </c>
      <c r="K54" s="1007">
        <v>0</v>
      </c>
      <c r="L54" s="1007">
        <v>278.93663741499722</v>
      </c>
      <c r="M54" s="1007">
        <v>0</v>
      </c>
      <c r="N54" s="1009"/>
      <c r="O54" s="965"/>
      <c r="T54" s="1007">
        <v>0</v>
      </c>
      <c r="U54" s="1007">
        <v>291.84067896470793</v>
      </c>
    </row>
    <row r="55" spans="1:21" x14ac:dyDescent="0.3">
      <c r="A55" s="980">
        <v>43</v>
      </c>
      <c r="B55" s="1008"/>
      <c r="C55" s="999" t="s">
        <v>224</v>
      </c>
      <c r="F55" s="950" t="s">
        <v>250</v>
      </c>
      <c r="G55" s="965"/>
      <c r="H55" s="1007">
        <v>8.5472974790457954</v>
      </c>
      <c r="I55" s="1007">
        <v>8.5036943514994103</v>
      </c>
      <c r="J55" s="1007">
        <v>8.561590545883849</v>
      </c>
      <c r="K55" s="1007">
        <v>9.6078715884204122</v>
      </c>
      <c r="L55" s="1007">
        <v>86.361659696408552</v>
      </c>
      <c r="M55" s="1007">
        <v>8.5438804641783843</v>
      </c>
      <c r="N55" s="1009"/>
      <c r="O55" s="965"/>
      <c r="T55" s="1021">
        <v>0</v>
      </c>
      <c r="U55" s="1021">
        <v>0</v>
      </c>
    </row>
    <row r="56" spans="1:21" x14ac:dyDescent="0.3">
      <c r="A56" s="980">
        <v>44</v>
      </c>
      <c r="B56" s="1008"/>
      <c r="C56" s="997" t="s">
        <v>251</v>
      </c>
      <c r="G56" s="965"/>
      <c r="H56" s="1010">
        <v>13.949497078421153</v>
      </c>
      <c r="I56" s="1010">
        <v>15.205655719748721</v>
      </c>
      <c r="J56" s="1010">
        <v>14.345334376492779</v>
      </c>
      <c r="K56" s="1010">
        <v>21.995316432499848</v>
      </c>
      <c r="L56" s="1010">
        <v>468.08117527105537</v>
      </c>
      <c r="M56" s="1010">
        <v>230.48953332893521</v>
      </c>
      <c r="N56" s="1009"/>
      <c r="O56" s="965"/>
      <c r="T56" s="1010">
        <v>262.66293694308223</v>
      </c>
      <c r="U56" s="1010">
        <v>387.19774798287312</v>
      </c>
    </row>
    <row r="57" spans="1:21" x14ac:dyDescent="0.3">
      <c r="A57" s="980">
        <v>45</v>
      </c>
      <c r="B57" s="961"/>
      <c r="C57" s="996" t="s">
        <v>252</v>
      </c>
      <c r="G57" s="965"/>
      <c r="H57" s="1011"/>
      <c r="I57" s="1011"/>
      <c r="J57" s="1011"/>
      <c r="K57" s="1011"/>
      <c r="L57" s="1011"/>
      <c r="M57" s="1011"/>
      <c r="N57" s="1011"/>
      <c r="O57" s="965"/>
      <c r="T57" s="1011"/>
    </row>
    <row r="58" spans="1:21" x14ac:dyDescent="0.3">
      <c r="A58" s="980">
        <v>46</v>
      </c>
      <c r="B58" s="965"/>
      <c r="C58" s="982" t="s">
        <v>215</v>
      </c>
      <c r="F58" s="950" t="s">
        <v>253</v>
      </c>
      <c r="G58" s="965"/>
      <c r="H58" s="1007">
        <v>6.0592332067701351</v>
      </c>
      <c r="I58" s="1007">
        <v>6.1183365289695146</v>
      </c>
      <c r="J58" s="1007">
        <v>6.1165345379486746</v>
      </c>
      <c r="K58" s="1007">
        <v>6.1062888953182251</v>
      </c>
      <c r="L58" s="1007">
        <v>6.0652467424057637</v>
      </c>
      <c r="M58" s="1007">
        <v>6.1179480161745365</v>
      </c>
      <c r="N58" s="1009"/>
      <c r="O58" s="965"/>
      <c r="T58" s="1007">
        <v>6.0640476006650195</v>
      </c>
      <c r="U58" s="1007">
        <v>6.0653426613017345</v>
      </c>
    </row>
    <row r="59" spans="1:21" x14ac:dyDescent="0.3">
      <c r="A59" s="980">
        <v>47</v>
      </c>
      <c r="B59" s="1008"/>
      <c r="C59" s="997" t="s">
        <v>254</v>
      </c>
      <c r="G59" s="965"/>
      <c r="H59" s="1010">
        <v>6.0592332067701351</v>
      </c>
      <c r="I59" s="1010">
        <v>6.1183365289695146</v>
      </c>
      <c r="J59" s="1010">
        <v>6.1165345379486746</v>
      </c>
      <c r="K59" s="1010">
        <v>6.1062888953182251</v>
      </c>
      <c r="L59" s="1010">
        <v>6.0652467424057637</v>
      </c>
      <c r="M59" s="1010">
        <v>6.1179480161745365</v>
      </c>
      <c r="N59" s="1009"/>
      <c r="O59" s="965"/>
      <c r="T59" s="1010">
        <v>6.0640476006650195</v>
      </c>
      <c r="U59" s="1010">
        <v>6.0653426613017345</v>
      </c>
    </row>
    <row r="60" spans="1:21" x14ac:dyDescent="0.3">
      <c r="A60" s="980">
        <v>48</v>
      </c>
      <c r="B60" s="965"/>
      <c r="C60" s="996" t="s">
        <v>255</v>
      </c>
      <c r="G60" s="965"/>
      <c r="H60" s="1011"/>
      <c r="I60" s="1011"/>
      <c r="J60" s="1011"/>
      <c r="K60" s="1011"/>
      <c r="L60" s="1011"/>
      <c r="M60" s="1011"/>
      <c r="N60" s="1011"/>
      <c r="O60" s="965"/>
      <c r="T60" s="1011"/>
      <c r="U60" s="1011"/>
    </row>
    <row r="61" spans="1:21" x14ac:dyDescent="0.3">
      <c r="A61" s="980">
        <v>49</v>
      </c>
      <c r="B61" s="965"/>
      <c r="C61" s="982" t="s">
        <v>256</v>
      </c>
      <c r="F61" s="950" t="s">
        <v>257</v>
      </c>
      <c r="G61" s="965"/>
      <c r="H61" s="1007">
        <v>30.203670477037388</v>
      </c>
      <c r="I61" s="1007">
        <v>25.019656066034951</v>
      </c>
      <c r="J61" s="1007">
        <v>16.270448424038083</v>
      </c>
      <c r="K61" s="1007">
        <v>20.897794400459656</v>
      </c>
      <c r="L61" s="1007">
        <v>15.875869604896103</v>
      </c>
      <c r="M61" s="1007">
        <v>1.0638833829762397</v>
      </c>
      <c r="N61" s="1009"/>
      <c r="O61" s="965"/>
      <c r="T61" s="1007">
        <v>14.224184567261508</v>
      </c>
      <c r="U61" s="1007">
        <v>16.00803328582391</v>
      </c>
    </row>
    <row r="62" spans="1:21" x14ac:dyDescent="0.3">
      <c r="A62" s="980">
        <v>50</v>
      </c>
      <c r="B62" s="965"/>
      <c r="C62" s="982" t="s">
        <v>258</v>
      </c>
      <c r="F62" s="950" t="s">
        <v>259</v>
      </c>
      <c r="G62" s="965"/>
      <c r="H62" s="1007">
        <v>8.4694979624343798</v>
      </c>
      <c r="I62" s="1007">
        <v>8.5552903303979591</v>
      </c>
      <c r="J62" s="1007">
        <v>8.5466831825194074</v>
      </c>
      <c r="K62" s="1007">
        <v>8.5354888038141077</v>
      </c>
      <c r="L62" s="1007">
        <v>8.4774812346529718</v>
      </c>
      <c r="M62" s="1007">
        <v>8.5414637318949556</v>
      </c>
      <c r="N62" s="1009"/>
      <c r="O62" s="965"/>
      <c r="T62" s="1007">
        <v>8.5018899437493225</v>
      </c>
      <c r="U62" s="1007">
        <v>8.4754827740405307</v>
      </c>
    </row>
    <row r="63" spans="1:21" x14ac:dyDescent="0.3">
      <c r="A63" s="980">
        <v>51</v>
      </c>
      <c r="B63" s="965"/>
      <c r="C63" s="982" t="s">
        <v>216</v>
      </c>
      <c r="F63" s="950" t="s">
        <v>260</v>
      </c>
      <c r="G63" s="965"/>
      <c r="H63" s="1007">
        <v>16.609596218180911</v>
      </c>
      <c r="I63" s="1007">
        <v>13.758784414705802</v>
      </c>
      <c r="J63" s="1007">
        <v>8.9470500781634694</v>
      </c>
      <c r="K63" s="1007">
        <v>11.492125227308481</v>
      </c>
      <c r="L63" s="1007">
        <v>8.7304766393688489</v>
      </c>
      <c r="M63" s="1007">
        <v>0.58434021644368217</v>
      </c>
      <c r="N63" s="1009"/>
      <c r="O63" s="965"/>
      <c r="T63" s="1007">
        <v>7.8221590927312556</v>
      </c>
      <c r="U63" s="1007">
        <v>8.8031326176442768</v>
      </c>
    </row>
    <row r="64" spans="1:21" x14ac:dyDescent="0.3">
      <c r="A64" s="980">
        <v>52</v>
      </c>
      <c r="B64" s="965"/>
      <c r="C64" s="982" t="s">
        <v>116</v>
      </c>
      <c r="F64" s="950" t="s">
        <v>261</v>
      </c>
      <c r="G64" s="965"/>
      <c r="H64" s="1007">
        <v>22.186295571146488</v>
      </c>
      <c r="I64" s="1007">
        <v>19.619783377599344</v>
      </c>
      <c r="J64" s="1007">
        <v>9.4667342518525146</v>
      </c>
      <c r="K64" s="1007">
        <v>14.993548447613948</v>
      </c>
      <c r="L64" s="1007">
        <v>13.169049229213721</v>
      </c>
      <c r="M64" s="1007">
        <v>19.785000842656508</v>
      </c>
      <c r="N64" s="1009"/>
      <c r="O64" s="965"/>
      <c r="T64" s="1007">
        <v>14.943688917262881</v>
      </c>
      <c r="U64" s="1007">
        <v>12.899211589901451</v>
      </c>
    </row>
    <row r="65" spans="1:21" x14ac:dyDescent="0.3">
      <c r="A65" s="980">
        <v>53</v>
      </c>
      <c r="B65" s="965"/>
      <c r="C65" s="982" t="s">
        <v>117</v>
      </c>
      <c r="F65" s="950" t="s">
        <v>262</v>
      </c>
      <c r="G65" s="965"/>
      <c r="H65" s="1007">
        <v>10.562308646013413</v>
      </c>
      <c r="I65" s="1007">
        <v>8.6948840641409504</v>
      </c>
      <c r="J65" s="1007">
        <v>1.8325886117029022</v>
      </c>
      <c r="K65" s="1007">
        <v>3.8451536039448611</v>
      </c>
      <c r="L65" s="1007">
        <v>3.4552362443194262</v>
      </c>
      <c r="M65" s="1007">
        <v>3.8300184902401222</v>
      </c>
      <c r="N65" s="1009"/>
      <c r="O65" s="965"/>
      <c r="T65" s="1007"/>
      <c r="U65" s="1007">
        <v>3.4552362443194262</v>
      </c>
    </row>
    <row r="66" spans="1:21" x14ac:dyDescent="0.3">
      <c r="A66" s="980">
        <v>54</v>
      </c>
      <c r="B66" s="1008"/>
      <c r="C66" s="997" t="s">
        <v>263</v>
      </c>
      <c r="G66" s="965"/>
      <c r="H66" s="1010">
        <v>88.031368874812586</v>
      </c>
      <c r="I66" s="1010">
        <v>75.648398252879005</v>
      </c>
      <c r="J66" s="1010">
        <v>45.063504548276377</v>
      </c>
      <c r="K66" s="1010">
        <v>59.764110483141046</v>
      </c>
      <c r="L66" s="1010">
        <v>49.708112952451074</v>
      </c>
      <c r="M66" s="1010">
        <v>33.804706664211508</v>
      </c>
      <c r="N66" s="1009"/>
      <c r="O66" s="965"/>
      <c r="T66" s="1010">
        <v>45.491922521004966</v>
      </c>
      <c r="U66" s="1010">
        <v>49.6410965117296</v>
      </c>
    </row>
    <row r="67" spans="1:21" x14ac:dyDescent="0.3">
      <c r="A67" s="980">
        <v>55</v>
      </c>
      <c r="B67" s="965"/>
      <c r="C67" s="996" t="s">
        <v>264</v>
      </c>
      <c r="G67" s="965"/>
      <c r="H67" s="1011"/>
      <c r="I67" s="1011"/>
      <c r="J67" s="1011"/>
      <c r="K67" s="1011"/>
      <c r="L67" s="1011"/>
      <c r="M67" s="1011"/>
      <c r="N67" s="1011"/>
      <c r="O67" s="965"/>
      <c r="T67" s="1011"/>
      <c r="U67" s="1011"/>
    </row>
    <row r="68" spans="1:21" x14ac:dyDescent="0.3">
      <c r="A68" s="980">
        <v>56</v>
      </c>
      <c r="B68" s="965"/>
      <c r="C68" s="982" t="s">
        <v>256</v>
      </c>
      <c r="F68" s="950" t="s">
        <v>265</v>
      </c>
      <c r="G68" s="965"/>
      <c r="H68" s="1009"/>
      <c r="I68" s="1009"/>
      <c r="J68" s="1009"/>
      <c r="K68" s="1007">
        <v>7.4758931916963034</v>
      </c>
      <c r="L68" s="1007">
        <v>5.5465970827296642</v>
      </c>
      <c r="M68" s="1009"/>
      <c r="N68" s="1009"/>
      <c r="O68" s="965"/>
      <c r="T68" s="1007">
        <v>6.136077780550047</v>
      </c>
      <c r="U68" s="1007">
        <v>5.5089967726662978</v>
      </c>
    </row>
    <row r="69" spans="1:21" x14ac:dyDescent="0.3">
      <c r="A69" s="980">
        <v>57</v>
      </c>
      <c r="B69" s="965"/>
      <c r="C69" s="982" t="s">
        <v>258</v>
      </c>
      <c r="F69" s="950" t="s">
        <v>266</v>
      </c>
      <c r="G69" s="965"/>
      <c r="H69" s="1009"/>
      <c r="I69" s="1009"/>
      <c r="J69" s="1009"/>
      <c r="K69" s="1007">
        <v>3.053451546773299</v>
      </c>
      <c r="L69" s="1007">
        <v>2.9618013913719956</v>
      </c>
      <c r="M69" s="1009"/>
      <c r="N69" s="1009"/>
      <c r="O69" s="965"/>
      <c r="T69" s="1007">
        <v>3.6675745966199682</v>
      </c>
      <c r="U69" s="1007">
        <v>2.9167485109070941</v>
      </c>
    </row>
    <row r="70" spans="1:21" x14ac:dyDescent="0.3">
      <c r="A70" s="980">
        <v>58</v>
      </c>
      <c r="B70" s="965"/>
      <c r="C70" s="982" t="s">
        <v>216</v>
      </c>
      <c r="F70" s="950" t="s">
        <v>267</v>
      </c>
      <c r="G70" s="965"/>
      <c r="H70" s="1009"/>
      <c r="I70" s="1009"/>
      <c r="J70" s="1009"/>
      <c r="K70" s="1007">
        <v>4.1111468080606199</v>
      </c>
      <c r="L70" s="1007">
        <v>3.0501911053633681</v>
      </c>
      <c r="M70" s="1009"/>
      <c r="N70" s="1009"/>
      <c r="O70" s="965"/>
      <c r="T70" s="1007">
        <v>3.3743499585422212</v>
      </c>
      <c r="U70" s="1007">
        <v>3.0295057683883186</v>
      </c>
    </row>
    <row r="71" spans="1:21" x14ac:dyDescent="0.3">
      <c r="A71" s="980">
        <v>59</v>
      </c>
      <c r="B71" s="965"/>
      <c r="C71" s="982" t="s">
        <v>116</v>
      </c>
      <c r="F71" s="950" t="s">
        <v>268</v>
      </c>
      <c r="G71" s="965"/>
      <c r="H71" s="1009"/>
      <c r="I71" s="1009"/>
      <c r="J71" s="1009"/>
      <c r="K71" s="1007">
        <v>5.27241907699905</v>
      </c>
      <c r="L71" s="1007">
        <v>4.1226770373783541</v>
      </c>
      <c r="M71" s="1009"/>
      <c r="N71" s="1009"/>
      <c r="O71" s="965"/>
      <c r="T71" s="1007">
        <v>4.0042654124459256</v>
      </c>
      <c r="U71" s="1007">
        <v>4.1442647169867</v>
      </c>
    </row>
    <row r="72" spans="1:21" x14ac:dyDescent="0.3">
      <c r="A72" s="980">
        <v>60</v>
      </c>
      <c r="B72" s="965"/>
      <c r="C72" s="982" t="s">
        <v>117</v>
      </c>
      <c r="F72" s="950" t="s">
        <v>269</v>
      </c>
      <c r="G72" s="965"/>
      <c r="H72" s="1009"/>
      <c r="I72" s="1009"/>
      <c r="J72" s="1009"/>
      <c r="K72" s="1007">
        <v>1.3345858983865158</v>
      </c>
      <c r="L72" s="1007">
        <v>1.5908885792250775</v>
      </c>
      <c r="M72" s="1009"/>
      <c r="N72" s="1009"/>
      <c r="O72" s="965"/>
      <c r="T72" s="1021" t="s">
        <v>238</v>
      </c>
      <c r="U72" s="1021" t="s">
        <v>238</v>
      </c>
    </row>
    <row r="73" spans="1:21" x14ac:dyDescent="0.3">
      <c r="A73" s="980">
        <v>61</v>
      </c>
      <c r="B73" s="1008"/>
      <c r="C73" s="997" t="s">
        <v>270</v>
      </c>
      <c r="G73" s="965"/>
      <c r="H73" s="1010">
        <v>0</v>
      </c>
      <c r="I73" s="1010">
        <v>0</v>
      </c>
      <c r="J73" s="1010">
        <v>0</v>
      </c>
      <c r="K73" s="1010">
        <v>21.247496521915785</v>
      </c>
      <c r="L73" s="1010">
        <v>17.272155196068461</v>
      </c>
      <c r="M73" s="1010">
        <v>0</v>
      </c>
      <c r="N73" s="1009"/>
      <c r="O73" s="965"/>
      <c r="T73" s="1010">
        <v>17.182267748158161</v>
      </c>
      <c r="U73" s="1010">
        <v>15.599515768948411</v>
      </c>
    </row>
    <row r="74" spans="1:21" x14ac:dyDescent="0.3">
      <c r="A74" s="980"/>
      <c r="B74" s="1008"/>
      <c r="C74" s="997"/>
      <c r="G74" s="1007"/>
      <c r="H74" s="1007"/>
      <c r="I74" s="1007"/>
      <c r="J74" s="1007"/>
      <c r="K74" s="1007"/>
      <c r="L74" s="1007"/>
      <c r="M74" s="1007"/>
      <c r="N74" s="1009"/>
      <c r="O74" s="965"/>
      <c r="T74" s="1021"/>
      <c r="U74" s="1021"/>
    </row>
    <row r="75" spans="1:21" x14ac:dyDescent="0.3">
      <c r="A75" s="1012" t="s">
        <v>271</v>
      </c>
      <c r="B75" s="1013"/>
      <c r="C75" s="1014"/>
      <c r="D75" s="1015"/>
      <c r="E75" s="1015"/>
      <c r="F75" s="1015"/>
      <c r="G75" s="1015"/>
      <c r="H75" s="1015"/>
      <c r="I75" s="1015"/>
      <c r="J75" s="1015"/>
      <c r="K75" s="1015"/>
      <c r="L75" s="1015"/>
      <c r="M75" s="1012"/>
      <c r="N75" s="1013" t="s">
        <v>99</v>
      </c>
      <c r="O75" s="1014"/>
      <c r="P75" s="1014"/>
      <c r="T75" s="1015"/>
      <c r="U75" s="1015"/>
    </row>
    <row r="76" spans="1:21" x14ac:dyDescent="0.3">
      <c r="A76" s="965"/>
      <c r="B76" s="965"/>
      <c r="C76" s="965"/>
      <c r="G76" s="965"/>
      <c r="H76" s="965"/>
      <c r="I76" s="965"/>
      <c r="J76" s="965"/>
      <c r="K76" s="965"/>
      <c r="L76" s="965"/>
      <c r="M76" s="965"/>
      <c r="N76" s="965"/>
      <c r="O76" s="965"/>
      <c r="T76" s="965"/>
      <c r="U76" s="965"/>
    </row>
    <row r="77" spans="1:21" x14ac:dyDescent="0.3">
      <c r="A77" s="965"/>
      <c r="B77" s="965"/>
      <c r="C77" s="965"/>
      <c r="G77" s="965"/>
      <c r="H77" s="965"/>
      <c r="I77" s="965"/>
      <c r="J77" s="965"/>
      <c r="K77" s="965"/>
      <c r="L77" s="965"/>
      <c r="M77" s="965"/>
      <c r="N77" s="965"/>
      <c r="O77" s="965"/>
      <c r="T77" s="965"/>
      <c r="U77" s="965"/>
    </row>
    <row r="78" spans="1:21" x14ac:dyDescent="0.3">
      <c r="A78" s="967"/>
      <c r="B78" s="965"/>
      <c r="C78" s="965"/>
      <c r="G78" s="1016"/>
      <c r="H78" s="1016"/>
      <c r="I78" s="1016"/>
      <c r="J78" s="1016"/>
      <c r="K78" s="1016"/>
      <c r="L78" s="1016"/>
      <c r="M78" s="1016"/>
      <c r="N78" s="965"/>
      <c r="O78" s="965"/>
      <c r="T78" s="1016"/>
      <c r="U78" s="1016"/>
    </row>
    <row r="79" spans="1:21" x14ac:dyDescent="0.3">
      <c r="A79" s="965"/>
      <c r="B79" s="965"/>
      <c r="C79" s="965"/>
      <c r="G79" s="965"/>
      <c r="H79" s="965"/>
      <c r="I79" s="965"/>
      <c r="J79" s="965"/>
      <c r="K79" s="965"/>
      <c r="L79" s="965"/>
      <c r="M79" s="965"/>
      <c r="N79" s="965"/>
      <c r="O79" s="965"/>
      <c r="T79" s="965"/>
      <c r="U79" s="965"/>
    </row>
    <row r="82" spans="1:8" x14ac:dyDescent="0.3">
      <c r="A82" s="945"/>
    </row>
    <row r="83" spans="1:8" x14ac:dyDescent="0.3">
      <c r="A83" s="945"/>
    </row>
    <row r="84" spans="1:8" x14ac:dyDescent="0.3">
      <c r="A84" s="945"/>
    </row>
    <row r="85" spans="1:8" x14ac:dyDescent="0.3">
      <c r="A85" s="945"/>
      <c r="H85" s="1017"/>
    </row>
    <row r="86" spans="1:8" x14ac:dyDescent="0.3">
      <c r="A86" s="945"/>
      <c r="H86" s="1017"/>
    </row>
    <row r="87" spans="1:8" x14ac:dyDescent="0.3">
      <c r="A87" s="945"/>
      <c r="H87" s="1017"/>
    </row>
    <row r="88" spans="1:8" x14ac:dyDescent="0.3">
      <c r="A88" s="945"/>
      <c r="H88" s="1017"/>
    </row>
    <row r="89" spans="1:8" x14ac:dyDescent="0.3">
      <c r="A89" s="945"/>
    </row>
    <row r="90" spans="1:8" x14ac:dyDescent="0.3">
      <c r="A90" s="945"/>
    </row>
    <row r="91" spans="1:8" x14ac:dyDescent="0.3">
      <c r="A91" s="945"/>
    </row>
    <row r="92" spans="1:8" x14ac:dyDescent="0.3">
      <c r="A92" s="945"/>
    </row>
    <row r="93" spans="1:8" x14ac:dyDescent="0.3">
      <c r="A93" s="945"/>
    </row>
    <row r="94" spans="1:8" x14ac:dyDescent="0.3">
      <c r="A94" s="945"/>
    </row>
    <row r="95" spans="1:8" x14ac:dyDescent="0.3">
      <c r="A95" s="945"/>
    </row>
    <row r="96" spans="1:8" x14ac:dyDescent="0.3">
      <c r="A96" s="945"/>
    </row>
    <row r="97" spans="1:15" x14ac:dyDescent="0.3">
      <c r="A97" s="945"/>
    </row>
    <row r="98" spans="1:15" x14ac:dyDescent="0.3">
      <c r="A98" s="945"/>
    </row>
    <row r="99" spans="1:15" x14ac:dyDescent="0.3">
      <c r="A99" s="945"/>
    </row>
    <row r="100" spans="1:15" x14ac:dyDescent="0.3">
      <c r="A100" s="945"/>
    </row>
    <row r="101" spans="1:15" x14ac:dyDescent="0.3">
      <c r="A101" s="945"/>
    </row>
    <row r="102" spans="1:15" x14ac:dyDescent="0.3">
      <c r="A102" s="945"/>
    </row>
    <row r="103" spans="1:15" x14ac:dyDescent="0.3">
      <c r="A103" s="945"/>
    </row>
    <row r="104" spans="1:15" x14ac:dyDescent="0.3">
      <c r="A104" s="945"/>
    </row>
    <row r="105" spans="1:15" x14ac:dyDescent="0.3">
      <c r="A105" s="945"/>
    </row>
    <row r="106" spans="1:15" x14ac:dyDescent="0.3">
      <c r="A106" s="945"/>
    </row>
    <row r="107" spans="1:15" x14ac:dyDescent="0.3">
      <c r="A107" s="945"/>
    </row>
    <row r="108" spans="1:15" x14ac:dyDescent="0.3">
      <c r="A108" s="945"/>
      <c r="C108" s="945"/>
      <c r="D108" s="946"/>
      <c r="F108" s="946"/>
      <c r="G108" s="946"/>
      <c r="H108" s="946"/>
      <c r="I108" s="946"/>
      <c r="J108" s="946"/>
      <c r="K108" s="946"/>
      <c r="L108" s="946"/>
      <c r="M108" s="946"/>
      <c r="N108" s="946"/>
      <c r="O108" s="946"/>
    </row>
    <row r="109" spans="1:15" x14ac:dyDescent="0.3">
      <c r="A109" s="945"/>
    </row>
    <row r="110" spans="1:15" x14ac:dyDescent="0.3">
      <c r="A110" s="945"/>
    </row>
  </sheetData>
  <printOptions horizontalCentered="1"/>
  <pageMargins left="0.5" right="0.5" top="0.75" bottom="0.5" header="0.5" footer="0.5"/>
  <pageSetup scale="52" fitToHeight="0" orientation="landscape" r:id="rId1"/>
  <headerFooter alignWithMargins="0">
    <oddHeader xml:space="preserve">&amp;RDEF’s Response to OPC POD 1 (1-26)
Q7
Page &amp;P of &amp;N
</oddHeader>
    <oddFooter>&amp;R20240025-OPCPOD1-00004300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3603E-DCF6-4BDD-851D-A543D890624B}">
  <sheetPr>
    <tabColor rgb="FF92D050"/>
    <pageSetUpPr fitToPage="1"/>
  </sheetPr>
  <dimension ref="A2:AA46"/>
  <sheetViews>
    <sheetView tabSelected="1" workbookViewId="0">
      <selection activeCell="S8" sqref="S8"/>
    </sheetView>
  </sheetViews>
  <sheetFormatPr defaultRowHeight="14.4" x14ac:dyDescent="0.3"/>
  <cols>
    <col min="1" max="1" width="1.6640625" style="13" customWidth="1"/>
    <col min="2" max="2" width="4.109375" style="13" customWidth="1"/>
    <col min="3" max="3" width="24.44140625" style="13" customWidth="1"/>
    <col min="4" max="4" width="7.5546875" style="13" customWidth="1"/>
    <col min="5" max="6" width="9" style="13" customWidth="1"/>
    <col min="7" max="7" width="3" style="13" customWidth="1"/>
    <col min="8" max="9" width="12.109375" style="13" bestFit="1" customWidth="1"/>
    <col min="10" max="10" width="3" style="13" customWidth="1"/>
    <col min="11" max="11" width="13.44140625" style="13" bestFit="1" customWidth="1"/>
    <col min="12" max="12" width="15.5546875" style="13" bestFit="1" customWidth="1"/>
    <col min="13" max="14" width="12.109375" style="13" customWidth="1"/>
    <col min="15" max="15" width="3" style="13" customWidth="1"/>
    <col min="16" max="16" width="12.109375" style="13" bestFit="1" customWidth="1"/>
    <col min="17" max="17" width="3" style="13" customWidth="1"/>
    <col min="18" max="19" width="9" style="13" customWidth="1"/>
    <col min="20" max="20" width="5.33203125" style="13" customWidth="1"/>
    <col min="21" max="22" width="12.5546875" style="13" customWidth="1"/>
    <col min="23" max="27" width="1.6640625" style="13" customWidth="1"/>
  </cols>
  <sheetData>
    <row r="2" spans="1:27" ht="15.6" x14ac:dyDescent="0.3">
      <c r="A2" s="9"/>
      <c r="B2" s="10">
        <v>2026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9"/>
    </row>
    <row r="3" spans="1:27" x14ac:dyDescent="0.3">
      <c r="A3" s="9"/>
      <c r="B3" s="12" t="s">
        <v>282</v>
      </c>
      <c r="D3" s="14"/>
      <c r="H3" s="15"/>
      <c r="I3" s="15" t="s">
        <v>283</v>
      </c>
      <c r="K3" s="15"/>
      <c r="M3" s="16"/>
      <c r="N3" s="16"/>
      <c r="P3" s="15"/>
      <c r="Q3" s="16"/>
      <c r="V3" s="17" t="s">
        <v>103</v>
      </c>
      <c r="AA3" s="9"/>
    </row>
    <row r="4" spans="1:27" x14ac:dyDescent="0.3">
      <c r="A4" s="9"/>
      <c r="B4" s="18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AA4" s="9"/>
    </row>
    <row r="5" spans="1:27" x14ac:dyDescent="0.3">
      <c r="A5" s="9"/>
      <c r="B5" s="12"/>
      <c r="AA5" s="9"/>
    </row>
    <row r="6" spans="1:27" x14ac:dyDescent="0.3">
      <c r="A6" s="9"/>
      <c r="B6" s="12" t="s">
        <v>3</v>
      </c>
      <c r="F6" s="13" t="s">
        <v>4</v>
      </c>
      <c r="H6" s="13" t="s">
        <v>284</v>
      </c>
      <c r="S6" s="20" t="s">
        <v>6</v>
      </c>
      <c r="AA6" s="9"/>
    </row>
    <row r="7" spans="1:27" x14ac:dyDescent="0.3">
      <c r="A7" s="9"/>
      <c r="H7" s="13" t="s">
        <v>285</v>
      </c>
      <c r="S7" s="20"/>
      <c r="AA7" s="9"/>
    </row>
    <row r="8" spans="1:27" x14ac:dyDescent="0.3">
      <c r="A8" s="9"/>
      <c r="B8" s="20" t="s">
        <v>9</v>
      </c>
      <c r="C8" s="21"/>
      <c r="D8" s="21"/>
      <c r="H8" s="13" t="s">
        <v>286</v>
      </c>
      <c r="S8" s="20" t="s">
        <v>204</v>
      </c>
      <c r="AA8" s="9"/>
    </row>
    <row r="9" spans="1:27" x14ac:dyDescent="0.3">
      <c r="A9" s="9"/>
      <c r="B9" s="21"/>
      <c r="C9" s="21"/>
      <c r="D9" s="21"/>
      <c r="H9" s="13" t="s">
        <v>287</v>
      </c>
      <c r="S9" s="20"/>
      <c r="AA9" s="9"/>
    </row>
    <row r="10" spans="1:27" x14ac:dyDescent="0.3">
      <c r="A10" s="9"/>
      <c r="B10" s="20" t="s">
        <v>13</v>
      </c>
      <c r="C10" s="21"/>
      <c r="D10" s="22" t="s">
        <v>14</v>
      </c>
      <c r="H10" s="13" t="s">
        <v>288</v>
      </c>
      <c r="S10" s="20" t="s">
        <v>15</v>
      </c>
      <c r="AA10" s="9"/>
    </row>
    <row r="11" spans="1:27" x14ac:dyDescent="0.3">
      <c r="A11" s="9"/>
      <c r="B11" s="12"/>
      <c r="H11" s="13" t="s">
        <v>289</v>
      </c>
      <c r="AA11" s="9"/>
    </row>
    <row r="12" spans="1:27" x14ac:dyDescent="0.3">
      <c r="A12" s="9"/>
      <c r="B12" s="18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AA12" s="9"/>
    </row>
    <row r="13" spans="1:27" x14ac:dyDescent="0.3">
      <c r="A13" s="9"/>
      <c r="B13" s="12"/>
      <c r="AA13" s="9"/>
    </row>
    <row r="14" spans="1:27" x14ac:dyDescent="0.3">
      <c r="A14" s="70"/>
      <c r="B14" s="71"/>
      <c r="C14" s="72"/>
      <c r="D14" s="72"/>
      <c r="E14" s="1107">
        <v>-1</v>
      </c>
      <c r="F14" s="26">
        <f>E14-1</f>
        <v>-2</v>
      </c>
      <c r="G14" s="1107"/>
      <c r="H14" s="26">
        <f>F14-1</f>
        <v>-3</v>
      </c>
      <c r="I14" s="26">
        <f>H14-1</f>
        <v>-4</v>
      </c>
      <c r="J14" s="1107"/>
      <c r="K14" s="26">
        <f>I14-1</f>
        <v>-5</v>
      </c>
      <c r="L14" s="26">
        <f t="shared" ref="L14:N14" si="0">K14-1</f>
        <v>-6</v>
      </c>
      <c r="M14" s="26">
        <f t="shared" si="0"/>
        <v>-7</v>
      </c>
      <c r="N14" s="26">
        <f t="shared" si="0"/>
        <v>-8</v>
      </c>
      <c r="O14" s="1107"/>
      <c r="P14" s="26">
        <f>N14-1</f>
        <v>-9</v>
      </c>
      <c r="Q14" s="1107"/>
      <c r="R14" s="26">
        <f>P14-1</f>
        <v>-10</v>
      </c>
      <c r="S14" s="26">
        <f t="shared" ref="S14" si="1">R14-1</f>
        <v>-11</v>
      </c>
      <c r="T14" s="1108"/>
      <c r="U14" s="26">
        <f>S14-1</f>
        <v>-12</v>
      </c>
      <c r="V14" s="26">
        <f t="shared" ref="V14" si="2">U14-1</f>
        <v>-13</v>
      </c>
      <c r="W14" s="72"/>
      <c r="X14" s="72"/>
      <c r="Y14" s="72"/>
      <c r="Z14" s="72"/>
      <c r="AA14" s="70"/>
    </row>
    <row r="15" spans="1:27" x14ac:dyDescent="0.3">
      <c r="A15" s="70"/>
      <c r="B15" s="71"/>
      <c r="C15" s="72"/>
      <c r="D15" s="72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2"/>
      <c r="U15" s="73"/>
      <c r="V15" s="73"/>
      <c r="W15" s="72"/>
      <c r="X15" s="72"/>
      <c r="Y15" s="72"/>
      <c r="Z15" s="72"/>
      <c r="AA15" s="70"/>
    </row>
    <row r="16" spans="1:27" x14ac:dyDescent="0.3">
      <c r="A16" s="9"/>
      <c r="B16" s="12"/>
      <c r="E16" s="74"/>
      <c r="F16" s="74"/>
      <c r="G16" s="74"/>
      <c r="H16" s="74"/>
      <c r="I16" s="74"/>
      <c r="J16" s="74"/>
      <c r="K16" s="1378" t="s">
        <v>290</v>
      </c>
      <c r="L16" s="1379"/>
      <c r="M16" s="1379"/>
      <c r="N16" s="1380"/>
      <c r="O16" s="74"/>
      <c r="P16" s="74"/>
      <c r="Q16" s="75"/>
      <c r="R16" s="74"/>
      <c r="S16" s="74"/>
      <c r="U16" s="74"/>
      <c r="V16" s="74"/>
      <c r="AA16" s="9"/>
    </row>
    <row r="17" spans="1:27" x14ac:dyDescent="0.3">
      <c r="A17" s="9"/>
      <c r="E17" s="75"/>
      <c r="F17" s="76"/>
      <c r="M17" s="77"/>
      <c r="N17" s="16"/>
      <c r="Q17" s="16"/>
      <c r="R17" s="75"/>
      <c r="S17" s="76"/>
      <c r="U17" s="78"/>
      <c r="V17" s="76"/>
      <c r="AA17" s="9"/>
    </row>
    <row r="18" spans="1:27" ht="41.4" x14ac:dyDescent="0.3">
      <c r="A18" s="9"/>
      <c r="B18" s="80" t="s">
        <v>30</v>
      </c>
      <c r="C18" s="18" t="s">
        <v>291</v>
      </c>
      <c r="D18" s="19"/>
      <c r="E18" s="1229" t="s">
        <v>292</v>
      </c>
      <c r="F18" s="1229" t="s">
        <v>293</v>
      </c>
      <c r="G18" s="19"/>
      <c r="H18" s="1229" t="s">
        <v>294</v>
      </c>
      <c r="I18" s="1229" t="s">
        <v>55</v>
      </c>
      <c r="J18" s="19"/>
      <c r="K18" s="1229" t="s">
        <v>295</v>
      </c>
      <c r="L18" s="1229" t="s">
        <v>296</v>
      </c>
      <c r="M18" s="1229" t="s">
        <v>297</v>
      </c>
      <c r="N18" s="1229" t="s">
        <v>298</v>
      </c>
      <c r="O18" s="19"/>
      <c r="P18" s="1229" t="s">
        <v>83</v>
      </c>
      <c r="Q18" s="81"/>
      <c r="R18" s="1229" t="s">
        <v>299</v>
      </c>
      <c r="S18" s="1229" t="s">
        <v>300</v>
      </c>
      <c r="T18" s="18"/>
      <c r="U18" s="1229" t="s">
        <v>301</v>
      </c>
      <c r="V18" s="1229" t="s">
        <v>302</v>
      </c>
      <c r="AA18" s="9"/>
    </row>
    <row r="19" spans="1:27" x14ac:dyDescent="0.3">
      <c r="A19" s="9"/>
      <c r="B19" s="77"/>
      <c r="C19" s="16"/>
      <c r="E19" s="16"/>
      <c r="Q19" s="16"/>
      <c r="AA19" s="9"/>
    </row>
    <row r="20" spans="1:27" x14ac:dyDescent="0.3">
      <c r="A20" s="9"/>
      <c r="B20" s="79">
        <v>1</v>
      </c>
      <c r="C20" s="15" t="s">
        <v>303</v>
      </c>
      <c r="E20" s="1132">
        <f>'E-1 (1A) - (2-4)'!F25</f>
        <v>6.8036937765224167E-2</v>
      </c>
      <c r="F20" s="82">
        <f t="shared" ref="F20:F26" si="3">E20/E$33</f>
        <v>1.0180208232723864</v>
      </c>
      <c r="G20" s="83"/>
      <c r="H20" s="733">
        <f>'MFR E-6b'!H29</f>
        <v>2281997.2598304595</v>
      </c>
      <c r="I20" s="733">
        <f>'MFR E-13a'!H18</f>
        <v>2242205.1568560041</v>
      </c>
      <c r="J20" s="83"/>
      <c r="K20" s="733">
        <f>'MFR E-5 Yr4'!J53</f>
        <v>0</v>
      </c>
      <c r="L20" s="733">
        <f>'MFR E-13a'!J18-'MFR E-13a'!F18</f>
        <v>57009.421900000423</v>
      </c>
      <c r="M20" s="733">
        <f>'MFR E-13a'!K18-'MFR E-13a'!G18</f>
        <v>588.85139407602765</v>
      </c>
      <c r="N20" s="733">
        <f>L20+M20</f>
        <v>57598.273294076454</v>
      </c>
      <c r="O20" s="83"/>
      <c r="P20" s="733">
        <f>I20+N20</f>
        <v>2299803.4301500805</v>
      </c>
      <c r="Q20" s="85"/>
      <c r="R20" s="1132">
        <f>'E-1 (1A) - (2-4)'!F44</f>
        <v>7.1236345790581565E-2</v>
      </c>
      <c r="S20" s="82">
        <f t="shared" ref="S20:S26" si="4">R20/R$33</f>
        <v>1.0140606580987581</v>
      </c>
      <c r="T20" s="74"/>
      <c r="U20" s="86">
        <f>ROUND(N20/I20,4)</f>
        <v>2.5700000000000001E-2</v>
      </c>
      <c r="V20" s="86">
        <f>'E-8 (clause rev forecast)'!AC10</f>
        <v>1.6858771442337158E-2</v>
      </c>
      <c r="AA20" s="9"/>
    </row>
    <row r="21" spans="1:27" x14ac:dyDescent="0.3">
      <c r="A21" s="9"/>
      <c r="B21" s="79">
        <f>B20+1</f>
        <v>2</v>
      </c>
      <c r="C21" s="15" t="s">
        <v>304</v>
      </c>
      <c r="E21" s="1132">
        <f>'E-1 (1A) - (2-4)'!G25</f>
        <v>6.7558866002206466E-2</v>
      </c>
      <c r="F21" s="82">
        <f t="shared" si="3"/>
        <v>1.0108675470410255</v>
      </c>
      <c r="G21" s="83"/>
      <c r="H21" s="733">
        <f>'MFR E-6b'!I29</f>
        <v>204311.7654968744</v>
      </c>
      <c r="I21" s="733">
        <f>'MFR E-13a'!H19</f>
        <v>199992.29389740311</v>
      </c>
      <c r="J21" s="83"/>
      <c r="K21" s="733">
        <f>'MFR E-5 Yr4'!K53</f>
        <v>0</v>
      </c>
      <c r="L21" s="733">
        <f>'MFR E-13a'!J19-'MFR E-13a'!F19</f>
        <v>5910.866389999981</v>
      </c>
      <c r="M21" s="733">
        <f>'MFR E-13a'!K19-'MFR E-13a'!G19</f>
        <v>2.6381167492029221</v>
      </c>
      <c r="N21" s="733">
        <f t="shared" ref="N21:N26" si="5">L21+M21</f>
        <v>5913.5045067491837</v>
      </c>
      <c r="O21" s="83"/>
      <c r="P21" s="733">
        <f t="shared" ref="P21:P26" si="6">I21+N21</f>
        <v>205905.7984041523</v>
      </c>
      <c r="Q21" s="84"/>
      <c r="R21" s="1132">
        <f>'E-1 (1A) - (2-4)'!G44</f>
        <v>7.1232298070558212E-2</v>
      </c>
      <c r="S21" s="82">
        <f t="shared" si="4"/>
        <v>1.0140030381635252</v>
      </c>
      <c r="T21" s="74"/>
      <c r="U21" s="86">
        <f>ROUND(N21/I21,4)</f>
        <v>2.9600000000000001E-2</v>
      </c>
      <c r="V21" s="86">
        <f>'E-8 (clause rev forecast)'!AC22</f>
        <v>1.8119819495049497E-2</v>
      </c>
      <c r="AA21" s="9"/>
    </row>
    <row r="22" spans="1:27" x14ac:dyDescent="0.3">
      <c r="A22" s="9"/>
      <c r="B22" s="79">
        <f t="shared" ref="B22:B40" si="7">B21+1</f>
        <v>3</v>
      </c>
      <c r="C22" s="15" t="s">
        <v>137</v>
      </c>
      <c r="E22" s="1132">
        <f>'E-1 (1A) - (2-4)'!H25</f>
        <v>5.7279007231772823E-2</v>
      </c>
      <c r="F22" s="82">
        <f t="shared" si="3"/>
        <v>0.85705241907755381</v>
      </c>
      <c r="G22" s="83"/>
      <c r="H22" s="733">
        <f>'MFR E-6b'!J29</f>
        <v>13235.026666544913</v>
      </c>
      <c r="I22" s="733">
        <f>'MFR E-13a'!H20</f>
        <v>11991.78251042675</v>
      </c>
      <c r="J22" s="83"/>
      <c r="K22" s="733">
        <f>'MFR E-5 Yr4'!L53</f>
        <v>0</v>
      </c>
      <c r="L22" s="733">
        <f>'MFR E-13a'!J20-'MFR E-13a'!F20</f>
        <v>485.50820999999996</v>
      </c>
      <c r="M22" s="733">
        <f>'MFR E-13a'!K20-'MFR E-13a'!G20</f>
        <v>0.29786305661869505</v>
      </c>
      <c r="N22" s="733">
        <f t="shared" si="5"/>
        <v>485.80607305661863</v>
      </c>
      <c r="O22" s="83"/>
      <c r="P22" s="733">
        <f t="shared" si="6"/>
        <v>12477.58858348337</v>
      </c>
      <c r="Q22" s="84"/>
      <c r="R22" s="1132">
        <f>'E-1 (1A) - (2-4)'!H44</f>
        <v>6.238752389314451E-2</v>
      </c>
      <c r="S22" s="82">
        <f t="shared" si="4"/>
        <v>0.8880962777374608</v>
      </c>
      <c r="T22" s="74"/>
      <c r="U22" s="86">
        <f>ROUND(N22/I22,4)</f>
        <v>4.0500000000000001E-2</v>
      </c>
      <c r="V22" s="86">
        <f>'E-8 (clause rev forecast)'!AC24</f>
        <v>2.1550703531861004E-2</v>
      </c>
      <c r="AA22" s="9"/>
    </row>
    <row r="23" spans="1:27" x14ac:dyDescent="0.3">
      <c r="A23" s="9"/>
      <c r="B23" s="79">
        <f t="shared" si="7"/>
        <v>4</v>
      </c>
      <c r="C23" s="15" t="s">
        <v>305</v>
      </c>
      <c r="E23" s="1132">
        <f>'E-1 (1A) - (2-4)'!I25</f>
        <v>6.775332078684819E-2</v>
      </c>
      <c r="F23" s="82">
        <f t="shared" si="3"/>
        <v>1.0137771286073405</v>
      </c>
      <c r="G23" s="83"/>
      <c r="H23" s="733">
        <f>'MFR E-6b'!K29</f>
        <v>871220.95348612685</v>
      </c>
      <c r="I23" s="733">
        <f>'MFR E-13a'!H21+'MFR E-13a'!H24</f>
        <v>854345.203261205</v>
      </c>
      <c r="J23" s="83"/>
      <c r="K23" s="733">
        <f>'MFR E-5 Yr4'!M53</f>
        <v>0</v>
      </c>
      <c r="L23" s="733">
        <f>'MFR E-13a'!J21+'MFR E-13a'!J24-'MFR E-13a'!F21-'MFR E-13a'!F24</f>
        <v>23659.010363672056</v>
      </c>
      <c r="M23" s="733">
        <f>'MFR E-13a'!K21+'MFR E-13a'!K24-'MFR E-13a'!G21-'MFR E-13a'!G24</f>
        <v>25.762284223443451</v>
      </c>
      <c r="N23" s="733">
        <f t="shared" si="5"/>
        <v>23684.772647895501</v>
      </c>
      <c r="O23" s="83"/>
      <c r="P23" s="733">
        <f t="shared" si="6"/>
        <v>878029.9759091005</v>
      </c>
      <c r="Q23" s="84"/>
      <c r="R23" s="1132">
        <f>'E-1 (1A) - (2-4)'!I44</f>
        <v>7.1215440947728401E-2</v>
      </c>
      <c r="S23" s="82">
        <f t="shared" si="4"/>
        <v>1.0137630743517836</v>
      </c>
      <c r="T23" s="74"/>
      <c r="U23" s="86">
        <f>ROUND(N23/I23,4)</f>
        <v>2.7699999999999999E-2</v>
      </c>
      <c r="V23" s="86">
        <f>'E-8 (clause rev forecast)'!AC37</f>
        <v>1.5278306381176701E-2</v>
      </c>
      <c r="AA23" s="9"/>
    </row>
    <row r="24" spans="1:27" x14ac:dyDescent="0.3">
      <c r="A24" s="9"/>
      <c r="B24" s="79">
        <f t="shared" si="7"/>
        <v>5</v>
      </c>
      <c r="C24" s="734" t="s">
        <v>306</v>
      </c>
      <c r="D24" s="87"/>
      <c r="E24" s="1132">
        <f>'E-1 (1A) - (2-4)'!J25</f>
        <v>5.0028447517283019E-2</v>
      </c>
      <c r="F24" s="82">
        <f t="shared" si="3"/>
        <v>0.74856398599726182</v>
      </c>
      <c r="G24" s="83"/>
      <c r="H24" s="733">
        <f>'MFR E-6b'!T29</f>
        <v>10727.125549035705</v>
      </c>
      <c r="I24" s="733">
        <f>'MFR E-13a'!H22+'MFR E-13a'!H26</f>
        <v>10781.608038520231</v>
      </c>
      <c r="J24" s="83"/>
      <c r="K24" s="733">
        <f>'MFR E-5 Yr4'!N53</f>
        <v>0</v>
      </c>
      <c r="L24" s="733">
        <f>'MFR E-13a'!J22+'MFR E-13a'!J26-'MFR E-13a'!F22-'MFR E-13a'!F26</f>
        <v>429.58904514799906</v>
      </c>
      <c r="M24" s="733">
        <f>'MFR E-13a'!K22+'MFR E-13a'!K26-'MFR E-13a'!G22-'MFR E-13a'!G26</f>
        <v>0.26783165846514034</v>
      </c>
      <c r="N24" s="733">
        <f t="shared" si="5"/>
        <v>429.85687680646419</v>
      </c>
      <c r="O24" s="83"/>
      <c r="P24" s="733">
        <f t="shared" si="6"/>
        <v>11211.464915326695</v>
      </c>
      <c r="Q24" s="84"/>
      <c r="R24" s="1132">
        <f>'E-1 (1A) - (2-4)'!J44</f>
        <v>5.4431159782651409E-2</v>
      </c>
      <c r="S24" s="82">
        <f t="shared" si="4"/>
        <v>0.77483617523755532</v>
      </c>
      <c r="T24" s="74"/>
      <c r="U24" s="86">
        <f>ROUND(SUM(N24,N25)/SUM(I24,I25),4)</f>
        <v>4.0500000000000001E-2</v>
      </c>
      <c r="V24" s="86">
        <f>'E-8 (clause rev forecast)'!AC43</f>
        <v>2.0691626967245958E-2</v>
      </c>
      <c r="AA24" s="9"/>
    </row>
    <row r="25" spans="1:27" x14ac:dyDescent="0.3">
      <c r="A25" s="9"/>
      <c r="B25" s="79">
        <f t="shared" si="7"/>
        <v>6</v>
      </c>
      <c r="C25" s="734" t="s">
        <v>307</v>
      </c>
      <c r="D25" s="87"/>
      <c r="E25" s="1132">
        <f>'E-1 (1A) - (2-4)'!J25</f>
        <v>5.0028447517283019E-2</v>
      </c>
      <c r="F25" s="82">
        <f t="shared" si="3"/>
        <v>0.74856398599726182</v>
      </c>
      <c r="G25" s="83"/>
      <c r="H25" s="733">
        <f>'MFR E-6b'!U29</f>
        <v>121809.76326471867</v>
      </c>
      <c r="I25" s="733">
        <f>'MFR E-13a'!H23+'MFR E-13a'!H25</f>
        <v>100848.03105497734</v>
      </c>
      <c r="J25" s="83"/>
      <c r="K25" s="733">
        <f>'MFR E-5 Yr4'!O53</f>
        <v>0</v>
      </c>
      <c r="L25" s="733">
        <f>'MFR E-13a'!J23+'MFR E-13a'!J25-'MFR E-13a'!F23-'MFR E-13a'!F25</f>
        <v>4082.3796472999975</v>
      </c>
      <c r="M25" s="733">
        <f>'MFR E-13a'!K23+'MFR E-13a'!K25-'MFR E-13a'!G23-'MFR E-13a'!G25</f>
        <v>7.5771083295473947</v>
      </c>
      <c r="N25" s="733">
        <f t="shared" si="5"/>
        <v>4089.9567556295447</v>
      </c>
      <c r="O25" s="83"/>
      <c r="P25" s="733">
        <f t="shared" si="6"/>
        <v>104937.98781060689</v>
      </c>
      <c r="Q25" s="84"/>
      <c r="R25" s="1132">
        <f>'E-1 (1A) - (2-4)'!J44</f>
        <v>5.4431159782651409E-2</v>
      </c>
      <c r="S25" s="82">
        <f t="shared" si="4"/>
        <v>0.77483617523755532</v>
      </c>
      <c r="T25" s="74"/>
      <c r="U25" s="86">
        <f>U24</f>
        <v>4.0500000000000001E-2</v>
      </c>
      <c r="V25" s="86">
        <f>'E-8 (clause rev forecast)'!AC55</f>
        <v>1.8192587143324911E-2</v>
      </c>
      <c r="AA25" s="9"/>
    </row>
    <row r="26" spans="1:27" x14ac:dyDescent="0.3">
      <c r="A26" s="9"/>
      <c r="B26" s="79">
        <f t="shared" si="7"/>
        <v>7</v>
      </c>
      <c r="C26" s="15" t="s">
        <v>308</v>
      </c>
      <c r="E26" s="1132">
        <f>'E-1 (1A) - (2-4)'!K25</f>
        <v>7.7159096785389498E-3</v>
      </c>
      <c r="F26" s="82">
        <f t="shared" si="3"/>
        <v>0.11545135600233486</v>
      </c>
      <c r="G26" s="83"/>
      <c r="H26" s="733">
        <f>'MFR E-6b'!M29</f>
        <v>24594.340635359513</v>
      </c>
      <c r="I26" s="733">
        <f>'MFR E-13a'!H27</f>
        <v>14930.794967272886</v>
      </c>
      <c r="J26" s="83"/>
      <c r="K26" s="733">
        <f>'MFR E-5 Yr4'!P53</f>
        <v>0</v>
      </c>
      <c r="L26" s="733">
        <f>'MFR E-13a'!J27-'MFR E-13a'!F27</f>
        <v>604.49006999999801</v>
      </c>
      <c r="M26" s="733">
        <f>'MFR E-13a'!K27-'MFR E-13a'!G27</f>
        <v>0.3689462805793422</v>
      </c>
      <c r="N26" s="733">
        <f t="shared" si="5"/>
        <v>604.85901628057741</v>
      </c>
      <c r="O26" s="83"/>
      <c r="P26" s="733">
        <f t="shared" si="6"/>
        <v>15535.653983553464</v>
      </c>
      <c r="Q26" s="84"/>
      <c r="R26" s="1132">
        <f>'E-1 (1A) - (2-4)'!K44</f>
        <v>1.1659728042745123E-2</v>
      </c>
      <c r="S26" s="82">
        <f t="shared" si="4"/>
        <v>0.16597807426896283</v>
      </c>
      <c r="T26" s="74"/>
      <c r="U26" s="86">
        <f>'MFR E-13a'!O27</f>
        <v>4.0510838010057768E-2</v>
      </c>
      <c r="V26" s="86">
        <f>'E-8 (clause rev forecast)'!AC57</f>
        <v>1.9377266433287774E-2</v>
      </c>
      <c r="AA26" s="9"/>
    </row>
    <row r="27" spans="1:27" ht="15" thickBot="1" x14ac:dyDescent="0.35">
      <c r="A27" s="9"/>
      <c r="B27" s="79">
        <f t="shared" si="7"/>
        <v>8</v>
      </c>
      <c r="C27" s="15" t="s">
        <v>309</v>
      </c>
      <c r="D27" s="15"/>
      <c r="E27" s="938">
        <f>'E-1 (1A) - (2-4)'!E25</f>
        <v>6.6832560012399553E-2</v>
      </c>
      <c r="F27" s="1109">
        <v>1</v>
      </c>
      <c r="G27" s="15"/>
      <c r="H27" s="1110">
        <f>SUM(H16:H26)</f>
        <v>3527896.2349291188</v>
      </c>
      <c r="I27" s="1110">
        <f>SUM(I16:I26)</f>
        <v>3435094.8705858095</v>
      </c>
      <c r="J27" s="15"/>
      <c r="K27" s="91">
        <f>SUM(K16:K26)</f>
        <v>0</v>
      </c>
      <c r="L27" s="1110">
        <f>SUM(L20:L26)</f>
        <v>92181.265626120454</v>
      </c>
      <c r="M27" s="1110">
        <f t="shared" ref="M27:P27" si="8">SUM(M20:M26)</f>
        <v>625.76354437388466</v>
      </c>
      <c r="N27" s="1110">
        <f t="shared" si="8"/>
        <v>92807.029170494337</v>
      </c>
      <c r="O27" s="15"/>
      <c r="P27" s="1110">
        <f t="shared" si="8"/>
        <v>3527901.899756304</v>
      </c>
      <c r="Q27" s="15"/>
      <c r="R27" s="938">
        <f>'E-1 (1A) - (2-4)'!E44</f>
        <v>7.0248604185218222E-2</v>
      </c>
      <c r="S27" s="1109">
        <v>1</v>
      </c>
      <c r="T27" s="1111"/>
      <c r="U27" s="1112">
        <f>ROUND(N27/I27,4)</f>
        <v>2.7E-2</v>
      </c>
      <c r="V27" s="1112">
        <f>'E-8 (clause rev forecast)'!AC95</f>
        <v>1.6595084522605087E-2</v>
      </c>
      <c r="AA27" s="9"/>
    </row>
    <row r="28" spans="1:27" ht="15" thickTop="1" x14ac:dyDescent="0.3">
      <c r="A28" s="9"/>
      <c r="B28" s="79">
        <f t="shared" si="7"/>
        <v>9</v>
      </c>
      <c r="C28" s="15"/>
      <c r="E28" s="1132"/>
      <c r="F28" s="82"/>
      <c r="G28" s="83"/>
      <c r="H28" s="733"/>
      <c r="I28" s="733"/>
      <c r="J28" s="83"/>
      <c r="K28" s="733"/>
      <c r="L28" s="733"/>
      <c r="M28" s="733"/>
      <c r="N28" s="733"/>
      <c r="O28" s="83"/>
      <c r="P28" s="733"/>
      <c r="Q28" s="84"/>
      <c r="R28" s="1132"/>
      <c r="S28" s="82"/>
      <c r="T28" s="74"/>
      <c r="U28" s="86"/>
      <c r="V28" s="86"/>
      <c r="AA28" s="9"/>
    </row>
    <row r="29" spans="1:27" x14ac:dyDescent="0.3">
      <c r="A29" s="9"/>
      <c r="B29" s="79">
        <f t="shared" si="7"/>
        <v>10</v>
      </c>
      <c r="C29" s="15" t="s">
        <v>310</v>
      </c>
      <c r="E29" s="1132"/>
      <c r="F29" s="82"/>
      <c r="G29" s="83"/>
      <c r="H29" s="733"/>
      <c r="I29" s="733"/>
      <c r="J29" s="83"/>
      <c r="K29" s="733"/>
      <c r="L29" s="733"/>
      <c r="M29" s="733"/>
      <c r="N29" s="733"/>
      <c r="O29" s="83"/>
      <c r="P29" s="733"/>
      <c r="Q29" s="84"/>
      <c r="R29" s="1132"/>
      <c r="S29" s="82"/>
      <c r="T29" s="74"/>
      <c r="U29" s="86"/>
      <c r="V29" s="86"/>
      <c r="AA29" s="9"/>
    </row>
    <row r="30" spans="1:27" x14ac:dyDescent="0.3">
      <c r="A30" s="9"/>
      <c r="B30" s="79">
        <f t="shared" si="7"/>
        <v>11</v>
      </c>
      <c r="C30" s="15" t="s">
        <v>311</v>
      </c>
      <c r="E30" s="1132">
        <f>'E-1 (1A) - (2-4)'!L25</f>
        <v>6.502470652261691E-2</v>
      </c>
      <c r="F30" s="82">
        <f>E30/E$33</f>
        <v>0.9729495100973653</v>
      </c>
      <c r="G30" s="83"/>
      <c r="H30" s="733">
        <f>'MFR E-6b'!N29</f>
        <v>113089.39845368821</v>
      </c>
      <c r="I30" s="733">
        <f>'MFR E-13a'!H31</f>
        <v>108687</v>
      </c>
      <c r="J30" s="83"/>
      <c r="K30" s="733">
        <f>'MFR E-5 Yr4'!Q53</f>
        <v>0</v>
      </c>
      <c r="L30" s="733">
        <f>'MFR E-13a'!J31-'MFR E-13a'!F31</f>
        <v>4402.3984536882053</v>
      </c>
      <c r="M30" s="733">
        <f>'MFR E-13a'!K31-'MFR E-13a'!G31</f>
        <v>0</v>
      </c>
      <c r="N30" s="733">
        <f>K30+L30+M30</f>
        <v>4402.3984536882053</v>
      </c>
      <c r="O30" s="83"/>
      <c r="P30" s="733">
        <f>I30+N30</f>
        <v>113089.39845368821</v>
      </c>
      <c r="Q30" s="15"/>
      <c r="R30" s="1132">
        <f>'E-1 (1A) - (2-4)'!L44</f>
        <v>7.0255967779875958E-2</v>
      </c>
      <c r="S30" s="82">
        <f>R30/R$33</f>
        <v>1.0001048219355124</v>
      </c>
      <c r="T30" s="74"/>
      <c r="U30" s="86">
        <f>ROUND(N30/I30,4)</f>
        <v>4.0500000000000001E-2</v>
      </c>
      <c r="V30" s="1237" t="s">
        <v>223</v>
      </c>
      <c r="AA30" s="9"/>
    </row>
    <row r="31" spans="1:27" x14ac:dyDescent="0.3">
      <c r="A31" s="9"/>
      <c r="B31" s="79">
        <f t="shared" si="7"/>
        <v>12</v>
      </c>
      <c r="C31" s="15" t="s">
        <v>143</v>
      </c>
      <c r="E31" s="1132">
        <f>'E-1 (1A) - (2-4)'!M25</f>
        <v>5.4585823436890508E-2</v>
      </c>
      <c r="F31" s="82">
        <f>E31/E$33</f>
        <v>0.81675493841270053</v>
      </c>
      <c r="G31" s="83"/>
      <c r="H31" s="733">
        <f>'MFR E-6b'!O29</f>
        <v>5042.7948235122058</v>
      </c>
      <c r="I31" s="733">
        <f>'MFR E-13a'!H32</f>
        <v>4574</v>
      </c>
      <c r="J31" s="83"/>
      <c r="K31" s="733">
        <f>'MFR E-5 Yr4'!P53</f>
        <v>0</v>
      </c>
      <c r="L31" s="733">
        <f>'MFR E-13a'!J32-'MFR E-13a'!F32</f>
        <v>468.79482351220577</v>
      </c>
      <c r="M31" s="733">
        <f>'MFR E-13a'!K32-'MFR E-13a'!G32</f>
        <v>0</v>
      </c>
      <c r="N31" s="733">
        <f>K31+L31+M31</f>
        <v>468.79482351220577</v>
      </c>
      <c r="O31" s="83"/>
      <c r="P31" s="733">
        <f>I31+N31</f>
        <v>5042.7948235122058</v>
      </c>
      <c r="Q31" s="15"/>
      <c r="R31" s="1132">
        <f>'E-1 (1A) - (2-4)'!M44</f>
        <v>7.0212718480789998E-2</v>
      </c>
      <c r="S31" s="82">
        <f>R31/R$33</f>
        <v>0.99948916131723264</v>
      </c>
      <c r="T31" s="74"/>
      <c r="U31" s="86">
        <f>ROUND(N31/I31,4)</f>
        <v>0.10249999999999999</v>
      </c>
      <c r="V31" s="1237" t="s">
        <v>223</v>
      </c>
      <c r="AA31" s="9"/>
    </row>
    <row r="32" spans="1:27" x14ac:dyDescent="0.3">
      <c r="A32" s="9"/>
      <c r="B32" s="79">
        <f t="shared" si="7"/>
        <v>13</v>
      </c>
      <c r="C32" s="15"/>
      <c r="D32" s="15"/>
      <c r="E32" s="1132"/>
      <c r="F32" s="88"/>
      <c r="G32" s="83"/>
      <c r="H32" s="89"/>
      <c r="I32" s="89"/>
      <c r="J32" s="83"/>
      <c r="K32" s="89"/>
      <c r="L32" s="89"/>
      <c r="M32" s="89"/>
      <c r="N32" s="89"/>
      <c r="O32" s="83"/>
      <c r="P32" s="89"/>
      <c r="Q32" s="16"/>
      <c r="R32" s="1132"/>
      <c r="S32" s="88"/>
      <c r="T32" s="74"/>
      <c r="U32" s="937"/>
      <c r="V32" s="937"/>
      <c r="AA32" s="9"/>
    </row>
    <row r="33" spans="1:27" ht="15" thickBot="1" x14ac:dyDescent="0.35">
      <c r="A33" s="9"/>
      <c r="B33" s="79">
        <f t="shared" si="7"/>
        <v>14</v>
      </c>
      <c r="C33" s="15" t="s">
        <v>312</v>
      </c>
      <c r="D33" s="15"/>
      <c r="E33" s="938">
        <f>'E-1 (1A) - (2-4)'!E25</f>
        <v>6.6832560012399553E-2</v>
      </c>
      <c r="F33" s="90">
        <v>1</v>
      </c>
      <c r="G33" s="15"/>
      <c r="H33" s="91">
        <f>SUM(H27:H31)</f>
        <v>3646028.4282063195</v>
      </c>
      <c r="I33" s="91">
        <f>SUM(I27:I31)</f>
        <v>3548355.8705858095</v>
      </c>
      <c r="J33" s="15"/>
      <c r="K33" s="91">
        <f t="shared" ref="K33" si="9">SUM(K27:K31)</f>
        <v>0</v>
      </c>
      <c r="L33" s="91">
        <f>SUM(L27:L31)</f>
        <v>97052.458903320861</v>
      </c>
      <c r="M33" s="91">
        <f t="shared" ref="M33:N33" si="10">SUM(M27:M31)</f>
        <v>625.76354437388466</v>
      </c>
      <c r="N33" s="91">
        <f t="shared" si="10"/>
        <v>97678.222447694745</v>
      </c>
      <c r="O33" s="15"/>
      <c r="P33" s="91">
        <f>SUM(P27:P31)</f>
        <v>3646034.0930335047</v>
      </c>
      <c r="Q33" s="15"/>
      <c r="R33" s="938">
        <f>'E-1 (1A) - (2-4)'!E44</f>
        <v>7.0248604185218222E-2</v>
      </c>
      <c r="S33" s="90">
        <v>1</v>
      </c>
      <c r="U33" s="1112">
        <f>ROUND(N33/I33,4)</f>
        <v>2.75E-2</v>
      </c>
      <c r="V33" s="938">
        <f>V27</f>
        <v>1.6595084522605087E-2</v>
      </c>
      <c r="AA33" s="9"/>
    </row>
    <row r="34" spans="1:27" ht="15" thickTop="1" x14ac:dyDescent="0.3">
      <c r="A34" s="9"/>
      <c r="B34" s="79">
        <f t="shared" si="7"/>
        <v>15</v>
      </c>
      <c r="C34" s="15"/>
      <c r="D34" s="16"/>
      <c r="E34" s="92"/>
      <c r="F34" s="88"/>
      <c r="G34" s="83"/>
      <c r="H34" s="93"/>
      <c r="I34" s="93"/>
      <c r="J34" s="83"/>
      <c r="K34" s="93"/>
      <c r="L34" s="93"/>
      <c r="M34" s="93"/>
      <c r="N34" s="93"/>
      <c r="O34" s="83"/>
      <c r="P34" s="93"/>
      <c r="Q34" s="15"/>
      <c r="R34" s="92"/>
      <c r="S34" s="88"/>
      <c r="U34" s="92"/>
      <c r="V34" s="92"/>
      <c r="AA34" s="9"/>
    </row>
    <row r="35" spans="1:27" x14ac:dyDescent="0.3">
      <c r="A35" s="9"/>
      <c r="B35" s="79">
        <f t="shared" si="7"/>
        <v>16</v>
      </c>
      <c r="D35" s="15"/>
      <c r="E35" s="92"/>
      <c r="F35" s="88"/>
      <c r="G35" s="83"/>
      <c r="H35" s="93"/>
      <c r="I35" s="93"/>
      <c r="J35" s="83"/>
      <c r="K35" s="93"/>
      <c r="L35" s="93"/>
      <c r="M35" s="93"/>
      <c r="N35" s="93"/>
      <c r="O35" s="83"/>
      <c r="P35" s="93"/>
      <c r="Q35" s="15"/>
      <c r="R35" s="92"/>
      <c r="T35" s="1236" t="s">
        <v>313</v>
      </c>
      <c r="U35" s="86">
        <f>U27*1.5</f>
        <v>4.0500000000000001E-2</v>
      </c>
      <c r="V35" s="92"/>
      <c r="AA35" s="9"/>
    </row>
    <row r="36" spans="1:27" x14ac:dyDescent="0.3">
      <c r="A36" s="9"/>
      <c r="B36" s="79">
        <f t="shared" si="7"/>
        <v>17</v>
      </c>
      <c r="D36" s="15"/>
      <c r="E36" s="92"/>
      <c r="F36" s="88"/>
      <c r="G36" s="83"/>
      <c r="H36" s="93"/>
      <c r="I36" s="93"/>
      <c r="J36" s="83"/>
      <c r="K36" s="93"/>
      <c r="L36" s="93"/>
      <c r="M36" s="93"/>
      <c r="N36" s="93"/>
      <c r="O36" s="83"/>
      <c r="P36" s="93"/>
      <c r="Q36" s="15"/>
      <c r="R36" s="86"/>
      <c r="S36" s="88"/>
      <c r="U36" s="92"/>
      <c r="V36" s="92"/>
      <c r="AA36" s="9"/>
    </row>
    <row r="37" spans="1:27" x14ac:dyDescent="0.3">
      <c r="A37" s="9"/>
      <c r="B37" s="79">
        <f t="shared" si="7"/>
        <v>18</v>
      </c>
      <c r="C37" s="94" t="s">
        <v>314</v>
      </c>
      <c r="D37" s="15"/>
      <c r="E37" s="92"/>
      <c r="F37" s="88"/>
      <c r="G37" s="83"/>
      <c r="H37" s="93"/>
      <c r="I37" s="93"/>
      <c r="J37" s="83"/>
      <c r="K37" s="93"/>
      <c r="L37" s="93"/>
      <c r="M37" s="93"/>
      <c r="N37" s="93"/>
      <c r="O37" s="83"/>
      <c r="P37" s="93"/>
      <c r="Q37" s="15"/>
      <c r="R37" s="86"/>
      <c r="S37" s="88"/>
      <c r="U37" s="92"/>
      <c r="V37" s="92"/>
      <c r="AA37" s="9"/>
    </row>
    <row r="38" spans="1:27" x14ac:dyDescent="0.3">
      <c r="A38" s="9"/>
      <c r="B38" s="79">
        <f t="shared" si="7"/>
        <v>19</v>
      </c>
      <c r="C38" s="1230" t="s">
        <v>315</v>
      </c>
      <c r="D38" s="15"/>
      <c r="V38" s="92"/>
      <c r="AA38" s="9"/>
    </row>
    <row r="39" spans="1:27" x14ac:dyDescent="0.3">
      <c r="A39" s="9"/>
      <c r="B39" s="79">
        <f t="shared" si="7"/>
        <v>20</v>
      </c>
      <c r="C39" s="1230" t="s">
        <v>316</v>
      </c>
      <c r="D39" s="15"/>
      <c r="E39" s="16"/>
      <c r="F39" s="9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AA39" s="9"/>
    </row>
    <row r="40" spans="1:27" x14ac:dyDescent="0.3">
      <c r="A40" s="9"/>
      <c r="B40" s="79">
        <f t="shared" si="7"/>
        <v>21</v>
      </c>
      <c r="C40" s="1230" t="s">
        <v>317</v>
      </c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AA40" s="9"/>
    </row>
    <row r="41" spans="1:27" x14ac:dyDescent="0.3">
      <c r="A41" s="9"/>
      <c r="B41" s="79"/>
      <c r="C41" s="1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AA41" s="9"/>
    </row>
    <row r="42" spans="1:27" x14ac:dyDescent="0.3">
      <c r="A42" s="9"/>
      <c r="B42" s="79"/>
      <c r="AA42" s="9"/>
    </row>
    <row r="43" spans="1:27" x14ac:dyDescent="0.3">
      <c r="A43" s="9"/>
      <c r="B43" s="97" t="s">
        <v>98</v>
      </c>
      <c r="C43" s="99"/>
      <c r="D43" s="1281" t="s">
        <v>318</v>
      </c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8"/>
      <c r="S43" s="97" t="s">
        <v>99</v>
      </c>
      <c r="T43" s="98"/>
      <c r="U43" s="98"/>
      <c r="V43" s="98"/>
      <c r="AA43" s="9"/>
    </row>
    <row r="46" spans="1:27" x14ac:dyDescent="0.3">
      <c r="E46" s="95"/>
      <c r="R46" s="95"/>
      <c r="S46" s="88"/>
      <c r="U46" s="86"/>
    </row>
  </sheetData>
  <mergeCells count="1">
    <mergeCell ref="K16:N16"/>
  </mergeCells>
  <printOptions horizontalCentered="1"/>
  <pageMargins left="0.5" right="0.5" top="0.75" bottom="0.5" header="0.5" footer="0.5"/>
  <pageSetup scale="62" fitToHeight="0" orientation="landscape" r:id="rId1"/>
  <headerFooter alignWithMargins="0">
    <oddHeader xml:space="preserve">&amp;RDEF’s Response to OPC POD 1 (1-26)
Q7
Page &amp;P of &amp;N
</oddHeader>
    <oddFooter>&amp;R20240025-OPCPOD1-00004300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A02AC-614F-4F21-9A31-561C84F52BAB}">
  <sheetPr>
    <tabColor rgb="FFFFFF00"/>
    <pageSetUpPr fitToPage="1"/>
  </sheetPr>
  <dimension ref="A1:AD310"/>
  <sheetViews>
    <sheetView workbookViewId="0"/>
  </sheetViews>
  <sheetFormatPr defaultColWidth="11.44140625" defaultRowHeight="13.2" x14ac:dyDescent="0.3"/>
  <cols>
    <col min="1" max="1" width="11.44140625" style="739"/>
    <col min="2" max="2" width="19.109375" style="737" bestFit="1" customWidth="1"/>
    <col min="3" max="3" width="12" style="741" bestFit="1" customWidth="1"/>
    <col min="4" max="4" width="12" style="736" bestFit="1" customWidth="1"/>
    <col min="5" max="5" width="8.44140625" style="737" customWidth="1"/>
    <col min="6" max="6" width="9.5546875" style="737" customWidth="1"/>
    <col min="7" max="10" width="8.109375" style="737" customWidth="1"/>
    <col min="11" max="11" width="9.33203125" style="737" customWidth="1"/>
    <col min="12" max="14" width="8.109375" style="737" customWidth="1"/>
    <col min="15" max="15" width="2.88671875" style="737" customWidth="1"/>
    <col min="16" max="16" width="10.33203125" style="737" bestFit="1" customWidth="1"/>
    <col min="17" max="17" width="8.6640625" style="737" bestFit="1" customWidth="1"/>
    <col min="18" max="18" width="13.109375" style="737" bestFit="1" customWidth="1"/>
    <col min="19" max="19" width="8.33203125" style="737" bestFit="1" customWidth="1"/>
    <col min="20" max="20" width="9.6640625" style="737" customWidth="1"/>
    <col min="21" max="21" width="13.109375" style="737" bestFit="1" customWidth="1"/>
    <col min="22" max="22" width="8.6640625" style="737" bestFit="1" customWidth="1"/>
    <col min="23" max="23" width="11" style="739" bestFit="1" customWidth="1"/>
    <col min="24" max="24" width="2.88671875" style="737" customWidth="1"/>
    <col min="25" max="25" width="14.5546875" style="754" customWidth="1"/>
    <col min="26" max="27" width="13.6640625" style="754" customWidth="1"/>
    <col min="28" max="28" width="14.5546875" style="737" customWidth="1"/>
    <col min="29" max="29" width="7.109375" style="737" customWidth="1"/>
    <col min="30" max="16384" width="11.44140625" style="737"/>
  </cols>
  <sheetData>
    <row r="1" spans="1:30" x14ac:dyDescent="0.3">
      <c r="A1" s="736" t="s">
        <v>320</v>
      </c>
      <c r="C1" s="738" t="s">
        <v>321</v>
      </c>
      <c r="Y1" s="1381" t="s">
        <v>322</v>
      </c>
      <c r="Z1" s="1382"/>
      <c r="AA1" s="1382"/>
      <c r="AB1" s="1382"/>
    </row>
    <row r="2" spans="1:30" x14ac:dyDescent="0.3">
      <c r="A2" s="740" t="s">
        <v>323</v>
      </c>
      <c r="O2" s="742"/>
      <c r="P2" s="743" t="s">
        <v>324</v>
      </c>
      <c r="Q2" s="743" t="s">
        <v>325</v>
      </c>
      <c r="R2" s="743" t="s">
        <v>326</v>
      </c>
      <c r="S2" s="743" t="s">
        <v>327</v>
      </c>
      <c r="T2" s="743" t="s">
        <v>328</v>
      </c>
      <c r="U2" s="743" t="s">
        <v>329</v>
      </c>
      <c r="V2" s="743" t="s">
        <v>330</v>
      </c>
      <c r="W2" s="743" t="s">
        <v>331</v>
      </c>
      <c r="X2" s="742"/>
      <c r="Y2" s="744" t="s">
        <v>145</v>
      </c>
      <c r="Z2" s="744" t="s">
        <v>145</v>
      </c>
      <c r="AA2" s="744" t="s">
        <v>121</v>
      </c>
      <c r="AB2" s="743" t="s">
        <v>332</v>
      </c>
    </row>
    <row r="3" spans="1:30" x14ac:dyDescent="0.3">
      <c r="C3" s="745" t="s">
        <v>333</v>
      </c>
      <c r="D3" s="745" t="s">
        <v>334</v>
      </c>
      <c r="E3" s="746" t="s">
        <v>335</v>
      </c>
      <c r="F3" s="746" t="s">
        <v>335</v>
      </c>
      <c r="G3" s="746" t="s">
        <v>336</v>
      </c>
      <c r="H3" s="746" t="s">
        <v>335</v>
      </c>
      <c r="I3" s="746" t="s">
        <v>336</v>
      </c>
      <c r="J3" s="746" t="s">
        <v>335</v>
      </c>
      <c r="K3" s="746" t="s">
        <v>335</v>
      </c>
      <c r="L3" s="746" t="s">
        <v>335</v>
      </c>
      <c r="M3" s="746" t="s">
        <v>336</v>
      </c>
      <c r="N3" s="746" t="s">
        <v>335</v>
      </c>
      <c r="O3" s="747"/>
      <c r="P3" s="743" t="s">
        <v>337</v>
      </c>
      <c r="Q3" s="743" t="s">
        <v>337</v>
      </c>
      <c r="R3" s="743" t="s">
        <v>337</v>
      </c>
      <c r="S3" s="743" t="s">
        <v>337</v>
      </c>
      <c r="T3" s="743" t="s">
        <v>338</v>
      </c>
      <c r="U3" s="743" t="s">
        <v>337</v>
      </c>
      <c r="V3" s="743" t="s">
        <v>337</v>
      </c>
      <c r="W3" s="743" t="s">
        <v>339</v>
      </c>
      <c r="X3" s="747"/>
      <c r="Y3" s="744" t="s">
        <v>340</v>
      </c>
      <c r="Z3" s="744" t="s">
        <v>340</v>
      </c>
      <c r="AA3" s="744" t="s">
        <v>340</v>
      </c>
      <c r="AB3" s="743" t="s">
        <v>341</v>
      </c>
    </row>
    <row r="4" spans="1:30" x14ac:dyDescent="0.3">
      <c r="C4" s="748" t="s">
        <v>342</v>
      </c>
      <c r="D4" s="748" t="s">
        <v>342</v>
      </c>
      <c r="E4" s="749" t="s">
        <v>324</v>
      </c>
      <c r="F4" s="750" t="s">
        <v>325</v>
      </c>
      <c r="G4" s="750" t="s">
        <v>325</v>
      </c>
      <c r="H4" s="750" t="s">
        <v>326</v>
      </c>
      <c r="I4" s="750" t="s">
        <v>326</v>
      </c>
      <c r="J4" s="750" t="s">
        <v>327</v>
      </c>
      <c r="K4" s="750" t="s">
        <v>328</v>
      </c>
      <c r="L4" s="750" t="s">
        <v>329</v>
      </c>
      <c r="M4" s="750" t="s">
        <v>329</v>
      </c>
      <c r="N4" s="750" t="s">
        <v>330</v>
      </c>
      <c r="O4" s="751"/>
      <c r="P4" s="749" t="s">
        <v>144</v>
      </c>
      <c r="Q4" s="749" t="s">
        <v>144</v>
      </c>
      <c r="R4" s="749" t="s">
        <v>144</v>
      </c>
      <c r="S4" s="749" t="s">
        <v>144</v>
      </c>
      <c r="T4" s="749"/>
      <c r="U4" s="749" t="s">
        <v>144</v>
      </c>
      <c r="V4" s="749" t="s">
        <v>144</v>
      </c>
      <c r="W4" s="749" t="s">
        <v>144</v>
      </c>
      <c r="X4" s="751"/>
      <c r="Y4" s="752" t="s">
        <v>343</v>
      </c>
      <c r="Z4" s="752" t="s">
        <v>344</v>
      </c>
      <c r="AA4" s="752" t="s">
        <v>343</v>
      </c>
      <c r="AB4" s="749" t="s">
        <v>345</v>
      </c>
    </row>
    <row r="5" spans="1:30" x14ac:dyDescent="0.3">
      <c r="A5" s="739" t="s">
        <v>346</v>
      </c>
      <c r="B5" s="737" t="s">
        <v>347</v>
      </c>
      <c r="H5" s="753"/>
      <c r="I5" s="753"/>
      <c r="L5" s="753"/>
      <c r="M5" s="753"/>
      <c r="O5" s="742"/>
      <c r="X5" s="742"/>
    </row>
    <row r="6" spans="1:30" x14ac:dyDescent="0.3">
      <c r="B6" s="755" t="s">
        <v>348</v>
      </c>
      <c r="C6" s="756">
        <f>SUM('MFR E-13c'!J26+'MFR E-13c'!J31)</f>
        <v>14946335.265957752</v>
      </c>
      <c r="D6" s="737"/>
      <c r="E6" s="757">
        <f>+'BA-1 Rates Current'!C9</f>
        <v>4.9470000000000001</v>
      </c>
      <c r="F6" s="757">
        <f>+'BA-1 Rates Current'!G8</f>
        <v>0.33</v>
      </c>
      <c r="G6" s="845">
        <f>+'BA-1 Rates Current'!H8</f>
        <v>0</v>
      </c>
      <c r="H6" s="757">
        <f>+'BA-1 Rates Current'!I8</f>
        <v>0.94599999999999995</v>
      </c>
      <c r="I6" s="845">
        <f>+'BA-1 Rates Current'!J8</f>
        <v>0</v>
      </c>
      <c r="J6" s="757">
        <f>+'BA-1 Rates Current'!K8</f>
        <v>4.5999999999999999E-2</v>
      </c>
      <c r="K6" s="757">
        <f>+'BA-1 Rates Current'!L8</f>
        <v>0.23599999999999999</v>
      </c>
      <c r="L6" s="757">
        <f>+'BA-1 Rates Current'!M8</f>
        <v>0.51</v>
      </c>
      <c r="M6" s="845">
        <f>+'BA-1 Rates Current'!N8</f>
        <v>0</v>
      </c>
      <c r="N6" s="757">
        <f>+'BA-1 Rates Current'!O8</f>
        <v>0.50900000000000001</v>
      </c>
      <c r="O6" s="758"/>
      <c r="P6" s="759">
        <f>C6*E6/100</f>
        <v>739395.20560692996</v>
      </c>
      <c r="Q6" s="759">
        <f>C6*F6/100</f>
        <v>49322.906377660584</v>
      </c>
      <c r="R6" s="759">
        <f>C6*H6/100</f>
        <v>141392.33161596034</v>
      </c>
      <c r="S6" s="759">
        <f>C6*J6/100</f>
        <v>6875.3142223405666</v>
      </c>
      <c r="T6" s="759">
        <f>C6*K6/100</f>
        <v>35273.351227660292</v>
      </c>
      <c r="U6" s="759">
        <f>C6*L6/100</f>
        <v>76226.309856384541</v>
      </c>
      <c r="V6" s="759">
        <f>C6*N6/100</f>
        <v>76076.846503724955</v>
      </c>
      <c r="W6" s="760">
        <f>SUM(P6:V6)</f>
        <v>1124562.2654106612</v>
      </c>
      <c r="X6" s="758"/>
    </row>
    <row r="7" spans="1:30" x14ac:dyDescent="0.3">
      <c r="B7" s="755" t="s">
        <v>349</v>
      </c>
      <c r="C7" s="756">
        <f>SUM('MFR E-13c'!J27+'MFR E-13c'!J32)</f>
        <v>5870584.6471353546</v>
      </c>
      <c r="D7" s="737"/>
      <c r="E7" s="757">
        <f>+'BA-1 Rates Current'!C10</f>
        <v>6.0170000000000003</v>
      </c>
      <c r="F7" s="757">
        <f t="shared" ref="F7:K7" si="0">+F6</f>
        <v>0.33</v>
      </c>
      <c r="G7" s="845">
        <f t="shared" si="0"/>
        <v>0</v>
      </c>
      <c r="H7" s="757">
        <f t="shared" si="0"/>
        <v>0.94599999999999995</v>
      </c>
      <c r="I7" s="845">
        <f t="shared" si="0"/>
        <v>0</v>
      </c>
      <c r="J7" s="757">
        <f t="shared" si="0"/>
        <v>4.5999999999999999E-2</v>
      </c>
      <c r="K7" s="757">
        <f t="shared" si="0"/>
        <v>0.23599999999999999</v>
      </c>
      <c r="L7" s="757">
        <f t="shared" ref="L7:N7" si="1">+L6</f>
        <v>0.51</v>
      </c>
      <c r="M7" s="845">
        <f t="shared" si="1"/>
        <v>0</v>
      </c>
      <c r="N7" s="757">
        <f t="shared" si="1"/>
        <v>0.50900000000000001</v>
      </c>
      <c r="O7" s="758"/>
      <c r="P7" s="759">
        <f>C7*E7/100</f>
        <v>353233.07821813429</v>
      </c>
      <c r="Q7" s="759">
        <f>C7*F7/100</f>
        <v>19372.929335546669</v>
      </c>
      <c r="R7" s="759">
        <f>C7*H7/100</f>
        <v>55535.73076190045</v>
      </c>
      <c r="S7" s="759">
        <f>C7*J7/100</f>
        <v>2700.468937682263</v>
      </c>
      <c r="T7" s="759">
        <f>C7*K7/100</f>
        <v>13854.579767239436</v>
      </c>
      <c r="U7" s="759">
        <f t="shared" ref="U7:U10" si="2">C7*L7/100</f>
        <v>29939.981700390308</v>
      </c>
      <c r="V7" s="759">
        <f t="shared" ref="V7:V10" si="3">C7*N7/100</f>
        <v>29881.275853918953</v>
      </c>
      <c r="W7" s="760">
        <f>SUM(P7:T7)</f>
        <v>444696.78702050314</v>
      </c>
      <c r="X7" s="758"/>
    </row>
    <row r="8" spans="1:30" x14ac:dyDescent="0.3">
      <c r="B8" s="737" t="s">
        <v>350</v>
      </c>
      <c r="C8" s="756">
        <f>'MFR E-13c'!J37</f>
        <v>329.67553653305612</v>
      </c>
      <c r="D8" s="737"/>
      <c r="E8" s="757">
        <f>+'BA-1 Rates Current'!D8</f>
        <v>6.7060000000000004</v>
      </c>
      <c r="F8" s="757">
        <f t="shared" ref="F8:K8" si="4">+F6</f>
        <v>0.33</v>
      </c>
      <c r="G8" s="845">
        <f t="shared" si="4"/>
        <v>0</v>
      </c>
      <c r="H8" s="757">
        <f t="shared" si="4"/>
        <v>0.94599999999999995</v>
      </c>
      <c r="I8" s="845">
        <f t="shared" si="4"/>
        <v>0</v>
      </c>
      <c r="J8" s="757">
        <f t="shared" si="4"/>
        <v>4.5999999999999999E-2</v>
      </c>
      <c r="K8" s="757">
        <f t="shared" si="4"/>
        <v>0.23599999999999999</v>
      </c>
      <c r="L8" s="757">
        <f t="shared" ref="L8:N8" si="5">+L6</f>
        <v>0.51</v>
      </c>
      <c r="M8" s="845">
        <f t="shared" si="5"/>
        <v>0</v>
      </c>
      <c r="N8" s="757">
        <f t="shared" si="5"/>
        <v>0.50900000000000001</v>
      </c>
      <c r="O8" s="758"/>
      <c r="P8" s="759">
        <f>C8*E8/100</f>
        <v>22.108041479906746</v>
      </c>
      <c r="Q8" s="759">
        <f>C8*F8/100</f>
        <v>1.0879292705590853</v>
      </c>
      <c r="R8" s="759">
        <f>C8*H8/100</f>
        <v>3.1187305756027111</v>
      </c>
      <c r="S8" s="759">
        <f>C8*J8/100</f>
        <v>0.15165074680520582</v>
      </c>
      <c r="T8" s="759">
        <f>C8*K8/100</f>
        <v>0.77803426621801242</v>
      </c>
      <c r="U8" s="759">
        <f t="shared" si="2"/>
        <v>1.6813452363185863</v>
      </c>
      <c r="V8" s="759">
        <f t="shared" si="3"/>
        <v>1.6780484809532554</v>
      </c>
      <c r="W8" s="760">
        <f>SUM(P8:T8)</f>
        <v>27.244386339091761</v>
      </c>
      <c r="X8" s="758"/>
    </row>
    <row r="9" spans="1:30" x14ac:dyDescent="0.3">
      <c r="B9" s="737" t="s">
        <v>351</v>
      </c>
      <c r="C9" s="756">
        <f>'MFR E-13c'!J38</f>
        <v>2247.6389455353169</v>
      </c>
      <c r="D9" s="737"/>
      <c r="E9" s="757">
        <f>+'BA-1 Rates Current'!E8</f>
        <v>5.2839999999999998</v>
      </c>
      <c r="F9" s="757">
        <f t="shared" ref="F9:K10" si="6">+F6</f>
        <v>0.33</v>
      </c>
      <c r="G9" s="845">
        <f t="shared" si="6"/>
        <v>0</v>
      </c>
      <c r="H9" s="757">
        <f t="shared" si="6"/>
        <v>0.94599999999999995</v>
      </c>
      <c r="I9" s="845">
        <f t="shared" si="6"/>
        <v>0</v>
      </c>
      <c r="J9" s="757">
        <f t="shared" si="6"/>
        <v>4.5999999999999999E-2</v>
      </c>
      <c r="K9" s="757">
        <f t="shared" si="6"/>
        <v>0.23599999999999999</v>
      </c>
      <c r="L9" s="757">
        <f t="shared" ref="L9:N9" si="7">+L6</f>
        <v>0.51</v>
      </c>
      <c r="M9" s="845">
        <f t="shared" si="7"/>
        <v>0</v>
      </c>
      <c r="N9" s="757">
        <f t="shared" si="7"/>
        <v>0.50900000000000001</v>
      </c>
      <c r="O9" s="758"/>
      <c r="P9" s="759">
        <f>C9*E9/100</f>
        <v>118.76524188208614</v>
      </c>
      <c r="Q9" s="759">
        <f>C9*F9/100</f>
        <v>7.4172085202665459</v>
      </c>
      <c r="R9" s="759">
        <f>C9*H9/100</f>
        <v>21.262664424764097</v>
      </c>
      <c r="S9" s="759">
        <f>C9*J9/100</f>
        <v>1.0339139149462457</v>
      </c>
      <c r="T9" s="759">
        <f>C9*K9/100</f>
        <v>5.3044279114633479</v>
      </c>
      <c r="U9" s="759">
        <f t="shared" si="2"/>
        <v>11.462958622230117</v>
      </c>
      <c r="V9" s="759">
        <f t="shared" si="3"/>
        <v>11.440482232774764</v>
      </c>
      <c r="W9" s="760">
        <f>SUM(P9:T9)</f>
        <v>153.78345665352637</v>
      </c>
      <c r="X9" s="758"/>
      <c r="AB9" s="761"/>
      <c r="AD9" s="762"/>
    </row>
    <row r="10" spans="1:30" x14ac:dyDescent="0.3">
      <c r="B10" s="737" t="s">
        <v>352</v>
      </c>
      <c r="C10" s="756">
        <f>'MFR E-13c'!J39</f>
        <v>723.39855424550785</v>
      </c>
      <c r="D10" s="737"/>
      <c r="E10" s="757">
        <f>+'BA-1 Rates Current'!F8</f>
        <v>3.7360000000000002</v>
      </c>
      <c r="F10" s="757">
        <f t="shared" si="6"/>
        <v>0.33</v>
      </c>
      <c r="G10" s="845">
        <f t="shared" si="6"/>
        <v>0</v>
      </c>
      <c r="H10" s="757">
        <f t="shared" si="6"/>
        <v>0.94599999999999995</v>
      </c>
      <c r="I10" s="845">
        <f t="shared" si="6"/>
        <v>0</v>
      </c>
      <c r="J10" s="757">
        <f t="shared" si="6"/>
        <v>4.5999999999999999E-2</v>
      </c>
      <c r="K10" s="757">
        <f t="shared" si="6"/>
        <v>0.23599999999999999</v>
      </c>
      <c r="L10" s="757">
        <f t="shared" ref="L10:N10" si="8">+L7</f>
        <v>0.51</v>
      </c>
      <c r="M10" s="845">
        <f t="shared" si="8"/>
        <v>0</v>
      </c>
      <c r="N10" s="757">
        <f t="shared" si="8"/>
        <v>0.50900000000000001</v>
      </c>
      <c r="O10" s="758"/>
      <c r="P10" s="759">
        <f>C10*E10/100</f>
        <v>27.026169986612175</v>
      </c>
      <c r="Q10" s="759">
        <f>C10*F10/100</f>
        <v>2.387215229010176</v>
      </c>
      <c r="R10" s="759">
        <f>C10*H10/100</f>
        <v>6.8433503231625039</v>
      </c>
      <c r="S10" s="759">
        <f>C10*J10/100</f>
        <v>0.33276333495293359</v>
      </c>
      <c r="T10" s="759">
        <f>C10*K10/100</f>
        <v>1.7072205880193985</v>
      </c>
      <c r="U10" s="759">
        <f t="shared" si="2"/>
        <v>3.6893326266520901</v>
      </c>
      <c r="V10" s="759">
        <f t="shared" si="3"/>
        <v>3.682098641109635</v>
      </c>
      <c r="W10" s="760">
        <f>SUM(P10:T10)</f>
        <v>38.296719461757185</v>
      </c>
      <c r="X10" s="758"/>
      <c r="Y10" s="741">
        <f>'MFR E-13a'!H18</f>
        <v>2242205.1568560041</v>
      </c>
      <c r="Z10" s="741">
        <f>'MFR E-13a'!L18</f>
        <v>2299803.4301500805</v>
      </c>
      <c r="AA10" s="741">
        <f>(Y10+$W$6+$W$7+$W$8+$W$9+$W$10)</f>
        <v>3811683.5338496226</v>
      </c>
      <c r="AB10" s="761">
        <f>+((Z10)-(Y10))/(Y10+$W$6+$W$7+$W$8+$W$9+$W$10)</f>
        <v>1.5110979907585548E-2</v>
      </c>
      <c r="AD10" s="762" t="s">
        <v>319</v>
      </c>
    </row>
    <row r="11" spans="1:30" x14ac:dyDescent="0.3">
      <c r="C11" s="756"/>
      <c r="D11" s="737"/>
      <c r="E11" s="757"/>
      <c r="F11" s="757"/>
      <c r="G11" s="845"/>
      <c r="H11" s="757"/>
      <c r="I11" s="845"/>
      <c r="J11" s="757"/>
      <c r="K11" s="757"/>
      <c r="L11" s="757"/>
      <c r="M11" s="845"/>
      <c r="N11" s="757"/>
      <c r="O11" s="758"/>
      <c r="X11" s="758"/>
    </row>
    <row r="12" spans="1:30" x14ac:dyDescent="0.3">
      <c r="A12" s="739" t="s">
        <v>136</v>
      </c>
      <c r="B12" s="737" t="s">
        <v>347</v>
      </c>
      <c r="C12" s="756">
        <f>'MFR E-13c'!J84</f>
        <v>2051871.7093230446</v>
      </c>
      <c r="D12" s="737"/>
      <c r="E12" s="757">
        <f>+'BA-1 Rates Current'!C13</f>
        <v>5.2469999999999999</v>
      </c>
      <c r="F12" s="757">
        <f>+'BA-1 Rates Current'!G13</f>
        <v>0.28999999999999998</v>
      </c>
      <c r="G12" s="845">
        <f>+'BA-1 Rates Current'!H13</f>
        <v>0</v>
      </c>
      <c r="H12" s="757">
        <f>+'BA-1 Rates Current'!I13</f>
        <v>0.81599999999999995</v>
      </c>
      <c r="I12" s="845">
        <f>+'BA-1 Rates Current'!J13</f>
        <v>0</v>
      </c>
      <c r="J12" s="757">
        <f>+'BA-1 Rates Current'!K13</f>
        <v>4.3999999999999997E-2</v>
      </c>
      <c r="K12" s="757">
        <f>+'BA-1 Rates Current'!L13</f>
        <v>0.20399999999999999</v>
      </c>
      <c r="L12" s="757">
        <f>+'BA-1 Rates Current'!M13</f>
        <v>0.49399999999999999</v>
      </c>
      <c r="M12" s="845">
        <f>+'BA-1 Rates Current'!N13</f>
        <v>0</v>
      </c>
      <c r="N12" s="757">
        <f>+'BA-1 Rates Current'!O13</f>
        <v>0.443</v>
      </c>
      <c r="O12" s="758"/>
      <c r="P12" s="759">
        <f t="shared" ref="P12:P21" si="9">C12*E12/100</f>
        <v>107661.70858818015</v>
      </c>
      <c r="Q12" s="759">
        <f t="shared" ref="Q12:Q21" si="10">C12*F12/100</f>
        <v>5950.427957036829</v>
      </c>
      <c r="R12" s="759">
        <f t="shared" ref="R12:R21" si="11">C12*H12/100</f>
        <v>16743.273148076041</v>
      </c>
      <c r="S12" s="759">
        <f t="shared" ref="S12:S21" si="12">C12*J12/100</f>
        <v>902.82355210213962</v>
      </c>
      <c r="T12" s="759">
        <f t="shared" ref="T12:T21" si="13">C12*K12/100</f>
        <v>4185.8182870190103</v>
      </c>
      <c r="U12" s="759">
        <f t="shared" ref="U12" si="14">C12*L12/100</f>
        <v>10136.246244055841</v>
      </c>
      <c r="V12" s="759">
        <f t="shared" ref="V12" si="15">C12*N12/100</f>
        <v>9089.7916723010876</v>
      </c>
      <c r="W12" s="760">
        <f>SUM(P12:V12)</f>
        <v>154670.08944877109</v>
      </c>
      <c r="X12" s="758"/>
    </row>
    <row r="13" spans="1:30" x14ac:dyDescent="0.3">
      <c r="B13" s="737" t="s">
        <v>350</v>
      </c>
      <c r="C13" s="756">
        <f>'MFR E-13c'!J89</f>
        <v>15146.948498393165</v>
      </c>
      <c r="D13" s="737"/>
      <c r="E13" s="757">
        <f>+'BA-1 Rates Current'!D13</f>
        <v>6.7060000000000004</v>
      </c>
      <c r="F13" s="757">
        <f t="shared" ref="F13:K13" si="16">+F12</f>
        <v>0.28999999999999998</v>
      </c>
      <c r="G13" s="845">
        <f t="shared" si="16"/>
        <v>0</v>
      </c>
      <c r="H13" s="757">
        <f t="shared" si="16"/>
        <v>0.81599999999999995</v>
      </c>
      <c r="I13" s="845">
        <f t="shared" si="16"/>
        <v>0</v>
      </c>
      <c r="J13" s="757">
        <f t="shared" si="16"/>
        <v>4.3999999999999997E-2</v>
      </c>
      <c r="K13" s="757">
        <f t="shared" si="16"/>
        <v>0.20399999999999999</v>
      </c>
      <c r="L13" s="757">
        <f t="shared" ref="L13:N13" si="17">+L12</f>
        <v>0.49399999999999999</v>
      </c>
      <c r="M13" s="845">
        <f t="shared" si="17"/>
        <v>0</v>
      </c>
      <c r="N13" s="757">
        <f t="shared" si="17"/>
        <v>0.443</v>
      </c>
      <c r="O13" s="758"/>
      <c r="P13" s="759">
        <f t="shared" si="9"/>
        <v>1015.7543663022458</v>
      </c>
      <c r="Q13" s="759">
        <f t="shared" si="10"/>
        <v>43.926150645340179</v>
      </c>
      <c r="R13" s="759">
        <f t="shared" si="11"/>
        <v>123.59909974688823</v>
      </c>
      <c r="S13" s="759">
        <f t="shared" si="12"/>
        <v>6.664657339292992</v>
      </c>
      <c r="T13" s="759">
        <f t="shared" si="13"/>
        <v>30.899774936722057</v>
      </c>
      <c r="U13" s="759">
        <f t="shared" ref="U13:U22" si="18">C13*L13/100</f>
        <v>74.82592558206224</v>
      </c>
      <c r="V13" s="759">
        <f t="shared" ref="V13:V22" si="19">C13*N13/100</f>
        <v>67.100981847881727</v>
      </c>
      <c r="W13" s="760">
        <f t="shared" ref="W13:W22" si="20">SUM(P13:V13)</f>
        <v>1362.7709564004331</v>
      </c>
      <c r="X13" s="758"/>
    </row>
    <row r="14" spans="1:30" x14ac:dyDescent="0.3">
      <c r="B14" s="737" t="s">
        <v>351</v>
      </c>
      <c r="C14" s="756">
        <f>'MFR E-13c'!J90</f>
        <v>82535.281525311584</v>
      </c>
      <c r="D14" s="737"/>
      <c r="E14" s="757">
        <f>+'BA-1 Rates Current'!E13</f>
        <v>5.2839999999999998</v>
      </c>
      <c r="F14" s="757">
        <f t="shared" ref="F14:K15" si="21">+F12</f>
        <v>0.28999999999999998</v>
      </c>
      <c r="G14" s="845">
        <f t="shared" si="21"/>
        <v>0</v>
      </c>
      <c r="H14" s="757">
        <f t="shared" si="21"/>
        <v>0.81599999999999995</v>
      </c>
      <c r="I14" s="845">
        <f t="shared" si="21"/>
        <v>0</v>
      </c>
      <c r="J14" s="757">
        <f t="shared" si="21"/>
        <v>4.3999999999999997E-2</v>
      </c>
      <c r="K14" s="757">
        <f t="shared" si="21"/>
        <v>0.20399999999999999</v>
      </c>
      <c r="L14" s="757">
        <f t="shared" ref="L14:N14" si="22">+L12</f>
        <v>0.49399999999999999</v>
      </c>
      <c r="M14" s="845">
        <f t="shared" si="22"/>
        <v>0</v>
      </c>
      <c r="N14" s="757">
        <f t="shared" si="22"/>
        <v>0.443</v>
      </c>
      <c r="O14" s="758"/>
      <c r="P14" s="759">
        <f t="shared" si="9"/>
        <v>4361.1642757974641</v>
      </c>
      <c r="Q14" s="759">
        <f t="shared" si="10"/>
        <v>239.35231642340358</v>
      </c>
      <c r="R14" s="759">
        <f t="shared" si="11"/>
        <v>673.48789724654239</v>
      </c>
      <c r="S14" s="759">
        <f t="shared" si="12"/>
        <v>36.315523871137096</v>
      </c>
      <c r="T14" s="759">
        <f t="shared" si="13"/>
        <v>168.3719743116356</v>
      </c>
      <c r="U14" s="759">
        <f t="shared" si="18"/>
        <v>407.72429073503923</v>
      </c>
      <c r="V14" s="759">
        <f t="shared" si="19"/>
        <v>365.63129715713035</v>
      </c>
      <c r="W14" s="760">
        <f t="shared" si="20"/>
        <v>6252.0475755423522</v>
      </c>
      <c r="X14" s="758"/>
    </row>
    <row r="15" spans="1:30" x14ac:dyDescent="0.3">
      <c r="B15" s="737" t="s">
        <v>352</v>
      </c>
      <c r="C15" s="756">
        <f>'MFR E-13c'!J91</f>
        <v>27236.38912587093</v>
      </c>
      <c r="D15" s="737"/>
      <c r="E15" s="757">
        <f>+'BA-1 Rates Current'!F13</f>
        <v>3.7360000000000002</v>
      </c>
      <c r="F15" s="757">
        <f t="shared" si="21"/>
        <v>0.28999999999999998</v>
      </c>
      <c r="G15" s="845">
        <f t="shared" si="21"/>
        <v>0</v>
      </c>
      <c r="H15" s="757">
        <f t="shared" si="21"/>
        <v>0.81599999999999995</v>
      </c>
      <c r="I15" s="845">
        <f t="shared" si="21"/>
        <v>0</v>
      </c>
      <c r="J15" s="757">
        <f t="shared" si="21"/>
        <v>4.3999999999999997E-2</v>
      </c>
      <c r="K15" s="757">
        <f t="shared" si="21"/>
        <v>0.20399999999999999</v>
      </c>
      <c r="L15" s="757">
        <f t="shared" ref="L15:N15" si="23">+L13</f>
        <v>0.49399999999999999</v>
      </c>
      <c r="M15" s="845">
        <f t="shared" si="23"/>
        <v>0</v>
      </c>
      <c r="N15" s="757">
        <f t="shared" si="23"/>
        <v>0.443</v>
      </c>
      <c r="O15" s="758"/>
      <c r="P15" s="759">
        <f t="shared" ref="P15" si="24">C15*E15/100</f>
        <v>1017.551497742538</v>
      </c>
      <c r="Q15" s="759">
        <f t="shared" ref="Q15" si="25">C15*F15/100</f>
        <v>78.985528465025695</v>
      </c>
      <c r="R15" s="759">
        <f t="shared" ref="R15" si="26">C15*H15/100</f>
        <v>222.24893526710679</v>
      </c>
      <c r="S15" s="759">
        <f t="shared" ref="S15" si="27">C15*J15/100</f>
        <v>11.984011215383209</v>
      </c>
      <c r="T15" s="759">
        <f t="shared" ref="T15" si="28">C15*K15/100</f>
        <v>55.562233816776697</v>
      </c>
      <c r="U15" s="759">
        <f t="shared" si="18"/>
        <v>134.54776228180239</v>
      </c>
      <c r="V15" s="759">
        <f t="shared" si="19"/>
        <v>120.65720382760823</v>
      </c>
      <c r="W15" s="760">
        <f t="shared" si="20"/>
        <v>1641.5371726162409</v>
      </c>
      <c r="X15" s="758"/>
    </row>
    <row r="16" spans="1:30" x14ac:dyDescent="0.3">
      <c r="B16" s="737" t="s">
        <v>353</v>
      </c>
      <c r="C16" s="756">
        <f>'MFR E-13c'!J85</f>
        <v>15593.067718822966</v>
      </c>
      <c r="D16" s="737"/>
      <c r="E16" s="757">
        <f>+'BA-1 Rates Current'!C14</f>
        <v>5.1950000000000003</v>
      </c>
      <c r="F16" s="757">
        <f>+'BA-1 Rates Current'!G14</f>
        <v>0.28699999999999998</v>
      </c>
      <c r="G16" s="845">
        <f>+'BA-1 Rates Current'!H14</f>
        <v>0</v>
      </c>
      <c r="H16" s="757">
        <f>+'BA-1 Rates Current'!I14</f>
        <v>0.80800000000000005</v>
      </c>
      <c r="I16" s="845">
        <f>+'BA-1 Rates Current'!J14</f>
        <v>0</v>
      </c>
      <c r="J16" s="757">
        <f>+'BA-1 Rates Current'!K14</f>
        <v>4.3999999999999997E-2</v>
      </c>
      <c r="K16" s="757">
        <f>+'BA-1 Rates Current'!L14</f>
        <v>0.20200000000000001</v>
      </c>
      <c r="L16" s="757">
        <f>+'BA-1 Rates Current'!M14</f>
        <v>0.48899999999999999</v>
      </c>
      <c r="M16" s="845">
        <f>+'BA-1 Rates Current'!N14</f>
        <v>0</v>
      </c>
      <c r="N16" s="757">
        <f>+'BA-1 Rates Current'!O14</f>
        <v>0.439</v>
      </c>
      <c r="O16" s="758"/>
      <c r="P16" s="759">
        <f t="shared" si="9"/>
        <v>810.05986799285313</v>
      </c>
      <c r="Q16" s="759">
        <f t="shared" si="10"/>
        <v>44.752104353021906</v>
      </c>
      <c r="R16" s="759">
        <f t="shared" si="11"/>
        <v>125.99198716808957</v>
      </c>
      <c r="S16" s="759">
        <f t="shared" si="12"/>
        <v>6.8609497962821049</v>
      </c>
      <c r="T16" s="759">
        <f t="shared" si="13"/>
        <v>31.497996792022391</v>
      </c>
      <c r="U16" s="759">
        <f t="shared" si="18"/>
        <v>76.250101145044297</v>
      </c>
      <c r="V16" s="759">
        <f t="shared" si="19"/>
        <v>68.453567285632815</v>
      </c>
      <c r="W16" s="760">
        <f t="shared" si="20"/>
        <v>1163.8665745329461</v>
      </c>
      <c r="X16" s="758"/>
    </row>
    <row r="17" spans="1:28" x14ac:dyDescent="0.3">
      <c r="B17" s="737" t="s">
        <v>354</v>
      </c>
      <c r="C17" s="756">
        <f>'MFR E-13c'!J93</f>
        <v>1243.6143765061483</v>
      </c>
      <c r="D17" s="737"/>
      <c r="E17" s="757">
        <f>+'BA-1 Rates Current'!D14</f>
        <v>6.6390000000000002</v>
      </c>
      <c r="F17" s="757">
        <f t="shared" ref="F17:K17" si="29">+F16</f>
        <v>0.28699999999999998</v>
      </c>
      <c r="G17" s="845">
        <f t="shared" si="29"/>
        <v>0</v>
      </c>
      <c r="H17" s="757">
        <f t="shared" si="29"/>
        <v>0.80800000000000005</v>
      </c>
      <c r="I17" s="845">
        <f t="shared" si="29"/>
        <v>0</v>
      </c>
      <c r="J17" s="757">
        <f t="shared" si="29"/>
        <v>4.3999999999999997E-2</v>
      </c>
      <c r="K17" s="757">
        <f t="shared" si="29"/>
        <v>0.20200000000000001</v>
      </c>
      <c r="L17" s="757">
        <f t="shared" ref="L17:N17" si="30">+L16</f>
        <v>0.48899999999999999</v>
      </c>
      <c r="M17" s="845">
        <f t="shared" si="30"/>
        <v>0</v>
      </c>
      <c r="N17" s="757">
        <f t="shared" si="30"/>
        <v>0.439</v>
      </c>
      <c r="O17" s="758"/>
      <c r="P17" s="759">
        <f t="shared" si="9"/>
        <v>82.563558456243186</v>
      </c>
      <c r="Q17" s="759">
        <f t="shared" si="10"/>
        <v>3.5691732605726458</v>
      </c>
      <c r="R17" s="759">
        <f t="shared" si="11"/>
        <v>10.04840416216968</v>
      </c>
      <c r="S17" s="759">
        <f t="shared" si="12"/>
        <v>0.5471903256627052</v>
      </c>
      <c r="T17" s="759">
        <f t="shared" si="13"/>
        <v>2.51210104054242</v>
      </c>
      <c r="U17" s="759">
        <f t="shared" si="18"/>
        <v>6.0812743011150658</v>
      </c>
      <c r="V17" s="759">
        <f t="shared" si="19"/>
        <v>5.4594671128619918</v>
      </c>
      <c r="W17" s="760">
        <f t="shared" si="20"/>
        <v>110.78116865916768</v>
      </c>
      <c r="X17" s="758"/>
    </row>
    <row r="18" spans="1:28" x14ac:dyDescent="0.3">
      <c r="B18" s="737" t="s">
        <v>355</v>
      </c>
      <c r="C18" s="756">
        <f>'MFR E-13c'!J94</f>
        <v>8759.014502965565</v>
      </c>
      <c r="D18" s="737"/>
      <c r="E18" s="757">
        <f>+'BA-1 Rates Current'!E14</f>
        <v>5.2309999999999999</v>
      </c>
      <c r="F18" s="757">
        <f t="shared" ref="F18:K19" si="31">+F16</f>
        <v>0.28699999999999998</v>
      </c>
      <c r="G18" s="845">
        <f t="shared" si="31"/>
        <v>0</v>
      </c>
      <c r="H18" s="757">
        <f t="shared" si="31"/>
        <v>0.80800000000000005</v>
      </c>
      <c r="I18" s="845">
        <f t="shared" si="31"/>
        <v>0</v>
      </c>
      <c r="J18" s="757">
        <f t="shared" si="31"/>
        <v>4.3999999999999997E-2</v>
      </c>
      <c r="K18" s="757">
        <f t="shared" si="31"/>
        <v>0.20200000000000001</v>
      </c>
      <c r="L18" s="757">
        <f t="shared" ref="L18:N18" si="32">+L16</f>
        <v>0.48899999999999999</v>
      </c>
      <c r="M18" s="845">
        <f t="shared" si="32"/>
        <v>0</v>
      </c>
      <c r="N18" s="757">
        <f t="shared" si="32"/>
        <v>0.439</v>
      </c>
      <c r="O18" s="758"/>
      <c r="P18" s="759">
        <f t="shared" si="9"/>
        <v>458.18404865012866</v>
      </c>
      <c r="Q18" s="759">
        <f t="shared" si="10"/>
        <v>25.138371623511169</v>
      </c>
      <c r="R18" s="759">
        <f t="shared" si="11"/>
        <v>70.772837183961769</v>
      </c>
      <c r="S18" s="759">
        <f t="shared" si="12"/>
        <v>3.8539663813048488</v>
      </c>
      <c r="T18" s="759">
        <f t="shared" si="13"/>
        <v>17.693209295990442</v>
      </c>
      <c r="U18" s="759">
        <f t="shared" si="18"/>
        <v>42.831580919501612</v>
      </c>
      <c r="V18" s="759">
        <f t="shared" si="19"/>
        <v>38.452073668018826</v>
      </c>
      <c r="W18" s="760">
        <f t="shared" si="20"/>
        <v>656.92608772241715</v>
      </c>
      <c r="X18" s="758"/>
    </row>
    <row r="19" spans="1:28" x14ac:dyDescent="0.3">
      <c r="B19" s="737" t="s">
        <v>356</v>
      </c>
      <c r="C19" s="756">
        <f>'MFR E-13c'!J95</f>
        <v>1592.5606476052953</v>
      </c>
      <c r="D19" s="737"/>
      <c r="E19" s="757">
        <f>+'BA-1 Rates Current'!F14</f>
        <v>3.6989999999999998</v>
      </c>
      <c r="F19" s="757">
        <f t="shared" si="31"/>
        <v>0.28699999999999998</v>
      </c>
      <c r="G19" s="845">
        <f t="shared" si="31"/>
        <v>0</v>
      </c>
      <c r="H19" s="757">
        <f t="shared" si="31"/>
        <v>0.80800000000000005</v>
      </c>
      <c r="I19" s="845">
        <f t="shared" si="31"/>
        <v>0</v>
      </c>
      <c r="J19" s="757">
        <f t="shared" si="31"/>
        <v>4.3999999999999997E-2</v>
      </c>
      <c r="K19" s="757">
        <f t="shared" si="31"/>
        <v>0.20200000000000001</v>
      </c>
      <c r="L19" s="757">
        <f t="shared" ref="L19:N19" si="33">+L17</f>
        <v>0.48899999999999999</v>
      </c>
      <c r="M19" s="845">
        <f t="shared" si="33"/>
        <v>0</v>
      </c>
      <c r="N19" s="757">
        <f t="shared" si="33"/>
        <v>0.439</v>
      </c>
      <c r="O19" s="758"/>
      <c r="P19" s="759">
        <f t="shared" ref="P19" si="34">C19*E19/100</f>
        <v>58.908818354919873</v>
      </c>
      <c r="Q19" s="759">
        <f t="shared" ref="Q19" si="35">C19*F19/100</f>
        <v>4.5706490586271977</v>
      </c>
      <c r="R19" s="759">
        <f t="shared" ref="R19" si="36">C19*H19/100</f>
        <v>12.867890032650786</v>
      </c>
      <c r="S19" s="759">
        <f t="shared" ref="S19" si="37">C19*J19/100</f>
        <v>0.70072668494632995</v>
      </c>
      <c r="T19" s="759">
        <f t="shared" ref="T19" si="38">C19*K19/100</f>
        <v>3.2169725081626965</v>
      </c>
      <c r="U19" s="759">
        <f t="shared" si="18"/>
        <v>7.7876215667898938</v>
      </c>
      <c r="V19" s="759">
        <f t="shared" si="19"/>
        <v>6.9913412429872475</v>
      </c>
      <c r="W19" s="760">
        <f t="shared" si="20"/>
        <v>95.044019449084033</v>
      </c>
      <c r="X19" s="758"/>
    </row>
    <row r="20" spans="1:28" x14ac:dyDescent="0.3">
      <c r="B20" s="737" t="s">
        <v>357</v>
      </c>
      <c r="C20" s="756">
        <f>'MFR E-13c'!J97</f>
        <v>225.8619797650459</v>
      </c>
      <c r="D20" s="737"/>
      <c r="E20" s="757">
        <f>+'BA-1 Rates Current'!D15</f>
        <v>6.5709999999999997</v>
      </c>
      <c r="F20" s="757">
        <f>+'BA-1 Rates Current'!G15</f>
        <v>0.28399999999999997</v>
      </c>
      <c r="G20" s="845">
        <f>+'BA-1 Rates Current'!H15</f>
        <v>0</v>
      </c>
      <c r="H20" s="757">
        <f>+'BA-1 Rates Current'!I15</f>
        <v>0.8</v>
      </c>
      <c r="I20" s="845">
        <f>+'BA-1 Rates Current'!J15</f>
        <v>0</v>
      </c>
      <c r="J20" s="757">
        <f>+'BA-1 Rates Current'!K15</f>
        <v>4.2999999999999997E-2</v>
      </c>
      <c r="K20" s="757">
        <f>+'BA-1 Rates Current'!L15</f>
        <v>0.2</v>
      </c>
      <c r="L20" s="757">
        <f>+'BA-1 Rates Current'!M15</f>
        <v>0.48399999999999999</v>
      </c>
      <c r="M20" s="845">
        <f>+'BA-1 Rates Current'!N15</f>
        <v>0</v>
      </c>
      <c r="N20" s="757">
        <f>+'BA-1 Rates Current'!O15</f>
        <v>0.434</v>
      </c>
      <c r="O20" s="758"/>
      <c r="P20" s="759">
        <f t="shared" si="9"/>
        <v>14.841390690361166</v>
      </c>
      <c r="Q20" s="759">
        <f t="shared" si="10"/>
        <v>0.64144802253273026</v>
      </c>
      <c r="R20" s="759">
        <f t="shared" si="11"/>
        <v>1.8068958381203675</v>
      </c>
      <c r="S20" s="759">
        <f t="shared" si="12"/>
        <v>9.7120651298969726E-2</v>
      </c>
      <c r="T20" s="759">
        <f t="shared" si="13"/>
        <v>0.45172395953009187</v>
      </c>
      <c r="U20" s="759">
        <f t="shared" si="18"/>
        <v>1.0931719820628221</v>
      </c>
      <c r="V20" s="759">
        <f t="shared" si="19"/>
        <v>0.98024099218029914</v>
      </c>
      <c r="W20" s="760">
        <f t="shared" si="20"/>
        <v>19.911992136086447</v>
      </c>
      <c r="X20" s="758"/>
    </row>
    <row r="21" spans="1:28" x14ac:dyDescent="0.3">
      <c r="B21" s="737" t="s">
        <v>358</v>
      </c>
      <c r="C21" s="756">
        <f>'MFR E-13c'!J98</f>
        <v>1890.6066860441856</v>
      </c>
      <c r="D21" s="737"/>
      <c r="E21" s="757">
        <f>+'BA-1 Rates Current'!E15</f>
        <v>5.1779999999999999</v>
      </c>
      <c r="F21" s="757">
        <f t="shared" ref="F21:K22" si="39">+F20</f>
        <v>0.28399999999999997</v>
      </c>
      <c r="G21" s="845">
        <f t="shared" si="39"/>
        <v>0</v>
      </c>
      <c r="H21" s="757">
        <f t="shared" si="39"/>
        <v>0.8</v>
      </c>
      <c r="I21" s="845">
        <f t="shared" si="39"/>
        <v>0</v>
      </c>
      <c r="J21" s="757">
        <f t="shared" si="39"/>
        <v>4.2999999999999997E-2</v>
      </c>
      <c r="K21" s="757">
        <f t="shared" si="39"/>
        <v>0.2</v>
      </c>
      <c r="L21" s="757">
        <f t="shared" ref="L21:N21" si="40">+L20</f>
        <v>0.48399999999999999</v>
      </c>
      <c r="M21" s="845">
        <f t="shared" si="40"/>
        <v>0</v>
      </c>
      <c r="N21" s="757">
        <f t="shared" si="40"/>
        <v>0.434</v>
      </c>
      <c r="O21" s="758"/>
      <c r="P21" s="759">
        <f t="shared" si="9"/>
        <v>97.895614203367927</v>
      </c>
      <c r="Q21" s="759">
        <f t="shared" si="10"/>
        <v>5.3693229883654858</v>
      </c>
      <c r="R21" s="759">
        <f t="shared" si="11"/>
        <v>15.124853488353486</v>
      </c>
      <c r="S21" s="759">
        <f t="shared" si="12"/>
        <v>0.81296087499899972</v>
      </c>
      <c r="T21" s="759">
        <f t="shared" si="13"/>
        <v>3.7812133720883714</v>
      </c>
      <c r="U21" s="759">
        <f t="shared" si="18"/>
        <v>9.1505363604538577</v>
      </c>
      <c r="V21" s="759">
        <f t="shared" si="19"/>
        <v>8.205233017431766</v>
      </c>
      <c r="W21" s="760">
        <f t="shared" si="20"/>
        <v>140.33973430505989</v>
      </c>
      <c r="X21" s="758"/>
      <c r="AB21" s="761"/>
    </row>
    <row r="22" spans="1:28" x14ac:dyDescent="0.3">
      <c r="B22" s="737" t="s">
        <v>359</v>
      </c>
      <c r="C22" s="756">
        <f>'MFR E-13c'!J99</f>
        <v>1090.0311319480422</v>
      </c>
      <c r="D22" s="737"/>
      <c r="E22" s="757">
        <f>+'BA-1 Rates Current'!F15</f>
        <v>3.661</v>
      </c>
      <c r="F22" s="757">
        <f t="shared" si="39"/>
        <v>0.28399999999999997</v>
      </c>
      <c r="G22" s="845">
        <f t="shared" si="39"/>
        <v>0</v>
      </c>
      <c r="H22" s="757">
        <f t="shared" si="39"/>
        <v>0.8</v>
      </c>
      <c r="I22" s="845">
        <f t="shared" si="39"/>
        <v>0</v>
      </c>
      <c r="J22" s="757">
        <f t="shared" si="39"/>
        <v>4.2999999999999997E-2</v>
      </c>
      <c r="K22" s="757">
        <f t="shared" si="39"/>
        <v>0.2</v>
      </c>
      <c r="L22" s="757">
        <f t="shared" ref="L22:N22" si="41">+L21</f>
        <v>0.48399999999999999</v>
      </c>
      <c r="M22" s="845">
        <f t="shared" si="41"/>
        <v>0</v>
      </c>
      <c r="N22" s="757">
        <f t="shared" si="41"/>
        <v>0.434</v>
      </c>
      <c r="O22" s="758"/>
      <c r="P22" s="759">
        <f t="shared" ref="P22" si="42">C22*E22/100</f>
        <v>39.906039740617828</v>
      </c>
      <c r="Q22" s="759">
        <f t="shared" ref="Q22" si="43">C22*F22/100</f>
        <v>3.0956884147324399</v>
      </c>
      <c r="R22" s="759">
        <f t="shared" ref="R22" si="44">C22*H22/100</f>
        <v>8.7202490555843379</v>
      </c>
      <c r="S22" s="759">
        <f t="shared" ref="S22" si="45">C22*J22/100</f>
        <v>0.46871338673765811</v>
      </c>
      <c r="T22" s="759">
        <f t="shared" ref="T22" si="46">C22*K22/100</f>
        <v>2.1800622638960845</v>
      </c>
      <c r="U22" s="759">
        <f t="shared" si="18"/>
        <v>5.2757506786285235</v>
      </c>
      <c r="V22" s="759">
        <f t="shared" si="19"/>
        <v>4.7307351126545036</v>
      </c>
      <c r="W22" s="760">
        <f t="shared" si="20"/>
        <v>64.377238652851389</v>
      </c>
      <c r="X22" s="758"/>
      <c r="Y22" s="754">
        <f>'MFR E-13a'!H19</f>
        <v>199992.29389740311</v>
      </c>
      <c r="Z22" s="754">
        <f>'MFR E-13a'!L19</f>
        <v>205905.79840415227</v>
      </c>
      <c r="AA22" s="754">
        <f>(Y22+$W$12+$W$13+$W$14+$W$15+$W$16+$W$17+$W$18+$W$19+$W$20+$W$21+$W$22)</f>
        <v>366169.98586619081</v>
      </c>
      <c r="AB22" s="761">
        <f>+((Z22)-(Y22))/(Y22+$W$12+$W$13+$W$14+$W$15+$W$16+$W$17+$W$18+$W$19+$W$20+$W$21+$W$22)</f>
        <v>1.6149615574746003E-2</v>
      </c>
    </row>
    <row r="23" spans="1:28" x14ac:dyDescent="0.3">
      <c r="C23" s="756"/>
      <c r="D23" s="737"/>
      <c r="E23" s="757"/>
      <c r="F23" s="757"/>
      <c r="G23" s="845"/>
      <c r="H23" s="757"/>
      <c r="I23" s="845"/>
      <c r="J23" s="757"/>
      <c r="K23" s="757"/>
      <c r="L23" s="757"/>
      <c r="M23" s="845"/>
      <c r="N23" s="757"/>
      <c r="O23" s="758"/>
      <c r="X23" s="758"/>
    </row>
    <row r="24" spans="1:28" x14ac:dyDescent="0.3">
      <c r="A24" s="739" t="s">
        <v>137</v>
      </c>
      <c r="B24" s="737" t="s">
        <v>149</v>
      </c>
      <c r="C24" s="756">
        <f>'MFR E-13c'!J137</f>
        <v>208924.4911548431</v>
      </c>
      <c r="D24" s="737"/>
      <c r="E24" s="757">
        <f>+'BA-1 Rates Current'!C17</f>
        <v>5.2469999999999999</v>
      </c>
      <c r="F24" s="757">
        <f>+'BA-1 Rates Current'!G17</f>
        <v>0.22700000000000001</v>
      </c>
      <c r="G24" s="845">
        <f>+'BA-1 Rates Current'!H17</f>
        <v>0</v>
      </c>
      <c r="H24" s="757">
        <f>+'BA-1 Rates Current'!I17</f>
        <v>0.59699999999999998</v>
      </c>
      <c r="I24" s="845">
        <f>+'BA-1 Rates Current'!J17</f>
        <v>0</v>
      </c>
      <c r="J24" s="757">
        <f>+'BA-1 Rates Current'!K17</f>
        <v>4.2000000000000003E-2</v>
      </c>
      <c r="K24" s="757">
        <f>+'BA-1 Rates Current'!L17</f>
        <v>0.14099999999999999</v>
      </c>
      <c r="L24" s="757">
        <f>+'BA-1 Rates Current'!M17</f>
        <v>0.23100000000000001</v>
      </c>
      <c r="M24" s="845">
        <f>+'BA-1 Rates Current'!N17</f>
        <v>0</v>
      </c>
      <c r="N24" s="757">
        <f>+'BA-1 Rates Current'!O17</f>
        <v>0.221</v>
      </c>
      <c r="O24" s="758"/>
      <c r="P24" s="759">
        <f>C24*E24/100</f>
        <v>10962.268050894616</v>
      </c>
      <c r="Q24" s="759">
        <f>C24*F24/100</f>
        <v>474.25859492149385</v>
      </c>
      <c r="R24" s="759">
        <f>C24*H24/100</f>
        <v>1247.2792121944133</v>
      </c>
      <c r="S24" s="759">
        <f>C24*J24/100</f>
        <v>87.748286285034098</v>
      </c>
      <c r="T24" s="759">
        <f>C24*K24/100</f>
        <v>294.5835325283287</v>
      </c>
      <c r="U24" s="759">
        <f t="shared" ref="U24" si="47">C24*L24/100</f>
        <v>482.61557456768759</v>
      </c>
      <c r="V24" s="759">
        <f t="shared" ref="V24" si="48">C24*N24/100</f>
        <v>461.72312545220325</v>
      </c>
      <c r="W24" s="760">
        <f>SUM(P24:V24)</f>
        <v>14010.476376843775</v>
      </c>
      <c r="X24" s="758"/>
      <c r="Y24" s="754">
        <f>'MFR E-13a'!H20</f>
        <v>11991.78251042675</v>
      </c>
      <c r="Z24" s="754">
        <f>'MFR E-13a'!L20</f>
        <v>12477.58858348337</v>
      </c>
      <c r="AA24" s="754">
        <f>(Y24+$W$24)</f>
        <v>26002.258887270524</v>
      </c>
      <c r="AB24" s="761">
        <f>+((Z24)-(Y24))/(Y24+$W$24)</f>
        <v>1.8683225759837625E-2</v>
      </c>
    </row>
    <row r="25" spans="1:28" x14ac:dyDescent="0.3">
      <c r="C25" s="756"/>
      <c r="D25" s="737"/>
      <c r="E25" s="757"/>
      <c r="F25" s="757"/>
      <c r="G25" s="845"/>
      <c r="H25" s="757"/>
      <c r="I25" s="845"/>
      <c r="J25" s="757"/>
      <c r="K25" s="757"/>
      <c r="L25" s="757"/>
      <c r="M25" s="845"/>
      <c r="N25" s="757"/>
      <c r="O25" s="758"/>
      <c r="X25" s="758"/>
    </row>
    <row r="26" spans="1:28" x14ac:dyDescent="0.3">
      <c r="A26" s="739" t="s">
        <v>272</v>
      </c>
      <c r="B26" s="737" t="s">
        <v>347</v>
      </c>
      <c r="C26" s="756">
        <f>'MFR E-13c'!J220</f>
        <v>3315163.126174266</v>
      </c>
      <c r="D26" s="756">
        <f>'MFR E-13c'!J176</f>
        <v>10725376.603371939</v>
      </c>
      <c r="E26" s="757">
        <f t="shared" ref="E26:E34" si="49">+E12</f>
        <v>5.2469999999999999</v>
      </c>
      <c r="F26" s="763">
        <f>+'BA-1 Rates Current'!G20</f>
        <v>0</v>
      </c>
      <c r="G26" s="846">
        <f>+'BA-1 Rates Current'!H20</f>
        <v>0.93</v>
      </c>
      <c r="H26" s="763">
        <f>+'BA-1 Rates Current'!I20</f>
        <v>0</v>
      </c>
      <c r="I26" s="846">
        <f>+'BA-1 Rates Current'!J20</f>
        <v>2.5299999999999998</v>
      </c>
      <c r="J26" s="763">
        <f>+'BA-1 Rates Current'!K20</f>
        <v>4.2999999999999997E-2</v>
      </c>
      <c r="K26" s="763">
        <f>+'BA-1 Rates Current'!L20</f>
        <v>0.17599999999999999</v>
      </c>
      <c r="L26" s="763">
        <f>+'BA-1 Rates Current'!M20</f>
        <v>0</v>
      </c>
      <c r="M26" s="846">
        <f>+'BA-1 Rates Current'!N20</f>
        <v>1.34</v>
      </c>
      <c r="N26" s="763">
        <f>+'BA-1 Rates Current'!O20</f>
        <v>0.32900000000000001</v>
      </c>
      <c r="O26" s="758"/>
      <c r="P26" s="759">
        <f t="shared" ref="P26:P36" si="50">C26*E26/100</f>
        <v>173946.60923036374</v>
      </c>
      <c r="Q26" s="759">
        <f t="shared" ref="Q26:Q36" si="51">D26*G26/1000</f>
        <v>9974.6002411359023</v>
      </c>
      <c r="R26" s="759">
        <f t="shared" ref="R26:R36" si="52">D26*I26/1000</f>
        <v>27135.202806531004</v>
      </c>
      <c r="S26" s="759">
        <f t="shared" ref="S26:S36" si="53">C26*J26/100</f>
        <v>1425.5201442549342</v>
      </c>
      <c r="T26" s="759">
        <f t="shared" ref="T26:T36" si="54">C26*K26/100</f>
        <v>5834.6871020667077</v>
      </c>
      <c r="U26" s="759">
        <f>D26*M26/1000</f>
        <v>14372.004648518398</v>
      </c>
      <c r="V26" s="759">
        <f>C26*N26/100</f>
        <v>10906.886685113337</v>
      </c>
      <c r="W26" s="760">
        <f>SUM(P26:V26)</f>
        <v>243595.51085798402</v>
      </c>
      <c r="X26" s="758"/>
    </row>
    <row r="27" spans="1:28" x14ac:dyDescent="0.3">
      <c r="B27" s="737" t="s">
        <v>350</v>
      </c>
      <c r="C27" s="756">
        <f>'MFR E-13c'!J225</f>
        <v>968631.49881306151</v>
      </c>
      <c r="D27" s="737"/>
      <c r="E27" s="757">
        <f t="shared" si="49"/>
        <v>6.7060000000000004</v>
      </c>
      <c r="F27" s="763">
        <f t="shared" ref="F27:K27" si="55">+F26</f>
        <v>0</v>
      </c>
      <c r="G27" s="846">
        <f t="shared" si="55"/>
        <v>0.93</v>
      </c>
      <c r="H27" s="763">
        <f t="shared" si="55"/>
        <v>0</v>
      </c>
      <c r="I27" s="846">
        <f t="shared" si="55"/>
        <v>2.5299999999999998</v>
      </c>
      <c r="J27" s="763">
        <f t="shared" si="55"/>
        <v>4.2999999999999997E-2</v>
      </c>
      <c r="K27" s="763">
        <f t="shared" si="55"/>
        <v>0.17599999999999999</v>
      </c>
      <c r="L27" s="763">
        <f t="shared" ref="L27:N27" si="56">+L26</f>
        <v>0</v>
      </c>
      <c r="M27" s="846">
        <f t="shared" si="56"/>
        <v>1.34</v>
      </c>
      <c r="N27" s="763">
        <f t="shared" si="56"/>
        <v>0.32900000000000001</v>
      </c>
      <c r="O27" s="758"/>
      <c r="P27" s="759">
        <f t="shared" si="50"/>
        <v>64956.428310403906</v>
      </c>
      <c r="Q27" s="759">
        <f t="shared" si="51"/>
        <v>0</v>
      </c>
      <c r="R27" s="759">
        <f t="shared" si="52"/>
        <v>0</v>
      </c>
      <c r="S27" s="759">
        <f t="shared" si="53"/>
        <v>416.51154448961643</v>
      </c>
      <c r="T27" s="759">
        <f t="shared" si="54"/>
        <v>1704.7914379109882</v>
      </c>
      <c r="U27" s="759">
        <f t="shared" ref="U27:U37" si="57">D27*M27/1000</f>
        <v>0</v>
      </c>
      <c r="V27" s="759">
        <f t="shared" ref="V27:V37" si="58">C27*N27/100</f>
        <v>3186.7976310949725</v>
      </c>
      <c r="W27" s="760">
        <f t="shared" ref="W27:W57" si="59">SUM(P27:V27)</f>
        <v>70264.528923899488</v>
      </c>
      <c r="X27" s="758"/>
    </row>
    <row r="28" spans="1:28" x14ac:dyDescent="0.3">
      <c r="B28" s="737" t="s">
        <v>351</v>
      </c>
      <c r="C28" s="756">
        <f>'MFR E-13c'!J226</f>
        <v>5309902.6463971417</v>
      </c>
      <c r="D28" s="756">
        <f>+'MFR E-13c'!J183</f>
        <v>17486022.908084743</v>
      </c>
      <c r="E28" s="757">
        <f t="shared" si="49"/>
        <v>5.2839999999999998</v>
      </c>
      <c r="F28" s="763">
        <f t="shared" ref="F28:K29" si="60">+F26</f>
        <v>0</v>
      </c>
      <c r="G28" s="846">
        <f t="shared" si="60"/>
        <v>0.93</v>
      </c>
      <c r="H28" s="763">
        <f t="shared" si="60"/>
        <v>0</v>
      </c>
      <c r="I28" s="846">
        <f t="shared" si="60"/>
        <v>2.5299999999999998</v>
      </c>
      <c r="J28" s="763">
        <f t="shared" si="60"/>
        <v>4.2999999999999997E-2</v>
      </c>
      <c r="K28" s="763">
        <f t="shared" si="60"/>
        <v>0.17599999999999999</v>
      </c>
      <c r="L28" s="763">
        <f t="shared" ref="L28:N29" si="61">+L26</f>
        <v>0</v>
      </c>
      <c r="M28" s="846">
        <f t="shared" si="61"/>
        <v>1.34</v>
      </c>
      <c r="N28" s="763">
        <f t="shared" si="61"/>
        <v>0.32900000000000001</v>
      </c>
      <c r="O28" s="758"/>
      <c r="P28" s="759">
        <f t="shared" si="50"/>
        <v>280575.25583562499</v>
      </c>
      <c r="Q28" s="759">
        <f t="shared" si="51"/>
        <v>16262.001304518812</v>
      </c>
      <c r="R28" s="759">
        <f t="shared" si="52"/>
        <v>44239.637957454397</v>
      </c>
      <c r="S28" s="759">
        <f t="shared" si="53"/>
        <v>2283.258137950771</v>
      </c>
      <c r="T28" s="759">
        <f t="shared" si="54"/>
        <v>9345.4286576589693</v>
      </c>
      <c r="U28" s="759">
        <f t="shared" si="57"/>
        <v>23431.270696833559</v>
      </c>
      <c r="V28" s="759">
        <f t="shared" si="58"/>
        <v>17469.579706646597</v>
      </c>
      <c r="W28" s="760">
        <f t="shared" si="59"/>
        <v>393606.43229668814</v>
      </c>
      <c r="X28" s="758"/>
    </row>
    <row r="29" spans="1:28" x14ac:dyDescent="0.3">
      <c r="B29" s="737" t="s">
        <v>352</v>
      </c>
      <c r="C29" s="756">
        <f>'MFR E-13c'!J227</f>
        <v>1377472.6196674642</v>
      </c>
      <c r="D29" s="737"/>
      <c r="E29" s="757">
        <f t="shared" si="49"/>
        <v>3.7360000000000002</v>
      </c>
      <c r="F29" s="763">
        <f t="shared" si="60"/>
        <v>0</v>
      </c>
      <c r="G29" s="846">
        <f t="shared" si="60"/>
        <v>0.93</v>
      </c>
      <c r="H29" s="763">
        <f t="shared" si="60"/>
        <v>0</v>
      </c>
      <c r="I29" s="846">
        <f t="shared" si="60"/>
        <v>2.5299999999999998</v>
      </c>
      <c r="J29" s="763">
        <f t="shared" si="60"/>
        <v>4.2999999999999997E-2</v>
      </c>
      <c r="K29" s="763">
        <f t="shared" si="60"/>
        <v>0.17599999999999999</v>
      </c>
      <c r="L29" s="763">
        <f t="shared" si="61"/>
        <v>0</v>
      </c>
      <c r="M29" s="846">
        <f t="shared" si="61"/>
        <v>1.34</v>
      </c>
      <c r="N29" s="763">
        <f t="shared" si="61"/>
        <v>0.32900000000000001</v>
      </c>
      <c r="O29" s="758"/>
      <c r="P29" s="759">
        <f t="shared" ref="P29" si="62">C29*E29/100</f>
        <v>51462.377070776463</v>
      </c>
      <c r="Q29" s="759">
        <f t="shared" ref="Q29" si="63">D29*G29/1000</f>
        <v>0</v>
      </c>
      <c r="R29" s="759">
        <f t="shared" ref="R29" si="64">D29*I29/1000</f>
        <v>0</v>
      </c>
      <c r="S29" s="759">
        <f t="shared" ref="S29" si="65">C29*J29/100</f>
        <v>592.31322645700948</v>
      </c>
      <c r="T29" s="759">
        <f t="shared" ref="T29" si="66">C29*K29/100</f>
        <v>2424.3518106147367</v>
      </c>
      <c r="U29" s="759">
        <f t="shared" si="57"/>
        <v>0</v>
      </c>
      <c r="V29" s="759">
        <f t="shared" si="58"/>
        <v>4531.8849187059568</v>
      </c>
      <c r="W29" s="760">
        <f t="shared" si="59"/>
        <v>59010.927026554171</v>
      </c>
      <c r="X29" s="758"/>
    </row>
    <row r="30" spans="1:28" x14ac:dyDescent="0.3">
      <c r="B30" s="737" t="s">
        <v>353</v>
      </c>
      <c r="C30" s="756">
        <f>'MFR E-13c'!J221</f>
        <v>81271.097926922128</v>
      </c>
      <c r="D30" s="756">
        <f>+'MFR E-13c'!J177</f>
        <v>271955.06287337415</v>
      </c>
      <c r="E30" s="757">
        <f t="shared" si="49"/>
        <v>5.1950000000000003</v>
      </c>
      <c r="F30" s="763">
        <f>+'BA-1 Rates Current'!G21</f>
        <v>0</v>
      </c>
      <c r="G30" s="846">
        <f>+'BA-1 Rates Current'!H21</f>
        <v>0.92</v>
      </c>
      <c r="H30" s="763">
        <f>+'BA-1 Rates Current'!I21</f>
        <v>0</v>
      </c>
      <c r="I30" s="846">
        <f>+'BA-1 Rates Current'!J21</f>
        <v>2.5</v>
      </c>
      <c r="J30" s="763">
        <f>+'BA-1 Rates Current'!K21</f>
        <v>4.2999999999999997E-2</v>
      </c>
      <c r="K30" s="763">
        <f>+'BA-1 Rates Current'!L21</f>
        <v>0.17399999999999999</v>
      </c>
      <c r="L30" s="763">
        <f>+'BA-1 Rates Current'!M21</f>
        <v>0</v>
      </c>
      <c r="M30" s="846">
        <f>+'BA-1 Rates Current'!N21</f>
        <v>1.31</v>
      </c>
      <c r="N30" s="763">
        <f>+'BA-1 Rates Current'!O21</f>
        <v>0.32600000000000001</v>
      </c>
      <c r="O30" s="758"/>
      <c r="P30" s="759">
        <f t="shared" si="50"/>
        <v>4222.0335373036041</v>
      </c>
      <c r="Q30" s="759">
        <f t="shared" si="51"/>
        <v>250.19865784350421</v>
      </c>
      <c r="R30" s="759">
        <f t="shared" si="52"/>
        <v>679.88765718343541</v>
      </c>
      <c r="S30" s="759">
        <f t="shared" si="53"/>
        <v>34.946572108576511</v>
      </c>
      <c r="T30" s="759">
        <f t="shared" si="54"/>
        <v>141.4117103928445</v>
      </c>
      <c r="U30" s="759">
        <f t="shared" si="57"/>
        <v>356.26113236412016</v>
      </c>
      <c r="V30" s="759">
        <f t="shared" si="58"/>
        <v>264.94377924176615</v>
      </c>
      <c r="W30" s="760">
        <f t="shared" si="59"/>
        <v>5949.6830464378509</v>
      </c>
      <c r="X30" s="758"/>
    </row>
    <row r="31" spans="1:28" x14ac:dyDescent="0.3">
      <c r="B31" s="737" t="s">
        <v>354</v>
      </c>
      <c r="C31" s="756">
        <f>'MFR E-13c'!J229</f>
        <v>209484.34243318421</v>
      </c>
      <c r="D31" s="737"/>
      <c r="E31" s="757">
        <f t="shared" si="49"/>
        <v>6.6390000000000002</v>
      </c>
      <c r="F31" s="763">
        <f t="shared" ref="F31:K31" si="67">+F30</f>
        <v>0</v>
      </c>
      <c r="G31" s="846">
        <f t="shared" si="67"/>
        <v>0.92</v>
      </c>
      <c r="H31" s="763">
        <f t="shared" si="67"/>
        <v>0</v>
      </c>
      <c r="I31" s="846">
        <f t="shared" si="67"/>
        <v>2.5</v>
      </c>
      <c r="J31" s="763">
        <f t="shared" si="67"/>
        <v>4.2999999999999997E-2</v>
      </c>
      <c r="K31" s="763">
        <f t="shared" si="67"/>
        <v>0.17399999999999999</v>
      </c>
      <c r="L31" s="763">
        <f t="shared" ref="L31:N31" si="68">+L30</f>
        <v>0</v>
      </c>
      <c r="M31" s="846">
        <f t="shared" si="68"/>
        <v>1.31</v>
      </c>
      <c r="N31" s="763">
        <f t="shared" si="68"/>
        <v>0.32600000000000001</v>
      </c>
      <c r="O31" s="758"/>
      <c r="P31" s="759">
        <f t="shared" si="50"/>
        <v>13907.665494139101</v>
      </c>
      <c r="Q31" s="759">
        <f t="shared" si="51"/>
        <v>0</v>
      </c>
      <c r="R31" s="759">
        <f t="shared" si="52"/>
        <v>0</v>
      </c>
      <c r="S31" s="759">
        <f t="shared" si="53"/>
        <v>90.078267246269206</v>
      </c>
      <c r="T31" s="759">
        <f t="shared" si="54"/>
        <v>364.50275583374054</v>
      </c>
      <c r="U31" s="759">
        <f t="shared" si="57"/>
        <v>0</v>
      </c>
      <c r="V31" s="759">
        <f t="shared" si="58"/>
        <v>682.91895633218053</v>
      </c>
      <c r="W31" s="760">
        <f t="shared" si="59"/>
        <v>15045.165473551289</v>
      </c>
      <c r="X31" s="758"/>
    </row>
    <row r="32" spans="1:28" x14ac:dyDescent="0.3">
      <c r="B32" s="737" t="s">
        <v>355</v>
      </c>
      <c r="C32" s="756">
        <f>'MFR E-13c'!J230</f>
        <v>1139084.8818034285</v>
      </c>
      <c r="D32" s="756">
        <f>+'MFR E-13c'!J188</f>
        <v>3370903.6067370013</v>
      </c>
      <c r="E32" s="757">
        <f t="shared" si="49"/>
        <v>5.2309999999999999</v>
      </c>
      <c r="F32" s="763">
        <f t="shared" ref="F32:K33" si="69">+F30</f>
        <v>0</v>
      </c>
      <c r="G32" s="846">
        <f t="shared" si="69"/>
        <v>0.92</v>
      </c>
      <c r="H32" s="763">
        <f t="shared" si="69"/>
        <v>0</v>
      </c>
      <c r="I32" s="846">
        <f t="shared" si="69"/>
        <v>2.5</v>
      </c>
      <c r="J32" s="763">
        <f t="shared" si="69"/>
        <v>4.2999999999999997E-2</v>
      </c>
      <c r="K32" s="763">
        <f t="shared" si="69"/>
        <v>0.17399999999999999</v>
      </c>
      <c r="L32" s="763">
        <f t="shared" ref="L32:N33" si="70">+L30</f>
        <v>0</v>
      </c>
      <c r="M32" s="846">
        <f t="shared" si="70"/>
        <v>1.31</v>
      </c>
      <c r="N32" s="763">
        <f t="shared" si="70"/>
        <v>0.32600000000000001</v>
      </c>
      <c r="O32" s="758"/>
      <c r="P32" s="759">
        <f t="shared" si="50"/>
        <v>59585.530167137345</v>
      </c>
      <c r="Q32" s="759">
        <f t="shared" si="51"/>
        <v>3101.2313181980417</v>
      </c>
      <c r="R32" s="759">
        <f t="shared" si="52"/>
        <v>8427.2590168425031</v>
      </c>
      <c r="S32" s="759">
        <f t="shared" si="53"/>
        <v>489.80649917547424</v>
      </c>
      <c r="T32" s="759">
        <f t="shared" si="54"/>
        <v>1982.0076943379654</v>
      </c>
      <c r="U32" s="759">
        <f t="shared" si="57"/>
        <v>4415.8837248254713</v>
      </c>
      <c r="V32" s="759">
        <f t="shared" si="58"/>
        <v>3713.4167146791774</v>
      </c>
      <c r="W32" s="760">
        <f t="shared" si="59"/>
        <v>81715.135135195989</v>
      </c>
      <c r="X32" s="758"/>
    </row>
    <row r="33" spans="1:28" x14ac:dyDescent="0.3">
      <c r="B33" s="737" t="s">
        <v>356</v>
      </c>
      <c r="C33" s="756">
        <f>'MFR E-13c'!J231</f>
        <v>334231.19511558855</v>
      </c>
      <c r="D33" s="737"/>
      <c r="E33" s="757">
        <f t="shared" si="49"/>
        <v>3.6989999999999998</v>
      </c>
      <c r="F33" s="763">
        <f t="shared" si="69"/>
        <v>0</v>
      </c>
      <c r="G33" s="846">
        <f t="shared" si="69"/>
        <v>0.92</v>
      </c>
      <c r="H33" s="763">
        <f t="shared" si="69"/>
        <v>0</v>
      </c>
      <c r="I33" s="846">
        <f t="shared" si="69"/>
        <v>2.5</v>
      </c>
      <c r="J33" s="763">
        <f t="shared" si="69"/>
        <v>4.2999999999999997E-2</v>
      </c>
      <c r="K33" s="763">
        <f t="shared" si="69"/>
        <v>0.17399999999999999</v>
      </c>
      <c r="L33" s="763">
        <f t="shared" si="70"/>
        <v>0</v>
      </c>
      <c r="M33" s="846">
        <f t="shared" si="70"/>
        <v>1.31</v>
      </c>
      <c r="N33" s="763">
        <f t="shared" si="70"/>
        <v>0.32600000000000001</v>
      </c>
      <c r="O33" s="758"/>
      <c r="P33" s="759">
        <f t="shared" ref="P33:P34" si="71">C33*E33/100</f>
        <v>12363.21190732562</v>
      </c>
      <c r="Q33" s="759">
        <f t="shared" ref="Q33:Q34" si="72">D33*G33/1000</f>
        <v>0</v>
      </c>
      <c r="R33" s="759">
        <f t="shared" ref="R33:R34" si="73">D33*I33/1000</f>
        <v>0</v>
      </c>
      <c r="S33" s="759">
        <f t="shared" ref="S33:S34" si="74">C33*J33/100</f>
        <v>143.71941389970306</v>
      </c>
      <c r="T33" s="759">
        <f t="shared" ref="T33:T34" si="75">C33*K33/100</f>
        <v>581.56227950112407</v>
      </c>
      <c r="U33" s="759">
        <f t="shared" si="57"/>
        <v>0</v>
      </c>
      <c r="V33" s="759">
        <f t="shared" si="58"/>
        <v>1089.5936960768188</v>
      </c>
      <c r="W33" s="760">
        <f t="shared" si="59"/>
        <v>14178.087296803267</v>
      </c>
      <c r="X33" s="758"/>
    </row>
    <row r="34" spans="1:28" x14ac:dyDescent="0.3">
      <c r="B34" s="737" t="s">
        <v>360</v>
      </c>
      <c r="C34" s="756">
        <f>'MFR E-13c'!J222</f>
        <v>180.09584422264081</v>
      </c>
      <c r="D34" s="756">
        <f>'MFR E-13c'!J178</f>
        <v>388.67626969648086</v>
      </c>
      <c r="E34" s="757">
        <f t="shared" si="49"/>
        <v>6.5709999999999997</v>
      </c>
      <c r="F34" s="763">
        <f>+'BA-1 Rates Current'!G25</f>
        <v>0</v>
      </c>
      <c r="G34" s="846">
        <f>+'BA-1 Rates Current'!H25</f>
        <v>0.79</v>
      </c>
      <c r="H34" s="763">
        <f>+'BA-1 Rates Current'!I25</f>
        <v>0</v>
      </c>
      <c r="I34" s="846">
        <f>+'BA-1 Rates Current'!J25</f>
        <v>2.0499999999999998</v>
      </c>
      <c r="J34" s="763">
        <f>+'BA-1 Rates Current'!K25</f>
        <v>4.1000000000000002E-2</v>
      </c>
      <c r="K34" s="763">
        <f>+'BA-1 Rates Current'!L25</f>
        <v>0.12</v>
      </c>
      <c r="L34" s="763">
        <f>+'BA-1 Rates Current'!M25</f>
        <v>0</v>
      </c>
      <c r="M34" s="846">
        <f>+'BA-1 Rates Current'!N25</f>
        <v>2.11</v>
      </c>
      <c r="N34" s="763">
        <f>+'BA-1 Rates Current'!O25</f>
        <v>0.32900000000000001</v>
      </c>
      <c r="O34" s="758"/>
      <c r="P34" s="759">
        <f t="shared" si="71"/>
        <v>11.834097923869727</v>
      </c>
      <c r="Q34" s="759">
        <f t="shared" si="72"/>
        <v>0.30705425306021988</v>
      </c>
      <c r="R34" s="759">
        <f t="shared" si="73"/>
        <v>0.79678635287778565</v>
      </c>
      <c r="S34" s="759">
        <f t="shared" si="74"/>
        <v>7.3839296131282733E-2</v>
      </c>
      <c r="T34" s="759">
        <f t="shared" si="75"/>
        <v>0.21611501306716896</v>
      </c>
      <c r="U34" s="759">
        <f t="shared" si="57"/>
        <v>0.82010692905957461</v>
      </c>
      <c r="V34" s="759">
        <f t="shared" si="58"/>
        <v>0.59251532749248836</v>
      </c>
      <c r="W34" s="760">
        <f t="shared" si="59"/>
        <v>14.64051509555825</v>
      </c>
      <c r="X34" s="758"/>
    </row>
    <row r="35" spans="1:28" x14ac:dyDescent="0.3">
      <c r="B35" s="737" t="s">
        <v>357</v>
      </c>
      <c r="C35" s="756">
        <f>'MFR E-13c'!J233</f>
        <v>55195.566266313937</v>
      </c>
      <c r="D35" s="737"/>
      <c r="E35" s="757">
        <f>+E20</f>
        <v>6.5709999999999997</v>
      </c>
      <c r="F35" s="763">
        <f>+'BA-1 Rates Current'!G22</f>
        <v>0</v>
      </c>
      <c r="G35" s="846">
        <f>+'BA-1 Rates Current'!H22</f>
        <v>0.91</v>
      </c>
      <c r="H35" s="763">
        <f>+'BA-1 Rates Current'!I22</f>
        <v>0</v>
      </c>
      <c r="I35" s="846">
        <f>+'BA-1 Rates Current'!J22</f>
        <v>2.48</v>
      </c>
      <c r="J35" s="763">
        <f>+'BA-1 Rates Current'!K22</f>
        <v>4.2000000000000003E-2</v>
      </c>
      <c r="K35" s="763">
        <f>+'BA-1 Rates Current'!L22</f>
        <v>0.17199999999999999</v>
      </c>
      <c r="L35" s="763">
        <f>+'BA-1 Rates Current'!M22</f>
        <v>0</v>
      </c>
      <c r="M35" s="846">
        <f>+'BA-1 Rates Current'!N22</f>
        <v>0.25</v>
      </c>
      <c r="N35" s="763">
        <f>+'BA-1 Rates Current'!O22</f>
        <v>0.32200000000000001</v>
      </c>
      <c r="O35" s="758"/>
      <c r="P35" s="759">
        <f t="shared" si="50"/>
        <v>3626.9006593594886</v>
      </c>
      <c r="Q35" s="759">
        <f t="shared" si="51"/>
        <v>0</v>
      </c>
      <c r="R35" s="759">
        <f t="shared" si="52"/>
        <v>0</v>
      </c>
      <c r="S35" s="759">
        <f t="shared" si="53"/>
        <v>23.182137831851854</v>
      </c>
      <c r="T35" s="759">
        <f t="shared" si="54"/>
        <v>94.936373978059962</v>
      </c>
      <c r="U35" s="759">
        <f t="shared" si="57"/>
        <v>0</v>
      </c>
      <c r="V35" s="759">
        <f t="shared" si="58"/>
        <v>177.72972337753089</v>
      </c>
      <c r="W35" s="760">
        <f t="shared" si="59"/>
        <v>3922.7488945469313</v>
      </c>
      <c r="X35" s="758"/>
    </row>
    <row r="36" spans="1:28" x14ac:dyDescent="0.3">
      <c r="B36" s="737" t="s">
        <v>358</v>
      </c>
      <c r="C36" s="756">
        <f>'MFR E-13c'!J234</f>
        <v>329932.9873849827</v>
      </c>
      <c r="D36" s="756">
        <f>+'MFR E-13c'!J193</f>
        <v>894292.77862042398</v>
      </c>
      <c r="E36" s="757">
        <f>+E21</f>
        <v>5.1779999999999999</v>
      </c>
      <c r="F36" s="763">
        <f t="shared" ref="F36:K37" si="76">F35</f>
        <v>0</v>
      </c>
      <c r="G36" s="846">
        <f t="shared" si="76"/>
        <v>0.91</v>
      </c>
      <c r="H36" s="763">
        <f t="shared" si="76"/>
        <v>0</v>
      </c>
      <c r="I36" s="846">
        <f t="shared" si="76"/>
        <v>2.48</v>
      </c>
      <c r="J36" s="763">
        <f t="shared" si="76"/>
        <v>4.2000000000000003E-2</v>
      </c>
      <c r="K36" s="763">
        <f t="shared" si="76"/>
        <v>0.17199999999999999</v>
      </c>
      <c r="L36" s="763">
        <f t="shared" ref="L36:N37" si="77">L35</f>
        <v>0</v>
      </c>
      <c r="M36" s="846">
        <f t="shared" si="77"/>
        <v>0.25</v>
      </c>
      <c r="N36" s="763">
        <f t="shared" si="77"/>
        <v>0.32200000000000001</v>
      </c>
      <c r="O36" s="758"/>
      <c r="P36" s="759">
        <f t="shared" si="50"/>
        <v>17083.930086794404</v>
      </c>
      <c r="Q36" s="759">
        <f t="shared" si="51"/>
        <v>813.80642854458586</v>
      </c>
      <c r="R36" s="759">
        <f t="shared" si="52"/>
        <v>2217.8460909786513</v>
      </c>
      <c r="S36" s="759">
        <f t="shared" si="53"/>
        <v>138.57185470169273</v>
      </c>
      <c r="T36" s="759">
        <f t="shared" si="54"/>
        <v>567.48473830217017</v>
      </c>
      <c r="U36" s="759">
        <f t="shared" si="57"/>
        <v>223.57319465510599</v>
      </c>
      <c r="V36" s="759">
        <f t="shared" si="58"/>
        <v>1062.3842193796443</v>
      </c>
      <c r="W36" s="760">
        <f t="shared" si="59"/>
        <v>22107.596613356254</v>
      </c>
      <c r="X36" s="758"/>
      <c r="AB36" s="761"/>
    </row>
    <row r="37" spans="1:28" x14ac:dyDescent="0.3">
      <c r="B37" s="737" t="s">
        <v>359</v>
      </c>
      <c r="C37" s="756">
        <f>'MFR E-13c'!J235</f>
        <v>102012.66177030263</v>
      </c>
      <c r="D37" s="737"/>
      <c r="E37" s="757">
        <f>+E22</f>
        <v>3.661</v>
      </c>
      <c r="F37" s="763">
        <f t="shared" si="76"/>
        <v>0</v>
      </c>
      <c r="G37" s="846">
        <f t="shared" si="76"/>
        <v>0.91</v>
      </c>
      <c r="H37" s="763">
        <f t="shared" si="76"/>
        <v>0</v>
      </c>
      <c r="I37" s="846">
        <f t="shared" si="76"/>
        <v>2.48</v>
      </c>
      <c r="J37" s="763">
        <f t="shared" si="76"/>
        <v>4.2000000000000003E-2</v>
      </c>
      <c r="K37" s="763">
        <f t="shared" si="76"/>
        <v>0.17199999999999999</v>
      </c>
      <c r="L37" s="763">
        <f t="shared" si="77"/>
        <v>0</v>
      </c>
      <c r="M37" s="846">
        <f t="shared" si="77"/>
        <v>0.25</v>
      </c>
      <c r="N37" s="763">
        <f t="shared" si="77"/>
        <v>0.32200000000000001</v>
      </c>
      <c r="O37" s="758"/>
      <c r="P37" s="759">
        <f t="shared" ref="P37" si="78">C37*E37/100</f>
        <v>3734.6835474107793</v>
      </c>
      <c r="Q37" s="759">
        <f t="shared" ref="Q37" si="79">D37*G37/1000</f>
        <v>0</v>
      </c>
      <c r="R37" s="759">
        <f t="shared" ref="R37" si="80">D37*I37/1000</f>
        <v>0</v>
      </c>
      <c r="S37" s="759">
        <f t="shared" ref="S37" si="81">C37*J37/100</f>
        <v>42.845317943527107</v>
      </c>
      <c r="T37" s="759">
        <f t="shared" ref="T37" si="82">C37*K37/100</f>
        <v>175.46177824492051</v>
      </c>
      <c r="U37" s="759">
        <f t="shared" si="57"/>
        <v>0</v>
      </c>
      <c r="V37" s="759">
        <f t="shared" si="58"/>
        <v>328.48077090037447</v>
      </c>
      <c r="W37" s="760">
        <f t="shared" si="59"/>
        <v>4281.4714144996015</v>
      </c>
      <c r="X37" s="758"/>
      <c r="Y37" s="754">
        <f>'MFR E-13a'!H21+'MFR E-13a'!H24</f>
        <v>854345.203261205</v>
      </c>
      <c r="Z37" s="754">
        <f>'MFR E-13a'!L21+'MFR E-13a'!L24</f>
        <v>878029.9759091005</v>
      </c>
      <c r="AA37" s="754">
        <f>(Y37+SUM($W$26:$W$37)+SUM($W$59:$W$60)+SUM($W$69:$W$75))</f>
        <v>1772469.8072896546</v>
      </c>
      <c r="AB37" s="761">
        <f>+((Z37)-(Y37))/(Y37+SUM($W$26:$W$37)+SUM($W$59:$W$60)+SUM($W$69:$W$75))</f>
        <v>1.3362581720990052E-2</v>
      </c>
    </row>
    <row r="38" spans="1:28" x14ac:dyDescent="0.3">
      <c r="C38" s="756"/>
      <c r="D38" s="737"/>
      <c r="E38" s="757"/>
      <c r="F38" s="763"/>
      <c r="G38" s="846"/>
      <c r="H38" s="763"/>
      <c r="I38" s="846"/>
      <c r="J38" s="763"/>
      <c r="K38" s="763"/>
      <c r="L38" s="763"/>
      <c r="M38" s="846"/>
      <c r="N38" s="763"/>
      <c r="O38" s="758"/>
      <c r="R38" s="759"/>
      <c r="U38" s="759"/>
      <c r="X38" s="758"/>
    </row>
    <row r="39" spans="1:28" x14ac:dyDescent="0.3">
      <c r="A39" s="739" t="s">
        <v>275</v>
      </c>
      <c r="B39" s="737" t="s">
        <v>149</v>
      </c>
      <c r="C39" s="756">
        <f>'MFR E-13c'!J320</f>
        <v>8.5840145151625635E-2</v>
      </c>
      <c r="D39" s="756">
        <f>'MFR E-13c'!J280</f>
        <v>0</v>
      </c>
      <c r="E39" s="757">
        <f>E12</f>
        <v>5.2469999999999999</v>
      </c>
      <c r="F39" s="763">
        <f>+'BA-1 Rates Current'!G25</f>
        <v>0</v>
      </c>
      <c r="G39" s="846">
        <f>+'BA-1 Rates Current'!H25</f>
        <v>0.79</v>
      </c>
      <c r="H39" s="763">
        <f>+'BA-1 Rates Current'!I25</f>
        <v>0</v>
      </c>
      <c r="I39" s="846">
        <f>+'BA-1 Rates Current'!J25</f>
        <v>2.0499999999999998</v>
      </c>
      <c r="J39" s="763">
        <f>+'BA-1 Rates Current'!K25</f>
        <v>4.1000000000000002E-2</v>
      </c>
      <c r="K39" s="763">
        <f>+'BA-1 Rates Current'!L25</f>
        <v>0.12</v>
      </c>
      <c r="L39" s="763">
        <f>+'BA-1 Rates Current'!M25</f>
        <v>0</v>
      </c>
      <c r="M39" s="846">
        <f>+'BA-1 Rates Current'!N25</f>
        <v>2.11</v>
      </c>
      <c r="N39" s="763">
        <f>+'BA-1 Rates Current'!O25</f>
        <v>0.32900000000000001</v>
      </c>
      <c r="O39" s="758"/>
      <c r="P39" s="759">
        <f>C39*E39/100</f>
        <v>4.5040324161057972E-3</v>
      </c>
      <c r="Q39" s="759">
        <f>D39*G39/1000</f>
        <v>0</v>
      </c>
      <c r="R39" s="759">
        <f>D39*I39/1000</f>
        <v>0</v>
      </c>
      <c r="S39" s="759">
        <f>C39*J39/100</f>
        <v>3.5194459512166513E-5</v>
      </c>
      <c r="T39" s="759">
        <f>C39*K39/100</f>
        <v>1.0300817418195076E-4</v>
      </c>
      <c r="U39" s="759">
        <f t="shared" ref="U39:U43" si="83">D39*M39/1000</f>
        <v>0</v>
      </c>
      <c r="V39" s="759">
        <f t="shared" ref="V39:V43" si="84">C39*N39/100</f>
        <v>2.8241407754884835E-4</v>
      </c>
      <c r="W39" s="760">
        <f t="shared" si="59"/>
        <v>4.9246491273487632E-3</v>
      </c>
      <c r="X39" s="758"/>
    </row>
    <row r="40" spans="1:28" x14ac:dyDescent="0.3">
      <c r="B40" s="737" t="s">
        <v>353</v>
      </c>
      <c r="C40" s="756">
        <f>'MFR E-13c'!J321</f>
        <v>-2.9691908096501143</v>
      </c>
      <c r="D40" s="756">
        <f>'MFR E-13c'!J281</f>
        <v>1026.8160018500821</v>
      </c>
      <c r="E40" s="757">
        <f>E16</f>
        <v>5.1950000000000003</v>
      </c>
      <c r="F40" s="763">
        <f>+'BA-1 Rates Current'!G26</f>
        <v>0</v>
      </c>
      <c r="G40" s="846">
        <f>+'BA-1 Rates Current'!H26</f>
        <v>0.78</v>
      </c>
      <c r="H40" s="763">
        <f>+'BA-1 Rates Current'!I26</f>
        <v>0</v>
      </c>
      <c r="I40" s="846">
        <f>+'BA-1 Rates Current'!J26</f>
        <v>2.0299999999999998</v>
      </c>
      <c r="J40" s="763">
        <f>+'BA-1 Rates Current'!K26</f>
        <v>4.1000000000000002E-2</v>
      </c>
      <c r="K40" s="763">
        <f>+'BA-1 Rates Current'!L26</f>
        <v>0.11899999999999999</v>
      </c>
      <c r="L40" s="763">
        <f>+'BA-1 Rates Current'!M26</f>
        <v>0</v>
      </c>
      <c r="M40" s="846">
        <f>+'BA-1 Rates Current'!N26</f>
        <v>2.09</v>
      </c>
      <c r="N40" s="763">
        <f>+'BA-1 Rates Current'!O26</f>
        <v>0.32600000000000001</v>
      </c>
      <c r="O40" s="758"/>
      <c r="P40" s="759">
        <f>C40*E40/100</f>
        <v>-0.15424946256132344</v>
      </c>
      <c r="Q40" s="759">
        <f>D40*G40/1000</f>
        <v>0.80091648144306404</v>
      </c>
      <c r="R40" s="759">
        <f>D40*I40/1000</f>
        <v>2.0844364837556664</v>
      </c>
      <c r="S40" s="759">
        <f>C40*J40/100</f>
        <v>-1.217368231956547E-3</v>
      </c>
      <c r="T40" s="759">
        <f>C40*K40/100</f>
        <v>-3.533337063483636E-3</v>
      </c>
      <c r="U40" s="759">
        <f t="shared" si="83"/>
        <v>2.1460454438666714</v>
      </c>
      <c r="V40" s="759">
        <f t="shared" si="84"/>
        <v>-9.6795620394593725E-3</v>
      </c>
      <c r="W40" s="760">
        <f t="shared" si="59"/>
        <v>4.8627186791691779</v>
      </c>
      <c r="X40" s="758"/>
      <c r="Y40" s="737"/>
      <c r="Z40" s="737"/>
      <c r="AA40" s="737"/>
    </row>
    <row r="41" spans="1:28" x14ac:dyDescent="0.3">
      <c r="B41" s="737" t="s">
        <v>354</v>
      </c>
      <c r="C41" s="756">
        <f>'MFR E-13c'!J329</f>
        <v>8842.0074748828665</v>
      </c>
      <c r="D41" s="737"/>
      <c r="E41" s="757">
        <f>E17</f>
        <v>6.6390000000000002</v>
      </c>
      <c r="F41" s="763">
        <f t="shared" ref="F41:K41" si="85">F40</f>
        <v>0</v>
      </c>
      <c r="G41" s="846">
        <f t="shared" si="85"/>
        <v>0.78</v>
      </c>
      <c r="H41" s="763">
        <f t="shared" si="85"/>
        <v>0</v>
      </c>
      <c r="I41" s="846">
        <f t="shared" si="85"/>
        <v>2.0299999999999998</v>
      </c>
      <c r="J41" s="763">
        <f t="shared" si="85"/>
        <v>4.1000000000000002E-2</v>
      </c>
      <c r="K41" s="763">
        <f t="shared" si="85"/>
        <v>0.11899999999999999</v>
      </c>
      <c r="L41" s="763">
        <f t="shared" ref="L41:N41" si="86">L40</f>
        <v>0</v>
      </c>
      <c r="M41" s="846">
        <f t="shared" si="86"/>
        <v>2.09</v>
      </c>
      <c r="N41" s="763">
        <f t="shared" si="86"/>
        <v>0.32600000000000001</v>
      </c>
      <c r="O41" s="758"/>
      <c r="P41" s="759">
        <f>C41*E41/100</f>
        <v>587.02087625747345</v>
      </c>
      <c r="Q41" s="759">
        <f>D41*G41/1000</f>
        <v>0</v>
      </c>
      <c r="R41" s="759">
        <f>D41*I41/1000</f>
        <v>0</v>
      </c>
      <c r="S41" s="759">
        <f>C41*J41/100</f>
        <v>3.6252230647019754</v>
      </c>
      <c r="T41" s="759">
        <f>C41*K41/100</f>
        <v>10.52198889511061</v>
      </c>
      <c r="U41" s="759">
        <f t="shared" si="83"/>
        <v>0</v>
      </c>
      <c r="V41" s="759">
        <f t="shared" si="84"/>
        <v>28.824944368118146</v>
      </c>
      <c r="W41" s="760">
        <f t="shared" si="59"/>
        <v>629.99303258540431</v>
      </c>
      <c r="X41" s="758"/>
    </row>
    <row r="42" spans="1:28" x14ac:dyDescent="0.3">
      <c r="B42" s="737" t="s">
        <v>355</v>
      </c>
      <c r="C42" s="756">
        <f>'MFR E-13c'!J330</f>
        <v>44809.763680166274</v>
      </c>
      <c r="D42" s="756">
        <f>'MFR E-13c'!J291</f>
        <v>108765.62464294641</v>
      </c>
      <c r="E42" s="757">
        <f>E18</f>
        <v>5.2309999999999999</v>
      </c>
      <c r="F42" s="763">
        <f t="shared" ref="F42:K43" si="87">F40</f>
        <v>0</v>
      </c>
      <c r="G42" s="846">
        <f t="shared" si="87"/>
        <v>0.78</v>
      </c>
      <c r="H42" s="763">
        <f t="shared" si="87"/>
        <v>0</v>
      </c>
      <c r="I42" s="846">
        <f t="shared" si="87"/>
        <v>2.0299999999999998</v>
      </c>
      <c r="J42" s="763">
        <f t="shared" si="87"/>
        <v>4.1000000000000002E-2</v>
      </c>
      <c r="K42" s="763">
        <f t="shared" si="87"/>
        <v>0.11899999999999999</v>
      </c>
      <c r="L42" s="763">
        <f t="shared" ref="L42:N43" si="88">L40</f>
        <v>0</v>
      </c>
      <c r="M42" s="846">
        <f t="shared" si="88"/>
        <v>2.09</v>
      </c>
      <c r="N42" s="763">
        <f t="shared" si="88"/>
        <v>0.32600000000000001</v>
      </c>
      <c r="O42" s="758"/>
      <c r="P42" s="759">
        <f>C42*E42/100</f>
        <v>2343.9987381094975</v>
      </c>
      <c r="Q42" s="759">
        <f>D42*G42/1000</f>
        <v>84.837187221498198</v>
      </c>
      <c r="R42" s="759">
        <f>D42*I42/1000</f>
        <v>220.79421802518118</v>
      </c>
      <c r="S42" s="759">
        <f>C42*J42/100</f>
        <v>18.372003108868174</v>
      </c>
      <c r="T42" s="759">
        <f>C42*K42/100</f>
        <v>53.323618779397869</v>
      </c>
      <c r="U42" s="759">
        <f t="shared" si="83"/>
        <v>227.32015550375797</v>
      </c>
      <c r="V42" s="759">
        <f t="shared" si="84"/>
        <v>146.07982959734204</v>
      </c>
      <c r="W42" s="760">
        <f t="shared" si="59"/>
        <v>3094.725750345543</v>
      </c>
      <c r="X42" s="758"/>
      <c r="AB42" s="761"/>
    </row>
    <row r="43" spans="1:28" x14ac:dyDescent="0.3">
      <c r="B43" s="737" t="s">
        <v>356</v>
      </c>
      <c r="C43" s="756">
        <f>'MFR E-13c'!J331</f>
        <v>12962.61357882923</v>
      </c>
      <c r="D43" s="737"/>
      <c r="E43" s="757">
        <f>E19</f>
        <v>3.6989999999999998</v>
      </c>
      <c r="F43" s="763">
        <f t="shared" si="87"/>
        <v>0</v>
      </c>
      <c r="G43" s="846">
        <f t="shared" si="87"/>
        <v>0.78</v>
      </c>
      <c r="H43" s="763">
        <f t="shared" si="87"/>
        <v>0</v>
      </c>
      <c r="I43" s="846">
        <f t="shared" si="87"/>
        <v>2.0299999999999998</v>
      </c>
      <c r="J43" s="763">
        <f t="shared" si="87"/>
        <v>4.1000000000000002E-2</v>
      </c>
      <c r="K43" s="763">
        <f t="shared" si="87"/>
        <v>0.11899999999999999</v>
      </c>
      <c r="L43" s="763">
        <f t="shared" si="88"/>
        <v>0</v>
      </c>
      <c r="M43" s="846">
        <f t="shared" si="88"/>
        <v>2.09</v>
      </c>
      <c r="N43" s="763">
        <f t="shared" si="88"/>
        <v>0.32600000000000001</v>
      </c>
      <c r="O43" s="758"/>
      <c r="P43" s="759">
        <f>C43*E43/100</f>
        <v>479.48707628089323</v>
      </c>
      <c r="Q43" s="759">
        <f>D43*G43/1000</f>
        <v>0</v>
      </c>
      <c r="R43" s="759">
        <f>D43*I43/1000</f>
        <v>0</v>
      </c>
      <c r="S43" s="759">
        <f>C43*J43/100</f>
        <v>5.3146715673199845</v>
      </c>
      <c r="T43" s="759">
        <f>C43*K43/100</f>
        <v>15.425510158806782</v>
      </c>
      <c r="U43" s="759">
        <f t="shared" si="83"/>
        <v>0</v>
      </c>
      <c r="V43" s="759">
        <f t="shared" si="84"/>
        <v>42.258120266983298</v>
      </c>
      <c r="W43" s="760">
        <f t="shared" si="59"/>
        <v>542.48537827400332</v>
      </c>
      <c r="X43" s="758"/>
      <c r="Y43" s="754">
        <f>'MFR E-13a'!H22+'MFR E-13a'!H26</f>
        <v>10781.608038520231</v>
      </c>
      <c r="Z43" s="754">
        <f>'MFR E-13a'!L22+'MFR E-13a'!L26</f>
        <v>11211.464915326695</v>
      </c>
      <c r="AA43" s="754">
        <f>(Y43+SUM($W$39:$W$43)+SUM($W$65:$W$65)+SUM($W$87:$W$93))</f>
        <v>24240.920328642653</v>
      </c>
      <c r="AB43" s="761">
        <f>+((Z43)-(Y43))/(Y43+SUM($W$39:$W$43)+SUM($W$65:$W$65)+SUM($W$87:$W$93))</f>
        <v>1.7732696241674943E-2</v>
      </c>
    </row>
    <row r="44" spans="1:28" x14ac:dyDescent="0.3">
      <c r="C44" s="756"/>
      <c r="D44" s="737"/>
      <c r="E44" s="763"/>
      <c r="F44" s="763"/>
      <c r="G44" s="846"/>
      <c r="H44" s="763"/>
      <c r="I44" s="846"/>
      <c r="J44" s="763"/>
      <c r="K44" s="763"/>
      <c r="L44" s="763"/>
      <c r="M44" s="846"/>
      <c r="N44" s="763"/>
      <c r="O44" s="758"/>
      <c r="X44" s="758"/>
    </row>
    <row r="45" spans="1:28" x14ac:dyDescent="0.3">
      <c r="A45" s="739" t="s">
        <v>273</v>
      </c>
      <c r="B45" s="737" t="s">
        <v>347</v>
      </c>
      <c r="C45" s="756">
        <f>'MFR E-13c'!J420</f>
        <v>19461.100774819202</v>
      </c>
      <c r="D45" s="756">
        <f>'MFR E-13c'!J379</f>
        <v>67319.505608535808</v>
      </c>
      <c r="E45" s="757">
        <f t="shared" ref="E45:E55" si="89">E12</f>
        <v>5.2469999999999999</v>
      </c>
      <c r="F45" s="763">
        <f>+'BA-1 Rates Current'!G30</f>
        <v>0</v>
      </c>
      <c r="G45" s="846">
        <f>+'BA-1 Rates Current'!H30</f>
        <v>0.76</v>
      </c>
      <c r="H45" s="763">
        <f>+'BA-1 Rates Current'!I30</f>
        <v>0</v>
      </c>
      <c r="I45" s="846">
        <f>+'BA-1 Rates Current'!J30</f>
        <v>1.99</v>
      </c>
      <c r="J45" s="763">
        <f>+'BA-1 Rates Current'!K30</f>
        <v>4.1000000000000002E-2</v>
      </c>
      <c r="K45" s="763">
        <f>+'BA-1 Rates Current'!L30</f>
        <v>0.14299999999999999</v>
      </c>
      <c r="L45" s="763">
        <f>+'BA-1 Rates Current'!M30</f>
        <v>0</v>
      </c>
      <c r="M45" s="846">
        <f>+'BA-1 Rates Current'!N30</f>
        <v>1.02</v>
      </c>
      <c r="N45" s="763">
        <f>+'BA-1 Rates Current'!O30</f>
        <v>0.161</v>
      </c>
      <c r="O45" s="758"/>
      <c r="P45" s="759">
        <f t="shared" ref="P45:P54" si="90">C45*E45/100</f>
        <v>1021.1239576547636</v>
      </c>
      <c r="Q45" s="759">
        <f t="shared" ref="Q45:Q54" si="91">D45*G45/1000</f>
        <v>51.162824262487213</v>
      </c>
      <c r="R45" s="759">
        <f t="shared" ref="R45:R54" si="92">D45*I45/1000</f>
        <v>133.96581616098626</v>
      </c>
      <c r="S45" s="759">
        <f t="shared" ref="S45:S54" si="93">C45*J45/100</f>
        <v>7.9790513176758733</v>
      </c>
      <c r="T45" s="759">
        <f t="shared" ref="T45:T54" si="94">C45*K45/100</f>
        <v>27.829374107991455</v>
      </c>
      <c r="U45" s="759">
        <f t="shared" ref="U45" si="95">D45*M45/1000</f>
        <v>68.66589572070653</v>
      </c>
      <c r="V45" s="759">
        <f t="shared" ref="V45" si="96">C45*N45/100</f>
        <v>31.332372247458917</v>
      </c>
      <c r="W45" s="760">
        <f t="shared" si="59"/>
        <v>1342.0592914720696</v>
      </c>
      <c r="X45" s="758"/>
    </row>
    <row r="46" spans="1:28" x14ac:dyDescent="0.3">
      <c r="B46" s="737" t="s">
        <v>350</v>
      </c>
      <c r="C46" s="756">
        <f>'MFR E-13c'!J425</f>
        <v>45090.427942644761</v>
      </c>
      <c r="D46" s="737"/>
      <c r="E46" s="757">
        <f t="shared" si="89"/>
        <v>6.7060000000000004</v>
      </c>
      <c r="F46" s="763">
        <f t="shared" ref="F46:K46" si="97">+F45</f>
        <v>0</v>
      </c>
      <c r="G46" s="846">
        <f t="shared" si="97"/>
        <v>0.76</v>
      </c>
      <c r="H46" s="763">
        <f t="shared" si="97"/>
        <v>0</v>
      </c>
      <c r="I46" s="846">
        <f t="shared" si="97"/>
        <v>1.99</v>
      </c>
      <c r="J46" s="763">
        <f t="shared" si="97"/>
        <v>4.1000000000000002E-2</v>
      </c>
      <c r="K46" s="763">
        <f t="shared" si="97"/>
        <v>0.14299999999999999</v>
      </c>
      <c r="L46" s="763">
        <f t="shared" ref="L46:N46" si="98">+L45</f>
        <v>0</v>
      </c>
      <c r="M46" s="846">
        <f t="shared" si="98"/>
        <v>1.02</v>
      </c>
      <c r="N46" s="763">
        <f t="shared" si="98"/>
        <v>0.161</v>
      </c>
      <c r="O46" s="758"/>
      <c r="P46" s="759">
        <f t="shared" si="90"/>
        <v>3023.7640978337581</v>
      </c>
      <c r="Q46" s="759">
        <f t="shared" si="91"/>
        <v>0</v>
      </c>
      <c r="R46" s="759">
        <f t="shared" si="92"/>
        <v>0</v>
      </c>
      <c r="S46" s="759">
        <f t="shared" si="93"/>
        <v>18.487075456484355</v>
      </c>
      <c r="T46" s="759">
        <f t="shared" si="94"/>
        <v>64.479311957982006</v>
      </c>
      <c r="U46" s="759">
        <f t="shared" ref="U46:U55" si="99">D46*M46/1000</f>
        <v>0</v>
      </c>
      <c r="V46" s="759">
        <f t="shared" ref="V46:V55" si="100">C46*N46/100</f>
        <v>72.595588987658061</v>
      </c>
      <c r="W46" s="760">
        <f t="shared" si="59"/>
        <v>3179.326074235883</v>
      </c>
      <c r="X46" s="758"/>
    </row>
    <row r="47" spans="1:28" x14ac:dyDescent="0.3">
      <c r="B47" s="737" t="s">
        <v>351</v>
      </c>
      <c r="C47" s="756">
        <f>'MFR E-13c'!J426</f>
        <v>242327.11690325302</v>
      </c>
      <c r="D47" s="756">
        <f>'MFR E-13c'!J386</f>
        <v>634911.21995928185</v>
      </c>
      <c r="E47" s="757">
        <f t="shared" si="89"/>
        <v>5.2839999999999998</v>
      </c>
      <c r="F47" s="763">
        <f t="shared" ref="F47:K48" si="101">+F45</f>
        <v>0</v>
      </c>
      <c r="G47" s="846">
        <f t="shared" si="101"/>
        <v>0.76</v>
      </c>
      <c r="H47" s="763">
        <f t="shared" si="101"/>
        <v>0</v>
      </c>
      <c r="I47" s="846">
        <f t="shared" si="101"/>
        <v>1.99</v>
      </c>
      <c r="J47" s="763">
        <f t="shared" si="101"/>
        <v>4.1000000000000002E-2</v>
      </c>
      <c r="K47" s="763">
        <f t="shared" si="101"/>
        <v>0.14299999999999999</v>
      </c>
      <c r="L47" s="763">
        <f t="shared" ref="L47:N48" si="102">+L45</f>
        <v>0</v>
      </c>
      <c r="M47" s="846">
        <f t="shared" si="102"/>
        <v>1.02</v>
      </c>
      <c r="N47" s="763">
        <f t="shared" si="102"/>
        <v>0.161</v>
      </c>
      <c r="O47" s="758"/>
      <c r="P47" s="759">
        <f t="shared" si="90"/>
        <v>12804.564857167888</v>
      </c>
      <c r="Q47" s="759">
        <f t="shared" si="91"/>
        <v>482.53252716905422</v>
      </c>
      <c r="R47" s="759">
        <f t="shared" si="92"/>
        <v>1263.4733277189707</v>
      </c>
      <c r="S47" s="759">
        <f t="shared" si="93"/>
        <v>99.354117930333743</v>
      </c>
      <c r="T47" s="759">
        <f t="shared" si="94"/>
        <v>346.52777717165173</v>
      </c>
      <c r="U47" s="759">
        <f t="shared" si="99"/>
        <v>647.6094443584675</v>
      </c>
      <c r="V47" s="759">
        <f t="shared" si="100"/>
        <v>390.14665821423739</v>
      </c>
      <c r="W47" s="760">
        <f t="shared" si="59"/>
        <v>16034.208709730603</v>
      </c>
      <c r="X47" s="758"/>
    </row>
    <row r="48" spans="1:28" x14ac:dyDescent="0.3">
      <c r="B48" s="737" t="s">
        <v>352</v>
      </c>
      <c r="C48" s="756">
        <f>'MFR E-13c'!J427</f>
        <v>66560.973895116738</v>
      </c>
      <c r="D48" s="737"/>
      <c r="E48" s="757">
        <f t="shared" si="89"/>
        <v>3.7360000000000002</v>
      </c>
      <c r="F48" s="763">
        <f t="shared" si="101"/>
        <v>0</v>
      </c>
      <c r="G48" s="846">
        <f t="shared" si="101"/>
        <v>0.76</v>
      </c>
      <c r="H48" s="763">
        <f t="shared" si="101"/>
        <v>0</v>
      </c>
      <c r="I48" s="846">
        <f t="shared" si="101"/>
        <v>1.99</v>
      </c>
      <c r="J48" s="763">
        <f t="shared" si="101"/>
        <v>4.1000000000000002E-2</v>
      </c>
      <c r="K48" s="763">
        <f t="shared" si="101"/>
        <v>0.14299999999999999</v>
      </c>
      <c r="L48" s="763">
        <f t="shared" si="102"/>
        <v>0</v>
      </c>
      <c r="M48" s="846">
        <f t="shared" si="102"/>
        <v>1.02</v>
      </c>
      <c r="N48" s="763">
        <f t="shared" si="102"/>
        <v>0.161</v>
      </c>
      <c r="O48" s="758"/>
      <c r="P48" s="759">
        <f t="shared" ref="P48" si="103">C48*E48/100</f>
        <v>2486.7179847215612</v>
      </c>
      <c r="Q48" s="759">
        <f t="shared" ref="Q48" si="104">D48*G48/1000</f>
        <v>0</v>
      </c>
      <c r="R48" s="759">
        <f t="shared" ref="R48" si="105">D48*I48/1000</f>
        <v>0</v>
      </c>
      <c r="S48" s="759">
        <f t="shared" ref="S48" si="106">C48*J48/100</f>
        <v>27.289999296997863</v>
      </c>
      <c r="T48" s="759">
        <f t="shared" ref="T48" si="107">C48*K48/100</f>
        <v>95.182192670016917</v>
      </c>
      <c r="U48" s="759">
        <f t="shared" si="99"/>
        <v>0</v>
      </c>
      <c r="V48" s="759">
        <f t="shared" si="100"/>
        <v>107.16316797113795</v>
      </c>
      <c r="W48" s="760">
        <f t="shared" si="59"/>
        <v>2716.3533446597139</v>
      </c>
      <c r="X48" s="758"/>
    </row>
    <row r="49" spans="1:28" x14ac:dyDescent="0.3">
      <c r="B49" s="737" t="s">
        <v>353</v>
      </c>
      <c r="C49" s="756">
        <f>'MFR E-13c'!J421</f>
        <v>138287.6718135977</v>
      </c>
      <c r="D49" s="756">
        <f>'MFR E-13c'!J380</f>
        <v>346466.63298563985</v>
      </c>
      <c r="E49" s="757">
        <f t="shared" si="89"/>
        <v>5.1950000000000003</v>
      </c>
      <c r="F49" s="763">
        <f>+'BA-1 Rates Current'!G31</f>
        <v>0</v>
      </c>
      <c r="G49" s="846">
        <f>+'BA-1 Rates Current'!H31</f>
        <v>0.75</v>
      </c>
      <c r="H49" s="763">
        <f>+'BA-1 Rates Current'!I31</f>
        <v>0</v>
      </c>
      <c r="I49" s="846">
        <f>+'BA-1 Rates Current'!J31</f>
        <v>1.97</v>
      </c>
      <c r="J49" s="763">
        <f>+'BA-1 Rates Current'!K31</f>
        <v>4.1000000000000002E-2</v>
      </c>
      <c r="K49" s="763">
        <f>+'BA-1 Rates Current'!L31</f>
        <v>0.14199999999999999</v>
      </c>
      <c r="L49" s="763">
        <f>+'BA-1 Rates Current'!M31</f>
        <v>0</v>
      </c>
      <c r="M49" s="846">
        <f>+'BA-1 Rates Current'!N31</f>
        <v>0.83</v>
      </c>
      <c r="N49" s="763">
        <f>+'BA-1 Rates Current'!O31</f>
        <v>0.159</v>
      </c>
      <c r="O49" s="758"/>
      <c r="P49" s="759">
        <f t="shared" si="90"/>
        <v>7184.0445507164004</v>
      </c>
      <c r="Q49" s="759">
        <f t="shared" si="91"/>
        <v>259.84997473922988</v>
      </c>
      <c r="R49" s="759">
        <f t="shared" si="92"/>
        <v>682.5392669817104</v>
      </c>
      <c r="S49" s="759">
        <f t="shared" si="93"/>
        <v>56.697945443575065</v>
      </c>
      <c r="T49" s="759">
        <f t="shared" si="94"/>
        <v>196.3684939753087</v>
      </c>
      <c r="U49" s="759">
        <f t="shared" si="99"/>
        <v>287.56730537808102</v>
      </c>
      <c r="V49" s="759">
        <f t="shared" si="100"/>
        <v>219.87739818362036</v>
      </c>
      <c r="W49" s="760">
        <f t="shared" si="59"/>
        <v>8886.9449354179251</v>
      </c>
      <c r="X49" s="758"/>
    </row>
    <row r="50" spans="1:28" x14ac:dyDescent="0.3">
      <c r="B50" s="737" t="s">
        <v>354</v>
      </c>
      <c r="C50" s="756">
        <f>'MFR E-13c'!J429</f>
        <v>137455.52596349793</v>
      </c>
      <c r="D50" s="737"/>
      <c r="E50" s="757">
        <f t="shared" si="89"/>
        <v>6.6390000000000002</v>
      </c>
      <c r="F50" s="763">
        <f t="shared" ref="F50:K50" si="108">+F49</f>
        <v>0</v>
      </c>
      <c r="G50" s="846">
        <f t="shared" si="108"/>
        <v>0.75</v>
      </c>
      <c r="H50" s="763">
        <f t="shared" si="108"/>
        <v>0</v>
      </c>
      <c r="I50" s="846">
        <f t="shared" si="108"/>
        <v>1.97</v>
      </c>
      <c r="J50" s="763">
        <f t="shared" si="108"/>
        <v>4.1000000000000002E-2</v>
      </c>
      <c r="K50" s="763">
        <f t="shared" si="108"/>
        <v>0.14199999999999999</v>
      </c>
      <c r="L50" s="763">
        <f t="shared" ref="L50:N50" si="109">+L49</f>
        <v>0</v>
      </c>
      <c r="M50" s="846">
        <f t="shared" si="109"/>
        <v>0.83</v>
      </c>
      <c r="N50" s="763">
        <f t="shared" si="109"/>
        <v>0.159</v>
      </c>
      <c r="O50" s="758"/>
      <c r="P50" s="759">
        <f t="shared" si="90"/>
        <v>9125.6723687166286</v>
      </c>
      <c r="Q50" s="759">
        <f t="shared" si="91"/>
        <v>0</v>
      </c>
      <c r="R50" s="759">
        <f t="shared" si="92"/>
        <v>0</v>
      </c>
      <c r="S50" s="759">
        <f t="shared" si="93"/>
        <v>56.356765645034159</v>
      </c>
      <c r="T50" s="759">
        <f t="shared" si="94"/>
        <v>195.18684686816704</v>
      </c>
      <c r="U50" s="759">
        <f t="shared" si="99"/>
        <v>0</v>
      </c>
      <c r="V50" s="759">
        <f t="shared" si="100"/>
        <v>218.55428628196171</v>
      </c>
      <c r="W50" s="760">
        <f t="shared" si="59"/>
        <v>9595.7702675117926</v>
      </c>
      <c r="X50" s="758"/>
    </row>
    <row r="51" spans="1:28" x14ac:dyDescent="0.3">
      <c r="B51" s="737" t="s">
        <v>355</v>
      </c>
      <c r="C51" s="756">
        <f>'MFR E-13c'!J430</f>
        <v>717950.53059065668</v>
      </c>
      <c r="D51" s="756">
        <f>'MFR E-13c'!J390</f>
        <v>2638947.7404091447</v>
      </c>
      <c r="E51" s="757">
        <f t="shared" si="89"/>
        <v>5.2309999999999999</v>
      </c>
      <c r="F51" s="763">
        <f t="shared" ref="F51:K52" si="110">+F49</f>
        <v>0</v>
      </c>
      <c r="G51" s="846">
        <f t="shared" si="110"/>
        <v>0.75</v>
      </c>
      <c r="H51" s="763">
        <f t="shared" si="110"/>
        <v>0</v>
      </c>
      <c r="I51" s="846">
        <f t="shared" si="110"/>
        <v>1.97</v>
      </c>
      <c r="J51" s="763">
        <f t="shared" si="110"/>
        <v>4.1000000000000002E-2</v>
      </c>
      <c r="K51" s="763">
        <f t="shared" si="110"/>
        <v>0.14199999999999999</v>
      </c>
      <c r="L51" s="763">
        <f t="shared" ref="L51:N52" si="111">+L49</f>
        <v>0</v>
      </c>
      <c r="M51" s="846">
        <f t="shared" si="111"/>
        <v>0.83</v>
      </c>
      <c r="N51" s="763">
        <f t="shared" si="111"/>
        <v>0.159</v>
      </c>
      <c r="O51" s="758"/>
      <c r="P51" s="759">
        <f t="shared" si="90"/>
        <v>37555.992255197249</v>
      </c>
      <c r="Q51" s="759">
        <f t="shared" si="91"/>
        <v>1979.2108053068584</v>
      </c>
      <c r="R51" s="759">
        <f t="shared" si="92"/>
        <v>5198.7270486060152</v>
      </c>
      <c r="S51" s="759">
        <f t="shared" si="93"/>
        <v>294.35971754216922</v>
      </c>
      <c r="T51" s="759">
        <f t="shared" si="94"/>
        <v>1019.4897534387325</v>
      </c>
      <c r="U51" s="759">
        <f t="shared" si="99"/>
        <v>2190.3266245395898</v>
      </c>
      <c r="V51" s="759">
        <f t="shared" si="100"/>
        <v>1141.5413436391441</v>
      </c>
      <c r="W51" s="760">
        <f t="shared" si="59"/>
        <v>49379.647548269764</v>
      </c>
      <c r="X51" s="758"/>
    </row>
    <row r="52" spans="1:28" x14ac:dyDescent="0.3">
      <c r="B52" s="737" t="s">
        <v>356</v>
      </c>
      <c r="C52" s="756">
        <f>'MFR E-13c'!J431</f>
        <v>219541.19531902435</v>
      </c>
      <c r="D52" s="737"/>
      <c r="E52" s="757">
        <f t="shared" si="89"/>
        <v>3.6989999999999998</v>
      </c>
      <c r="F52" s="763">
        <f t="shared" si="110"/>
        <v>0</v>
      </c>
      <c r="G52" s="846">
        <f t="shared" si="110"/>
        <v>0.75</v>
      </c>
      <c r="H52" s="763">
        <f t="shared" si="110"/>
        <v>0</v>
      </c>
      <c r="I52" s="846">
        <f t="shared" si="110"/>
        <v>1.97</v>
      </c>
      <c r="J52" s="763">
        <f t="shared" si="110"/>
        <v>4.1000000000000002E-2</v>
      </c>
      <c r="K52" s="763">
        <f t="shared" si="110"/>
        <v>0.14199999999999999</v>
      </c>
      <c r="L52" s="763">
        <f t="shared" si="111"/>
        <v>0</v>
      </c>
      <c r="M52" s="846">
        <f t="shared" si="111"/>
        <v>0.83</v>
      </c>
      <c r="N52" s="763">
        <f t="shared" si="111"/>
        <v>0.159</v>
      </c>
      <c r="O52" s="758"/>
      <c r="P52" s="759">
        <f t="shared" ref="P52" si="112">C52*E52/100</f>
        <v>8120.8288148507099</v>
      </c>
      <c r="Q52" s="759">
        <f t="shared" ref="Q52" si="113">D52*G52/1000</f>
        <v>0</v>
      </c>
      <c r="R52" s="759">
        <f t="shared" ref="R52" si="114">D52*I52/1000</f>
        <v>0</v>
      </c>
      <c r="S52" s="759">
        <f t="shared" ref="S52" si="115">C52*J52/100</f>
        <v>90.011890080799986</v>
      </c>
      <c r="T52" s="759">
        <f t="shared" ref="T52" si="116">C52*K52/100</f>
        <v>311.74849735301456</v>
      </c>
      <c r="U52" s="759">
        <f t="shared" si="99"/>
        <v>0</v>
      </c>
      <c r="V52" s="759">
        <f t="shared" si="100"/>
        <v>349.07050055724875</v>
      </c>
      <c r="W52" s="760">
        <f t="shared" si="59"/>
        <v>8871.6597028417746</v>
      </c>
      <c r="X52" s="758"/>
    </row>
    <row r="53" spans="1:28" x14ac:dyDescent="0.3">
      <c r="B53" s="737" t="s">
        <v>357</v>
      </c>
      <c r="C53" s="756">
        <f>'MFR E-13c'!J433</f>
        <v>121461.77740279508</v>
      </c>
      <c r="D53" s="764"/>
      <c r="E53" s="757">
        <f t="shared" si="89"/>
        <v>6.5709999999999997</v>
      </c>
      <c r="F53" s="763">
        <f>+'BA-1 Rates Current'!G32</f>
        <v>0</v>
      </c>
      <c r="G53" s="846">
        <f>+'BA-1 Rates Current'!H32</f>
        <v>0.74</v>
      </c>
      <c r="H53" s="763">
        <f>+'BA-1 Rates Current'!I32</f>
        <v>0</v>
      </c>
      <c r="I53" s="846">
        <f>+'BA-1 Rates Current'!J32</f>
        <v>1.95</v>
      </c>
      <c r="J53" s="763">
        <f>+'BA-1 Rates Current'!K32</f>
        <v>0.04</v>
      </c>
      <c r="K53" s="763">
        <f>+'BA-1 Rates Current'!L32</f>
        <v>0.14000000000000001</v>
      </c>
      <c r="L53" s="763">
        <f>+'BA-1 Rates Current'!M32</f>
        <v>0</v>
      </c>
      <c r="M53" s="846">
        <f>+'BA-1 Rates Current'!N32</f>
        <v>0.19</v>
      </c>
      <c r="N53" s="763">
        <f>+'BA-1 Rates Current'!O32</f>
        <v>0.158</v>
      </c>
      <c r="O53" s="758"/>
      <c r="P53" s="759">
        <f t="shared" si="90"/>
        <v>7981.2533931376647</v>
      </c>
      <c r="Q53" s="759">
        <f t="shared" si="91"/>
        <v>0</v>
      </c>
      <c r="R53" s="759">
        <f t="shared" si="92"/>
        <v>0</v>
      </c>
      <c r="S53" s="759">
        <f t="shared" si="93"/>
        <v>48.584710961118034</v>
      </c>
      <c r="T53" s="759">
        <f t="shared" si="94"/>
        <v>170.04648836391311</v>
      </c>
      <c r="U53" s="759">
        <f t="shared" si="99"/>
        <v>0</v>
      </c>
      <c r="V53" s="759">
        <f t="shared" si="100"/>
        <v>191.90960829641622</v>
      </c>
      <c r="W53" s="760">
        <f t="shared" si="59"/>
        <v>8391.7942007591118</v>
      </c>
      <c r="X53" s="758"/>
    </row>
    <row r="54" spans="1:28" x14ac:dyDescent="0.3">
      <c r="B54" s="737" t="s">
        <v>358</v>
      </c>
      <c r="C54" s="756">
        <f>'MFR E-13c'!J434</f>
        <v>641643.93823952379</v>
      </c>
      <c r="D54" s="764">
        <f>'MFR E-13c'!J396</f>
        <v>2442122.169550058</v>
      </c>
      <c r="E54" s="757">
        <f t="shared" si="89"/>
        <v>5.1779999999999999</v>
      </c>
      <c r="F54" s="763">
        <f t="shared" ref="F54:K55" si="117">+F53</f>
        <v>0</v>
      </c>
      <c r="G54" s="846">
        <f t="shared" si="117"/>
        <v>0.74</v>
      </c>
      <c r="H54" s="763">
        <f t="shared" si="117"/>
        <v>0</v>
      </c>
      <c r="I54" s="846">
        <f t="shared" si="117"/>
        <v>1.95</v>
      </c>
      <c r="J54" s="763">
        <f t="shared" si="117"/>
        <v>0.04</v>
      </c>
      <c r="K54" s="763">
        <f t="shared" si="117"/>
        <v>0.14000000000000001</v>
      </c>
      <c r="L54" s="763">
        <f t="shared" ref="L54:N55" si="118">+L53</f>
        <v>0</v>
      </c>
      <c r="M54" s="846">
        <f t="shared" si="118"/>
        <v>0.19</v>
      </c>
      <c r="N54" s="763">
        <f t="shared" si="118"/>
        <v>0.158</v>
      </c>
      <c r="O54" s="758"/>
      <c r="P54" s="759">
        <f t="shared" si="90"/>
        <v>33224.323122042544</v>
      </c>
      <c r="Q54" s="759">
        <f t="shared" si="91"/>
        <v>1807.1704054670429</v>
      </c>
      <c r="R54" s="759">
        <f t="shared" si="92"/>
        <v>4762.1382306226133</v>
      </c>
      <c r="S54" s="759">
        <f t="shared" si="93"/>
        <v>256.65757529580952</v>
      </c>
      <c r="T54" s="759">
        <f t="shared" si="94"/>
        <v>898.30151353533336</v>
      </c>
      <c r="U54" s="759">
        <f t="shared" si="99"/>
        <v>464.003212214511</v>
      </c>
      <c r="V54" s="759">
        <f t="shared" si="100"/>
        <v>1013.7974224184476</v>
      </c>
      <c r="W54" s="760">
        <f t="shared" si="59"/>
        <v>42426.391481596307</v>
      </c>
      <c r="X54" s="758"/>
      <c r="AB54" s="761"/>
    </row>
    <row r="55" spans="1:28" x14ac:dyDescent="0.3">
      <c r="B55" s="737" t="s">
        <v>359</v>
      </c>
      <c r="C55" s="756">
        <f>'MFR E-13c'!J435</f>
        <v>216017.09505103741</v>
      </c>
      <c r="D55" s="737"/>
      <c r="E55" s="757">
        <f t="shared" si="89"/>
        <v>3.661</v>
      </c>
      <c r="F55" s="763">
        <f t="shared" si="117"/>
        <v>0</v>
      </c>
      <c r="G55" s="846">
        <f t="shared" si="117"/>
        <v>0.74</v>
      </c>
      <c r="H55" s="763">
        <f t="shared" si="117"/>
        <v>0</v>
      </c>
      <c r="I55" s="846">
        <f t="shared" si="117"/>
        <v>1.95</v>
      </c>
      <c r="J55" s="763">
        <f t="shared" si="117"/>
        <v>0.04</v>
      </c>
      <c r="K55" s="763">
        <f t="shared" si="117"/>
        <v>0.14000000000000001</v>
      </c>
      <c r="L55" s="763">
        <f t="shared" si="118"/>
        <v>0</v>
      </c>
      <c r="M55" s="846">
        <f t="shared" si="118"/>
        <v>0.19</v>
      </c>
      <c r="N55" s="763">
        <f t="shared" si="118"/>
        <v>0.158</v>
      </c>
      <c r="O55" s="758"/>
      <c r="P55" s="759">
        <f t="shared" ref="P55" si="119">C55*E55/100</f>
        <v>7908.38584981848</v>
      </c>
      <c r="Q55" s="759">
        <f t="shared" ref="Q55" si="120">D55*G55/1000</f>
        <v>0</v>
      </c>
      <c r="R55" s="759">
        <f t="shared" ref="R55" si="121">D55*I55/1000</f>
        <v>0</v>
      </c>
      <c r="S55" s="759">
        <f t="shared" ref="S55" si="122">C55*J55/100</f>
        <v>86.406838020414966</v>
      </c>
      <c r="T55" s="759">
        <f t="shared" ref="T55" si="123">C55*K55/100</f>
        <v>302.42393307145244</v>
      </c>
      <c r="U55" s="759">
        <f t="shared" si="99"/>
        <v>0</v>
      </c>
      <c r="V55" s="759">
        <f t="shared" si="100"/>
        <v>341.30701018063911</v>
      </c>
      <c r="W55" s="760">
        <f t="shared" si="59"/>
        <v>8638.5236310909859</v>
      </c>
      <c r="X55" s="758"/>
      <c r="Y55" s="754">
        <f>'MFR E-13a'!H23+'MFR E-13a'!H25</f>
        <v>100848.03105497734</v>
      </c>
      <c r="Z55" s="754">
        <f>'MFR E-13a'!L23+'MFR E-13a'!L25</f>
        <v>104937.98781060688</v>
      </c>
      <c r="AA55" s="754">
        <f>(Y55+SUM($W$45:$W$55)+SUM($W$62:$W$63)+SUM($W$78:$W$84))</f>
        <v>263970.94500938139</v>
      </c>
      <c r="AB55" s="761">
        <f>+((Z55)-(Y55))/(Y55+SUM($W$45:$W$55)+SUM($W$62:$W$63)+SUM($W$78:$W$84))</f>
        <v>1.549396565400098E-2</v>
      </c>
    </row>
    <row r="56" spans="1:28" x14ac:dyDescent="0.3">
      <c r="C56" s="756"/>
      <c r="D56" s="737"/>
      <c r="E56" s="757"/>
      <c r="F56" s="763"/>
      <c r="G56" s="846"/>
      <c r="H56" s="763"/>
      <c r="I56" s="763"/>
      <c r="J56" s="763"/>
      <c r="K56" s="763"/>
      <c r="L56" s="763"/>
      <c r="M56" s="846"/>
      <c r="N56" s="763"/>
      <c r="O56" s="758"/>
      <c r="P56" s="759"/>
      <c r="Q56" s="759"/>
      <c r="R56" s="759"/>
      <c r="S56" s="759"/>
      <c r="T56" s="759"/>
      <c r="U56" s="759"/>
      <c r="V56" s="759"/>
      <c r="W56" s="760"/>
      <c r="X56" s="758"/>
      <c r="AB56" s="761"/>
    </row>
    <row r="57" spans="1:28" x14ac:dyDescent="0.3">
      <c r="A57" s="739" t="s">
        <v>274</v>
      </c>
      <c r="B57" s="737" t="s">
        <v>149</v>
      </c>
      <c r="C57" s="756">
        <f>'MFR E-13c'!J473</f>
        <v>334101.01510327338</v>
      </c>
      <c r="D57" s="737"/>
      <c r="E57" s="757">
        <f>+'BA-1 Rates Current'!C34</f>
        <v>4.88</v>
      </c>
      <c r="F57" s="757">
        <f>+'BA-1 Rates Current'!G34</f>
        <v>0.11700000000000001</v>
      </c>
      <c r="G57" s="845">
        <f>+'BA-1 Rates Current'!H34</f>
        <v>0</v>
      </c>
      <c r="H57" s="757">
        <f>+'BA-1 Rates Current'!I34</f>
        <v>0.23699999999999999</v>
      </c>
      <c r="I57" s="757">
        <f>+'BA-1 Rates Current'!J34</f>
        <v>0</v>
      </c>
      <c r="J57" s="757">
        <f>+'BA-1 Rates Current'!K34</f>
        <v>3.6999999999999998E-2</v>
      </c>
      <c r="K57" s="757">
        <f>+'BA-1 Rates Current'!L34</f>
        <v>5.6000000000000001E-2</v>
      </c>
      <c r="L57" s="757">
        <f>+'BA-1 Rates Current'!M34</f>
        <v>0.373</v>
      </c>
      <c r="M57" s="845">
        <f>+'BA-1 Rates Current'!N34</f>
        <v>0</v>
      </c>
      <c r="N57" s="757">
        <f>+'BA-1 Rates Current'!O34</f>
        <v>0.42199999999999999</v>
      </c>
      <c r="O57" s="758"/>
      <c r="P57" s="759">
        <f>C57*E57/100</f>
        <v>16304.129537039742</v>
      </c>
      <c r="Q57" s="759">
        <f>C57*F57/100</f>
        <v>390.89818767082988</v>
      </c>
      <c r="R57" s="759">
        <f>C57*H57/100</f>
        <v>791.81940579475793</v>
      </c>
      <c r="S57" s="759">
        <f>C57*J57/100</f>
        <v>123.61737558821115</v>
      </c>
      <c r="T57" s="759">
        <f>C57*K57/100</f>
        <v>187.09656845783309</v>
      </c>
      <c r="U57" s="759">
        <f t="shared" ref="U57" si="124">C57*L57/100</f>
        <v>1246.1967863352097</v>
      </c>
      <c r="V57" s="759">
        <f t="shared" ref="V57" si="125">C57*N57/100</f>
        <v>1409.9062837358135</v>
      </c>
      <c r="W57" s="760">
        <f t="shared" si="59"/>
        <v>20453.664144622402</v>
      </c>
      <c r="X57" s="758"/>
      <c r="Y57" s="754">
        <f>'MFR E-13a'!H27</f>
        <v>14930.794967272886</v>
      </c>
      <c r="Z57" s="754">
        <f>'MFR E-13a'!L27</f>
        <v>15535.653983553464</v>
      </c>
      <c r="AA57" s="754">
        <f>(Y57+$W$57)</f>
        <v>35384.459111895289</v>
      </c>
      <c r="AB57" s="761">
        <f>+((Z57)-(Y57))/(Y57+$W$57)</f>
        <v>1.7093917258077872E-2</v>
      </c>
    </row>
    <row r="58" spans="1:28" x14ac:dyDescent="0.3">
      <c r="C58" s="756"/>
      <c r="D58" s="737"/>
      <c r="E58" s="757"/>
      <c r="F58" s="757"/>
      <c r="G58" s="845"/>
      <c r="H58" s="757"/>
      <c r="I58" s="757"/>
      <c r="J58" s="757"/>
      <c r="K58" s="757"/>
      <c r="L58" s="757"/>
      <c r="M58" s="757"/>
      <c r="N58" s="757"/>
      <c r="O58" s="758"/>
      <c r="P58" s="759"/>
      <c r="Q58" s="759"/>
      <c r="R58" s="759"/>
      <c r="S58" s="759"/>
      <c r="T58" s="759"/>
      <c r="U58" s="759"/>
      <c r="V58" s="759"/>
      <c r="W58" s="760"/>
      <c r="X58" s="758"/>
      <c r="AB58" s="761"/>
    </row>
    <row r="59" spans="1:28" x14ac:dyDescent="0.3">
      <c r="A59" s="739" t="s">
        <v>138</v>
      </c>
      <c r="B59" s="737" t="s">
        <v>353</v>
      </c>
      <c r="C59" s="741">
        <f>'MFR E-13c'!J523</f>
        <v>59446.679428360243</v>
      </c>
      <c r="D59" s="766"/>
      <c r="E59" s="757">
        <f>E30</f>
        <v>5.1950000000000003</v>
      </c>
      <c r="F59" s="763">
        <f>F30</f>
        <v>0</v>
      </c>
      <c r="G59" s="846">
        <v>0</v>
      </c>
      <c r="H59" s="763">
        <f>H30</f>
        <v>0</v>
      </c>
      <c r="I59" s="846">
        <v>0</v>
      </c>
      <c r="J59" s="763">
        <f>J30</f>
        <v>4.2999999999999997E-2</v>
      </c>
      <c r="K59" s="763">
        <f>K30</f>
        <v>0.17399999999999999</v>
      </c>
      <c r="L59" s="763">
        <f t="shared" ref="L59:N59" si="126">L30</f>
        <v>0</v>
      </c>
      <c r="M59" s="846">
        <v>0</v>
      </c>
      <c r="N59" s="763">
        <f t="shared" si="126"/>
        <v>0.32600000000000001</v>
      </c>
      <c r="O59" s="758"/>
      <c r="P59" s="759">
        <f>C59*E59/100</f>
        <v>3088.2549963033148</v>
      </c>
      <c r="Q59" s="759">
        <f>D59*G59/1000</f>
        <v>0</v>
      </c>
      <c r="R59" s="759">
        <f>D59*I59/1000</f>
        <v>0</v>
      </c>
      <c r="S59" s="759">
        <f>C59*J59/100</f>
        <v>25.562072154194901</v>
      </c>
      <c r="T59" s="759">
        <f>C59*K59/100</f>
        <v>103.43722220534681</v>
      </c>
      <c r="U59" s="759">
        <f>C59*L59/100</f>
        <v>0</v>
      </c>
      <c r="V59" s="759">
        <f t="shared" ref="V59:V60" si="127">C59*N59/100</f>
        <v>193.79617493645441</v>
      </c>
      <c r="W59" s="760">
        <f t="shared" ref="W59:W60" si="128">SUM(P59:V59)</f>
        <v>3411.0504655993109</v>
      </c>
      <c r="X59" s="758"/>
    </row>
    <row r="60" spans="1:28" x14ac:dyDescent="0.3">
      <c r="B60" s="737" t="s">
        <v>360</v>
      </c>
      <c r="C60" s="741">
        <f>'MFR E-13c'!J524</f>
        <v>5731.9040561084093</v>
      </c>
      <c r="E60" s="757">
        <f>E34</f>
        <v>6.5709999999999997</v>
      </c>
      <c r="F60" s="763">
        <f>F31</f>
        <v>0</v>
      </c>
      <c r="G60" s="846">
        <v>0</v>
      </c>
      <c r="H60" s="763">
        <f>H31</f>
        <v>0</v>
      </c>
      <c r="I60" s="846">
        <v>0</v>
      </c>
      <c r="J60" s="763">
        <f>J31</f>
        <v>4.2999999999999997E-2</v>
      </c>
      <c r="K60" s="763">
        <f>K31</f>
        <v>0.17399999999999999</v>
      </c>
      <c r="L60" s="763">
        <f>L31</f>
        <v>0</v>
      </c>
      <c r="M60" s="846">
        <v>0</v>
      </c>
      <c r="N60" s="763">
        <f>N31</f>
        <v>0.32600000000000001</v>
      </c>
      <c r="O60" s="758"/>
      <c r="P60" s="759">
        <f>C60*E60/100</f>
        <v>376.64341552688353</v>
      </c>
      <c r="Q60" s="759">
        <f>D60*G60/1000</f>
        <v>0</v>
      </c>
      <c r="R60" s="759">
        <f>D60*I60/1000</f>
        <v>0</v>
      </c>
      <c r="S60" s="759">
        <f>C60*J60/100</f>
        <v>2.4647187441266158</v>
      </c>
      <c r="T60" s="759">
        <f>C60*K60/100</f>
        <v>9.9735130576286313</v>
      </c>
      <c r="U60" s="759">
        <f t="shared" ref="U60" si="129">C60*L60/100</f>
        <v>0</v>
      </c>
      <c r="V60" s="759">
        <f t="shared" si="127"/>
        <v>18.686007222913414</v>
      </c>
      <c r="W60" s="760">
        <f t="shared" si="128"/>
        <v>407.7676545515522</v>
      </c>
      <c r="X60" s="758"/>
    </row>
    <row r="61" spans="1:28" x14ac:dyDescent="0.3">
      <c r="E61" s="757"/>
      <c r="F61" s="763"/>
      <c r="G61" s="846"/>
      <c r="H61" s="763"/>
      <c r="I61" s="763"/>
      <c r="J61" s="763"/>
      <c r="K61" s="763"/>
      <c r="L61" s="763"/>
      <c r="M61" s="763"/>
      <c r="N61" s="763"/>
      <c r="O61" s="758"/>
      <c r="P61" s="759"/>
      <c r="Q61" s="759"/>
      <c r="R61" s="759"/>
      <c r="S61" s="759"/>
      <c r="T61" s="759"/>
      <c r="U61" s="759"/>
      <c r="V61" s="759"/>
      <c r="W61" s="760"/>
      <c r="X61" s="758"/>
    </row>
    <row r="62" spans="1:28" x14ac:dyDescent="0.3">
      <c r="A62" s="739" t="s">
        <v>140</v>
      </c>
      <c r="B62" s="737" t="s">
        <v>353</v>
      </c>
      <c r="C62" s="741">
        <f>'MFR E-13c'!J575</f>
        <v>53277.282498330424</v>
      </c>
      <c r="E62" s="757">
        <f>E59</f>
        <v>5.1950000000000003</v>
      </c>
      <c r="F62" s="763">
        <f>F49</f>
        <v>0</v>
      </c>
      <c r="G62" s="846">
        <v>0</v>
      </c>
      <c r="H62" s="763">
        <f>H49</f>
        <v>0</v>
      </c>
      <c r="I62" s="846">
        <v>0</v>
      </c>
      <c r="J62" s="763">
        <f t="shared" ref="J62:L63" si="130">J49</f>
        <v>4.1000000000000002E-2</v>
      </c>
      <c r="K62" s="763">
        <f t="shared" si="130"/>
        <v>0.14199999999999999</v>
      </c>
      <c r="L62" s="763">
        <f t="shared" si="130"/>
        <v>0</v>
      </c>
      <c r="M62" s="846">
        <v>0</v>
      </c>
      <c r="N62" s="763">
        <f>N49</f>
        <v>0.159</v>
      </c>
      <c r="O62" s="758"/>
      <c r="P62" s="759">
        <f>C62*E62/100</f>
        <v>2767.7548257882654</v>
      </c>
      <c r="Q62" s="759">
        <f>D62*G62/1000</f>
        <v>0</v>
      </c>
      <c r="R62" s="759">
        <f>D62*I62/1000</f>
        <v>0</v>
      </c>
      <c r="S62" s="759">
        <f>C62*J62/100</f>
        <v>21.843685824315475</v>
      </c>
      <c r="T62" s="759">
        <f>C62*K62/100</f>
        <v>75.653741147629205</v>
      </c>
      <c r="U62" s="759">
        <f t="shared" ref="U62:U63" si="131">C62*L62/100</f>
        <v>0</v>
      </c>
      <c r="V62" s="759">
        <f t="shared" ref="V62:V63" si="132">C62*N62/100</f>
        <v>84.710879172345372</v>
      </c>
      <c r="W62" s="760">
        <f t="shared" ref="W62:W63" si="133">SUM(P62:V62)</f>
        <v>2949.9631319325554</v>
      </c>
      <c r="X62" s="758"/>
    </row>
    <row r="63" spans="1:28" x14ac:dyDescent="0.3">
      <c r="B63" s="737" t="s">
        <v>360</v>
      </c>
      <c r="C63" s="741">
        <f>'MFR E-13c'!J576</f>
        <v>2295.9171679622527</v>
      </c>
      <c r="E63" s="757">
        <f>E60</f>
        <v>6.5709999999999997</v>
      </c>
      <c r="F63" s="763">
        <f>F50</f>
        <v>0</v>
      </c>
      <c r="G63" s="846">
        <v>0</v>
      </c>
      <c r="H63" s="763">
        <f>H50</f>
        <v>0</v>
      </c>
      <c r="I63" s="846">
        <v>0</v>
      </c>
      <c r="J63" s="763">
        <f t="shared" si="130"/>
        <v>4.1000000000000002E-2</v>
      </c>
      <c r="K63" s="763">
        <f t="shared" si="130"/>
        <v>0.14199999999999999</v>
      </c>
      <c r="L63" s="763">
        <f t="shared" si="130"/>
        <v>0</v>
      </c>
      <c r="M63" s="846">
        <v>0</v>
      </c>
      <c r="N63" s="763">
        <f>N50</f>
        <v>0.159</v>
      </c>
      <c r="O63" s="758"/>
      <c r="P63" s="759">
        <f>C63*E63/100</f>
        <v>150.86471710679962</v>
      </c>
      <c r="Q63" s="759">
        <f>D63*G63/1000</f>
        <v>0</v>
      </c>
      <c r="R63" s="759">
        <f>D63*I63/1000</f>
        <v>0</v>
      </c>
      <c r="S63" s="759">
        <f>C63*J63/100</f>
        <v>0.94132603886452371</v>
      </c>
      <c r="T63" s="759">
        <f>C63*K63/100</f>
        <v>3.2602023785063987</v>
      </c>
      <c r="U63" s="759">
        <f t="shared" si="131"/>
        <v>0</v>
      </c>
      <c r="V63" s="759">
        <f t="shared" si="132"/>
        <v>3.6505082970599818</v>
      </c>
      <c r="W63" s="760">
        <f t="shared" si="133"/>
        <v>158.71675382123053</v>
      </c>
      <c r="X63" s="758"/>
    </row>
    <row r="64" spans="1:28" x14ac:dyDescent="0.3">
      <c r="E64" s="757"/>
      <c r="F64" s="763"/>
      <c r="G64" s="846"/>
      <c r="H64" s="763"/>
      <c r="I64" s="763"/>
      <c r="J64" s="763"/>
      <c r="K64" s="763"/>
      <c r="L64" s="763"/>
      <c r="M64" s="763"/>
      <c r="N64" s="763"/>
      <c r="O64" s="758"/>
      <c r="P64" s="759"/>
      <c r="Q64" s="759"/>
      <c r="R64" s="759"/>
      <c r="S64" s="759"/>
      <c r="T64" s="759"/>
      <c r="U64" s="759"/>
      <c r="V64" s="759"/>
      <c r="W64" s="760"/>
      <c r="X64" s="758"/>
    </row>
    <row r="65" spans="1:30" x14ac:dyDescent="0.3">
      <c r="A65" s="739" t="s">
        <v>139</v>
      </c>
      <c r="B65" s="737" t="s">
        <v>353</v>
      </c>
      <c r="C65" s="741">
        <f>'MFR E-13c'!J626</f>
        <v>142794.18488681412</v>
      </c>
      <c r="E65" s="757">
        <f>E62</f>
        <v>5.1950000000000003</v>
      </c>
      <c r="F65" s="763">
        <v>0</v>
      </c>
      <c r="G65" s="846">
        <v>0</v>
      </c>
      <c r="H65" s="763">
        <v>0</v>
      </c>
      <c r="I65" s="763">
        <v>0</v>
      </c>
      <c r="J65" s="763">
        <f>J41</f>
        <v>4.1000000000000002E-2</v>
      </c>
      <c r="K65" s="763">
        <f>K41</f>
        <v>0.11899999999999999</v>
      </c>
      <c r="L65" s="763">
        <v>0</v>
      </c>
      <c r="M65" s="763">
        <v>0</v>
      </c>
      <c r="N65" s="763">
        <f>N41</f>
        <v>0.32600000000000001</v>
      </c>
      <c r="O65" s="758"/>
      <c r="P65" s="759">
        <f>C65*E65/100</f>
        <v>7418.1579048699941</v>
      </c>
      <c r="Q65" s="759">
        <f>D65*G65/1000</f>
        <v>0</v>
      </c>
      <c r="R65" s="759">
        <f>C65*H65/1000</f>
        <v>0</v>
      </c>
      <c r="S65" s="759">
        <f>C65*J65/100</f>
        <v>58.54561580359379</v>
      </c>
      <c r="T65" s="759">
        <f>C65*K65/100</f>
        <v>169.92508001530882</v>
      </c>
      <c r="U65" s="759">
        <f t="shared" ref="U65" si="134">C65*L65/100</f>
        <v>0</v>
      </c>
      <c r="V65" s="759">
        <f t="shared" ref="V65" si="135">C65*N65/100</f>
        <v>465.50904273101406</v>
      </c>
      <c r="W65" s="760">
        <f t="shared" ref="W65" si="136">SUM(P65:V65)</f>
        <v>8112.137643419911</v>
      </c>
      <c r="X65" s="758"/>
      <c r="Y65" s="737"/>
      <c r="Z65" s="737"/>
      <c r="AA65" s="737"/>
    </row>
    <row r="66" spans="1:30" x14ac:dyDescent="0.3">
      <c r="E66" s="757"/>
      <c r="F66" s="757"/>
      <c r="G66" s="763"/>
      <c r="H66" s="757"/>
      <c r="I66" s="757"/>
      <c r="J66" s="757"/>
      <c r="L66" s="757"/>
      <c r="M66" s="757"/>
      <c r="N66" s="757"/>
      <c r="O66" s="742"/>
      <c r="X66" s="742"/>
    </row>
    <row r="67" spans="1:30" x14ac:dyDescent="0.3">
      <c r="A67" s="765" t="s">
        <v>361</v>
      </c>
      <c r="E67" s="757"/>
      <c r="F67" s="757"/>
      <c r="G67" s="763"/>
      <c r="H67" s="757"/>
      <c r="I67" s="757"/>
      <c r="J67" s="757"/>
      <c r="L67" s="757"/>
      <c r="M67" s="757"/>
      <c r="N67" s="757"/>
      <c r="O67" s="742"/>
      <c r="X67" s="742"/>
    </row>
    <row r="68" spans="1:30" x14ac:dyDescent="0.3">
      <c r="A68" s="765" t="s">
        <v>362</v>
      </c>
      <c r="E68" s="757"/>
      <c r="F68" s="757"/>
      <c r="G68" s="763"/>
      <c r="H68" s="757"/>
      <c r="I68" s="757"/>
      <c r="J68" s="757"/>
      <c r="L68" s="757"/>
      <c r="M68" s="757"/>
      <c r="N68" s="757"/>
      <c r="O68" s="742"/>
      <c r="X68" s="742"/>
    </row>
    <row r="69" spans="1:30" x14ac:dyDescent="0.3">
      <c r="A69" s="765" t="s">
        <v>363</v>
      </c>
      <c r="D69" s="754"/>
      <c r="E69" s="754"/>
      <c r="F69" s="754"/>
      <c r="G69" s="763">
        <f>+'BA-1 Rates Current'!H38</f>
        <v>0.09</v>
      </c>
      <c r="H69" s="754"/>
      <c r="I69" s="763">
        <f>+'BA-1 Rates Current'!J38</f>
        <v>0.24399999999999999</v>
      </c>
      <c r="J69" s="754"/>
      <c r="L69" s="754"/>
      <c r="M69" s="763">
        <f>+'BA-1 Rates Current'!N38</f>
        <v>0.11899999999999999</v>
      </c>
      <c r="N69" s="754"/>
      <c r="O69" s="742"/>
      <c r="P69" s="754"/>
      <c r="Q69" s="759">
        <f>D69*G69/1000</f>
        <v>0</v>
      </c>
      <c r="R69" s="759">
        <f>D69*I69/1000</f>
        <v>0</v>
      </c>
      <c r="S69" s="754"/>
      <c r="T69" s="754"/>
      <c r="U69" s="759">
        <f t="shared" ref="U69:U71" si="137">D69*M69/1000</f>
        <v>0</v>
      </c>
      <c r="V69" s="754"/>
      <c r="W69" s="760">
        <f t="shared" ref="W69:W71" si="138">SUM(P69:V69)</f>
        <v>0</v>
      </c>
      <c r="X69" s="742"/>
    </row>
    <row r="70" spans="1:30" x14ac:dyDescent="0.3">
      <c r="A70" s="765" t="s">
        <v>364</v>
      </c>
      <c r="D70" s="766">
        <f>'MFR E-13c'!J514</f>
        <v>58299.72</v>
      </c>
      <c r="E70" s="754"/>
      <c r="F70" s="754"/>
      <c r="G70" s="763">
        <f>+'BA-1 Rates Current'!H39</f>
        <v>8.8999999999999996E-2</v>
      </c>
      <c r="H70" s="754"/>
      <c r="I70" s="763">
        <f>+'BA-1 Rates Current'!J39</f>
        <v>0.24199999999999999</v>
      </c>
      <c r="J70" s="754"/>
      <c r="L70" s="754"/>
      <c r="M70" s="763">
        <f>+'BA-1 Rates Current'!N39</f>
        <v>0.11799999999999999</v>
      </c>
      <c r="N70" s="754"/>
      <c r="O70" s="742"/>
      <c r="P70" s="754"/>
      <c r="Q70" s="759">
        <f>D70*G70/1000</f>
        <v>5.1886750800000003</v>
      </c>
      <c r="R70" s="759">
        <f t="shared" ref="R70:R71" si="139">D70*I70/1000</f>
        <v>14.108532240000001</v>
      </c>
      <c r="S70" s="754"/>
      <c r="T70" s="754"/>
      <c r="U70" s="759">
        <f t="shared" si="137"/>
        <v>6.8793669599999996</v>
      </c>
      <c r="V70" s="754"/>
      <c r="W70" s="760">
        <f t="shared" si="138"/>
        <v>26.176574280000001</v>
      </c>
      <c r="X70" s="742"/>
    </row>
    <row r="71" spans="1:30" ht="12.75" customHeight="1" x14ac:dyDescent="0.3">
      <c r="A71" s="767" t="s">
        <v>365</v>
      </c>
      <c r="D71" s="766">
        <f>'MFR E-13c'!J517</f>
        <v>253432</v>
      </c>
      <c r="E71" s="754"/>
      <c r="F71" s="754"/>
      <c r="G71" s="763">
        <f>+'BA-1 Rates Current'!H40</f>
        <v>8.7999999999999995E-2</v>
      </c>
      <c r="H71" s="754"/>
      <c r="I71" s="763">
        <f>+'BA-1 Rates Current'!J40</f>
        <v>0.23899999999999999</v>
      </c>
      <c r="J71" s="754"/>
      <c r="L71" s="754"/>
      <c r="M71" s="763">
        <f>+'BA-1 Rates Current'!N40</f>
        <v>0.11700000000000001</v>
      </c>
      <c r="N71" s="754"/>
      <c r="O71" s="742"/>
      <c r="P71" s="754"/>
      <c r="Q71" s="759">
        <f>D71*G71/1000</f>
        <v>22.302015999999998</v>
      </c>
      <c r="R71" s="759">
        <f t="shared" si="139"/>
        <v>60.570247999999999</v>
      </c>
      <c r="S71" s="754"/>
      <c r="T71" s="754"/>
      <c r="U71" s="759">
        <f t="shared" si="137"/>
        <v>29.651544000000001</v>
      </c>
      <c r="V71" s="754"/>
      <c r="W71" s="760">
        <f t="shared" si="138"/>
        <v>112.523808</v>
      </c>
      <c r="X71" s="742"/>
    </row>
    <row r="72" spans="1:30" s="754" customFormat="1" x14ac:dyDescent="0.3">
      <c r="A72" s="765" t="s">
        <v>366</v>
      </c>
      <c r="B72" s="737"/>
      <c r="C72" s="741"/>
      <c r="D72" s="736"/>
      <c r="G72" s="763"/>
      <c r="I72" s="763"/>
      <c r="K72" s="737"/>
      <c r="M72" s="763"/>
      <c r="O72" s="742"/>
      <c r="Q72" s="737"/>
      <c r="R72" s="737"/>
      <c r="U72" s="737"/>
      <c r="W72" s="760"/>
      <c r="X72" s="742"/>
      <c r="AB72" s="737"/>
      <c r="AC72" s="737"/>
      <c r="AD72" s="737"/>
    </row>
    <row r="73" spans="1:30" s="754" customFormat="1" x14ac:dyDescent="0.3">
      <c r="A73" s="765" t="s">
        <v>363</v>
      </c>
      <c r="B73" s="737"/>
      <c r="C73" s="741"/>
      <c r="G73" s="763">
        <f>+'BA-1 Rates Current'!H42</f>
        <v>4.2999999999999997E-2</v>
      </c>
      <c r="I73" s="763">
        <f>+'BA-1 Rates Current'!J42</f>
        <v>0.11600000000000001</v>
      </c>
      <c r="K73" s="737"/>
      <c r="M73" s="763">
        <f>+'BA-1 Rates Current'!N42</f>
        <v>5.7000000000000002E-2</v>
      </c>
      <c r="O73" s="742"/>
      <c r="Q73" s="759">
        <f>D73*G73/1000</f>
        <v>0</v>
      </c>
      <c r="R73" s="759">
        <f>D73*I73/1000</f>
        <v>0</v>
      </c>
      <c r="U73" s="759">
        <f t="shared" ref="U73:U75" si="140">D73*M73/1000</f>
        <v>0</v>
      </c>
      <c r="W73" s="760">
        <f t="shared" ref="W73:W75" si="141">SUM(P73:V73)</f>
        <v>0</v>
      </c>
      <c r="X73" s="742"/>
      <c r="AB73" s="737"/>
      <c r="AC73" s="737"/>
      <c r="AD73" s="737"/>
    </row>
    <row r="74" spans="1:30" s="754" customFormat="1" x14ac:dyDescent="0.3">
      <c r="A74" s="765" t="s">
        <v>364</v>
      </c>
      <c r="B74" s="737"/>
      <c r="C74" s="741"/>
      <c r="D74" s="766">
        <f>'MFR E-13c'!J515</f>
        <v>2074939.8402319269</v>
      </c>
      <c r="G74" s="763">
        <f>+'BA-1 Rates Current'!H43</f>
        <v>4.2999999999999997E-2</v>
      </c>
      <c r="I74" s="763">
        <f>+'BA-1 Rates Current'!J43</f>
        <v>0.115</v>
      </c>
      <c r="K74" s="737"/>
      <c r="M74" s="763">
        <f>+'BA-1 Rates Current'!N43</f>
        <v>5.6000000000000001E-2</v>
      </c>
      <c r="O74" s="742"/>
      <c r="Q74" s="759">
        <f>D74*G74/1000</f>
        <v>89.22241312997285</v>
      </c>
      <c r="R74" s="759">
        <f t="shared" ref="R74:R75" si="142">D74*I74/1000</f>
        <v>238.6180816266716</v>
      </c>
      <c r="U74" s="759">
        <f t="shared" si="140"/>
        <v>116.19663105298791</v>
      </c>
      <c r="W74" s="760">
        <f t="shared" si="141"/>
        <v>444.03712580963236</v>
      </c>
      <c r="X74" s="742"/>
      <c r="AB74" s="737"/>
      <c r="AC74" s="737"/>
      <c r="AD74" s="737"/>
    </row>
    <row r="75" spans="1:30" s="754" customFormat="1" x14ac:dyDescent="0.3">
      <c r="A75" s="767" t="s">
        <v>365</v>
      </c>
      <c r="B75" s="737"/>
      <c r="C75" s="741"/>
      <c r="D75" s="766">
        <f>'MFR E-13c'!J518</f>
        <v>146796.72451314615</v>
      </c>
      <c r="G75" s="763">
        <f>+'BA-1 Rates Current'!H44</f>
        <v>4.2000000000000003E-2</v>
      </c>
      <c r="I75" s="763">
        <f>+'BA-1 Rates Current'!J44</f>
        <v>0.114</v>
      </c>
      <c r="K75" s="737"/>
      <c r="M75" s="763">
        <f>+'BA-1 Rates Current'!N44</f>
        <v>5.6000000000000001E-2</v>
      </c>
      <c r="O75" s="742"/>
      <c r="Q75" s="759">
        <f>D75*G75/1000</f>
        <v>6.1654624295521385</v>
      </c>
      <c r="R75" s="759">
        <f t="shared" si="142"/>
        <v>16.734826594498664</v>
      </c>
      <c r="U75" s="759">
        <f t="shared" si="140"/>
        <v>8.2206165727361835</v>
      </c>
      <c r="W75" s="760">
        <f t="shared" si="141"/>
        <v>31.120905596786987</v>
      </c>
      <c r="X75" s="742"/>
      <c r="AB75" s="737"/>
      <c r="AC75" s="737"/>
      <c r="AD75" s="737"/>
    </row>
    <row r="76" spans="1:30" s="754" customFormat="1" x14ac:dyDescent="0.3">
      <c r="A76" s="765" t="s">
        <v>367</v>
      </c>
      <c r="B76" s="737"/>
      <c r="C76" s="741"/>
      <c r="D76" s="736"/>
      <c r="G76" s="763"/>
      <c r="I76" s="763"/>
      <c r="K76" s="737"/>
      <c r="M76" s="763"/>
      <c r="O76" s="742"/>
      <c r="Q76" s="737"/>
      <c r="R76" s="737"/>
      <c r="U76" s="737"/>
      <c r="W76" s="760"/>
      <c r="X76" s="742"/>
      <c r="AB76" s="737"/>
      <c r="AC76" s="737"/>
      <c r="AD76" s="737"/>
    </row>
    <row r="77" spans="1:30" s="754" customFormat="1" x14ac:dyDescent="0.3">
      <c r="A77" s="765" t="s">
        <v>362</v>
      </c>
      <c r="B77" s="737"/>
      <c r="C77" s="741"/>
      <c r="D77" s="736"/>
      <c r="G77" s="763"/>
      <c r="I77" s="763"/>
      <c r="K77" s="737"/>
      <c r="M77" s="763"/>
      <c r="O77" s="742"/>
      <c r="Q77" s="737"/>
      <c r="R77" s="737"/>
      <c r="U77" s="737"/>
      <c r="W77" s="760"/>
      <c r="X77" s="742"/>
      <c r="AB77" s="737"/>
      <c r="AC77" s="737"/>
      <c r="AD77" s="737"/>
    </row>
    <row r="78" spans="1:30" s="754" customFormat="1" x14ac:dyDescent="0.3">
      <c r="A78" s="765" t="s">
        <v>363</v>
      </c>
      <c r="B78" s="737"/>
      <c r="C78" s="741"/>
      <c r="G78" s="763">
        <f>+G69</f>
        <v>0.09</v>
      </c>
      <c r="I78" s="763">
        <f>+I69</f>
        <v>0.24399999999999999</v>
      </c>
      <c r="K78" s="737"/>
      <c r="M78" s="763">
        <f>+M69</f>
        <v>0.11899999999999999</v>
      </c>
      <c r="O78" s="742"/>
      <c r="Q78" s="759">
        <f>D78*G78/1000</f>
        <v>0</v>
      </c>
      <c r="R78" s="759">
        <f>D78*I78/1000</f>
        <v>0</v>
      </c>
      <c r="U78" s="759">
        <f t="shared" ref="U78:U80" si="143">D78*M78/1000</f>
        <v>0</v>
      </c>
      <c r="W78" s="760">
        <f t="shared" ref="W78:W80" si="144">SUM(P78:V78)</f>
        <v>0</v>
      </c>
      <c r="X78" s="742"/>
      <c r="AB78" s="737"/>
      <c r="AC78" s="737"/>
      <c r="AD78" s="737"/>
    </row>
    <row r="79" spans="1:30" s="754" customFormat="1" x14ac:dyDescent="0.3">
      <c r="A79" s="765" t="s">
        <v>364</v>
      </c>
      <c r="B79" s="737"/>
      <c r="C79" s="741"/>
      <c r="D79" s="766">
        <f>'MFR E-13c'!J566</f>
        <v>66270</v>
      </c>
      <c r="G79" s="763">
        <f t="shared" ref="G79:I84" si="145">+G70</f>
        <v>8.8999999999999996E-2</v>
      </c>
      <c r="I79" s="763">
        <f t="shared" si="145"/>
        <v>0.24199999999999999</v>
      </c>
      <c r="K79" s="737"/>
      <c r="M79" s="763">
        <f t="shared" ref="M79" si="146">+M70</f>
        <v>0.11799999999999999</v>
      </c>
      <c r="O79" s="742"/>
      <c r="Q79" s="759">
        <f>D79*G79/1000</f>
        <v>5.8980299999999994</v>
      </c>
      <c r="R79" s="759">
        <f t="shared" ref="R79:R80" si="147">D79*I79/1000</f>
        <v>16.03734</v>
      </c>
      <c r="U79" s="759">
        <f t="shared" si="143"/>
        <v>7.8198599999999994</v>
      </c>
      <c r="W79" s="760">
        <f t="shared" si="144"/>
        <v>29.755229999999997</v>
      </c>
      <c r="X79" s="742"/>
      <c r="AB79" s="737"/>
      <c r="AC79" s="737"/>
      <c r="AD79" s="737"/>
    </row>
    <row r="80" spans="1:30" s="754" customFormat="1" ht="12.75" customHeight="1" x14ac:dyDescent="0.3">
      <c r="A80" s="767" t="s">
        <v>365</v>
      </c>
      <c r="B80" s="737"/>
      <c r="C80" s="741"/>
      <c r="D80" s="766">
        <f>'MFR E-13c'!J569</f>
        <v>110000</v>
      </c>
      <c r="G80" s="763">
        <f t="shared" si="145"/>
        <v>8.7999999999999995E-2</v>
      </c>
      <c r="I80" s="763">
        <f t="shared" si="145"/>
        <v>0.23899999999999999</v>
      </c>
      <c r="K80" s="737"/>
      <c r="M80" s="763">
        <f t="shared" ref="M80" si="148">+M71</f>
        <v>0.11700000000000001</v>
      </c>
      <c r="O80" s="742"/>
      <c r="Q80" s="759">
        <f>D80*G80/1000</f>
        <v>9.68</v>
      </c>
      <c r="R80" s="759">
        <f t="shared" si="147"/>
        <v>26.29</v>
      </c>
      <c r="U80" s="759">
        <f t="shared" si="143"/>
        <v>12.87</v>
      </c>
      <c r="W80" s="760">
        <f t="shared" si="144"/>
        <v>48.839999999999996</v>
      </c>
      <c r="X80" s="742"/>
      <c r="AB80" s="737"/>
      <c r="AC80" s="737"/>
      <c r="AD80" s="737"/>
    </row>
    <row r="81" spans="1:30" s="754" customFormat="1" x14ac:dyDescent="0.3">
      <c r="A81" s="765" t="s">
        <v>366</v>
      </c>
      <c r="B81" s="737"/>
      <c r="C81" s="741"/>
      <c r="D81" s="736"/>
      <c r="G81" s="763"/>
      <c r="I81" s="763"/>
      <c r="K81" s="737"/>
      <c r="M81" s="763"/>
      <c r="O81" s="742"/>
      <c r="Q81" s="737"/>
      <c r="R81" s="737"/>
      <c r="U81" s="737"/>
      <c r="W81" s="760"/>
      <c r="X81" s="742"/>
      <c r="AB81" s="737"/>
      <c r="AC81" s="737"/>
      <c r="AD81" s="737"/>
    </row>
    <row r="82" spans="1:30" s="754" customFormat="1" x14ac:dyDescent="0.3">
      <c r="A82" s="765" t="s">
        <v>363</v>
      </c>
      <c r="B82" s="737"/>
      <c r="C82" s="741"/>
      <c r="G82" s="763">
        <f t="shared" si="145"/>
        <v>4.2999999999999997E-2</v>
      </c>
      <c r="I82" s="763">
        <f t="shared" si="145"/>
        <v>0.11600000000000001</v>
      </c>
      <c r="K82" s="737"/>
      <c r="M82" s="763">
        <f t="shared" ref="M82" si="149">+M73</f>
        <v>5.7000000000000002E-2</v>
      </c>
      <c r="O82" s="742"/>
      <c r="Q82" s="759">
        <f>D82*G82/1000</f>
        <v>0</v>
      </c>
      <c r="R82" s="759">
        <f>D82*I82/1000</f>
        <v>0</v>
      </c>
      <c r="U82" s="759">
        <f t="shared" ref="U82:U84" si="150">D82*M82/1000</f>
        <v>0</v>
      </c>
      <c r="W82" s="760">
        <f t="shared" ref="W82:W84" si="151">SUM(P82:V82)</f>
        <v>0</v>
      </c>
      <c r="X82" s="742"/>
      <c r="AB82" s="737"/>
      <c r="AC82" s="737"/>
      <c r="AD82" s="737"/>
    </row>
    <row r="83" spans="1:30" s="754" customFormat="1" x14ac:dyDescent="0.3">
      <c r="A83" s="765" t="s">
        <v>364</v>
      </c>
      <c r="B83" s="737"/>
      <c r="C83" s="741"/>
      <c r="D83" s="766">
        <f>'MFR E-13c'!J567</f>
        <v>2165383.2056423929</v>
      </c>
      <c r="G83" s="763">
        <f t="shared" si="145"/>
        <v>4.2999999999999997E-2</v>
      </c>
      <c r="I83" s="763">
        <f t="shared" si="145"/>
        <v>0.115</v>
      </c>
      <c r="K83" s="737"/>
      <c r="M83" s="763">
        <f t="shared" ref="M83" si="152">+M74</f>
        <v>5.6000000000000001E-2</v>
      </c>
      <c r="O83" s="742"/>
      <c r="Q83" s="759">
        <f>D83*G83/1000</f>
        <v>93.11147784262289</v>
      </c>
      <c r="R83" s="759">
        <f t="shared" ref="R83:R84" si="153">D83*I83/1000</f>
        <v>249.01906864887519</v>
      </c>
      <c r="U83" s="759">
        <f t="shared" si="150"/>
        <v>121.261459515974</v>
      </c>
      <c r="W83" s="760">
        <f t="shared" si="151"/>
        <v>463.39200600747211</v>
      </c>
      <c r="X83" s="742"/>
      <c r="AB83" s="737"/>
      <c r="AC83" s="737"/>
      <c r="AD83" s="737"/>
    </row>
    <row r="84" spans="1:30" s="754" customFormat="1" x14ac:dyDescent="0.3">
      <c r="A84" s="767" t="s">
        <v>365</v>
      </c>
      <c r="B84" s="737"/>
      <c r="C84" s="741"/>
      <c r="D84" s="766">
        <f>'MFR E-13c'!J570</f>
        <v>45130.40121168919</v>
      </c>
      <c r="G84" s="763">
        <f t="shared" si="145"/>
        <v>4.2000000000000003E-2</v>
      </c>
      <c r="I84" s="763">
        <f t="shared" si="145"/>
        <v>0.114</v>
      </c>
      <c r="K84" s="737"/>
      <c r="M84" s="763">
        <f t="shared" ref="M84" si="154">+M75</f>
        <v>5.6000000000000001E-2</v>
      </c>
      <c r="O84" s="742"/>
      <c r="Q84" s="759">
        <f>D84*G84/1000</f>
        <v>1.8954768508909461</v>
      </c>
      <c r="R84" s="759">
        <f t="shared" si="153"/>
        <v>5.1448657381325678</v>
      </c>
      <c r="U84" s="759">
        <f t="shared" si="150"/>
        <v>2.5273024678545948</v>
      </c>
      <c r="W84" s="760">
        <f t="shared" si="151"/>
        <v>9.5676450568781082</v>
      </c>
      <c r="X84" s="742"/>
      <c r="AB84" s="737"/>
      <c r="AC84" s="737"/>
      <c r="AD84" s="737"/>
    </row>
    <row r="85" spans="1:30" s="754" customFormat="1" x14ac:dyDescent="0.3">
      <c r="A85" s="765" t="s">
        <v>368</v>
      </c>
      <c r="B85" s="737"/>
      <c r="C85" s="741"/>
      <c r="D85" s="736"/>
      <c r="G85" s="763"/>
      <c r="I85" s="763"/>
      <c r="K85" s="737"/>
      <c r="M85" s="763"/>
      <c r="O85" s="742"/>
      <c r="Q85" s="737"/>
      <c r="R85" s="737"/>
      <c r="U85" s="737"/>
      <c r="W85" s="760"/>
      <c r="X85" s="742"/>
      <c r="AB85" s="737"/>
      <c r="AC85" s="737"/>
      <c r="AD85" s="737"/>
    </row>
    <row r="86" spans="1:30" s="754" customFormat="1" x14ac:dyDescent="0.3">
      <c r="A86" s="765" t="s">
        <v>362</v>
      </c>
      <c r="B86" s="737"/>
      <c r="C86" s="741"/>
      <c r="D86" s="736"/>
      <c r="G86" s="763"/>
      <c r="I86" s="763"/>
      <c r="K86" s="737"/>
      <c r="M86" s="763"/>
      <c r="O86" s="742"/>
      <c r="Q86" s="737"/>
      <c r="R86" s="737"/>
      <c r="U86" s="737"/>
      <c r="W86" s="760"/>
      <c r="X86" s="742"/>
      <c r="AB86" s="737"/>
      <c r="AC86" s="737"/>
      <c r="AD86" s="737"/>
    </row>
    <row r="87" spans="1:30" s="754" customFormat="1" x14ac:dyDescent="0.3">
      <c r="A87" s="765" t="s">
        <v>363</v>
      </c>
      <c r="B87" s="737"/>
      <c r="C87" s="741"/>
      <c r="G87" s="763">
        <f>+G69</f>
        <v>0.09</v>
      </c>
      <c r="I87" s="763">
        <f>+I69</f>
        <v>0.24399999999999999</v>
      </c>
      <c r="K87" s="737"/>
      <c r="M87" s="763">
        <f>+M69</f>
        <v>0.11899999999999999</v>
      </c>
      <c r="O87" s="742"/>
      <c r="Q87" s="759">
        <f>D87*G87/1000</f>
        <v>0</v>
      </c>
      <c r="R87" s="759">
        <f>D87*I87/1000</f>
        <v>0</v>
      </c>
      <c r="U87" s="759">
        <f t="shared" ref="U87:U89" si="155">D87*M87/1000</f>
        <v>0</v>
      </c>
      <c r="W87" s="760">
        <f t="shared" ref="W87:W89" si="156">SUM(P87:V87)</f>
        <v>0</v>
      </c>
      <c r="X87" s="742"/>
      <c r="AB87" s="737"/>
      <c r="AC87" s="737"/>
      <c r="AD87" s="737"/>
    </row>
    <row r="88" spans="1:30" x14ac:dyDescent="0.3">
      <c r="A88" s="765" t="s">
        <v>364</v>
      </c>
      <c r="D88" s="766">
        <f>'MFR E-13c'!J617</f>
        <v>24693.142</v>
      </c>
      <c r="E88" s="754"/>
      <c r="F88" s="754"/>
      <c r="G88" s="763">
        <f t="shared" ref="G88:I93" si="157">+G70</f>
        <v>8.8999999999999996E-2</v>
      </c>
      <c r="H88" s="754"/>
      <c r="I88" s="763">
        <f t="shared" si="157"/>
        <v>0.24199999999999999</v>
      </c>
      <c r="J88" s="754"/>
      <c r="L88" s="754"/>
      <c r="M88" s="763">
        <f t="shared" ref="M88" si="158">+M70</f>
        <v>0.11799999999999999</v>
      </c>
      <c r="N88" s="754"/>
      <c r="O88" s="742"/>
      <c r="P88" s="754"/>
      <c r="Q88" s="759">
        <f>D88*G88/1000</f>
        <v>2.1976896379999999</v>
      </c>
      <c r="R88" s="759">
        <f t="shared" ref="R88:R89" si="159">D88*I88/1000</f>
        <v>5.975740364</v>
      </c>
      <c r="S88" s="754"/>
      <c r="T88" s="754"/>
      <c r="U88" s="759">
        <f t="shared" si="155"/>
        <v>2.913790756</v>
      </c>
      <c r="V88" s="754"/>
      <c r="W88" s="760">
        <f t="shared" si="156"/>
        <v>11.087220758000001</v>
      </c>
      <c r="X88" s="742"/>
    </row>
    <row r="89" spans="1:30" ht="12.75" customHeight="1" x14ac:dyDescent="0.3">
      <c r="A89" s="767" t="s">
        <v>365</v>
      </c>
      <c r="D89" s="766">
        <f>'MFR E-13c'!J620</f>
        <v>0</v>
      </c>
      <c r="E89" s="754"/>
      <c r="F89" s="754"/>
      <c r="G89" s="763">
        <f t="shared" si="157"/>
        <v>8.7999999999999995E-2</v>
      </c>
      <c r="H89" s="754"/>
      <c r="I89" s="763">
        <f t="shared" si="157"/>
        <v>0.23899999999999999</v>
      </c>
      <c r="J89" s="754"/>
      <c r="L89" s="754"/>
      <c r="M89" s="763">
        <f t="shared" ref="M89" si="160">+M71</f>
        <v>0.11700000000000001</v>
      </c>
      <c r="N89" s="754"/>
      <c r="O89" s="742"/>
      <c r="P89" s="754"/>
      <c r="Q89" s="759">
        <f>D89*G89/1000</f>
        <v>0</v>
      </c>
      <c r="R89" s="759">
        <f t="shared" si="159"/>
        <v>0</v>
      </c>
      <c r="S89" s="754"/>
      <c r="T89" s="754"/>
      <c r="U89" s="759">
        <f t="shared" si="155"/>
        <v>0</v>
      </c>
      <c r="V89" s="754"/>
      <c r="W89" s="760">
        <f t="shared" si="156"/>
        <v>0</v>
      </c>
      <c r="X89" s="742"/>
    </row>
    <row r="90" spans="1:30" x14ac:dyDescent="0.3">
      <c r="A90" s="765" t="s">
        <v>366</v>
      </c>
      <c r="E90" s="754"/>
      <c r="F90" s="754"/>
      <c r="G90" s="763"/>
      <c r="H90" s="754"/>
      <c r="I90" s="763"/>
      <c r="J90" s="754"/>
      <c r="L90" s="754"/>
      <c r="M90" s="763"/>
      <c r="N90" s="754"/>
      <c r="O90" s="742"/>
      <c r="P90" s="754"/>
      <c r="S90" s="754"/>
      <c r="T90" s="754"/>
      <c r="V90" s="754"/>
      <c r="W90" s="760"/>
      <c r="X90" s="742"/>
    </row>
    <row r="91" spans="1:30" x14ac:dyDescent="0.3">
      <c r="A91" s="765" t="s">
        <v>363</v>
      </c>
      <c r="D91" s="754"/>
      <c r="E91" s="754"/>
      <c r="F91" s="754"/>
      <c r="G91" s="763">
        <f t="shared" si="157"/>
        <v>4.2999999999999997E-2</v>
      </c>
      <c r="H91" s="754"/>
      <c r="I91" s="763">
        <f t="shared" si="157"/>
        <v>0.11600000000000001</v>
      </c>
      <c r="J91" s="754"/>
      <c r="L91" s="754"/>
      <c r="M91" s="763">
        <f t="shared" ref="M91" si="161">+M73</f>
        <v>5.7000000000000002E-2</v>
      </c>
      <c r="N91" s="754"/>
      <c r="O91" s="742"/>
      <c r="P91" s="754"/>
      <c r="Q91" s="759">
        <f>D91*G91/1000</f>
        <v>0</v>
      </c>
      <c r="R91" s="759">
        <f>D91*I91/1000</f>
        <v>0</v>
      </c>
      <c r="S91" s="754"/>
      <c r="T91" s="754"/>
      <c r="U91" s="759">
        <f t="shared" ref="U91:U93" si="162">D91*M91/1000</f>
        <v>0</v>
      </c>
      <c r="V91" s="754"/>
      <c r="W91" s="760">
        <f t="shared" ref="W91:W93" si="163">SUM(P91:V91)</f>
        <v>0</v>
      </c>
      <c r="X91" s="742"/>
    </row>
    <row r="92" spans="1:30" x14ac:dyDescent="0.3">
      <c r="A92" s="765" t="s">
        <v>364</v>
      </c>
      <c r="D92" s="766">
        <f>'MFR E-13c'!J618</f>
        <v>4972035.6140713263</v>
      </c>
      <c r="E92" s="754"/>
      <c r="F92" s="754"/>
      <c r="G92" s="763">
        <f t="shared" si="157"/>
        <v>4.2999999999999997E-2</v>
      </c>
      <c r="H92" s="754"/>
      <c r="I92" s="763">
        <f t="shared" si="157"/>
        <v>0.115</v>
      </c>
      <c r="J92" s="754"/>
      <c r="L92" s="754"/>
      <c r="M92" s="763">
        <f t="shared" ref="M92" si="164">+M74</f>
        <v>5.6000000000000001E-2</v>
      </c>
      <c r="N92" s="754"/>
      <c r="O92" s="742"/>
      <c r="P92" s="754"/>
      <c r="Q92" s="759">
        <f>D92*G92/1000</f>
        <v>213.79753140506702</v>
      </c>
      <c r="R92" s="759">
        <f t="shared" ref="R92:R93" si="165">D92*I92/1000</f>
        <v>571.78409561820263</v>
      </c>
      <c r="S92" s="754"/>
      <c r="T92" s="754"/>
      <c r="U92" s="759">
        <f t="shared" si="162"/>
        <v>278.43399438799429</v>
      </c>
      <c r="V92" s="754"/>
      <c r="W92" s="760">
        <f t="shared" si="163"/>
        <v>1064.015621411264</v>
      </c>
      <c r="X92" s="742"/>
    </row>
    <row r="93" spans="1:30" x14ac:dyDescent="0.3">
      <c r="A93" s="767" t="s">
        <v>365</v>
      </c>
      <c r="D93" s="766">
        <f>'MFR E-13c'!J621</f>
        <v>0</v>
      </c>
      <c r="E93" s="754"/>
      <c r="F93" s="754"/>
      <c r="G93" s="763">
        <f t="shared" si="157"/>
        <v>4.2000000000000003E-2</v>
      </c>
      <c r="H93" s="754"/>
      <c r="I93" s="763">
        <f t="shared" si="157"/>
        <v>0.114</v>
      </c>
      <c r="J93" s="754"/>
      <c r="L93" s="754"/>
      <c r="M93" s="763">
        <f t="shared" ref="M93" si="166">+M75</f>
        <v>5.6000000000000001E-2</v>
      </c>
      <c r="N93" s="754"/>
      <c r="O93" s="742"/>
      <c r="P93" s="754"/>
      <c r="Q93" s="759">
        <f>D93*G93/1000</f>
        <v>0</v>
      </c>
      <c r="R93" s="759">
        <f t="shared" si="165"/>
        <v>0</v>
      </c>
      <c r="S93" s="754"/>
      <c r="T93" s="754"/>
      <c r="U93" s="759">
        <f t="shared" si="162"/>
        <v>0</v>
      </c>
      <c r="V93" s="754"/>
      <c r="W93" s="760">
        <f t="shared" si="163"/>
        <v>0</v>
      </c>
      <c r="X93" s="742"/>
    </row>
    <row r="94" spans="1:30" x14ac:dyDescent="0.3">
      <c r="E94" s="757"/>
      <c r="F94" s="757"/>
      <c r="G94" s="757"/>
      <c r="H94" s="757"/>
      <c r="I94" s="757"/>
      <c r="J94" s="757"/>
      <c r="L94" s="757"/>
      <c r="M94" s="757"/>
      <c r="N94" s="757"/>
      <c r="O94" s="742"/>
      <c r="X94" s="742"/>
    </row>
    <row r="95" spans="1:30" s="739" customFormat="1" ht="13.8" thickBot="1" x14ac:dyDescent="0.35">
      <c r="A95" s="739" t="s">
        <v>369</v>
      </c>
      <c r="C95" s="768">
        <f>SUM(C6:C93)</f>
        <v>39688948.760817446</v>
      </c>
      <c r="D95" s="768">
        <f>SUM(D6:D93)</f>
        <v>48905479.992785111</v>
      </c>
      <c r="E95" s="769"/>
      <c r="F95" s="769"/>
      <c r="G95" s="769"/>
      <c r="H95" s="769"/>
      <c r="I95" s="769"/>
      <c r="J95" s="769"/>
      <c r="K95" s="737"/>
      <c r="L95" s="769"/>
      <c r="M95" s="769"/>
      <c r="N95" s="769"/>
      <c r="O95" s="742"/>
      <c r="P95" s="768">
        <f t="shared" ref="P95:W95" si="167">SUM(P6:P93)</f>
        <v>2068806.2829336917</v>
      </c>
      <c r="Q95" s="768">
        <f t="shared" si="167"/>
        <v>111488.88197662901</v>
      </c>
      <c r="R95" s="768">
        <f t="shared" si="167"/>
        <v>313174.96339721134</v>
      </c>
      <c r="S95" s="768">
        <f t="shared" si="167"/>
        <v>17619.477299000147</v>
      </c>
      <c r="T95" s="768">
        <f t="shared" si="167"/>
        <v>81405.330410645649</v>
      </c>
      <c r="U95" s="768">
        <f t="shared" si="167"/>
        <v>166087.97856676951</v>
      </c>
      <c r="V95" s="768">
        <f t="shared" si="167"/>
        <v>166099.01699305038</v>
      </c>
      <c r="W95" s="768">
        <f t="shared" si="167"/>
        <v>2864827.0397568503</v>
      </c>
      <c r="X95" s="742"/>
      <c r="Y95" s="768">
        <f>SUM(Y6:Y58)</f>
        <v>3435094.8705858095</v>
      </c>
      <c r="Z95" s="768">
        <f>SUM(Z6:Z58)</f>
        <v>3527901.899756304</v>
      </c>
      <c r="AA95" s="768">
        <f>(Y95+W95)</f>
        <v>6299921.9103426598</v>
      </c>
      <c r="AB95" s="770">
        <f>+((Z95)-(Y95))/(Y95+W95)</f>
        <v>1.4731457070623698E-2</v>
      </c>
    </row>
    <row r="96" spans="1:30" ht="13.8" thickTop="1" x14ac:dyDescent="0.3">
      <c r="E96" s="757"/>
      <c r="F96" s="757"/>
      <c r="G96" s="757"/>
      <c r="H96" s="757"/>
      <c r="I96" s="757"/>
      <c r="J96" s="757"/>
      <c r="L96" s="757"/>
      <c r="M96" s="757"/>
      <c r="N96" s="757"/>
      <c r="O96" s="742"/>
      <c r="X96" s="742"/>
    </row>
    <row r="97" spans="1:28" x14ac:dyDescent="0.3">
      <c r="A97" s="771" t="s">
        <v>370</v>
      </c>
      <c r="E97" s="757"/>
      <c r="F97" s="757"/>
      <c r="G97" s="757"/>
      <c r="H97" s="757"/>
      <c r="I97" s="757"/>
      <c r="J97" s="757"/>
      <c r="L97" s="757"/>
      <c r="M97" s="757"/>
      <c r="N97" s="757"/>
      <c r="O97" s="742"/>
      <c r="X97" s="742"/>
    </row>
    <row r="98" spans="1:28" ht="8.25" customHeight="1" x14ac:dyDescent="0.3">
      <c r="E98" s="757"/>
      <c r="F98" s="757"/>
      <c r="G98" s="757"/>
      <c r="H98" s="757"/>
      <c r="I98" s="757"/>
      <c r="J98" s="757"/>
      <c r="L98" s="757"/>
      <c r="M98" s="757"/>
      <c r="N98" s="757"/>
      <c r="O98" s="742"/>
      <c r="X98" s="742"/>
    </row>
    <row r="99" spans="1:28" x14ac:dyDescent="0.3">
      <c r="A99" s="739" t="s">
        <v>346</v>
      </c>
      <c r="E99" s="757"/>
      <c r="F99" s="757"/>
      <c r="G99" s="757"/>
      <c r="H99" s="757"/>
      <c r="I99" s="757"/>
      <c r="J99" s="757"/>
      <c r="L99" s="757"/>
      <c r="M99" s="757"/>
      <c r="N99" s="757"/>
      <c r="O99" s="742"/>
      <c r="P99" s="762">
        <f>SUM(P6:P10)</f>
        <v>1092796.183278413</v>
      </c>
      <c r="Q99" s="762">
        <f t="shared" ref="Q99:W99" si="168">SUM(Q6:Q10)</f>
        <v>68706.728066227108</v>
      </c>
      <c r="R99" s="762">
        <f t="shared" si="168"/>
        <v>196959.2871231843</v>
      </c>
      <c r="S99" s="762">
        <f t="shared" si="168"/>
        <v>9577.3014880195333</v>
      </c>
      <c r="T99" s="762">
        <f t="shared" si="168"/>
        <v>49135.72067766542</v>
      </c>
      <c r="U99" s="762">
        <f t="shared" si="168"/>
        <v>106183.12519326004</v>
      </c>
      <c r="V99" s="762">
        <f t="shared" si="168"/>
        <v>105974.92298699875</v>
      </c>
      <c r="W99" s="762">
        <f t="shared" si="168"/>
        <v>1569478.3769936187</v>
      </c>
      <c r="X99" s="742"/>
      <c r="Y99" s="762">
        <f t="shared" ref="Y99:Z99" si="169">SUM(Y6:Y10)</f>
        <v>2242205.1568560041</v>
      </c>
      <c r="Z99" s="762">
        <f t="shared" si="169"/>
        <v>2299803.4301500805</v>
      </c>
      <c r="AA99" s="762">
        <f t="shared" ref="AA99:AA105" si="170">(Y99+W99)</f>
        <v>3811683.5338496231</v>
      </c>
      <c r="AB99" s="761">
        <f>+((Z99)-(Y99))/(Y99+$W$57)</f>
        <v>2.5456013411957686E-2</v>
      </c>
    </row>
    <row r="100" spans="1:28" x14ac:dyDescent="0.3">
      <c r="A100" s="739" t="s">
        <v>136</v>
      </c>
      <c r="E100" s="757"/>
      <c r="F100" s="757"/>
      <c r="G100" s="757"/>
      <c r="H100" s="757"/>
      <c r="I100" s="757"/>
      <c r="J100" s="757"/>
      <c r="L100" s="757"/>
      <c r="M100" s="757"/>
      <c r="N100" s="757"/>
      <c r="O100" s="742"/>
      <c r="P100" s="762">
        <f>SUM(P12:P22)</f>
        <v>115618.53806611088</v>
      </c>
      <c r="Q100" s="762">
        <f t="shared" ref="Q100:W100" si="171">SUM(Q12:Q22)</f>
        <v>6399.8287102919639</v>
      </c>
      <c r="R100" s="762">
        <f t="shared" si="171"/>
        <v>18007.942197265507</v>
      </c>
      <c r="S100" s="762">
        <f t="shared" si="171"/>
        <v>971.12937262918445</v>
      </c>
      <c r="T100" s="762">
        <f t="shared" si="171"/>
        <v>4501.9855493163768</v>
      </c>
      <c r="U100" s="762">
        <f t="shared" si="171"/>
        <v>10901.814259608342</v>
      </c>
      <c r="V100" s="762">
        <f t="shared" si="171"/>
        <v>9776.453813565473</v>
      </c>
      <c r="W100" s="762">
        <f t="shared" si="171"/>
        <v>166177.69196878769</v>
      </c>
      <c r="X100" s="742"/>
      <c r="Y100" s="762">
        <f t="shared" ref="Y100:Z100" si="172">SUM(Y12:Y22)</f>
        <v>199992.29389740311</v>
      </c>
      <c r="Z100" s="762">
        <f t="shared" si="172"/>
        <v>205905.79840415227</v>
      </c>
      <c r="AA100" s="762">
        <f t="shared" si="170"/>
        <v>366169.98586619081</v>
      </c>
      <c r="AB100" s="761">
        <f t="shared" ref="AB100:AB105" si="173">+((Z100)-(Y100))/(Y100+$W$57)</f>
        <v>2.6825189081588045E-2</v>
      </c>
    </row>
    <row r="101" spans="1:28" x14ac:dyDescent="0.3">
      <c r="A101" s="739" t="s">
        <v>137</v>
      </c>
      <c r="E101" s="757"/>
      <c r="F101" s="757"/>
      <c r="G101" s="757"/>
      <c r="H101" s="757"/>
      <c r="I101" s="757"/>
      <c r="J101" s="757"/>
      <c r="L101" s="757"/>
      <c r="M101" s="757"/>
      <c r="N101" s="757"/>
      <c r="O101" s="742"/>
      <c r="P101" s="762">
        <f>SUM(P24)</f>
        <v>10962.268050894616</v>
      </c>
      <c r="Q101" s="762">
        <f t="shared" ref="Q101:W101" si="174">SUM(Q24)</f>
        <v>474.25859492149385</v>
      </c>
      <c r="R101" s="762">
        <f t="shared" si="174"/>
        <v>1247.2792121944133</v>
      </c>
      <c r="S101" s="762">
        <f t="shared" si="174"/>
        <v>87.748286285034098</v>
      </c>
      <c r="T101" s="762">
        <f t="shared" si="174"/>
        <v>294.5835325283287</v>
      </c>
      <c r="U101" s="762">
        <f t="shared" si="174"/>
        <v>482.61557456768759</v>
      </c>
      <c r="V101" s="762">
        <f t="shared" si="174"/>
        <v>461.72312545220325</v>
      </c>
      <c r="W101" s="762">
        <f t="shared" si="174"/>
        <v>14010.476376843775</v>
      </c>
      <c r="X101" s="742"/>
      <c r="Y101" s="762">
        <f t="shared" ref="Y101:Z101" si="175">SUM(Y24)</f>
        <v>11991.78251042675</v>
      </c>
      <c r="Z101" s="762">
        <f t="shared" si="175"/>
        <v>12477.58858348337</v>
      </c>
      <c r="AA101" s="762">
        <f t="shared" si="170"/>
        <v>26002.258887270524</v>
      </c>
      <c r="AB101" s="761">
        <f t="shared" si="173"/>
        <v>1.49730123373419E-2</v>
      </c>
    </row>
    <row r="102" spans="1:28" x14ac:dyDescent="0.3">
      <c r="A102" s="739" t="s">
        <v>371</v>
      </c>
      <c r="E102" s="757"/>
      <c r="F102" s="757"/>
      <c r="G102" s="757"/>
      <c r="H102" s="757"/>
      <c r="I102" s="757"/>
      <c r="J102" s="757"/>
      <c r="L102" s="757"/>
      <c r="M102" s="757"/>
      <c r="N102" s="757"/>
      <c r="O102" s="742"/>
      <c r="P102" s="762">
        <f>SUM(P26:P37)+SUM(P59:P60)+SUM(P69:P71)+SUM(P73:P75)</f>
        <v>688941.35835639352</v>
      </c>
      <c r="Q102" s="762">
        <f t="shared" ref="Q102:W102" si="176">SUM(Q26:Q37)+SUM(Q59:Q60)+SUM(Q69:Q71)+SUM(Q73:Q75)</f>
        <v>30525.023571133428</v>
      </c>
      <c r="R102" s="762">
        <f t="shared" si="176"/>
        <v>83030.662003804056</v>
      </c>
      <c r="S102" s="762">
        <f t="shared" si="176"/>
        <v>5708.8537462538789</v>
      </c>
      <c r="T102" s="762">
        <f t="shared" si="176"/>
        <v>23330.253189118266</v>
      </c>
      <c r="U102" s="762">
        <f t="shared" si="176"/>
        <v>42960.761662711433</v>
      </c>
      <c r="V102" s="762">
        <f t="shared" si="176"/>
        <v>43627.691499035216</v>
      </c>
      <c r="W102" s="762">
        <f t="shared" si="176"/>
        <v>918124.60402844963</v>
      </c>
      <c r="X102" s="742"/>
      <c r="Y102" s="762">
        <f t="shared" ref="Y102:Z102" si="177">SUM(Y26:Y37)+SUM(Y59:Y60)+SUM(Y69:Y71)+SUM(Y73:Y75)</f>
        <v>854345.203261205</v>
      </c>
      <c r="Z102" s="762">
        <f t="shared" si="177"/>
        <v>878029.9759091005</v>
      </c>
      <c r="AA102" s="762">
        <f t="shared" si="170"/>
        <v>1772469.8072896546</v>
      </c>
      <c r="AB102" s="761">
        <f t="shared" si="173"/>
        <v>2.7074535107860301E-2</v>
      </c>
    </row>
    <row r="103" spans="1:28" x14ac:dyDescent="0.3">
      <c r="A103" s="739" t="s">
        <v>372</v>
      </c>
      <c r="E103" s="757"/>
      <c r="F103" s="757"/>
      <c r="G103" s="757"/>
      <c r="H103" s="757"/>
      <c r="I103" s="757"/>
      <c r="J103" s="757"/>
      <c r="L103" s="757"/>
      <c r="M103" s="757"/>
      <c r="N103" s="757"/>
      <c r="O103" s="742"/>
      <c r="P103" s="762">
        <f>SUM(P39:P43)+SUM(P65:P65)+SUM(P87:P89)+SUM(P91:P93)</f>
        <v>10828.514850087713</v>
      </c>
      <c r="Q103" s="762">
        <f t="shared" ref="Q103:W103" si="178">SUM(Q39:Q43)+SUM(Q65:Q65)+SUM(Q87:Q89)+SUM(Q91:Q93)</f>
        <v>301.63332474600827</v>
      </c>
      <c r="R103" s="762">
        <f t="shared" si="178"/>
        <v>800.63849049113946</v>
      </c>
      <c r="S103" s="762">
        <f t="shared" si="178"/>
        <v>85.856331370711473</v>
      </c>
      <c r="T103" s="762">
        <f t="shared" si="178"/>
        <v>249.19276751973479</v>
      </c>
      <c r="U103" s="762">
        <f t="shared" si="178"/>
        <v>510.81398609161897</v>
      </c>
      <c r="V103" s="762">
        <f t="shared" si="178"/>
        <v>682.66253981549562</v>
      </c>
      <c r="W103" s="762">
        <f t="shared" si="178"/>
        <v>13459.312290122423</v>
      </c>
      <c r="X103" s="742"/>
      <c r="Y103" s="762">
        <f t="shared" ref="Y103:Z103" si="179">SUM(Y39:Y43)+SUM(Y65:Y65)+SUM(Y87:Y89)+SUM(Y91:Y93)</f>
        <v>10781.608038520231</v>
      </c>
      <c r="Z103" s="762">
        <f t="shared" si="179"/>
        <v>11211.464915326695</v>
      </c>
      <c r="AA103" s="762">
        <f t="shared" si="170"/>
        <v>24240.920328642656</v>
      </c>
      <c r="AB103" s="761">
        <f t="shared" si="173"/>
        <v>1.376190590836128E-2</v>
      </c>
    </row>
    <row r="104" spans="1:28" x14ac:dyDescent="0.3">
      <c r="A104" s="739" t="s">
        <v>373</v>
      </c>
      <c r="E104" s="757"/>
      <c r="F104" s="757"/>
      <c r="G104" s="757"/>
      <c r="H104" s="757"/>
      <c r="I104" s="757"/>
      <c r="J104" s="757"/>
      <c r="L104" s="757"/>
      <c r="M104" s="757"/>
      <c r="N104" s="757"/>
      <c r="O104" s="742"/>
      <c r="P104" s="762">
        <f>SUM(P45:P55)+SUM(P62:P63)+SUM(P78:P80)+SUM(P82:P84)</f>
        <v>133355.29079475271</v>
      </c>
      <c r="Q104" s="762">
        <f t="shared" ref="Q104:W104" si="180">SUM(Q45:Q55)+SUM(Q62:Q63)+SUM(Q78:Q80)+SUM(Q82:Q84)</f>
        <v>4690.5115216381864</v>
      </c>
      <c r="R104" s="762">
        <f t="shared" si="180"/>
        <v>12337.334964477304</v>
      </c>
      <c r="S104" s="762">
        <f t="shared" si="180"/>
        <v>1064.9706988535927</v>
      </c>
      <c r="T104" s="762">
        <f t="shared" si="180"/>
        <v>3706.4981260396994</v>
      </c>
      <c r="U104" s="762">
        <f t="shared" si="180"/>
        <v>3802.651104195184</v>
      </c>
      <c r="V104" s="762">
        <f t="shared" si="180"/>
        <v>4165.6567444473758</v>
      </c>
      <c r="W104" s="762">
        <f t="shared" si="180"/>
        <v>163122.9139544041</v>
      </c>
      <c r="X104" s="742"/>
      <c r="Y104" s="762">
        <f t="shared" ref="Y104:Z104" si="181">SUM(Y45:Y55)+SUM(Y62:Y63)+SUM(Y78:Y80)+SUM(Y82:Y84)</f>
        <v>100848.03105497734</v>
      </c>
      <c r="Z104" s="762">
        <f t="shared" si="181"/>
        <v>104937.98781060688</v>
      </c>
      <c r="AA104" s="762">
        <f t="shared" si="170"/>
        <v>263970.94500938145</v>
      </c>
      <c r="AB104" s="761">
        <f t="shared" si="173"/>
        <v>3.3717226695798332E-2</v>
      </c>
    </row>
    <row r="105" spans="1:28" x14ac:dyDescent="0.3">
      <c r="A105" s="739" t="s">
        <v>274</v>
      </c>
      <c r="E105" s="757"/>
      <c r="F105" s="757"/>
      <c r="G105" s="757"/>
      <c r="H105" s="757"/>
      <c r="I105" s="757"/>
      <c r="J105" s="757"/>
      <c r="L105" s="757"/>
      <c r="M105" s="757"/>
      <c r="N105" s="757"/>
      <c r="O105" s="742"/>
      <c r="P105" s="762">
        <f>P57</f>
        <v>16304.129537039742</v>
      </c>
      <c r="Q105" s="762">
        <f t="shared" ref="Q105:W105" si="182">Q57</f>
        <v>390.89818767082988</v>
      </c>
      <c r="R105" s="762">
        <f t="shared" si="182"/>
        <v>791.81940579475793</v>
      </c>
      <c r="S105" s="762">
        <f t="shared" si="182"/>
        <v>123.61737558821115</v>
      </c>
      <c r="T105" s="762">
        <f t="shared" si="182"/>
        <v>187.09656845783309</v>
      </c>
      <c r="U105" s="762">
        <f t="shared" si="182"/>
        <v>1246.1967863352097</v>
      </c>
      <c r="V105" s="762">
        <f t="shared" si="182"/>
        <v>1409.9062837358135</v>
      </c>
      <c r="W105" s="762">
        <f t="shared" si="182"/>
        <v>20453.664144622402</v>
      </c>
      <c r="X105" s="742"/>
      <c r="Y105" s="762">
        <f t="shared" ref="Y105:Z105" si="183">Y57</f>
        <v>14930.794967272886</v>
      </c>
      <c r="Z105" s="762">
        <f t="shared" si="183"/>
        <v>15535.653983553464</v>
      </c>
      <c r="AA105" s="762">
        <f t="shared" si="170"/>
        <v>35384.459111895289</v>
      </c>
      <c r="AB105" s="761">
        <f t="shared" si="173"/>
        <v>1.7093917258077872E-2</v>
      </c>
    </row>
    <row r="106" spans="1:28" ht="6.75" customHeight="1" x14ac:dyDescent="0.3">
      <c r="E106" s="757"/>
      <c r="F106" s="757"/>
      <c r="G106" s="757"/>
      <c r="H106" s="757"/>
      <c r="I106" s="757"/>
      <c r="J106" s="757"/>
      <c r="L106" s="757"/>
      <c r="M106" s="757"/>
      <c r="N106" s="757"/>
      <c r="O106" s="742"/>
      <c r="X106" s="742"/>
      <c r="Y106" s="739"/>
      <c r="Z106" s="739"/>
      <c r="AA106" s="739"/>
      <c r="AB106" s="739"/>
    </row>
    <row r="107" spans="1:28" s="739" customFormat="1" ht="13.8" thickBot="1" x14ac:dyDescent="0.35">
      <c r="A107" s="1383" t="s">
        <v>374</v>
      </c>
      <c r="B107" s="1383"/>
      <c r="C107" s="772"/>
      <c r="D107" s="736"/>
      <c r="E107" s="773"/>
      <c r="F107" s="773"/>
      <c r="G107" s="773"/>
      <c r="H107" s="773"/>
      <c r="I107" s="773"/>
      <c r="J107" s="773"/>
      <c r="K107" s="737"/>
      <c r="L107" s="773"/>
      <c r="M107" s="773"/>
      <c r="N107" s="773"/>
      <c r="O107" s="742"/>
      <c r="P107" s="774">
        <f t="shared" ref="P107:W107" si="184">SUM(P99:P105)</f>
        <v>2068806.2829336922</v>
      </c>
      <c r="Q107" s="774">
        <f t="shared" si="184"/>
        <v>111488.88197662903</v>
      </c>
      <c r="R107" s="774">
        <f t="shared" si="184"/>
        <v>313174.96339721145</v>
      </c>
      <c r="S107" s="774">
        <f t="shared" si="184"/>
        <v>17619.477299000144</v>
      </c>
      <c r="T107" s="774">
        <f t="shared" si="184"/>
        <v>81405.330410645664</v>
      </c>
      <c r="U107" s="774">
        <f t="shared" ref="U107:V107" si="185">SUM(U99:U105)</f>
        <v>166087.97856676951</v>
      </c>
      <c r="V107" s="774">
        <f t="shared" si="185"/>
        <v>166099.01699305032</v>
      </c>
      <c r="W107" s="774">
        <f t="shared" si="184"/>
        <v>2864827.0397568489</v>
      </c>
      <c r="X107" s="742"/>
      <c r="Y107" s="774">
        <f>SUM(Y99:Y105)</f>
        <v>3435094.8705858095</v>
      </c>
      <c r="Z107" s="774">
        <f>SUM(Z99:Z105)</f>
        <v>3527901.899756304</v>
      </c>
      <c r="AA107" s="774">
        <f>(Y107+W107)</f>
        <v>6299921.9103426579</v>
      </c>
      <c r="AB107" s="770">
        <f>+((Z107)-(Y107))/(Y107+W107)</f>
        <v>1.4731457070623701E-2</v>
      </c>
    </row>
    <row r="108" spans="1:28" ht="13.8" thickTop="1" x14ac:dyDescent="0.3">
      <c r="E108" s="757"/>
      <c r="F108" s="757"/>
      <c r="G108" s="757"/>
      <c r="H108" s="757"/>
      <c r="I108" s="757"/>
      <c r="J108" s="757"/>
      <c r="L108" s="757"/>
      <c r="M108" s="757"/>
      <c r="N108" s="757"/>
      <c r="O108" s="742"/>
      <c r="X108" s="742"/>
    </row>
    <row r="109" spans="1:28" x14ac:dyDescent="0.3">
      <c r="J109" s="775"/>
      <c r="N109" s="775" t="s">
        <v>151</v>
      </c>
      <c r="O109" s="742"/>
      <c r="P109" s="762">
        <f t="shared" ref="P109:W109" si="186">P95-P107</f>
        <v>0</v>
      </c>
      <c r="Q109" s="762">
        <f t="shared" si="186"/>
        <v>0</v>
      </c>
      <c r="R109" s="762">
        <f t="shared" si="186"/>
        <v>0</v>
      </c>
      <c r="S109" s="762">
        <f t="shared" si="186"/>
        <v>0</v>
      </c>
      <c r="T109" s="762">
        <f t="shared" si="186"/>
        <v>0</v>
      </c>
      <c r="U109" s="762">
        <f t="shared" ref="U109:V109" si="187">U95-U107</f>
        <v>0</v>
      </c>
      <c r="V109" s="762">
        <f t="shared" si="187"/>
        <v>0</v>
      </c>
      <c r="W109" s="762">
        <f t="shared" si="186"/>
        <v>0</v>
      </c>
      <c r="X109" s="742"/>
      <c r="Y109" s="762">
        <f>Y95-Y107</f>
        <v>0</v>
      </c>
      <c r="Z109" s="762">
        <f>Z95-Z107</f>
        <v>0</v>
      </c>
      <c r="AA109" s="762"/>
      <c r="AB109" s="762">
        <f>AB95-AB107</f>
        <v>0</v>
      </c>
    </row>
    <row r="310" spans="9:13" x14ac:dyDescent="0.3">
      <c r="I310" s="737" t="s">
        <v>375</v>
      </c>
      <c r="M310" s="737" t="s">
        <v>375</v>
      </c>
    </row>
  </sheetData>
  <mergeCells count="2">
    <mergeCell ref="Y1:AB1"/>
    <mergeCell ref="A107:B107"/>
  </mergeCells>
  <printOptions horizontalCentered="1"/>
  <pageMargins left="0" right="0" top="0" bottom="0" header="0.5" footer="0"/>
  <pageSetup scale="15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04693-7493-4936-9633-A2B36FE491EB}">
  <sheetPr>
    <tabColor rgb="FFFFFF00"/>
    <pageSetUpPr fitToPage="1"/>
  </sheetPr>
  <dimension ref="A1:AE310"/>
  <sheetViews>
    <sheetView workbookViewId="0"/>
  </sheetViews>
  <sheetFormatPr defaultColWidth="11.44140625" defaultRowHeight="13.2" x14ac:dyDescent="0.3"/>
  <cols>
    <col min="1" max="1" width="11.44140625" style="739"/>
    <col min="2" max="2" width="19.109375" style="737" bestFit="1" customWidth="1"/>
    <col min="3" max="3" width="12" style="741" bestFit="1" customWidth="1"/>
    <col min="4" max="4" width="12" style="736" bestFit="1" customWidth="1"/>
    <col min="5" max="5" width="8.44140625" style="737" customWidth="1"/>
    <col min="6" max="6" width="9.5546875" style="737" customWidth="1"/>
    <col min="7" max="10" width="8.109375" style="737" customWidth="1"/>
    <col min="11" max="11" width="9.33203125" style="737" customWidth="1"/>
    <col min="12" max="14" width="8.109375" style="737" customWidth="1"/>
    <col min="15" max="15" width="2.88671875" style="737" customWidth="1"/>
    <col min="16" max="16" width="10.33203125" style="737" bestFit="1" customWidth="1"/>
    <col min="17" max="17" width="8.6640625" style="737" bestFit="1" customWidth="1"/>
    <col min="18" max="18" width="13.109375" style="737" bestFit="1" customWidth="1"/>
    <col min="19" max="19" width="8.33203125" style="737" bestFit="1" customWidth="1"/>
    <col min="20" max="20" width="9.6640625" style="737" customWidth="1"/>
    <col min="21" max="21" width="13.109375" style="737" bestFit="1" customWidth="1"/>
    <col min="22" max="22" width="8.6640625" style="737" bestFit="1" customWidth="1"/>
    <col min="23" max="23" width="11" style="739" bestFit="1" customWidth="1"/>
    <col min="24" max="24" width="2.88671875" style="737" customWidth="1"/>
    <col min="25" max="25" width="14.5546875" style="754" customWidth="1"/>
    <col min="26" max="28" width="13.6640625" style="754" customWidth="1"/>
    <col min="29" max="29" width="14.5546875" style="737" customWidth="1"/>
    <col min="30" max="30" width="7.109375" style="737" customWidth="1"/>
    <col min="31" max="16384" width="11.44140625" style="737"/>
  </cols>
  <sheetData>
    <row r="1" spans="1:31" x14ac:dyDescent="0.3">
      <c r="A1" s="736" t="s">
        <v>320</v>
      </c>
      <c r="C1" s="738" t="s">
        <v>321</v>
      </c>
      <c r="Y1" s="1381" t="s">
        <v>322</v>
      </c>
      <c r="Z1" s="1382"/>
      <c r="AA1" s="1382"/>
      <c r="AB1" s="1382"/>
      <c r="AC1" s="1382"/>
    </row>
    <row r="2" spans="1:31" x14ac:dyDescent="0.3">
      <c r="A2" s="740" t="s">
        <v>323</v>
      </c>
      <c r="O2" s="742"/>
      <c r="P2" s="743" t="s">
        <v>324</v>
      </c>
      <c r="Q2" s="743" t="s">
        <v>325</v>
      </c>
      <c r="R2" s="743" t="s">
        <v>326</v>
      </c>
      <c r="S2" s="743" t="s">
        <v>327</v>
      </c>
      <c r="T2" s="743" t="s">
        <v>328</v>
      </c>
      <c r="U2" s="743" t="s">
        <v>329</v>
      </c>
      <c r="V2" s="743" t="s">
        <v>330</v>
      </c>
      <c r="W2" s="743" t="s">
        <v>331</v>
      </c>
      <c r="X2" s="742"/>
      <c r="Y2" s="744" t="s">
        <v>145</v>
      </c>
      <c r="Z2" s="744" t="s">
        <v>145</v>
      </c>
      <c r="AA2" s="744" t="s">
        <v>121</v>
      </c>
      <c r="AB2" s="744" t="s">
        <v>121</v>
      </c>
      <c r="AC2" s="743" t="s">
        <v>332</v>
      </c>
    </row>
    <row r="3" spans="1:31" x14ac:dyDescent="0.3">
      <c r="C3" s="745" t="s">
        <v>333</v>
      </c>
      <c r="D3" s="745" t="s">
        <v>334</v>
      </c>
      <c r="E3" s="746" t="s">
        <v>335</v>
      </c>
      <c r="F3" s="746" t="s">
        <v>335</v>
      </c>
      <c r="G3" s="746" t="s">
        <v>336</v>
      </c>
      <c r="H3" s="746" t="s">
        <v>335</v>
      </c>
      <c r="I3" s="746" t="s">
        <v>336</v>
      </c>
      <c r="J3" s="746" t="s">
        <v>335</v>
      </c>
      <c r="K3" s="746" t="s">
        <v>335</v>
      </c>
      <c r="L3" s="746" t="s">
        <v>335</v>
      </c>
      <c r="M3" s="746" t="s">
        <v>336</v>
      </c>
      <c r="N3" s="746" t="s">
        <v>335</v>
      </c>
      <c r="O3" s="747"/>
      <c r="P3" s="743" t="s">
        <v>337</v>
      </c>
      <c r="Q3" s="743" t="s">
        <v>337</v>
      </c>
      <c r="R3" s="743" t="s">
        <v>337</v>
      </c>
      <c r="S3" s="743" t="s">
        <v>337</v>
      </c>
      <c r="T3" s="743" t="s">
        <v>338</v>
      </c>
      <c r="U3" s="743" t="s">
        <v>337</v>
      </c>
      <c r="V3" s="743" t="s">
        <v>337</v>
      </c>
      <c r="W3" s="743" t="s">
        <v>339</v>
      </c>
      <c r="X3" s="747"/>
      <c r="Y3" s="744" t="s">
        <v>340</v>
      </c>
      <c r="Z3" s="744" t="s">
        <v>340</v>
      </c>
      <c r="AA3" s="744" t="s">
        <v>340</v>
      </c>
      <c r="AB3" s="744" t="s">
        <v>340</v>
      </c>
      <c r="AC3" s="743" t="s">
        <v>341</v>
      </c>
    </row>
    <row r="4" spans="1:31" x14ac:dyDescent="0.3">
      <c r="C4" s="748" t="s">
        <v>342</v>
      </c>
      <c r="D4" s="748" t="s">
        <v>342</v>
      </c>
      <c r="E4" s="749" t="s">
        <v>324</v>
      </c>
      <c r="F4" s="750" t="s">
        <v>325</v>
      </c>
      <c r="G4" s="750" t="s">
        <v>325</v>
      </c>
      <c r="H4" s="750" t="s">
        <v>326</v>
      </c>
      <c r="I4" s="750" t="s">
        <v>326</v>
      </c>
      <c r="J4" s="750" t="s">
        <v>327</v>
      </c>
      <c r="K4" s="750" t="s">
        <v>328</v>
      </c>
      <c r="L4" s="750" t="s">
        <v>329</v>
      </c>
      <c r="M4" s="750" t="s">
        <v>329</v>
      </c>
      <c r="N4" s="750" t="s">
        <v>330</v>
      </c>
      <c r="O4" s="751"/>
      <c r="P4" s="749" t="s">
        <v>144</v>
      </c>
      <c r="Q4" s="749" t="s">
        <v>144</v>
      </c>
      <c r="R4" s="749" t="s">
        <v>144</v>
      </c>
      <c r="S4" s="749" t="s">
        <v>144</v>
      </c>
      <c r="T4" s="749"/>
      <c r="U4" s="749" t="s">
        <v>144</v>
      </c>
      <c r="V4" s="749" t="s">
        <v>144</v>
      </c>
      <c r="W4" s="749" t="s">
        <v>144</v>
      </c>
      <c r="X4" s="751"/>
      <c r="Y4" s="752" t="s">
        <v>343</v>
      </c>
      <c r="Z4" s="752" t="s">
        <v>344</v>
      </c>
      <c r="AA4" s="752" t="s">
        <v>343</v>
      </c>
      <c r="AB4" s="752" t="s">
        <v>344</v>
      </c>
      <c r="AC4" s="749" t="s">
        <v>345</v>
      </c>
    </row>
    <row r="5" spans="1:31" x14ac:dyDescent="0.3">
      <c r="A5" s="739" t="s">
        <v>346</v>
      </c>
      <c r="B5" s="737" t="s">
        <v>347</v>
      </c>
      <c r="H5" s="753"/>
      <c r="I5" s="753"/>
      <c r="L5" s="753"/>
      <c r="M5" s="753"/>
      <c r="O5" s="742"/>
      <c r="X5" s="742"/>
    </row>
    <row r="6" spans="1:31" x14ac:dyDescent="0.3">
      <c r="B6" s="755" t="s">
        <v>348</v>
      </c>
      <c r="C6" s="756">
        <f>SUM('MFR E-13c'!J26+'MFR E-13c'!J31)</f>
        <v>14946335.265957752</v>
      </c>
      <c r="D6" s="737"/>
      <c r="E6" s="757">
        <f>+'BA-1 Rates Forecast'!C9</f>
        <v>3.7010000000000001</v>
      </c>
      <c r="F6" s="757">
        <f>+'BA-1 Rates Forecast'!G8</f>
        <v>0.33</v>
      </c>
      <c r="G6" s="845">
        <f>+'BA-1 Rates Forecast'!H8</f>
        <v>0</v>
      </c>
      <c r="H6" s="757">
        <f>+'BA-1 Rates Forecast'!I8</f>
        <v>0.41099999999999998</v>
      </c>
      <c r="I6" s="845">
        <f>+'BA-1 Rates Forecast'!J8</f>
        <v>0</v>
      </c>
      <c r="J6" s="757">
        <f>+'BA-1 Rates Forecast'!K8</f>
        <v>4.5999999999999999E-2</v>
      </c>
      <c r="K6" s="757">
        <f>+'BA-1 Rates Forecast'!L8</f>
        <v>0.23599999999999999</v>
      </c>
      <c r="L6" s="757">
        <f>+'BA-1 Rates Forecast'!M8</f>
        <v>0.85599999999999998</v>
      </c>
      <c r="M6" s="845">
        <f>+'BA-1 Rates Forecast'!N8</f>
        <v>0</v>
      </c>
      <c r="N6" s="757">
        <f>+'BA-1 Rates Forecast'!O8</f>
        <v>0</v>
      </c>
      <c r="O6" s="758"/>
      <c r="P6" s="759">
        <f>C6*E6/100</f>
        <v>553163.86819309648</v>
      </c>
      <c r="Q6" s="759">
        <f>C6*F6/100</f>
        <v>49322.906377660584</v>
      </c>
      <c r="R6" s="759">
        <f>C6*H6/100</f>
        <v>61429.437943086356</v>
      </c>
      <c r="S6" s="759">
        <f>C6*J6/100</f>
        <v>6875.3142223405666</v>
      </c>
      <c r="T6" s="759">
        <f>C6*K6/100</f>
        <v>35273.351227660292</v>
      </c>
      <c r="U6" s="759">
        <f>C6*L6/100</f>
        <v>127940.62987659837</v>
      </c>
      <c r="V6" s="759">
        <f>C6*N6/100</f>
        <v>0</v>
      </c>
      <c r="W6" s="760">
        <f>SUM(P6:V6)</f>
        <v>834005.5078404427</v>
      </c>
      <c r="X6" s="758"/>
    </row>
    <row r="7" spans="1:31" x14ac:dyDescent="0.3">
      <c r="B7" s="755" t="s">
        <v>349</v>
      </c>
      <c r="C7" s="756">
        <f>SUM('MFR E-13c'!J27+'MFR E-13c'!J32)</f>
        <v>5870584.6471353546</v>
      </c>
      <c r="D7" s="737"/>
      <c r="E7" s="757">
        <f>+'BA-1 Rates Forecast'!C10</f>
        <v>4.7709999999999999</v>
      </c>
      <c r="F7" s="757">
        <f t="shared" ref="F7:N7" si="0">+F6</f>
        <v>0.33</v>
      </c>
      <c r="G7" s="845">
        <f t="shared" si="0"/>
        <v>0</v>
      </c>
      <c r="H7" s="757">
        <f t="shared" si="0"/>
        <v>0.41099999999999998</v>
      </c>
      <c r="I7" s="845">
        <f t="shared" si="0"/>
        <v>0</v>
      </c>
      <c r="J7" s="757">
        <f t="shared" si="0"/>
        <v>4.5999999999999999E-2</v>
      </c>
      <c r="K7" s="757">
        <f t="shared" si="0"/>
        <v>0.23599999999999999</v>
      </c>
      <c r="L7" s="757">
        <f t="shared" si="0"/>
        <v>0.85599999999999998</v>
      </c>
      <c r="M7" s="845">
        <f t="shared" si="0"/>
        <v>0</v>
      </c>
      <c r="N7" s="757">
        <f t="shared" si="0"/>
        <v>0</v>
      </c>
      <c r="O7" s="758"/>
      <c r="P7" s="759">
        <f>C7*E7/100</f>
        <v>280085.59351482778</v>
      </c>
      <c r="Q7" s="759">
        <f>C7*F7/100</f>
        <v>19372.929335546669</v>
      </c>
      <c r="R7" s="759">
        <f>C7*H7/100</f>
        <v>24128.102899726309</v>
      </c>
      <c r="S7" s="759">
        <f>C7*J7/100</f>
        <v>2700.468937682263</v>
      </c>
      <c r="T7" s="759">
        <f>C7*K7/100</f>
        <v>13854.579767239436</v>
      </c>
      <c r="U7" s="759">
        <f t="shared" ref="U7:U10" si="1">C7*L7/100</f>
        <v>50252.204579478632</v>
      </c>
      <c r="V7" s="759">
        <f t="shared" ref="V7:V10" si="2">C7*N7/100</f>
        <v>0</v>
      </c>
      <c r="W7" s="760">
        <f>SUM(P7:T7)</f>
        <v>340141.6744550225</v>
      </c>
      <c r="X7" s="758"/>
    </row>
    <row r="8" spans="1:31" x14ac:dyDescent="0.3">
      <c r="B8" s="737" t="s">
        <v>350</v>
      </c>
      <c r="C8" s="756">
        <f>'MFR E-13c'!J37</f>
        <v>329.67553653305612</v>
      </c>
      <c r="D8" s="737"/>
      <c r="E8" s="757">
        <f>+'BA-1 Rates Forecast'!D8</f>
        <v>4.5030000000000001</v>
      </c>
      <c r="F8" s="757">
        <f t="shared" ref="F8:N8" si="3">+F6</f>
        <v>0.33</v>
      </c>
      <c r="G8" s="845">
        <f t="shared" si="3"/>
        <v>0</v>
      </c>
      <c r="H8" s="757">
        <f t="shared" si="3"/>
        <v>0.41099999999999998</v>
      </c>
      <c r="I8" s="845">
        <f t="shared" si="3"/>
        <v>0</v>
      </c>
      <c r="J8" s="757">
        <f t="shared" si="3"/>
        <v>4.5999999999999999E-2</v>
      </c>
      <c r="K8" s="757">
        <f t="shared" si="3"/>
        <v>0.23599999999999999</v>
      </c>
      <c r="L8" s="757">
        <f t="shared" si="3"/>
        <v>0.85599999999999998</v>
      </c>
      <c r="M8" s="845">
        <f t="shared" si="3"/>
        <v>0</v>
      </c>
      <c r="N8" s="757">
        <f t="shared" si="3"/>
        <v>0</v>
      </c>
      <c r="O8" s="758"/>
      <c r="P8" s="759">
        <f>C8*E8/100</f>
        <v>14.845289410083517</v>
      </c>
      <c r="Q8" s="759">
        <f>C8*F8/100</f>
        <v>1.0879292705590853</v>
      </c>
      <c r="R8" s="759">
        <f>C8*H8/100</f>
        <v>1.3549664551508604</v>
      </c>
      <c r="S8" s="759">
        <f>C8*J8/100</f>
        <v>0.15165074680520582</v>
      </c>
      <c r="T8" s="759">
        <f>C8*K8/100</f>
        <v>0.77803426621801242</v>
      </c>
      <c r="U8" s="759">
        <f t="shared" si="1"/>
        <v>2.8220225927229605</v>
      </c>
      <c r="V8" s="759">
        <f t="shared" si="2"/>
        <v>0</v>
      </c>
      <c r="W8" s="760">
        <f>SUM(P8:T8)</f>
        <v>18.217870148816679</v>
      </c>
      <c r="X8" s="758"/>
    </row>
    <row r="9" spans="1:31" x14ac:dyDescent="0.3">
      <c r="B9" s="737" t="s">
        <v>351</v>
      </c>
      <c r="C9" s="756">
        <f>'MFR E-13c'!J38</f>
        <v>2247.6389455353169</v>
      </c>
      <c r="D9" s="737"/>
      <c r="E9" s="757">
        <f>+'BA-1 Rates Forecast'!E8</f>
        <v>3.9750000000000001</v>
      </c>
      <c r="F9" s="757">
        <f t="shared" ref="F9:N10" si="4">+F6</f>
        <v>0.33</v>
      </c>
      <c r="G9" s="845">
        <f t="shared" si="4"/>
        <v>0</v>
      </c>
      <c r="H9" s="757">
        <f t="shared" si="4"/>
        <v>0.41099999999999998</v>
      </c>
      <c r="I9" s="845">
        <f t="shared" si="4"/>
        <v>0</v>
      </c>
      <c r="J9" s="757">
        <f t="shared" si="4"/>
        <v>4.5999999999999999E-2</v>
      </c>
      <c r="K9" s="757">
        <f t="shared" si="4"/>
        <v>0.23599999999999999</v>
      </c>
      <c r="L9" s="757">
        <f t="shared" si="4"/>
        <v>0.85599999999999998</v>
      </c>
      <c r="M9" s="845">
        <f t="shared" si="4"/>
        <v>0</v>
      </c>
      <c r="N9" s="757">
        <f t="shared" si="4"/>
        <v>0</v>
      </c>
      <c r="O9" s="758"/>
      <c r="P9" s="759">
        <f>C9*E9/100</f>
        <v>89.34364808502886</v>
      </c>
      <c r="Q9" s="759">
        <f>C9*F9/100</f>
        <v>7.4172085202665459</v>
      </c>
      <c r="R9" s="759">
        <f>C9*H9/100</f>
        <v>9.2377960661501515</v>
      </c>
      <c r="S9" s="759">
        <f>C9*J9/100</f>
        <v>1.0339139149462457</v>
      </c>
      <c r="T9" s="759">
        <f>C9*K9/100</f>
        <v>5.3044279114633479</v>
      </c>
      <c r="U9" s="759">
        <f t="shared" si="1"/>
        <v>19.239789373782312</v>
      </c>
      <c r="V9" s="759">
        <f t="shared" si="2"/>
        <v>0</v>
      </c>
      <c r="W9" s="760">
        <f>SUM(P9:T9)</f>
        <v>112.33699449785514</v>
      </c>
      <c r="X9" s="758"/>
      <c r="AC9" s="761"/>
      <c r="AE9" s="762"/>
    </row>
    <row r="10" spans="1:31" x14ac:dyDescent="0.3">
      <c r="B10" s="737" t="s">
        <v>352</v>
      </c>
      <c r="C10" s="756">
        <f>'MFR E-13c'!J39</f>
        <v>723.39855424550785</v>
      </c>
      <c r="D10" s="737"/>
      <c r="E10" s="757">
        <f>+'BA-1 Rates Forecast'!F8</f>
        <v>3.6429999999999998</v>
      </c>
      <c r="F10" s="757">
        <f t="shared" si="4"/>
        <v>0.33</v>
      </c>
      <c r="G10" s="845">
        <f t="shared" si="4"/>
        <v>0</v>
      </c>
      <c r="H10" s="757">
        <f t="shared" si="4"/>
        <v>0.41099999999999998</v>
      </c>
      <c r="I10" s="845">
        <f t="shared" si="4"/>
        <v>0</v>
      </c>
      <c r="J10" s="757">
        <f t="shared" si="4"/>
        <v>4.5999999999999999E-2</v>
      </c>
      <c r="K10" s="757">
        <f t="shared" si="4"/>
        <v>0.23599999999999999</v>
      </c>
      <c r="L10" s="757">
        <f t="shared" si="4"/>
        <v>0.85599999999999998</v>
      </c>
      <c r="M10" s="845">
        <f t="shared" si="4"/>
        <v>0</v>
      </c>
      <c r="N10" s="757">
        <f t="shared" si="4"/>
        <v>0</v>
      </c>
      <c r="O10" s="758"/>
      <c r="P10" s="759">
        <f>C10*E10/100</f>
        <v>26.353409331163849</v>
      </c>
      <c r="Q10" s="759">
        <f>C10*F10/100</f>
        <v>2.387215229010176</v>
      </c>
      <c r="R10" s="759">
        <f>C10*H10/100</f>
        <v>2.9731680579490369</v>
      </c>
      <c r="S10" s="759">
        <f>C10*J10/100</f>
        <v>0.33276333495293359</v>
      </c>
      <c r="T10" s="759">
        <f>C10*K10/100</f>
        <v>1.7072205880193985</v>
      </c>
      <c r="U10" s="759">
        <f t="shared" si="1"/>
        <v>6.1922916243415465</v>
      </c>
      <c r="V10" s="759">
        <f t="shared" si="2"/>
        <v>0</v>
      </c>
      <c r="W10" s="760">
        <f>SUM(P10:T10)</f>
        <v>33.753776541095398</v>
      </c>
      <c r="X10" s="758"/>
      <c r="Y10" s="741">
        <f>'MFR E-13a'!H18</f>
        <v>2242205.1568560041</v>
      </c>
      <c r="Z10" s="741">
        <f>'MFR E-13a'!L18</f>
        <v>2299803.4301500805</v>
      </c>
      <c r="AA10" s="741">
        <f>(Y10+$W$6+$W$7+$W$8+$W$9+$W$10)</f>
        <v>3416516.6477926569</v>
      </c>
      <c r="AB10" s="741">
        <f>(Z10+$W$6+$W$7+$W$8+$W$9+$W$10)</f>
        <v>3474114.9210867332</v>
      </c>
      <c r="AC10" s="1242">
        <f>+((AB10)-(AA10))/(AA10)</f>
        <v>1.6858771442337158E-2</v>
      </c>
      <c r="AE10" s="762" t="s">
        <v>319</v>
      </c>
    </row>
    <row r="11" spans="1:31" x14ac:dyDescent="0.3">
      <c r="C11" s="756"/>
      <c r="D11" s="737"/>
      <c r="E11" s="757"/>
      <c r="F11" s="757"/>
      <c r="G11" s="845"/>
      <c r="H11" s="757"/>
      <c r="I11" s="845"/>
      <c r="J11" s="757"/>
      <c r="K11" s="757"/>
      <c r="L11" s="757"/>
      <c r="M11" s="845"/>
      <c r="N11" s="757"/>
      <c r="O11" s="758"/>
      <c r="X11" s="758"/>
    </row>
    <row r="12" spans="1:31" x14ac:dyDescent="0.3">
      <c r="A12" s="739" t="s">
        <v>136</v>
      </c>
      <c r="B12" s="737" t="s">
        <v>347</v>
      </c>
      <c r="C12" s="756">
        <f>'MFR E-13c'!J84</f>
        <v>2051871.7093230446</v>
      </c>
      <c r="D12" s="737"/>
      <c r="E12" s="757">
        <f>+'BA-1 Rates Forecast'!C13</f>
        <v>3.9990000000000001</v>
      </c>
      <c r="F12" s="757">
        <f>+'BA-1 Rates Forecast'!G13</f>
        <v>0.28999999999999998</v>
      </c>
      <c r="G12" s="845">
        <f>+'BA-1 Rates Forecast'!H13</f>
        <v>0</v>
      </c>
      <c r="H12" s="757">
        <f>+'BA-1 Rates Forecast'!I13</f>
        <v>0.35899999999999999</v>
      </c>
      <c r="I12" s="845">
        <f>+'BA-1 Rates Forecast'!J13</f>
        <v>0</v>
      </c>
      <c r="J12" s="757">
        <f>+'BA-1 Rates Forecast'!K13</f>
        <v>4.3999999999999997E-2</v>
      </c>
      <c r="K12" s="757">
        <f>+'BA-1 Rates Forecast'!L13</f>
        <v>0.20399999999999999</v>
      </c>
      <c r="L12" s="757">
        <f>+'BA-1 Rates Forecast'!M13</f>
        <v>0.83199999999999996</v>
      </c>
      <c r="M12" s="845">
        <f>+'BA-1 Rates Forecast'!N13</f>
        <v>0</v>
      </c>
      <c r="N12" s="757">
        <f>+'BA-1 Rates Forecast'!O13</f>
        <v>0</v>
      </c>
      <c r="O12" s="758"/>
      <c r="P12" s="759">
        <f t="shared" ref="P12:P22" si="5">C12*E12/100</f>
        <v>82054.349655828555</v>
      </c>
      <c r="Q12" s="759">
        <f t="shared" ref="Q12:Q22" si="6">C12*F12/100</f>
        <v>5950.427957036829</v>
      </c>
      <c r="R12" s="759">
        <f t="shared" ref="R12:R22" si="7">C12*H12/100</f>
        <v>7366.2194364697298</v>
      </c>
      <c r="S12" s="759">
        <f t="shared" ref="S12:S22" si="8">C12*J12/100</f>
        <v>902.82355210213962</v>
      </c>
      <c r="T12" s="759">
        <f t="shared" ref="T12:T22" si="9">C12*K12/100</f>
        <v>4185.8182870190103</v>
      </c>
      <c r="U12" s="759">
        <f t="shared" ref="U12:U22" si="10">C12*L12/100</f>
        <v>17071.572621567731</v>
      </c>
      <c r="V12" s="759">
        <f t="shared" ref="V12:V22" si="11">C12*N12/100</f>
        <v>0</v>
      </c>
      <c r="W12" s="760">
        <f>SUM(P12:V12)</f>
        <v>117531.21151002399</v>
      </c>
      <c r="X12" s="758"/>
    </row>
    <row r="13" spans="1:31" x14ac:dyDescent="0.3">
      <c r="B13" s="737" t="s">
        <v>350</v>
      </c>
      <c r="C13" s="756">
        <f>'MFR E-13c'!J89</f>
        <v>15146.948498393165</v>
      </c>
      <c r="D13" s="737"/>
      <c r="E13" s="757">
        <f>+'BA-1 Rates Forecast'!D13</f>
        <v>4.5030000000000001</v>
      </c>
      <c r="F13" s="757">
        <f t="shared" ref="F13:N13" si="12">+F12</f>
        <v>0.28999999999999998</v>
      </c>
      <c r="G13" s="845">
        <f t="shared" si="12"/>
        <v>0</v>
      </c>
      <c r="H13" s="757">
        <f t="shared" si="12"/>
        <v>0.35899999999999999</v>
      </c>
      <c r="I13" s="845">
        <f t="shared" si="12"/>
        <v>0</v>
      </c>
      <c r="J13" s="757">
        <f t="shared" si="12"/>
        <v>4.3999999999999997E-2</v>
      </c>
      <c r="K13" s="757">
        <f t="shared" si="12"/>
        <v>0.20399999999999999</v>
      </c>
      <c r="L13" s="757">
        <f t="shared" si="12"/>
        <v>0.83199999999999996</v>
      </c>
      <c r="M13" s="845">
        <f t="shared" si="12"/>
        <v>0</v>
      </c>
      <c r="N13" s="757">
        <f t="shared" si="12"/>
        <v>0</v>
      </c>
      <c r="O13" s="758"/>
      <c r="P13" s="759">
        <f t="shared" si="5"/>
        <v>682.06709088264427</v>
      </c>
      <c r="Q13" s="759">
        <f t="shared" si="6"/>
        <v>43.926150645340179</v>
      </c>
      <c r="R13" s="759">
        <f t="shared" si="7"/>
        <v>54.377545109231463</v>
      </c>
      <c r="S13" s="759">
        <f t="shared" si="8"/>
        <v>6.664657339292992</v>
      </c>
      <c r="T13" s="759">
        <f t="shared" si="9"/>
        <v>30.899774936722057</v>
      </c>
      <c r="U13" s="759">
        <f t="shared" si="10"/>
        <v>126.02261150663112</v>
      </c>
      <c r="V13" s="759">
        <f t="shared" si="11"/>
        <v>0</v>
      </c>
      <c r="W13" s="760">
        <f t="shared" ref="W13:W22" si="13">SUM(P13:V13)</f>
        <v>943.95783041986215</v>
      </c>
      <c r="X13" s="758"/>
    </row>
    <row r="14" spans="1:31" x14ac:dyDescent="0.3">
      <c r="B14" s="737" t="s">
        <v>351</v>
      </c>
      <c r="C14" s="756">
        <f>'MFR E-13c'!J90</f>
        <v>82535.281525311584</v>
      </c>
      <c r="D14" s="737"/>
      <c r="E14" s="757">
        <f>+'BA-1 Rates Forecast'!E13</f>
        <v>3.9750000000000001</v>
      </c>
      <c r="F14" s="757">
        <f t="shared" ref="F14:N15" si="14">+F12</f>
        <v>0.28999999999999998</v>
      </c>
      <c r="G14" s="845">
        <f t="shared" si="14"/>
        <v>0</v>
      </c>
      <c r="H14" s="757">
        <f t="shared" si="14"/>
        <v>0.35899999999999999</v>
      </c>
      <c r="I14" s="845">
        <f t="shared" si="14"/>
        <v>0</v>
      </c>
      <c r="J14" s="757">
        <f t="shared" si="14"/>
        <v>4.3999999999999997E-2</v>
      </c>
      <c r="K14" s="757">
        <f t="shared" si="14"/>
        <v>0.20399999999999999</v>
      </c>
      <c r="L14" s="757">
        <f t="shared" si="14"/>
        <v>0.83199999999999996</v>
      </c>
      <c r="M14" s="845">
        <f t="shared" si="14"/>
        <v>0</v>
      </c>
      <c r="N14" s="757">
        <f t="shared" si="14"/>
        <v>0</v>
      </c>
      <c r="O14" s="758"/>
      <c r="P14" s="759">
        <f t="shared" si="5"/>
        <v>3280.777440631136</v>
      </c>
      <c r="Q14" s="759">
        <f t="shared" si="6"/>
        <v>239.35231642340358</v>
      </c>
      <c r="R14" s="759">
        <f t="shared" si="7"/>
        <v>296.30166067586856</v>
      </c>
      <c r="S14" s="759">
        <f t="shared" si="8"/>
        <v>36.315523871137096</v>
      </c>
      <c r="T14" s="759">
        <f t="shared" si="9"/>
        <v>168.3719743116356</v>
      </c>
      <c r="U14" s="759">
        <f t="shared" si="10"/>
        <v>686.69354229059229</v>
      </c>
      <c r="V14" s="759">
        <f t="shared" si="11"/>
        <v>0</v>
      </c>
      <c r="W14" s="760">
        <f t="shared" si="13"/>
        <v>4707.8124582037726</v>
      </c>
      <c r="X14" s="758"/>
    </row>
    <row r="15" spans="1:31" x14ac:dyDescent="0.3">
      <c r="B15" s="737" t="s">
        <v>352</v>
      </c>
      <c r="C15" s="756">
        <f>'MFR E-13c'!J91</f>
        <v>27236.38912587093</v>
      </c>
      <c r="D15" s="737"/>
      <c r="E15" s="757">
        <f>+'BA-1 Rates Forecast'!F13</f>
        <v>3.6429999999999998</v>
      </c>
      <c r="F15" s="757">
        <f t="shared" si="14"/>
        <v>0.28999999999999998</v>
      </c>
      <c r="G15" s="845">
        <f t="shared" si="14"/>
        <v>0</v>
      </c>
      <c r="H15" s="757">
        <f t="shared" si="14"/>
        <v>0.35899999999999999</v>
      </c>
      <c r="I15" s="845">
        <f t="shared" si="14"/>
        <v>0</v>
      </c>
      <c r="J15" s="757">
        <f t="shared" si="14"/>
        <v>4.3999999999999997E-2</v>
      </c>
      <c r="K15" s="757">
        <f t="shared" si="14"/>
        <v>0.20399999999999999</v>
      </c>
      <c r="L15" s="757">
        <f t="shared" si="14"/>
        <v>0.83199999999999996</v>
      </c>
      <c r="M15" s="845">
        <f t="shared" si="14"/>
        <v>0</v>
      </c>
      <c r="N15" s="757">
        <f t="shared" si="14"/>
        <v>0</v>
      </c>
      <c r="O15" s="758"/>
      <c r="P15" s="759">
        <f t="shared" si="5"/>
        <v>992.22165585547782</v>
      </c>
      <c r="Q15" s="759">
        <f t="shared" si="6"/>
        <v>78.985528465025695</v>
      </c>
      <c r="R15" s="759">
        <f t="shared" si="7"/>
        <v>97.778636961876643</v>
      </c>
      <c r="S15" s="759">
        <f t="shared" si="8"/>
        <v>11.984011215383209</v>
      </c>
      <c r="T15" s="759">
        <f t="shared" si="9"/>
        <v>55.562233816776697</v>
      </c>
      <c r="U15" s="759">
        <f t="shared" si="10"/>
        <v>226.60675752724612</v>
      </c>
      <c r="V15" s="759">
        <f t="shared" si="11"/>
        <v>0</v>
      </c>
      <c r="W15" s="760">
        <f t="shared" si="13"/>
        <v>1463.138823841786</v>
      </c>
      <c r="X15" s="758"/>
    </row>
    <row r="16" spans="1:31" x14ac:dyDescent="0.3">
      <c r="B16" s="737" t="s">
        <v>353</v>
      </c>
      <c r="C16" s="756">
        <f>'MFR E-13c'!J85</f>
        <v>15593.067718822966</v>
      </c>
      <c r="D16" s="737"/>
      <c r="E16" s="757">
        <f>+'BA-1 Rates Forecast'!C14</f>
        <v>3.9590000000000001</v>
      </c>
      <c r="F16" s="757">
        <f>+'BA-1 Rates Forecast'!G14</f>
        <v>0.28699999999999998</v>
      </c>
      <c r="G16" s="845">
        <f>+'BA-1 Rates Forecast'!H14</f>
        <v>0</v>
      </c>
      <c r="H16" s="757">
        <f>+'BA-1 Rates Forecast'!I14</f>
        <v>0.35499999999999998</v>
      </c>
      <c r="I16" s="845">
        <f>+'BA-1 Rates Forecast'!J14</f>
        <v>0</v>
      </c>
      <c r="J16" s="757">
        <f>+'BA-1 Rates Forecast'!K14</f>
        <v>4.3999999999999997E-2</v>
      </c>
      <c r="K16" s="757">
        <f>+'BA-1 Rates Forecast'!L14</f>
        <v>0.20200000000000001</v>
      </c>
      <c r="L16" s="757">
        <f>+'BA-1 Rates Forecast'!M14</f>
        <v>0.82399999999999995</v>
      </c>
      <c r="M16" s="845">
        <f>+'BA-1 Rates Forecast'!N14</f>
        <v>0</v>
      </c>
      <c r="N16" s="757">
        <f>+'BA-1 Rates Forecast'!O14</f>
        <v>0</v>
      </c>
      <c r="O16" s="758"/>
      <c r="P16" s="759">
        <f t="shared" si="5"/>
        <v>617.32955098820128</v>
      </c>
      <c r="Q16" s="759">
        <f t="shared" si="6"/>
        <v>44.752104353021906</v>
      </c>
      <c r="R16" s="759">
        <f t="shared" si="7"/>
        <v>55.355390401821523</v>
      </c>
      <c r="S16" s="759">
        <f t="shared" si="8"/>
        <v>6.8609497962821049</v>
      </c>
      <c r="T16" s="759">
        <f t="shared" si="9"/>
        <v>31.497996792022391</v>
      </c>
      <c r="U16" s="759">
        <f t="shared" si="10"/>
        <v>128.48687800310122</v>
      </c>
      <c r="V16" s="759">
        <f t="shared" si="11"/>
        <v>0</v>
      </c>
      <c r="W16" s="760">
        <f t="shared" si="13"/>
        <v>884.28287033445031</v>
      </c>
      <c r="X16" s="758"/>
    </row>
    <row r="17" spans="1:29" x14ac:dyDescent="0.3">
      <c r="B17" s="737" t="s">
        <v>354</v>
      </c>
      <c r="C17" s="756">
        <f>'MFR E-13c'!J93</f>
        <v>1243.6143765061483</v>
      </c>
      <c r="D17" s="737"/>
      <c r="E17" s="757">
        <f>+'BA-1 Rates Forecast'!D14</f>
        <v>4.4580000000000002</v>
      </c>
      <c r="F17" s="757">
        <f t="shared" ref="F17:N17" si="15">+F16</f>
        <v>0.28699999999999998</v>
      </c>
      <c r="G17" s="845">
        <f t="shared" si="15"/>
        <v>0</v>
      </c>
      <c r="H17" s="757">
        <f t="shared" si="15"/>
        <v>0.35499999999999998</v>
      </c>
      <c r="I17" s="845">
        <f t="shared" si="15"/>
        <v>0</v>
      </c>
      <c r="J17" s="757">
        <f t="shared" si="15"/>
        <v>4.3999999999999997E-2</v>
      </c>
      <c r="K17" s="757">
        <f t="shared" si="15"/>
        <v>0.20200000000000001</v>
      </c>
      <c r="L17" s="757">
        <f t="shared" si="15"/>
        <v>0.82399999999999995</v>
      </c>
      <c r="M17" s="845">
        <f t="shared" si="15"/>
        <v>0</v>
      </c>
      <c r="N17" s="757">
        <f t="shared" si="15"/>
        <v>0</v>
      </c>
      <c r="O17" s="758"/>
      <c r="P17" s="759">
        <f t="shared" si="5"/>
        <v>55.44032890464409</v>
      </c>
      <c r="Q17" s="759">
        <f t="shared" si="6"/>
        <v>3.5691732605726458</v>
      </c>
      <c r="R17" s="759">
        <f t="shared" si="7"/>
        <v>4.4148310365968264</v>
      </c>
      <c r="S17" s="759">
        <f t="shared" si="8"/>
        <v>0.5471903256627052</v>
      </c>
      <c r="T17" s="759">
        <f t="shared" si="9"/>
        <v>2.51210104054242</v>
      </c>
      <c r="U17" s="759">
        <f t="shared" si="10"/>
        <v>10.247382462410663</v>
      </c>
      <c r="V17" s="759">
        <f t="shared" si="11"/>
        <v>0</v>
      </c>
      <c r="W17" s="760">
        <f t="shared" si="13"/>
        <v>76.731007030429367</v>
      </c>
      <c r="X17" s="758"/>
    </row>
    <row r="18" spans="1:29" x14ac:dyDescent="0.3">
      <c r="B18" s="737" t="s">
        <v>355</v>
      </c>
      <c r="C18" s="756">
        <f>'MFR E-13c'!J94</f>
        <v>8759.014502965565</v>
      </c>
      <c r="D18" s="737"/>
      <c r="E18" s="757">
        <f>+'BA-1 Rates Forecast'!E14</f>
        <v>3.9350000000000001</v>
      </c>
      <c r="F18" s="757">
        <f t="shared" ref="F18:N19" si="16">+F16</f>
        <v>0.28699999999999998</v>
      </c>
      <c r="G18" s="845">
        <f t="shared" si="16"/>
        <v>0</v>
      </c>
      <c r="H18" s="757">
        <f t="shared" si="16"/>
        <v>0.35499999999999998</v>
      </c>
      <c r="I18" s="845">
        <f t="shared" si="16"/>
        <v>0</v>
      </c>
      <c r="J18" s="757">
        <f t="shared" si="16"/>
        <v>4.3999999999999997E-2</v>
      </c>
      <c r="K18" s="757">
        <f t="shared" si="16"/>
        <v>0.20200000000000001</v>
      </c>
      <c r="L18" s="757">
        <f t="shared" si="16"/>
        <v>0.82399999999999995</v>
      </c>
      <c r="M18" s="845">
        <f t="shared" si="16"/>
        <v>0</v>
      </c>
      <c r="N18" s="757">
        <f t="shared" si="16"/>
        <v>0</v>
      </c>
      <c r="O18" s="758"/>
      <c r="P18" s="759">
        <f t="shared" si="5"/>
        <v>344.66722069169498</v>
      </c>
      <c r="Q18" s="759">
        <f t="shared" si="6"/>
        <v>25.138371623511169</v>
      </c>
      <c r="R18" s="759">
        <f t="shared" si="7"/>
        <v>31.094501485527754</v>
      </c>
      <c r="S18" s="759">
        <f t="shared" si="8"/>
        <v>3.8539663813048488</v>
      </c>
      <c r="T18" s="759">
        <f t="shared" si="9"/>
        <v>17.693209295990442</v>
      </c>
      <c r="U18" s="759">
        <f t="shared" si="10"/>
        <v>72.174279504436257</v>
      </c>
      <c r="V18" s="759">
        <f t="shared" si="11"/>
        <v>0</v>
      </c>
      <c r="W18" s="760">
        <f t="shared" si="13"/>
        <v>494.62154898246541</v>
      </c>
      <c r="X18" s="758"/>
    </row>
    <row r="19" spans="1:29" x14ac:dyDescent="0.3">
      <c r="B19" s="737" t="s">
        <v>356</v>
      </c>
      <c r="C19" s="756">
        <f>'MFR E-13c'!J95</f>
        <v>1592.5606476052953</v>
      </c>
      <c r="D19" s="737"/>
      <c r="E19" s="757">
        <f>+'BA-1 Rates Forecast'!F14</f>
        <v>3.6070000000000002</v>
      </c>
      <c r="F19" s="757">
        <f t="shared" si="16"/>
        <v>0.28699999999999998</v>
      </c>
      <c r="G19" s="845">
        <f t="shared" si="16"/>
        <v>0</v>
      </c>
      <c r="H19" s="757">
        <f t="shared" si="16"/>
        <v>0.35499999999999998</v>
      </c>
      <c r="I19" s="845">
        <f t="shared" si="16"/>
        <v>0</v>
      </c>
      <c r="J19" s="757">
        <f t="shared" si="16"/>
        <v>4.3999999999999997E-2</v>
      </c>
      <c r="K19" s="757">
        <f t="shared" si="16"/>
        <v>0.20200000000000001</v>
      </c>
      <c r="L19" s="757">
        <f t="shared" si="16"/>
        <v>0.82399999999999995</v>
      </c>
      <c r="M19" s="845">
        <f t="shared" si="16"/>
        <v>0</v>
      </c>
      <c r="N19" s="757">
        <f t="shared" si="16"/>
        <v>0</v>
      </c>
      <c r="O19" s="758"/>
      <c r="P19" s="759">
        <f t="shared" si="5"/>
        <v>57.443662559123005</v>
      </c>
      <c r="Q19" s="759">
        <f t="shared" si="6"/>
        <v>4.5706490586271977</v>
      </c>
      <c r="R19" s="759">
        <f t="shared" si="7"/>
        <v>5.6535902989987985</v>
      </c>
      <c r="S19" s="759">
        <f t="shared" si="8"/>
        <v>0.70072668494632995</v>
      </c>
      <c r="T19" s="759">
        <f t="shared" si="9"/>
        <v>3.2169725081626965</v>
      </c>
      <c r="U19" s="759">
        <f t="shared" si="10"/>
        <v>13.122699736267633</v>
      </c>
      <c r="V19" s="759">
        <f t="shared" si="11"/>
        <v>0</v>
      </c>
      <c r="W19" s="760">
        <f t="shared" si="13"/>
        <v>84.708300846125667</v>
      </c>
      <c r="X19" s="758"/>
    </row>
    <row r="20" spans="1:29" x14ac:dyDescent="0.3">
      <c r="B20" s="737" t="s">
        <v>357</v>
      </c>
      <c r="C20" s="756">
        <f>'MFR E-13c'!J97</f>
        <v>225.8619797650459</v>
      </c>
      <c r="D20" s="737"/>
      <c r="E20" s="757">
        <f>+'BA-1 Rates Forecast'!D15</f>
        <v>4.4130000000000003</v>
      </c>
      <c r="F20" s="757">
        <f>+'BA-1 Rates Forecast'!G15</f>
        <v>0.28399999999999997</v>
      </c>
      <c r="G20" s="845">
        <f>+'BA-1 Rates Forecast'!H15</f>
        <v>0</v>
      </c>
      <c r="H20" s="757">
        <f>+'BA-1 Rates Forecast'!I15</f>
        <v>0.35199999999999998</v>
      </c>
      <c r="I20" s="845">
        <f>+'BA-1 Rates Forecast'!J15</f>
        <v>0</v>
      </c>
      <c r="J20" s="757">
        <f>+'BA-1 Rates Forecast'!K15</f>
        <v>4.2999999999999997E-2</v>
      </c>
      <c r="K20" s="757">
        <f>+'BA-1 Rates Forecast'!L15</f>
        <v>0.2</v>
      </c>
      <c r="L20" s="757">
        <f>+'BA-1 Rates Forecast'!M15</f>
        <v>0.81499999999999995</v>
      </c>
      <c r="M20" s="845">
        <f>+'BA-1 Rates Forecast'!N15</f>
        <v>0</v>
      </c>
      <c r="N20" s="757">
        <f>+'BA-1 Rates Forecast'!O15</f>
        <v>0</v>
      </c>
      <c r="O20" s="758"/>
      <c r="P20" s="759">
        <f t="shared" si="5"/>
        <v>9.9672891670314758</v>
      </c>
      <c r="Q20" s="759">
        <f t="shared" si="6"/>
        <v>0.64144802253273026</v>
      </c>
      <c r="R20" s="759">
        <f t="shared" si="7"/>
        <v>0.79503416877296151</v>
      </c>
      <c r="S20" s="759">
        <f t="shared" si="8"/>
        <v>9.7120651298969726E-2</v>
      </c>
      <c r="T20" s="759">
        <f t="shared" si="9"/>
        <v>0.45172395953009187</v>
      </c>
      <c r="U20" s="759">
        <f t="shared" si="10"/>
        <v>1.840775135085124</v>
      </c>
      <c r="V20" s="759">
        <f t="shared" si="11"/>
        <v>0</v>
      </c>
      <c r="W20" s="760">
        <f t="shared" si="13"/>
        <v>13.793391104251352</v>
      </c>
      <c r="X20" s="758"/>
    </row>
    <row r="21" spans="1:29" x14ac:dyDescent="0.3">
      <c r="B21" s="737" t="s">
        <v>358</v>
      </c>
      <c r="C21" s="756">
        <f>'MFR E-13c'!J98</f>
        <v>1890.6066860441856</v>
      </c>
      <c r="D21" s="737"/>
      <c r="E21" s="757">
        <f>+'BA-1 Rates Forecast'!E15</f>
        <v>3.895</v>
      </c>
      <c r="F21" s="757">
        <f t="shared" ref="F21:N22" si="17">+F20</f>
        <v>0.28399999999999997</v>
      </c>
      <c r="G21" s="845">
        <f t="shared" si="17"/>
        <v>0</v>
      </c>
      <c r="H21" s="757">
        <f t="shared" si="17"/>
        <v>0.35199999999999998</v>
      </c>
      <c r="I21" s="845">
        <f t="shared" si="17"/>
        <v>0</v>
      </c>
      <c r="J21" s="757">
        <f t="shared" si="17"/>
        <v>4.2999999999999997E-2</v>
      </c>
      <c r="K21" s="757">
        <f t="shared" si="17"/>
        <v>0.2</v>
      </c>
      <c r="L21" s="757">
        <f t="shared" si="17"/>
        <v>0.81499999999999995</v>
      </c>
      <c r="M21" s="845">
        <f t="shared" si="17"/>
        <v>0</v>
      </c>
      <c r="N21" s="757">
        <f t="shared" si="17"/>
        <v>0</v>
      </c>
      <c r="O21" s="758"/>
      <c r="P21" s="759">
        <f t="shared" si="5"/>
        <v>73.639130421421029</v>
      </c>
      <c r="Q21" s="759">
        <f t="shared" si="6"/>
        <v>5.3693229883654858</v>
      </c>
      <c r="R21" s="759">
        <f t="shared" si="7"/>
        <v>6.6549355348755332</v>
      </c>
      <c r="S21" s="759">
        <f t="shared" si="8"/>
        <v>0.81296087499899972</v>
      </c>
      <c r="T21" s="759">
        <f t="shared" si="9"/>
        <v>3.7812133720883714</v>
      </c>
      <c r="U21" s="759">
        <f t="shared" si="10"/>
        <v>15.408444491260111</v>
      </c>
      <c r="V21" s="759">
        <f t="shared" si="11"/>
        <v>0</v>
      </c>
      <c r="W21" s="760">
        <f t="shared" si="13"/>
        <v>105.66600768300952</v>
      </c>
      <c r="X21" s="758"/>
      <c r="AC21" s="761"/>
    </row>
    <row r="22" spans="1:29" x14ac:dyDescent="0.3">
      <c r="B22" s="737" t="s">
        <v>359</v>
      </c>
      <c r="C22" s="756">
        <f>'MFR E-13c'!J99</f>
        <v>1090.0311319480422</v>
      </c>
      <c r="D22" s="737"/>
      <c r="E22" s="757">
        <f>+'BA-1 Rates Forecast'!F15</f>
        <v>3.57</v>
      </c>
      <c r="F22" s="757">
        <f t="shared" si="17"/>
        <v>0.28399999999999997</v>
      </c>
      <c r="G22" s="845">
        <f t="shared" si="17"/>
        <v>0</v>
      </c>
      <c r="H22" s="757">
        <f t="shared" si="17"/>
        <v>0.35199999999999998</v>
      </c>
      <c r="I22" s="845">
        <f t="shared" si="17"/>
        <v>0</v>
      </c>
      <c r="J22" s="757">
        <f t="shared" si="17"/>
        <v>4.2999999999999997E-2</v>
      </c>
      <c r="K22" s="757">
        <f t="shared" si="17"/>
        <v>0.2</v>
      </c>
      <c r="L22" s="757">
        <f t="shared" si="17"/>
        <v>0.81499999999999995</v>
      </c>
      <c r="M22" s="845">
        <f t="shared" si="17"/>
        <v>0</v>
      </c>
      <c r="N22" s="757">
        <f t="shared" si="17"/>
        <v>0</v>
      </c>
      <c r="O22" s="758"/>
      <c r="P22" s="759">
        <f t="shared" si="5"/>
        <v>38.914111410545104</v>
      </c>
      <c r="Q22" s="759">
        <f t="shared" si="6"/>
        <v>3.0956884147324399</v>
      </c>
      <c r="R22" s="759">
        <f t="shared" si="7"/>
        <v>3.8369095844571088</v>
      </c>
      <c r="S22" s="759">
        <f t="shared" si="8"/>
        <v>0.46871338673765811</v>
      </c>
      <c r="T22" s="759">
        <f t="shared" si="9"/>
        <v>2.1800622638960845</v>
      </c>
      <c r="U22" s="759">
        <f t="shared" si="10"/>
        <v>8.8837537253765433</v>
      </c>
      <c r="V22" s="759">
        <f t="shared" si="11"/>
        <v>0</v>
      </c>
      <c r="W22" s="760">
        <f t="shared" si="13"/>
        <v>57.379238785744946</v>
      </c>
      <c r="X22" s="758"/>
      <c r="Y22" s="754">
        <f>'MFR E-13a'!H19</f>
        <v>199992.29389740311</v>
      </c>
      <c r="Z22" s="754">
        <f>'MFR E-13a'!L19</f>
        <v>205905.79840415227</v>
      </c>
      <c r="AA22" s="754">
        <f>(Y22+$W$12+$W$13+$W$14+$W$15+$W$16+$W$17+$W$18+$W$19+$W$20+$W$21+$W$22)</f>
        <v>326355.59688465903</v>
      </c>
      <c r="AB22" s="741">
        <f>(Z22+$W$12+$W$13+$W$14+$W$15+$W$16+$W$17+$W$18+$W$19+$W$20+$W$21+$W$22)</f>
        <v>332269.10139140819</v>
      </c>
      <c r="AC22" s="1242">
        <f>+((AB22)-(AA22))/(AA22)</f>
        <v>1.8119819495049497E-2</v>
      </c>
    </row>
    <row r="23" spans="1:29" x14ac:dyDescent="0.3">
      <c r="C23" s="756"/>
      <c r="D23" s="737"/>
      <c r="E23" s="757"/>
      <c r="F23" s="757"/>
      <c r="G23" s="845"/>
      <c r="H23" s="757"/>
      <c r="I23" s="845"/>
      <c r="J23" s="757"/>
      <c r="K23" s="757"/>
      <c r="L23" s="757"/>
      <c r="M23" s="845"/>
      <c r="N23" s="757"/>
      <c r="O23" s="758"/>
      <c r="X23" s="758"/>
    </row>
    <row r="24" spans="1:29" x14ac:dyDescent="0.3">
      <c r="A24" s="739" t="s">
        <v>137</v>
      </c>
      <c r="B24" s="737" t="s">
        <v>149</v>
      </c>
      <c r="C24" s="756">
        <f>'MFR E-13c'!J137</f>
        <v>208924.4911548431</v>
      </c>
      <c r="D24" s="737"/>
      <c r="E24" s="757">
        <f>+'BA-1 Rates Forecast'!C17</f>
        <v>3.9990000000000001</v>
      </c>
      <c r="F24" s="757">
        <f>+'BA-1 Rates Forecast'!G17</f>
        <v>0.22700000000000001</v>
      </c>
      <c r="G24" s="845">
        <f>+'BA-1 Rates Forecast'!H17</f>
        <v>0</v>
      </c>
      <c r="H24" s="757">
        <f>+'BA-1 Rates Forecast'!I17</f>
        <v>0.253</v>
      </c>
      <c r="I24" s="845">
        <f>+'BA-1 Rates Forecast'!J17</f>
        <v>0</v>
      </c>
      <c r="J24" s="757">
        <f>+'BA-1 Rates Forecast'!K17</f>
        <v>4.2000000000000003E-2</v>
      </c>
      <c r="K24" s="757">
        <f>+'BA-1 Rates Forecast'!L17</f>
        <v>0.14099999999999999</v>
      </c>
      <c r="L24" s="757">
        <f>+'BA-1 Rates Forecast'!M17</f>
        <v>0.38800000000000001</v>
      </c>
      <c r="M24" s="845">
        <f>+'BA-1 Rates Forecast'!N17</f>
        <v>0</v>
      </c>
      <c r="N24" s="757">
        <f>+'BA-1 Rates Forecast'!O17</f>
        <v>0</v>
      </c>
      <c r="O24" s="758"/>
      <c r="P24" s="759">
        <f>C24*E24/100</f>
        <v>8354.8904012821749</v>
      </c>
      <c r="Q24" s="759">
        <f>C24*F24/100</f>
        <v>474.25859492149385</v>
      </c>
      <c r="R24" s="759">
        <f>C24*H24/100</f>
        <v>528.57896262175302</v>
      </c>
      <c r="S24" s="759">
        <f>C24*J24/100</f>
        <v>87.748286285034098</v>
      </c>
      <c r="T24" s="759">
        <f>C24*K24/100</f>
        <v>294.5835325283287</v>
      </c>
      <c r="U24" s="759">
        <f t="shared" ref="U24" si="18">C24*L24/100</f>
        <v>810.62702568079123</v>
      </c>
      <c r="V24" s="759">
        <f t="shared" ref="V24" si="19">C24*N24/100</f>
        <v>0</v>
      </c>
      <c r="W24" s="760">
        <f>SUM(P24:V24)</f>
        <v>10550.686803319575</v>
      </c>
      <c r="X24" s="758"/>
      <c r="Y24" s="754">
        <f>'MFR E-13a'!H20</f>
        <v>11991.78251042675</v>
      </c>
      <c r="Z24" s="754">
        <f>'MFR E-13a'!L20</f>
        <v>12477.58858348337</v>
      </c>
      <c r="AA24" s="754">
        <f>(Y24+$W$24)</f>
        <v>22542.469313746325</v>
      </c>
      <c r="AB24" s="741">
        <f>(Z24+$W$24)</f>
        <v>23028.275386802947</v>
      </c>
      <c r="AC24" s="1242">
        <f>+((AB24)-(AA24))/(AA24)</f>
        <v>2.1550703531861004E-2</v>
      </c>
    </row>
    <row r="25" spans="1:29" x14ac:dyDescent="0.3">
      <c r="C25" s="756"/>
      <c r="D25" s="737"/>
      <c r="E25" s="757"/>
      <c r="F25" s="757"/>
      <c r="G25" s="845"/>
      <c r="H25" s="757"/>
      <c r="I25" s="845"/>
      <c r="J25" s="757"/>
      <c r="K25" s="757"/>
      <c r="L25" s="757"/>
      <c r="M25" s="845"/>
      <c r="N25" s="757"/>
      <c r="O25" s="758"/>
      <c r="X25" s="758"/>
    </row>
    <row r="26" spans="1:29" x14ac:dyDescent="0.3">
      <c r="A26" s="739" t="s">
        <v>272</v>
      </c>
      <c r="B26" s="737" t="s">
        <v>347</v>
      </c>
      <c r="C26" s="756">
        <f>'MFR E-13c'!J220</f>
        <v>3315163.126174266</v>
      </c>
      <c r="D26" s="756">
        <f>'MFR E-13c'!J176</f>
        <v>10725376.603371939</v>
      </c>
      <c r="E26" s="757">
        <f t="shared" ref="E26:E34" si="20">+E12</f>
        <v>3.9990000000000001</v>
      </c>
      <c r="F26" s="763">
        <f>+'BA-1 Rates Forecast'!G20</f>
        <v>0</v>
      </c>
      <c r="G26" s="846">
        <f>+'BA-1 Rates Forecast'!H20</f>
        <v>0.93</v>
      </c>
      <c r="H26" s="763">
        <f>+'BA-1 Rates Forecast'!I20</f>
        <v>0</v>
      </c>
      <c r="I26" s="846">
        <f>+'BA-1 Rates Forecast'!J20</f>
        <v>1.0900000000000001</v>
      </c>
      <c r="J26" s="763">
        <f>+'BA-1 Rates Forecast'!K20</f>
        <v>4.2999999999999997E-2</v>
      </c>
      <c r="K26" s="763">
        <f>+'BA-1 Rates Forecast'!L20</f>
        <v>0.17599999999999999</v>
      </c>
      <c r="L26" s="763">
        <f>+'BA-1 Rates Forecast'!M20</f>
        <v>0</v>
      </c>
      <c r="M26" s="846">
        <f>+'BA-1 Rates Forecast'!N20</f>
        <v>2.25</v>
      </c>
      <c r="N26" s="763">
        <f>+'BA-1 Rates Forecast'!O20</f>
        <v>0</v>
      </c>
      <c r="O26" s="758"/>
      <c r="P26" s="759">
        <f t="shared" ref="P26:P37" si="21">C26*E26/100</f>
        <v>132573.37341570889</v>
      </c>
      <c r="Q26" s="759">
        <f t="shared" ref="Q26:Q37" si="22">D26*G26/1000</f>
        <v>9974.6002411359023</v>
      </c>
      <c r="R26" s="759">
        <f t="shared" ref="R26:R37" si="23">D26*I26/1000</f>
        <v>11690.660497675413</v>
      </c>
      <c r="S26" s="759">
        <f t="shared" ref="S26:S37" si="24">C26*J26/100</f>
        <v>1425.5201442549342</v>
      </c>
      <c r="T26" s="759">
        <f t="shared" ref="T26:T37" si="25">C26*K26/100</f>
        <v>5834.6871020667077</v>
      </c>
      <c r="U26" s="759">
        <f>D26*M26/1000</f>
        <v>24132.097357586859</v>
      </c>
      <c r="V26" s="759">
        <f>C26*N26/100</f>
        <v>0</v>
      </c>
      <c r="W26" s="760">
        <f t="shared" ref="W26:W37" si="26">SUM(P26:V26)</f>
        <v>185630.9387584287</v>
      </c>
      <c r="X26" s="758"/>
    </row>
    <row r="27" spans="1:29" x14ac:dyDescent="0.3">
      <c r="B27" s="737" t="s">
        <v>350</v>
      </c>
      <c r="C27" s="756">
        <f>'MFR E-13c'!J225</f>
        <v>968631.49881306151</v>
      </c>
      <c r="D27" s="737"/>
      <c r="E27" s="757">
        <f t="shared" si="20"/>
        <v>4.5030000000000001</v>
      </c>
      <c r="F27" s="763">
        <f t="shared" ref="F27:N27" si="27">+F26</f>
        <v>0</v>
      </c>
      <c r="G27" s="846">
        <f t="shared" si="27"/>
        <v>0.93</v>
      </c>
      <c r="H27" s="763">
        <f t="shared" si="27"/>
        <v>0</v>
      </c>
      <c r="I27" s="846">
        <f t="shared" si="27"/>
        <v>1.0900000000000001</v>
      </c>
      <c r="J27" s="763">
        <f t="shared" si="27"/>
        <v>4.2999999999999997E-2</v>
      </c>
      <c r="K27" s="763">
        <f t="shared" si="27"/>
        <v>0.17599999999999999</v>
      </c>
      <c r="L27" s="763">
        <f t="shared" si="27"/>
        <v>0</v>
      </c>
      <c r="M27" s="846">
        <f t="shared" si="27"/>
        <v>2.25</v>
      </c>
      <c r="N27" s="763">
        <f t="shared" si="27"/>
        <v>0</v>
      </c>
      <c r="O27" s="758"/>
      <c r="P27" s="759">
        <f t="shared" si="21"/>
        <v>43617.476391552162</v>
      </c>
      <c r="Q27" s="759">
        <f t="shared" si="22"/>
        <v>0</v>
      </c>
      <c r="R27" s="759">
        <f t="shared" si="23"/>
        <v>0</v>
      </c>
      <c r="S27" s="759">
        <f t="shared" si="24"/>
        <v>416.51154448961643</v>
      </c>
      <c r="T27" s="759">
        <f t="shared" si="25"/>
        <v>1704.7914379109882</v>
      </c>
      <c r="U27" s="759">
        <f t="shared" ref="U27:U37" si="28">D27*M27/1000</f>
        <v>0</v>
      </c>
      <c r="V27" s="759">
        <f t="shared" ref="V27:V37" si="29">C27*N27/100</f>
        <v>0</v>
      </c>
      <c r="W27" s="760">
        <f t="shared" si="26"/>
        <v>45738.779373952762</v>
      </c>
      <c r="X27" s="758"/>
    </row>
    <row r="28" spans="1:29" x14ac:dyDescent="0.3">
      <c r="B28" s="737" t="s">
        <v>351</v>
      </c>
      <c r="C28" s="756">
        <f>'MFR E-13c'!J226</f>
        <v>5309902.6463971417</v>
      </c>
      <c r="D28" s="756">
        <f>+'MFR E-13c'!J183</f>
        <v>17486022.908084743</v>
      </c>
      <c r="E28" s="757">
        <f t="shared" si="20"/>
        <v>3.9750000000000001</v>
      </c>
      <c r="F28" s="763">
        <f t="shared" ref="F28:N29" si="30">+F26</f>
        <v>0</v>
      </c>
      <c r="G28" s="846">
        <f t="shared" si="30"/>
        <v>0.93</v>
      </c>
      <c r="H28" s="763">
        <f t="shared" si="30"/>
        <v>0</v>
      </c>
      <c r="I28" s="846">
        <f t="shared" si="30"/>
        <v>1.0900000000000001</v>
      </c>
      <c r="J28" s="763">
        <f t="shared" si="30"/>
        <v>4.2999999999999997E-2</v>
      </c>
      <c r="K28" s="763">
        <f t="shared" si="30"/>
        <v>0.17599999999999999</v>
      </c>
      <c r="L28" s="763">
        <f t="shared" si="30"/>
        <v>0</v>
      </c>
      <c r="M28" s="846">
        <f t="shared" si="30"/>
        <v>2.25</v>
      </c>
      <c r="N28" s="763">
        <f t="shared" si="30"/>
        <v>0</v>
      </c>
      <c r="O28" s="758"/>
      <c r="P28" s="759">
        <f t="shared" si="21"/>
        <v>211068.63019428641</v>
      </c>
      <c r="Q28" s="759">
        <f t="shared" si="22"/>
        <v>16262.001304518812</v>
      </c>
      <c r="R28" s="759">
        <f t="shared" si="23"/>
        <v>19059.764969812371</v>
      </c>
      <c r="S28" s="759">
        <f t="shared" si="24"/>
        <v>2283.258137950771</v>
      </c>
      <c r="T28" s="759">
        <f t="shared" si="25"/>
        <v>9345.4286576589693</v>
      </c>
      <c r="U28" s="759">
        <f t="shared" si="28"/>
        <v>39343.551543190675</v>
      </c>
      <c r="V28" s="759">
        <f t="shared" si="29"/>
        <v>0</v>
      </c>
      <c r="W28" s="760">
        <f t="shared" si="26"/>
        <v>297362.63480741804</v>
      </c>
      <c r="X28" s="758"/>
    </row>
    <row r="29" spans="1:29" x14ac:dyDescent="0.3">
      <c r="B29" s="737" t="s">
        <v>352</v>
      </c>
      <c r="C29" s="756">
        <f>'MFR E-13c'!J227</f>
        <v>1377472.6196674642</v>
      </c>
      <c r="D29" s="737"/>
      <c r="E29" s="757">
        <f t="shared" si="20"/>
        <v>3.6429999999999998</v>
      </c>
      <c r="F29" s="763">
        <f t="shared" si="30"/>
        <v>0</v>
      </c>
      <c r="G29" s="846">
        <f t="shared" si="30"/>
        <v>0.93</v>
      </c>
      <c r="H29" s="763">
        <f t="shared" si="30"/>
        <v>0</v>
      </c>
      <c r="I29" s="846">
        <f t="shared" si="30"/>
        <v>1.0900000000000001</v>
      </c>
      <c r="J29" s="763">
        <f t="shared" si="30"/>
        <v>4.2999999999999997E-2</v>
      </c>
      <c r="K29" s="763">
        <f t="shared" si="30"/>
        <v>0.17599999999999999</v>
      </c>
      <c r="L29" s="763">
        <f t="shared" si="30"/>
        <v>0</v>
      </c>
      <c r="M29" s="846">
        <f t="shared" si="30"/>
        <v>2.25</v>
      </c>
      <c r="N29" s="763">
        <f t="shared" si="30"/>
        <v>0</v>
      </c>
      <c r="O29" s="758"/>
      <c r="P29" s="759">
        <f t="shared" si="21"/>
        <v>50181.327534485717</v>
      </c>
      <c r="Q29" s="759">
        <f t="shared" si="22"/>
        <v>0</v>
      </c>
      <c r="R29" s="759">
        <f t="shared" si="23"/>
        <v>0</v>
      </c>
      <c r="S29" s="759">
        <f t="shared" si="24"/>
        <v>592.31322645700948</v>
      </c>
      <c r="T29" s="759">
        <f t="shared" si="25"/>
        <v>2424.3518106147367</v>
      </c>
      <c r="U29" s="759">
        <f t="shared" si="28"/>
        <v>0</v>
      </c>
      <c r="V29" s="759">
        <f t="shared" si="29"/>
        <v>0</v>
      </c>
      <c r="W29" s="760">
        <f t="shared" si="26"/>
        <v>53197.992571557465</v>
      </c>
      <c r="X29" s="758"/>
    </row>
    <row r="30" spans="1:29" x14ac:dyDescent="0.3">
      <c r="B30" s="737" t="s">
        <v>353</v>
      </c>
      <c r="C30" s="756">
        <f>'MFR E-13c'!J221</f>
        <v>81271.097926922128</v>
      </c>
      <c r="D30" s="756">
        <f>+'MFR E-13c'!J177</f>
        <v>271955.06287337415</v>
      </c>
      <c r="E30" s="757">
        <f t="shared" si="20"/>
        <v>3.9590000000000001</v>
      </c>
      <c r="F30" s="763">
        <f>+'BA-1 Rates Forecast'!G21</f>
        <v>0</v>
      </c>
      <c r="G30" s="846">
        <f>+'BA-1 Rates Forecast'!H21</f>
        <v>0.92</v>
      </c>
      <c r="H30" s="763">
        <f>+'BA-1 Rates Forecast'!I21</f>
        <v>0</v>
      </c>
      <c r="I30" s="846">
        <f>+'BA-1 Rates Forecast'!J21</f>
        <v>1.08</v>
      </c>
      <c r="J30" s="763">
        <f>+'BA-1 Rates Forecast'!K21</f>
        <v>4.2999999999999997E-2</v>
      </c>
      <c r="K30" s="763">
        <f>+'BA-1 Rates Forecast'!L21</f>
        <v>0.17399999999999999</v>
      </c>
      <c r="L30" s="763">
        <f>+'BA-1 Rates Forecast'!M21</f>
        <v>0</v>
      </c>
      <c r="M30" s="846">
        <f>+'BA-1 Rates Forecast'!N21</f>
        <v>2.2000000000000002</v>
      </c>
      <c r="N30" s="763">
        <f>+'BA-1 Rates Forecast'!O21</f>
        <v>0</v>
      </c>
      <c r="O30" s="758"/>
      <c r="P30" s="759">
        <f t="shared" si="21"/>
        <v>3217.522766926847</v>
      </c>
      <c r="Q30" s="759">
        <f t="shared" si="22"/>
        <v>250.19865784350421</v>
      </c>
      <c r="R30" s="759">
        <f t="shared" si="23"/>
        <v>293.71146790324406</v>
      </c>
      <c r="S30" s="759">
        <f t="shared" si="24"/>
        <v>34.946572108576511</v>
      </c>
      <c r="T30" s="759">
        <f t="shared" si="25"/>
        <v>141.4117103928445</v>
      </c>
      <c r="U30" s="759">
        <f t="shared" si="28"/>
        <v>598.3011383214232</v>
      </c>
      <c r="V30" s="759">
        <f t="shared" si="29"/>
        <v>0</v>
      </c>
      <c r="W30" s="760">
        <f t="shared" si="26"/>
        <v>4536.0923134964396</v>
      </c>
      <c r="X30" s="758"/>
    </row>
    <row r="31" spans="1:29" x14ac:dyDescent="0.3">
      <c r="B31" s="737" t="s">
        <v>354</v>
      </c>
      <c r="C31" s="756">
        <f>'MFR E-13c'!J229</f>
        <v>209484.34243318421</v>
      </c>
      <c r="D31" s="737"/>
      <c r="E31" s="757">
        <f t="shared" si="20"/>
        <v>4.4580000000000002</v>
      </c>
      <c r="F31" s="763">
        <f t="shared" ref="F31:N31" si="31">+F30</f>
        <v>0</v>
      </c>
      <c r="G31" s="846">
        <f t="shared" si="31"/>
        <v>0.92</v>
      </c>
      <c r="H31" s="763">
        <f t="shared" si="31"/>
        <v>0</v>
      </c>
      <c r="I31" s="846">
        <f t="shared" si="31"/>
        <v>1.08</v>
      </c>
      <c r="J31" s="763">
        <f t="shared" si="31"/>
        <v>4.2999999999999997E-2</v>
      </c>
      <c r="K31" s="763">
        <f t="shared" si="31"/>
        <v>0.17399999999999999</v>
      </c>
      <c r="L31" s="763">
        <f t="shared" si="31"/>
        <v>0</v>
      </c>
      <c r="M31" s="846">
        <f t="shared" si="31"/>
        <v>2.2000000000000002</v>
      </c>
      <c r="N31" s="763">
        <f t="shared" si="31"/>
        <v>0</v>
      </c>
      <c r="O31" s="758"/>
      <c r="P31" s="759">
        <f t="shared" si="21"/>
        <v>9338.8119856713529</v>
      </c>
      <c r="Q31" s="759">
        <f t="shared" si="22"/>
        <v>0</v>
      </c>
      <c r="R31" s="759">
        <f t="shared" si="23"/>
        <v>0</v>
      </c>
      <c r="S31" s="759">
        <f t="shared" si="24"/>
        <v>90.078267246269206</v>
      </c>
      <c r="T31" s="759">
        <f t="shared" si="25"/>
        <v>364.50275583374054</v>
      </c>
      <c r="U31" s="759">
        <f t="shared" si="28"/>
        <v>0</v>
      </c>
      <c r="V31" s="759">
        <f t="shared" si="29"/>
        <v>0</v>
      </c>
      <c r="W31" s="760">
        <f t="shared" si="26"/>
        <v>9793.3930087513636</v>
      </c>
      <c r="X31" s="758"/>
    </row>
    <row r="32" spans="1:29" x14ac:dyDescent="0.3">
      <c r="B32" s="737" t="s">
        <v>355</v>
      </c>
      <c r="C32" s="756">
        <f>'MFR E-13c'!J230</f>
        <v>1139084.8818034285</v>
      </c>
      <c r="D32" s="756">
        <f>+'MFR E-13c'!J188</f>
        <v>3370903.6067370013</v>
      </c>
      <c r="E32" s="757">
        <f t="shared" si="20"/>
        <v>3.9350000000000001</v>
      </c>
      <c r="F32" s="763">
        <f t="shared" ref="F32:N33" si="32">+F30</f>
        <v>0</v>
      </c>
      <c r="G32" s="846">
        <f t="shared" si="32"/>
        <v>0.92</v>
      </c>
      <c r="H32" s="763">
        <f t="shared" si="32"/>
        <v>0</v>
      </c>
      <c r="I32" s="846">
        <f t="shared" si="32"/>
        <v>1.08</v>
      </c>
      <c r="J32" s="763">
        <f t="shared" si="32"/>
        <v>4.2999999999999997E-2</v>
      </c>
      <c r="K32" s="763">
        <f t="shared" si="32"/>
        <v>0.17399999999999999</v>
      </c>
      <c r="L32" s="763">
        <f t="shared" si="32"/>
        <v>0</v>
      </c>
      <c r="M32" s="846">
        <f t="shared" si="32"/>
        <v>2.2000000000000002</v>
      </c>
      <c r="N32" s="763">
        <f t="shared" si="32"/>
        <v>0</v>
      </c>
      <c r="O32" s="758"/>
      <c r="P32" s="759">
        <f t="shared" si="21"/>
        <v>44822.990098964918</v>
      </c>
      <c r="Q32" s="759">
        <f t="shared" si="22"/>
        <v>3101.2313181980417</v>
      </c>
      <c r="R32" s="759">
        <f t="shared" si="23"/>
        <v>3640.5758952759616</v>
      </c>
      <c r="S32" s="759">
        <f t="shared" si="24"/>
        <v>489.80649917547424</v>
      </c>
      <c r="T32" s="759">
        <f t="shared" si="25"/>
        <v>1982.0076943379654</v>
      </c>
      <c r="U32" s="759">
        <f t="shared" si="28"/>
        <v>7415.9879348214035</v>
      </c>
      <c r="V32" s="759">
        <f t="shared" si="29"/>
        <v>0</v>
      </c>
      <c r="W32" s="760">
        <f t="shared" si="26"/>
        <v>61452.599440773767</v>
      </c>
      <c r="X32" s="758"/>
    </row>
    <row r="33" spans="1:29" x14ac:dyDescent="0.3">
      <c r="B33" s="737" t="s">
        <v>356</v>
      </c>
      <c r="C33" s="756">
        <f>'MFR E-13c'!J231</f>
        <v>334231.19511558855</v>
      </c>
      <c r="D33" s="737"/>
      <c r="E33" s="757">
        <f t="shared" si="20"/>
        <v>3.6070000000000002</v>
      </c>
      <c r="F33" s="763">
        <f t="shared" si="32"/>
        <v>0</v>
      </c>
      <c r="G33" s="846">
        <f t="shared" si="32"/>
        <v>0.92</v>
      </c>
      <c r="H33" s="763">
        <f t="shared" si="32"/>
        <v>0</v>
      </c>
      <c r="I33" s="846">
        <f t="shared" si="32"/>
        <v>1.08</v>
      </c>
      <c r="J33" s="763">
        <f t="shared" si="32"/>
        <v>4.2999999999999997E-2</v>
      </c>
      <c r="K33" s="763">
        <f t="shared" si="32"/>
        <v>0.17399999999999999</v>
      </c>
      <c r="L33" s="763">
        <f t="shared" si="32"/>
        <v>0</v>
      </c>
      <c r="M33" s="846">
        <f t="shared" si="32"/>
        <v>2.2000000000000002</v>
      </c>
      <c r="N33" s="763">
        <f t="shared" si="32"/>
        <v>0</v>
      </c>
      <c r="O33" s="758"/>
      <c r="P33" s="759">
        <f t="shared" si="21"/>
        <v>12055.719207819278</v>
      </c>
      <c r="Q33" s="759">
        <f t="shared" si="22"/>
        <v>0</v>
      </c>
      <c r="R33" s="759">
        <f t="shared" si="23"/>
        <v>0</v>
      </c>
      <c r="S33" s="759">
        <f t="shared" si="24"/>
        <v>143.71941389970306</v>
      </c>
      <c r="T33" s="759">
        <f t="shared" si="25"/>
        <v>581.56227950112407</v>
      </c>
      <c r="U33" s="759">
        <f t="shared" si="28"/>
        <v>0</v>
      </c>
      <c r="V33" s="759">
        <f t="shared" si="29"/>
        <v>0</v>
      </c>
      <c r="W33" s="760">
        <f t="shared" si="26"/>
        <v>12781.000901220106</v>
      </c>
      <c r="X33" s="758"/>
    </row>
    <row r="34" spans="1:29" x14ac:dyDescent="0.3">
      <c r="B34" s="737" t="s">
        <v>360</v>
      </c>
      <c r="C34" s="756">
        <f>'MFR E-13c'!J222</f>
        <v>180.09584422264081</v>
      </c>
      <c r="D34" s="756">
        <f>'MFR E-13c'!J178</f>
        <v>388.67626969648086</v>
      </c>
      <c r="E34" s="757">
        <f t="shared" si="20"/>
        <v>4.4130000000000003</v>
      </c>
      <c r="F34" s="763">
        <f>+'BA-1 Rates Forecast'!G25</f>
        <v>0</v>
      </c>
      <c r="G34" s="846">
        <f>+'BA-1 Rates Forecast'!H25</f>
        <v>0.79</v>
      </c>
      <c r="H34" s="763">
        <f>+'BA-1 Rates Forecast'!I25</f>
        <v>0</v>
      </c>
      <c r="I34" s="846">
        <f>+'BA-1 Rates Forecast'!J25</f>
        <v>0.79</v>
      </c>
      <c r="J34" s="763">
        <f>+'BA-1 Rates Forecast'!K25</f>
        <v>4.1000000000000002E-2</v>
      </c>
      <c r="K34" s="763">
        <f>+'BA-1 Rates Forecast'!L25</f>
        <v>0.12</v>
      </c>
      <c r="L34" s="763">
        <f>+'BA-1 Rates Forecast'!M25</f>
        <v>0</v>
      </c>
      <c r="M34" s="846">
        <f>+'BA-1 Rates Forecast'!N25</f>
        <v>2.4700000000000002</v>
      </c>
      <c r="N34" s="763">
        <f>+'BA-1 Rates Forecast'!O25</f>
        <v>0</v>
      </c>
      <c r="O34" s="758"/>
      <c r="P34" s="759">
        <f t="shared" si="21"/>
        <v>7.9476296055451394</v>
      </c>
      <c r="Q34" s="759">
        <f t="shared" si="22"/>
        <v>0.30705425306021988</v>
      </c>
      <c r="R34" s="759">
        <f t="shared" si="23"/>
        <v>0.30705425306021988</v>
      </c>
      <c r="S34" s="759">
        <f t="shared" si="24"/>
        <v>7.3839296131282733E-2</v>
      </c>
      <c r="T34" s="759">
        <f t="shared" si="25"/>
        <v>0.21611501306716896</v>
      </c>
      <c r="U34" s="759">
        <f t="shared" si="28"/>
        <v>0.96003038615030778</v>
      </c>
      <c r="V34" s="759">
        <f t="shared" si="29"/>
        <v>0</v>
      </c>
      <c r="W34" s="760">
        <f t="shared" si="26"/>
        <v>9.8117228070143394</v>
      </c>
      <c r="X34" s="758"/>
    </row>
    <row r="35" spans="1:29" x14ac:dyDescent="0.3">
      <c r="B35" s="737" t="s">
        <v>357</v>
      </c>
      <c r="C35" s="756">
        <f>'MFR E-13c'!J233</f>
        <v>55195.566266313937</v>
      </c>
      <c r="D35" s="737"/>
      <c r="E35" s="757">
        <f>+E20</f>
        <v>4.4130000000000003</v>
      </c>
      <c r="F35" s="763">
        <f>+'BA-1 Rates Forecast'!G22</f>
        <v>0</v>
      </c>
      <c r="G35" s="846">
        <f>+'BA-1 Rates Forecast'!H22</f>
        <v>0.91</v>
      </c>
      <c r="H35" s="763">
        <f>+'BA-1 Rates Forecast'!I22</f>
        <v>0</v>
      </c>
      <c r="I35" s="846">
        <f>+'BA-1 Rates Forecast'!J22</f>
        <v>1.07</v>
      </c>
      <c r="J35" s="763">
        <f>+'BA-1 Rates Forecast'!K22</f>
        <v>4.2000000000000003E-2</v>
      </c>
      <c r="K35" s="763">
        <f>+'BA-1 Rates Forecast'!L22</f>
        <v>0.17199999999999999</v>
      </c>
      <c r="L35" s="763">
        <f>+'BA-1 Rates Forecast'!M22</f>
        <v>0</v>
      </c>
      <c r="M35" s="846">
        <f>+'BA-1 Rates Forecast'!N22</f>
        <v>0.39</v>
      </c>
      <c r="N35" s="763">
        <f>+'BA-1 Rates Forecast'!O22</f>
        <v>0</v>
      </c>
      <c r="O35" s="758"/>
      <c r="P35" s="759">
        <f t="shared" si="21"/>
        <v>2435.7803393324343</v>
      </c>
      <c r="Q35" s="759">
        <f t="shared" si="22"/>
        <v>0</v>
      </c>
      <c r="R35" s="759">
        <f t="shared" si="23"/>
        <v>0</v>
      </c>
      <c r="S35" s="759">
        <f t="shared" si="24"/>
        <v>23.182137831851854</v>
      </c>
      <c r="T35" s="759">
        <f t="shared" si="25"/>
        <v>94.936373978059962</v>
      </c>
      <c r="U35" s="759">
        <f t="shared" si="28"/>
        <v>0</v>
      </c>
      <c r="V35" s="759">
        <f t="shared" si="29"/>
        <v>0</v>
      </c>
      <c r="W35" s="760">
        <f t="shared" si="26"/>
        <v>2553.8988511423463</v>
      </c>
      <c r="X35" s="758"/>
    </row>
    <row r="36" spans="1:29" x14ac:dyDescent="0.3">
      <c r="B36" s="737" t="s">
        <v>358</v>
      </c>
      <c r="C36" s="756">
        <f>'MFR E-13c'!J234</f>
        <v>329932.9873849827</v>
      </c>
      <c r="D36" s="756">
        <f>+'MFR E-13c'!J193</f>
        <v>894292.77862042398</v>
      </c>
      <c r="E36" s="757">
        <f>+E21</f>
        <v>3.895</v>
      </c>
      <c r="F36" s="763">
        <f t="shared" ref="F36:N37" si="33">F35</f>
        <v>0</v>
      </c>
      <c r="G36" s="846">
        <f t="shared" si="33"/>
        <v>0.91</v>
      </c>
      <c r="H36" s="763">
        <f t="shared" si="33"/>
        <v>0</v>
      </c>
      <c r="I36" s="846">
        <f t="shared" si="33"/>
        <v>1.07</v>
      </c>
      <c r="J36" s="763">
        <f t="shared" si="33"/>
        <v>4.2000000000000003E-2</v>
      </c>
      <c r="K36" s="763">
        <f t="shared" si="33"/>
        <v>0.17199999999999999</v>
      </c>
      <c r="L36" s="763">
        <f t="shared" si="33"/>
        <v>0</v>
      </c>
      <c r="M36" s="846">
        <f t="shared" si="33"/>
        <v>0.39</v>
      </c>
      <c r="N36" s="763">
        <f t="shared" si="33"/>
        <v>0</v>
      </c>
      <c r="O36" s="758"/>
      <c r="P36" s="759">
        <f t="shared" si="21"/>
        <v>12850.889858645074</v>
      </c>
      <c r="Q36" s="759">
        <f t="shared" si="22"/>
        <v>813.80642854458586</v>
      </c>
      <c r="R36" s="759">
        <f t="shared" si="23"/>
        <v>956.89327312385376</v>
      </c>
      <c r="S36" s="759">
        <f t="shared" si="24"/>
        <v>138.57185470169273</v>
      </c>
      <c r="T36" s="759">
        <f t="shared" si="25"/>
        <v>567.48473830217017</v>
      </c>
      <c r="U36" s="759">
        <f t="shared" si="28"/>
        <v>348.77418366196537</v>
      </c>
      <c r="V36" s="759">
        <f t="shared" si="29"/>
        <v>0</v>
      </c>
      <c r="W36" s="760">
        <f t="shared" si="26"/>
        <v>15676.420336979343</v>
      </c>
      <c r="X36" s="758"/>
      <c r="AC36" s="761"/>
    </row>
    <row r="37" spans="1:29" x14ac:dyDescent="0.3">
      <c r="B37" s="737" t="s">
        <v>359</v>
      </c>
      <c r="C37" s="756">
        <f>'MFR E-13c'!J235</f>
        <v>102012.66177030263</v>
      </c>
      <c r="D37" s="737"/>
      <c r="E37" s="757">
        <f>+E22</f>
        <v>3.57</v>
      </c>
      <c r="F37" s="763">
        <f t="shared" si="33"/>
        <v>0</v>
      </c>
      <c r="G37" s="846">
        <f t="shared" si="33"/>
        <v>0.91</v>
      </c>
      <c r="H37" s="763">
        <f t="shared" si="33"/>
        <v>0</v>
      </c>
      <c r="I37" s="846">
        <f t="shared" si="33"/>
        <v>1.07</v>
      </c>
      <c r="J37" s="763">
        <f t="shared" si="33"/>
        <v>4.2000000000000003E-2</v>
      </c>
      <c r="K37" s="763">
        <f t="shared" si="33"/>
        <v>0.17199999999999999</v>
      </c>
      <c r="L37" s="763">
        <f t="shared" si="33"/>
        <v>0</v>
      </c>
      <c r="M37" s="846">
        <f t="shared" si="33"/>
        <v>0.39</v>
      </c>
      <c r="N37" s="763">
        <f t="shared" si="33"/>
        <v>0</v>
      </c>
      <c r="O37" s="758"/>
      <c r="P37" s="759">
        <f t="shared" si="21"/>
        <v>3641.8520251998038</v>
      </c>
      <c r="Q37" s="759">
        <f t="shared" si="22"/>
        <v>0</v>
      </c>
      <c r="R37" s="759">
        <f t="shared" si="23"/>
        <v>0</v>
      </c>
      <c r="S37" s="759">
        <f t="shared" si="24"/>
        <v>42.845317943527107</v>
      </c>
      <c r="T37" s="759">
        <f t="shared" si="25"/>
        <v>175.46177824492051</v>
      </c>
      <c r="U37" s="759">
        <f t="shared" si="28"/>
        <v>0</v>
      </c>
      <c r="V37" s="759">
        <f t="shared" si="29"/>
        <v>0</v>
      </c>
      <c r="W37" s="760">
        <f t="shared" si="26"/>
        <v>3860.1591213882512</v>
      </c>
      <c r="X37" s="758"/>
      <c r="Y37" s="754">
        <f>'MFR E-13a'!H21+'MFR E-13a'!H24</f>
        <v>854345.203261205</v>
      </c>
      <c r="Z37" s="754">
        <f>'MFR E-13a'!L21+'MFR E-13a'!L24</f>
        <v>878029.9759091005</v>
      </c>
      <c r="AA37" s="754">
        <f>(Y37+SUM($W$26:$W$37)+SUM($W$59:$W$60)+SUM($W$69:$W$75))</f>
        <v>1550222.3909500805</v>
      </c>
      <c r="AB37" s="741">
        <f>(Z37+SUM($W$26:$W$37)+SUM($W$59:$W$60)+SUM($W$69:$W$75))</f>
        <v>1573907.1635979761</v>
      </c>
      <c r="AC37" s="1242">
        <f>+((AB37)-(AA37))/(AA37)</f>
        <v>1.5278306381176701E-2</v>
      </c>
    </row>
    <row r="38" spans="1:29" x14ac:dyDescent="0.3">
      <c r="C38" s="756"/>
      <c r="D38" s="737"/>
      <c r="E38" s="757"/>
      <c r="F38" s="763"/>
      <c r="G38" s="846"/>
      <c r="H38" s="763"/>
      <c r="I38" s="846"/>
      <c r="J38" s="763"/>
      <c r="K38" s="763"/>
      <c r="L38" s="763"/>
      <c r="M38" s="846"/>
      <c r="N38" s="763"/>
      <c r="O38" s="758"/>
      <c r="R38" s="759"/>
      <c r="U38" s="759"/>
      <c r="X38" s="758"/>
    </row>
    <row r="39" spans="1:29" x14ac:dyDescent="0.3">
      <c r="A39" s="739" t="s">
        <v>275</v>
      </c>
      <c r="B39" s="737" t="s">
        <v>149</v>
      </c>
      <c r="C39" s="756">
        <f>'MFR E-13c'!J320</f>
        <v>8.5840145151625635E-2</v>
      </c>
      <c r="D39" s="756">
        <f>'MFR E-13c'!J280</f>
        <v>0</v>
      </c>
      <c r="E39" s="757">
        <f>E12</f>
        <v>3.9990000000000001</v>
      </c>
      <c r="F39" s="763">
        <f>+'BA-1 Rates Forecast'!G25</f>
        <v>0</v>
      </c>
      <c r="G39" s="846">
        <f>+'BA-1 Rates Forecast'!H25</f>
        <v>0.79</v>
      </c>
      <c r="H39" s="763">
        <f>+'BA-1 Rates Forecast'!I25</f>
        <v>0</v>
      </c>
      <c r="I39" s="846">
        <f>+'BA-1 Rates Forecast'!J25</f>
        <v>0.79</v>
      </c>
      <c r="J39" s="763">
        <f>+'BA-1 Rates Forecast'!K25</f>
        <v>4.1000000000000002E-2</v>
      </c>
      <c r="K39" s="763">
        <f>+'BA-1 Rates Forecast'!L25</f>
        <v>0.12</v>
      </c>
      <c r="L39" s="763">
        <f>+'BA-1 Rates Forecast'!M25</f>
        <v>0</v>
      </c>
      <c r="M39" s="846">
        <f>+'BA-1 Rates Forecast'!N25</f>
        <v>2.4700000000000002</v>
      </c>
      <c r="N39" s="763">
        <f>+'BA-1 Rates Forecast'!O25</f>
        <v>0</v>
      </c>
      <c r="O39" s="758"/>
      <c r="P39" s="759">
        <f>C39*E39/100</f>
        <v>3.4327474046135092E-3</v>
      </c>
      <c r="Q39" s="759">
        <f>D39*G39/1000</f>
        <v>0</v>
      </c>
      <c r="R39" s="759">
        <f>D39*I39/1000</f>
        <v>0</v>
      </c>
      <c r="S39" s="759">
        <f>C39*J39/100</f>
        <v>3.5194459512166513E-5</v>
      </c>
      <c r="T39" s="759">
        <f>C39*K39/100</f>
        <v>1.0300817418195076E-4</v>
      </c>
      <c r="U39" s="759">
        <f t="shared" ref="U39:U43" si="34">D39*M39/1000</f>
        <v>0</v>
      </c>
      <c r="V39" s="759">
        <f t="shared" ref="V39:V43" si="35">C39*N39/100</f>
        <v>0</v>
      </c>
      <c r="W39" s="760">
        <f t="shared" ref="W39:W43" si="36">SUM(P39:V39)</f>
        <v>3.5709500383076269E-3</v>
      </c>
      <c r="X39" s="758"/>
    </row>
    <row r="40" spans="1:29" x14ac:dyDescent="0.3">
      <c r="B40" s="737" t="s">
        <v>353</v>
      </c>
      <c r="C40" s="756">
        <f>'MFR E-13c'!J321</f>
        <v>-2.9691908096501143</v>
      </c>
      <c r="D40" s="756">
        <f>'MFR E-13c'!J281</f>
        <v>1026.8160018500821</v>
      </c>
      <c r="E40" s="757">
        <f>E16</f>
        <v>3.9590000000000001</v>
      </c>
      <c r="F40" s="763">
        <f>+'BA-1 Rates Forecast'!G26</f>
        <v>0</v>
      </c>
      <c r="G40" s="846">
        <f>+'BA-1 Rates Forecast'!H26</f>
        <v>0.78</v>
      </c>
      <c r="H40" s="763">
        <f>+'BA-1 Rates Forecast'!I26</f>
        <v>0</v>
      </c>
      <c r="I40" s="846">
        <f>+'BA-1 Rates Forecast'!J26</f>
        <v>0.78</v>
      </c>
      <c r="J40" s="763">
        <f>+'BA-1 Rates Forecast'!K26</f>
        <v>4.1000000000000002E-2</v>
      </c>
      <c r="K40" s="763">
        <f>+'BA-1 Rates Forecast'!L26</f>
        <v>0.11899999999999999</v>
      </c>
      <c r="L40" s="763">
        <f>+'BA-1 Rates Forecast'!M26</f>
        <v>0</v>
      </c>
      <c r="M40" s="846">
        <f>+'BA-1 Rates Forecast'!N26</f>
        <v>2.4500000000000002</v>
      </c>
      <c r="N40" s="763">
        <f>+'BA-1 Rates Forecast'!O26</f>
        <v>0</v>
      </c>
      <c r="O40" s="758"/>
      <c r="P40" s="759">
        <f>C40*E40/100</f>
        <v>-0.11755026415404803</v>
      </c>
      <c r="Q40" s="759">
        <f>D40*G40/1000</f>
        <v>0.80091648144306404</v>
      </c>
      <c r="R40" s="759">
        <f>D40*I40/1000</f>
        <v>0.80091648144306404</v>
      </c>
      <c r="S40" s="759">
        <f>C40*J40/100</f>
        <v>-1.217368231956547E-3</v>
      </c>
      <c r="T40" s="759">
        <f>C40*K40/100</f>
        <v>-3.533337063483636E-3</v>
      </c>
      <c r="U40" s="759">
        <f t="shared" si="34"/>
        <v>2.5156992045327016</v>
      </c>
      <c r="V40" s="759">
        <f t="shared" si="35"/>
        <v>0</v>
      </c>
      <c r="W40" s="760">
        <f t="shared" si="36"/>
        <v>3.9952311979693418</v>
      </c>
      <c r="X40" s="758"/>
      <c r="Y40" s="737"/>
      <c r="Z40" s="737"/>
      <c r="AA40" s="737"/>
      <c r="AB40" s="737"/>
    </row>
    <row r="41" spans="1:29" x14ac:dyDescent="0.3">
      <c r="B41" s="737" t="s">
        <v>354</v>
      </c>
      <c r="C41" s="756">
        <f>'MFR E-13c'!J329</f>
        <v>8842.0074748828665</v>
      </c>
      <c r="D41" s="737"/>
      <c r="E41" s="757">
        <f>E17</f>
        <v>4.4580000000000002</v>
      </c>
      <c r="F41" s="763">
        <f t="shared" ref="F41:N41" si="37">F40</f>
        <v>0</v>
      </c>
      <c r="G41" s="846">
        <f t="shared" si="37"/>
        <v>0.78</v>
      </c>
      <c r="H41" s="763">
        <f t="shared" si="37"/>
        <v>0</v>
      </c>
      <c r="I41" s="846">
        <f t="shared" si="37"/>
        <v>0.78</v>
      </c>
      <c r="J41" s="763">
        <f t="shared" si="37"/>
        <v>4.1000000000000002E-2</v>
      </c>
      <c r="K41" s="763">
        <f t="shared" si="37"/>
        <v>0.11899999999999999</v>
      </c>
      <c r="L41" s="763">
        <f t="shared" si="37"/>
        <v>0</v>
      </c>
      <c r="M41" s="846">
        <f t="shared" si="37"/>
        <v>2.4500000000000002</v>
      </c>
      <c r="N41" s="763">
        <f t="shared" si="37"/>
        <v>0</v>
      </c>
      <c r="O41" s="758"/>
      <c r="P41" s="759">
        <f>C41*E41/100</f>
        <v>394.1766932302782</v>
      </c>
      <c r="Q41" s="759">
        <f>D41*G41/1000</f>
        <v>0</v>
      </c>
      <c r="R41" s="759">
        <f>D41*I41/1000</f>
        <v>0</v>
      </c>
      <c r="S41" s="759">
        <f>C41*J41/100</f>
        <v>3.6252230647019754</v>
      </c>
      <c r="T41" s="759">
        <f>C41*K41/100</f>
        <v>10.52198889511061</v>
      </c>
      <c r="U41" s="759">
        <f t="shared" si="34"/>
        <v>0</v>
      </c>
      <c r="V41" s="759">
        <f t="shared" si="35"/>
        <v>0</v>
      </c>
      <c r="W41" s="760">
        <f t="shared" si="36"/>
        <v>408.32390519009078</v>
      </c>
      <c r="X41" s="758"/>
    </row>
    <row r="42" spans="1:29" x14ac:dyDescent="0.3">
      <c r="B42" s="737" t="s">
        <v>355</v>
      </c>
      <c r="C42" s="756">
        <f>'MFR E-13c'!J330</f>
        <v>44809.763680166274</v>
      </c>
      <c r="D42" s="756">
        <f>'MFR E-13c'!J291</f>
        <v>108765.62464294641</v>
      </c>
      <c r="E42" s="757">
        <f>E18</f>
        <v>3.9350000000000001</v>
      </c>
      <c r="F42" s="763">
        <f t="shared" ref="F42:N43" si="38">F40</f>
        <v>0</v>
      </c>
      <c r="G42" s="846">
        <f t="shared" si="38"/>
        <v>0.78</v>
      </c>
      <c r="H42" s="763">
        <f t="shared" si="38"/>
        <v>0</v>
      </c>
      <c r="I42" s="846">
        <f t="shared" si="38"/>
        <v>0.78</v>
      </c>
      <c r="J42" s="763">
        <f t="shared" si="38"/>
        <v>4.1000000000000002E-2</v>
      </c>
      <c r="K42" s="763">
        <f t="shared" si="38"/>
        <v>0.11899999999999999</v>
      </c>
      <c r="L42" s="763">
        <f t="shared" si="38"/>
        <v>0</v>
      </c>
      <c r="M42" s="846">
        <f t="shared" si="38"/>
        <v>2.4500000000000002</v>
      </c>
      <c r="N42" s="763">
        <f t="shared" si="38"/>
        <v>0</v>
      </c>
      <c r="O42" s="758"/>
      <c r="P42" s="759">
        <f>C42*E42/100</f>
        <v>1763.2642008145431</v>
      </c>
      <c r="Q42" s="759">
        <f>D42*G42/1000</f>
        <v>84.837187221498198</v>
      </c>
      <c r="R42" s="759">
        <f>D42*I42/1000</f>
        <v>84.837187221498198</v>
      </c>
      <c r="S42" s="759">
        <f>C42*J42/100</f>
        <v>18.372003108868174</v>
      </c>
      <c r="T42" s="759">
        <f>C42*K42/100</f>
        <v>53.323618779397869</v>
      </c>
      <c r="U42" s="759">
        <f t="shared" si="34"/>
        <v>266.47578037521873</v>
      </c>
      <c r="V42" s="759">
        <f t="shared" si="35"/>
        <v>0</v>
      </c>
      <c r="W42" s="760">
        <f t="shared" si="36"/>
        <v>2271.1099775210246</v>
      </c>
      <c r="X42" s="758"/>
      <c r="AC42" s="761"/>
    </row>
    <row r="43" spans="1:29" x14ac:dyDescent="0.3">
      <c r="B43" s="737" t="s">
        <v>356</v>
      </c>
      <c r="C43" s="756">
        <f>'MFR E-13c'!J331</f>
        <v>12962.61357882923</v>
      </c>
      <c r="D43" s="737"/>
      <c r="E43" s="757">
        <f>E19</f>
        <v>3.6070000000000002</v>
      </c>
      <c r="F43" s="763">
        <f t="shared" si="38"/>
        <v>0</v>
      </c>
      <c r="G43" s="846">
        <f t="shared" si="38"/>
        <v>0.78</v>
      </c>
      <c r="H43" s="763">
        <f t="shared" si="38"/>
        <v>0</v>
      </c>
      <c r="I43" s="846">
        <f t="shared" si="38"/>
        <v>0.78</v>
      </c>
      <c r="J43" s="763">
        <f t="shared" si="38"/>
        <v>4.1000000000000002E-2</v>
      </c>
      <c r="K43" s="763">
        <f t="shared" si="38"/>
        <v>0.11899999999999999</v>
      </c>
      <c r="L43" s="763">
        <f t="shared" si="38"/>
        <v>0</v>
      </c>
      <c r="M43" s="846">
        <f t="shared" si="38"/>
        <v>2.4500000000000002</v>
      </c>
      <c r="N43" s="763">
        <f t="shared" si="38"/>
        <v>0</v>
      </c>
      <c r="O43" s="758"/>
      <c r="P43" s="759">
        <f>C43*E43/100</f>
        <v>467.5614717883704</v>
      </c>
      <c r="Q43" s="759">
        <f>D43*G43/1000</f>
        <v>0</v>
      </c>
      <c r="R43" s="759">
        <f>D43*I43/1000</f>
        <v>0</v>
      </c>
      <c r="S43" s="759">
        <f>C43*J43/100</f>
        <v>5.3146715673199845</v>
      </c>
      <c r="T43" s="759">
        <f>C43*K43/100</f>
        <v>15.425510158806782</v>
      </c>
      <c r="U43" s="759">
        <f t="shared" si="34"/>
        <v>0</v>
      </c>
      <c r="V43" s="759">
        <f t="shared" si="35"/>
        <v>0</v>
      </c>
      <c r="W43" s="760">
        <f t="shared" si="36"/>
        <v>488.30165351449716</v>
      </c>
      <c r="X43" s="758"/>
      <c r="Y43" s="754">
        <f>'MFR E-13a'!H22+'MFR E-13a'!H26</f>
        <v>10781.608038520231</v>
      </c>
      <c r="Z43" s="754">
        <f>'MFR E-13a'!L22+'MFR E-13a'!L26</f>
        <v>11211.464915326695</v>
      </c>
      <c r="AA43" s="754">
        <f>(Y43+SUM($W$39:$W$43)+SUM($W$65:$W$65)+SUM($W$87:$W$93))</f>
        <v>20774.435837593064</v>
      </c>
      <c r="AB43" s="741">
        <f>(Z43+SUM($W$39:$W$43)+SUM($W$65:$W$65)+SUM($W$87:$W$93))</f>
        <v>21204.292714399526</v>
      </c>
      <c r="AC43" s="1242">
        <f>+((AB43)-(AA43))/(AA43)</f>
        <v>2.0691626967245958E-2</v>
      </c>
    </row>
    <row r="44" spans="1:29" x14ac:dyDescent="0.3">
      <c r="C44" s="756"/>
      <c r="D44" s="737"/>
      <c r="E44" s="763"/>
      <c r="F44" s="763"/>
      <c r="G44" s="846"/>
      <c r="H44" s="763"/>
      <c r="I44" s="846"/>
      <c r="J44" s="763"/>
      <c r="K44" s="763"/>
      <c r="L44" s="763"/>
      <c r="M44" s="846"/>
      <c r="N44" s="763"/>
      <c r="O44" s="758"/>
      <c r="X44" s="758"/>
    </row>
    <row r="45" spans="1:29" x14ac:dyDescent="0.3">
      <c r="A45" s="739" t="s">
        <v>273</v>
      </c>
      <c r="B45" s="737" t="s">
        <v>347</v>
      </c>
      <c r="C45" s="756">
        <f>'MFR E-13c'!J420</f>
        <v>19461.100774819202</v>
      </c>
      <c r="D45" s="756">
        <f>'MFR E-13c'!J379</f>
        <v>67319.505608535808</v>
      </c>
      <c r="E45" s="757">
        <f t="shared" ref="E45:E55" si="39">E12</f>
        <v>3.9990000000000001</v>
      </c>
      <c r="F45" s="763">
        <f>+'BA-1 Rates Forecast'!G30</f>
        <v>0</v>
      </c>
      <c r="G45" s="846">
        <f>+'BA-1 Rates Forecast'!H30</f>
        <v>0.76</v>
      </c>
      <c r="H45" s="763">
        <f>+'BA-1 Rates Forecast'!I30</f>
        <v>0</v>
      </c>
      <c r="I45" s="846">
        <f>+'BA-1 Rates Forecast'!J30</f>
        <v>0.85</v>
      </c>
      <c r="J45" s="763">
        <f>+'BA-1 Rates Forecast'!K30</f>
        <v>4.1000000000000002E-2</v>
      </c>
      <c r="K45" s="763">
        <f>+'BA-1 Rates Forecast'!L30</f>
        <v>0.14299999999999999</v>
      </c>
      <c r="L45" s="763">
        <f>+'BA-1 Rates Forecast'!M30</f>
        <v>0</v>
      </c>
      <c r="M45" s="846">
        <f>+'BA-1 Rates Forecast'!N30</f>
        <v>1.71</v>
      </c>
      <c r="N45" s="763">
        <f>+'BA-1 Rates Forecast'!O30</f>
        <v>0</v>
      </c>
      <c r="O45" s="758"/>
      <c r="P45" s="759">
        <f t="shared" ref="P45:P55" si="40">C45*E45/100</f>
        <v>778.24941998501993</v>
      </c>
      <c r="Q45" s="759">
        <f t="shared" ref="Q45:Q55" si="41">D45*G45/1000</f>
        <v>51.162824262487213</v>
      </c>
      <c r="R45" s="759">
        <f t="shared" ref="R45:R55" si="42">D45*I45/1000</f>
        <v>57.221579767255434</v>
      </c>
      <c r="S45" s="759">
        <f t="shared" ref="S45:S55" si="43">C45*J45/100</f>
        <v>7.9790513176758733</v>
      </c>
      <c r="T45" s="759">
        <f t="shared" ref="T45:T55" si="44">C45*K45/100</f>
        <v>27.829374107991455</v>
      </c>
      <c r="U45" s="759">
        <f t="shared" ref="U45:U55" si="45">D45*M45/1000</f>
        <v>115.11635459059622</v>
      </c>
      <c r="V45" s="759">
        <f t="shared" ref="V45:V55" si="46">C45*N45/100</f>
        <v>0</v>
      </c>
      <c r="W45" s="760">
        <f t="shared" ref="W45:W55" si="47">SUM(P45:V45)</f>
        <v>1037.5586040310261</v>
      </c>
      <c r="X45" s="758"/>
    </row>
    <row r="46" spans="1:29" x14ac:dyDescent="0.3">
      <c r="B46" s="737" t="s">
        <v>350</v>
      </c>
      <c r="C46" s="756">
        <f>'MFR E-13c'!J425</f>
        <v>45090.427942644761</v>
      </c>
      <c r="D46" s="737"/>
      <c r="E46" s="757">
        <f t="shared" si="39"/>
        <v>4.5030000000000001</v>
      </c>
      <c r="F46" s="763">
        <f t="shared" ref="F46:N46" si="48">+F45</f>
        <v>0</v>
      </c>
      <c r="G46" s="846">
        <f t="shared" si="48"/>
        <v>0.76</v>
      </c>
      <c r="H46" s="763">
        <f t="shared" si="48"/>
        <v>0</v>
      </c>
      <c r="I46" s="846">
        <f t="shared" si="48"/>
        <v>0.85</v>
      </c>
      <c r="J46" s="763">
        <f t="shared" si="48"/>
        <v>4.1000000000000002E-2</v>
      </c>
      <c r="K46" s="763">
        <f t="shared" si="48"/>
        <v>0.14299999999999999</v>
      </c>
      <c r="L46" s="763">
        <f t="shared" si="48"/>
        <v>0</v>
      </c>
      <c r="M46" s="846">
        <f t="shared" si="48"/>
        <v>1.71</v>
      </c>
      <c r="N46" s="763">
        <f t="shared" si="48"/>
        <v>0</v>
      </c>
      <c r="O46" s="758"/>
      <c r="P46" s="759">
        <f t="shared" si="40"/>
        <v>2030.4219702572937</v>
      </c>
      <c r="Q46" s="759">
        <f t="shared" si="41"/>
        <v>0</v>
      </c>
      <c r="R46" s="759">
        <f t="shared" si="42"/>
        <v>0</v>
      </c>
      <c r="S46" s="759">
        <f t="shared" si="43"/>
        <v>18.487075456484355</v>
      </c>
      <c r="T46" s="759">
        <f t="shared" si="44"/>
        <v>64.479311957982006</v>
      </c>
      <c r="U46" s="759">
        <f t="shared" si="45"/>
        <v>0</v>
      </c>
      <c r="V46" s="759">
        <f t="shared" si="46"/>
        <v>0</v>
      </c>
      <c r="W46" s="760">
        <f t="shared" si="47"/>
        <v>2113.3883576717603</v>
      </c>
      <c r="X46" s="758"/>
    </row>
    <row r="47" spans="1:29" x14ac:dyDescent="0.3">
      <c r="B47" s="737" t="s">
        <v>351</v>
      </c>
      <c r="C47" s="756">
        <f>'MFR E-13c'!J426</f>
        <v>242327.11690325302</v>
      </c>
      <c r="D47" s="756">
        <f>'MFR E-13c'!J386</f>
        <v>634911.21995928185</v>
      </c>
      <c r="E47" s="757">
        <f t="shared" si="39"/>
        <v>3.9750000000000001</v>
      </c>
      <c r="F47" s="763">
        <f t="shared" ref="F47:N48" si="49">+F45</f>
        <v>0</v>
      </c>
      <c r="G47" s="846">
        <f t="shared" si="49"/>
        <v>0.76</v>
      </c>
      <c r="H47" s="763">
        <f t="shared" si="49"/>
        <v>0</v>
      </c>
      <c r="I47" s="846">
        <f t="shared" si="49"/>
        <v>0.85</v>
      </c>
      <c r="J47" s="763">
        <f t="shared" si="49"/>
        <v>4.1000000000000002E-2</v>
      </c>
      <c r="K47" s="763">
        <f t="shared" si="49"/>
        <v>0.14299999999999999</v>
      </c>
      <c r="L47" s="763">
        <f t="shared" si="49"/>
        <v>0</v>
      </c>
      <c r="M47" s="846">
        <f t="shared" si="49"/>
        <v>1.71</v>
      </c>
      <c r="N47" s="763">
        <f t="shared" si="49"/>
        <v>0</v>
      </c>
      <c r="O47" s="758"/>
      <c r="P47" s="759">
        <f t="shared" si="40"/>
        <v>9632.5028969043069</v>
      </c>
      <c r="Q47" s="759">
        <f t="shared" si="41"/>
        <v>482.53252716905422</v>
      </c>
      <c r="R47" s="759">
        <f t="shared" si="42"/>
        <v>539.67453696538951</v>
      </c>
      <c r="S47" s="759">
        <f t="shared" si="43"/>
        <v>99.354117930333743</v>
      </c>
      <c r="T47" s="759">
        <f t="shared" si="44"/>
        <v>346.52777717165173</v>
      </c>
      <c r="U47" s="759">
        <f t="shared" si="45"/>
        <v>1085.6981861303718</v>
      </c>
      <c r="V47" s="759">
        <f t="shared" si="46"/>
        <v>0</v>
      </c>
      <c r="W47" s="760">
        <f t="shared" si="47"/>
        <v>12186.290042271108</v>
      </c>
      <c r="X47" s="758"/>
    </row>
    <row r="48" spans="1:29" x14ac:dyDescent="0.3">
      <c r="B48" s="737" t="s">
        <v>352</v>
      </c>
      <c r="C48" s="756">
        <f>'MFR E-13c'!J427</f>
        <v>66560.973895116738</v>
      </c>
      <c r="D48" s="737"/>
      <c r="E48" s="757">
        <f t="shared" si="39"/>
        <v>3.6429999999999998</v>
      </c>
      <c r="F48" s="763">
        <f t="shared" si="49"/>
        <v>0</v>
      </c>
      <c r="G48" s="846">
        <f t="shared" si="49"/>
        <v>0.76</v>
      </c>
      <c r="H48" s="763">
        <f t="shared" si="49"/>
        <v>0</v>
      </c>
      <c r="I48" s="846">
        <f t="shared" si="49"/>
        <v>0.85</v>
      </c>
      <c r="J48" s="763">
        <f t="shared" si="49"/>
        <v>4.1000000000000002E-2</v>
      </c>
      <c r="K48" s="763">
        <f t="shared" si="49"/>
        <v>0.14299999999999999</v>
      </c>
      <c r="L48" s="763">
        <f t="shared" si="49"/>
        <v>0</v>
      </c>
      <c r="M48" s="846">
        <f t="shared" si="49"/>
        <v>1.71</v>
      </c>
      <c r="N48" s="763">
        <f t="shared" si="49"/>
        <v>0</v>
      </c>
      <c r="O48" s="758"/>
      <c r="P48" s="759">
        <f t="shared" si="40"/>
        <v>2424.8162789991025</v>
      </c>
      <c r="Q48" s="759">
        <f t="shared" si="41"/>
        <v>0</v>
      </c>
      <c r="R48" s="759">
        <f t="shared" si="42"/>
        <v>0</v>
      </c>
      <c r="S48" s="759">
        <f t="shared" si="43"/>
        <v>27.289999296997863</v>
      </c>
      <c r="T48" s="759">
        <f t="shared" si="44"/>
        <v>95.182192670016917</v>
      </c>
      <c r="U48" s="759">
        <f t="shared" si="45"/>
        <v>0</v>
      </c>
      <c r="V48" s="759">
        <f t="shared" si="46"/>
        <v>0</v>
      </c>
      <c r="W48" s="760">
        <f t="shared" si="47"/>
        <v>2547.2884709661171</v>
      </c>
      <c r="X48" s="758"/>
    </row>
    <row r="49" spans="1:29" x14ac:dyDescent="0.3">
      <c r="B49" s="737" t="s">
        <v>353</v>
      </c>
      <c r="C49" s="756">
        <f>'MFR E-13c'!J421</f>
        <v>138287.6718135977</v>
      </c>
      <c r="D49" s="756">
        <f>'MFR E-13c'!J380</f>
        <v>346466.63298563985</v>
      </c>
      <c r="E49" s="757">
        <f t="shared" si="39"/>
        <v>3.9590000000000001</v>
      </c>
      <c r="F49" s="763">
        <f>+'BA-1 Rates Forecast'!G31</f>
        <v>0</v>
      </c>
      <c r="G49" s="846">
        <f>+'BA-1 Rates Forecast'!H31</f>
        <v>0.75</v>
      </c>
      <c r="H49" s="763">
        <f>+'BA-1 Rates Forecast'!I31</f>
        <v>0</v>
      </c>
      <c r="I49" s="846">
        <f>+'BA-1 Rates Forecast'!J31</f>
        <v>0.84</v>
      </c>
      <c r="J49" s="763">
        <f>+'BA-1 Rates Forecast'!K31</f>
        <v>4.1000000000000002E-2</v>
      </c>
      <c r="K49" s="763">
        <f>+'BA-1 Rates Forecast'!L31</f>
        <v>0.14199999999999999</v>
      </c>
      <c r="L49" s="763">
        <f>+'BA-1 Rates Forecast'!M31</f>
        <v>0</v>
      </c>
      <c r="M49" s="846">
        <f>+'BA-1 Rates Forecast'!N31</f>
        <v>1.4</v>
      </c>
      <c r="N49" s="763">
        <f>+'BA-1 Rates Forecast'!O31</f>
        <v>0</v>
      </c>
      <c r="O49" s="758"/>
      <c r="P49" s="759">
        <f t="shared" si="40"/>
        <v>5474.8089271003337</v>
      </c>
      <c r="Q49" s="759">
        <f t="shared" si="41"/>
        <v>259.84997473922988</v>
      </c>
      <c r="R49" s="759">
        <f t="shared" si="42"/>
        <v>291.03197170793749</v>
      </c>
      <c r="S49" s="759">
        <f t="shared" si="43"/>
        <v>56.697945443575065</v>
      </c>
      <c r="T49" s="759">
        <f t="shared" si="44"/>
        <v>196.3684939753087</v>
      </c>
      <c r="U49" s="759">
        <f t="shared" si="45"/>
        <v>485.05328617989574</v>
      </c>
      <c r="V49" s="759">
        <f t="shared" si="46"/>
        <v>0</v>
      </c>
      <c r="W49" s="760">
        <f t="shared" si="47"/>
        <v>6763.8105991462799</v>
      </c>
      <c r="X49" s="758"/>
    </row>
    <row r="50" spans="1:29" x14ac:dyDescent="0.3">
      <c r="B50" s="737" t="s">
        <v>354</v>
      </c>
      <c r="C50" s="756">
        <f>'MFR E-13c'!J429</f>
        <v>137455.52596349793</v>
      </c>
      <c r="D50" s="737"/>
      <c r="E50" s="757">
        <f t="shared" si="39"/>
        <v>4.4580000000000002</v>
      </c>
      <c r="F50" s="763">
        <f t="shared" ref="F50:N50" si="50">+F49</f>
        <v>0</v>
      </c>
      <c r="G50" s="846">
        <f t="shared" si="50"/>
        <v>0.75</v>
      </c>
      <c r="H50" s="763">
        <f t="shared" si="50"/>
        <v>0</v>
      </c>
      <c r="I50" s="846">
        <f t="shared" si="50"/>
        <v>0.84</v>
      </c>
      <c r="J50" s="763">
        <f t="shared" si="50"/>
        <v>4.1000000000000002E-2</v>
      </c>
      <c r="K50" s="763">
        <f t="shared" si="50"/>
        <v>0.14199999999999999</v>
      </c>
      <c r="L50" s="763">
        <f t="shared" si="50"/>
        <v>0</v>
      </c>
      <c r="M50" s="846">
        <f t="shared" si="50"/>
        <v>1.4</v>
      </c>
      <c r="N50" s="763">
        <f t="shared" si="50"/>
        <v>0</v>
      </c>
      <c r="O50" s="758"/>
      <c r="P50" s="759">
        <f t="shared" si="40"/>
        <v>6127.7673474527382</v>
      </c>
      <c r="Q50" s="759">
        <f t="shared" si="41"/>
        <v>0</v>
      </c>
      <c r="R50" s="759">
        <f t="shared" si="42"/>
        <v>0</v>
      </c>
      <c r="S50" s="759">
        <f t="shared" si="43"/>
        <v>56.356765645034159</v>
      </c>
      <c r="T50" s="759">
        <f t="shared" si="44"/>
        <v>195.18684686816704</v>
      </c>
      <c r="U50" s="759">
        <f t="shared" si="45"/>
        <v>0</v>
      </c>
      <c r="V50" s="759">
        <f t="shared" si="46"/>
        <v>0</v>
      </c>
      <c r="W50" s="760">
        <f t="shared" si="47"/>
        <v>6379.3109599659392</v>
      </c>
      <c r="X50" s="758"/>
    </row>
    <row r="51" spans="1:29" x14ac:dyDescent="0.3">
      <c r="B51" s="737" t="s">
        <v>355</v>
      </c>
      <c r="C51" s="756">
        <f>'MFR E-13c'!J430</f>
        <v>717950.53059065668</v>
      </c>
      <c r="D51" s="756">
        <f>'MFR E-13c'!J390</f>
        <v>2638947.7404091447</v>
      </c>
      <c r="E51" s="757">
        <f t="shared" si="39"/>
        <v>3.9350000000000001</v>
      </c>
      <c r="F51" s="763">
        <f t="shared" ref="F51:N52" si="51">+F49</f>
        <v>0</v>
      </c>
      <c r="G51" s="846">
        <f t="shared" si="51"/>
        <v>0.75</v>
      </c>
      <c r="H51" s="763">
        <f t="shared" si="51"/>
        <v>0</v>
      </c>
      <c r="I51" s="846">
        <f t="shared" si="51"/>
        <v>0.84</v>
      </c>
      <c r="J51" s="763">
        <f t="shared" si="51"/>
        <v>4.1000000000000002E-2</v>
      </c>
      <c r="K51" s="763">
        <f t="shared" si="51"/>
        <v>0.14199999999999999</v>
      </c>
      <c r="L51" s="763">
        <f t="shared" si="51"/>
        <v>0</v>
      </c>
      <c r="M51" s="846">
        <f t="shared" si="51"/>
        <v>1.4</v>
      </c>
      <c r="N51" s="763">
        <f t="shared" si="51"/>
        <v>0</v>
      </c>
      <c r="O51" s="758"/>
      <c r="P51" s="759">
        <f t="shared" si="40"/>
        <v>28251.35337874234</v>
      </c>
      <c r="Q51" s="759">
        <f t="shared" si="41"/>
        <v>1979.2108053068584</v>
      </c>
      <c r="R51" s="759">
        <f t="shared" si="42"/>
        <v>2216.7161019436817</v>
      </c>
      <c r="S51" s="759">
        <f t="shared" si="43"/>
        <v>294.35971754216922</v>
      </c>
      <c r="T51" s="759">
        <f t="shared" si="44"/>
        <v>1019.4897534387325</v>
      </c>
      <c r="U51" s="759">
        <f t="shared" si="45"/>
        <v>3694.526836572802</v>
      </c>
      <c r="V51" s="759">
        <f t="shared" si="46"/>
        <v>0</v>
      </c>
      <c r="W51" s="760">
        <f t="shared" si="47"/>
        <v>37455.656593546591</v>
      </c>
      <c r="X51" s="758"/>
    </row>
    <row r="52" spans="1:29" x14ac:dyDescent="0.3">
      <c r="B52" s="737" t="s">
        <v>356</v>
      </c>
      <c r="C52" s="756">
        <f>'MFR E-13c'!J431</f>
        <v>219541.19531902435</v>
      </c>
      <c r="D52" s="737"/>
      <c r="E52" s="757">
        <f t="shared" si="39"/>
        <v>3.6070000000000002</v>
      </c>
      <c r="F52" s="763">
        <f t="shared" si="51"/>
        <v>0</v>
      </c>
      <c r="G52" s="846">
        <f t="shared" si="51"/>
        <v>0.75</v>
      </c>
      <c r="H52" s="763">
        <f t="shared" si="51"/>
        <v>0</v>
      </c>
      <c r="I52" s="846">
        <f t="shared" si="51"/>
        <v>0.84</v>
      </c>
      <c r="J52" s="763">
        <f t="shared" si="51"/>
        <v>4.1000000000000002E-2</v>
      </c>
      <c r="K52" s="763">
        <f t="shared" si="51"/>
        <v>0.14199999999999999</v>
      </c>
      <c r="L52" s="763">
        <f t="shared" si="51"/>
        <v>0</v>
      </c>
      <c r="M52" s="846">
        <f t="shared" si="51"/>
        <v>1.4</v>
      </c>
      <c r="N52" s="763">
        <f t="shared" si="51"/>
        <v>0</v>
      </c>
      <c r="O52" s="758"/>
      <c r="P52" s="759">
        <f t="shared" si="40"/>
        <v>7918.850915157208</v>
      </c>
      <c r="Q52" s="759">
        <f t="shared" si="41"/>
        <v>0</v>
      </c>
      <c r="R52" s="759">
        <f t="shared" si="42"/>
        <v>0</v>
      </c>
      <c r="S52" s="759">
        <f t="shared" si="43"/>
        <v>90.011890080799986</v>
      </c>
      <c r="T52" s="759">
        <f t="shared" si="44"/>
        <v>311.74849735301456</v>
      </c>
      <c r="U52" s="759">
        <f t="shared" si="45"/>
        <v>0</v>
      </c>
      <c r="V52" s="759">
        <f t="shared" si="46"/>
        <v>0</v>
      </c>
      <c r="W52" s="760">
        <f t="shared" si="47"/>
        <v>8320.6113025910236</v>
      </c>
      <c r="X52" s="758"/>
    </row>
    <row r="53" spans="1:29" x14ac:dyDescent="0.3">
      <c r="B53" s="737" t="s">
        <v>357</v>
      </c>
      <c r="C53" s="756">
        <f>'MFR E-13c'!J433</f>
        <v>121461.77740279508</v>
      </c>
      <c r="D53" s="764"/>
      <c r="E53" s="757">
        <f t="shared" si="39"/>
        <v>4.4130000000000003</v>
      </c>
      <c r="F53" s="763">
        <f>+'BA-1 Rates Forecast'!G32</f>
        <v>0</v>
      </c>
      <c r="G53" s="846">
        <f>+'BA-1 Rates Forecast'!H32</f>
        <v>0.74</v>
      </c>
      <c r="H53" s="763">
        <f>+'BA-1 Rates Forecast'!I32</f>
        <v>0</v>
      </c>
      <c r="I53" s="846">
        <f>+'BA-1 Rates Forecast'!J32</f>
        <v>0.83</v>
      </c>
      <c r="J53" s="763">
        <f>+'BA-1 Rates Forecast'!K32</f>
        <v>0.04</v>
      </c>
      <c r="K53" s="763">
        <f>+'BA-1 Rates Forecast'!L32</f>
        <v>0.14000000000000001</v>
      </c>
      <c r="L53" s="763">
        <f>+'BA-1 Rates Forecast'!M32</f>
        <v>0</v>
      </c>
      <c r="M53" s="846">
        <f>+'BA-1 Rates Forecast'!N32</f>
        <v>0.28999999999999998</v>
      </c>
      <c r="N53" s="763">
        <f>+'BA-1 Rates Forecast'!O32</f>
        <v>0</v>
      </c>
      <c r="O53" s="758"/>
      <c r="P53" s="759">
        <f t="shared" si="40"/>
        <v>5360.1082367853469</v>
      </c>
      <c r="Q53" s="759">
        <f t="shared" si="41"/>
        <v>0</v>
      </c>
      <c r="R53" s="759">
        <f t="shared" si="42"/>
        <v>0</v>
      </c>
      <c r="S53" s="759">
        <f t="shared" si="43"/>
        <v>48.584710961118034</v>
      </c>
      <c r="T53" s="759">
        <f t="shared" si="44"/>
        <v>170.04648836391311</v>
      </c>
      <c r="U53" s="759">
        <f t="shared" si="45"/>
        <v>0</v>
      </c>
      <c r="V53" s="759">
        <f t="shared" si="46"/>
        <v>0</v>
      </c>
      <c r="W53" s="760">
        <f t="shared" si="47"/>
        <v>5578.7394361103779</v>
      </c>
      <c r="X53" s="758"/>
    </row>
    <row r="54" spans="1:29" x14ac:dyDescent="0.3">
      <c r="B54" s="737" t="s">
        <v>358</v>
      </c>
      <c r="C54" s="756">
        <f>'MFR E-13c'!J434</f>
        <v>641643.93823952379</v>
      </c>
      <c r="D54" s="764">
        <f>'MFR E-13c'!J396</f>
        <v>2442122.169550058</v>
      </c>
      <c r="E54" s="757">
        <f t="shared" si="39"/>
        <v>3.895</v>
      </c>
      <c r="F54" s="763">
        <f t="shared" ref="F54:N55" si="52">+F53</f>
        <v>0</v>
      </c>
      <c r="G54" s="846">
        <f t="shared" si="52"/>
        <v>0.74</v>
      </c>
      <c r="H54" s="763">
        <f t="shared" si="52"/>
        <v>0</v>
      </c>
      <c r="I54" s="846">
        <f t="shared" si="52"/>
        <v>0.83</v>
      </c>
      <c r="J54" s="763">
        <f t="shared" si="52"/>
        <v>0.04</v>
      </c>
      <c r="K54" s="763">
        <f t="shared" si="52"/>
        <v>0.14000000000000001</v>
      </c>
      <c r="L54" s="763">
        <f t="shared" si="52"/>
        <v>0</v>
      </c>
      <c r="M54" s="846">
        <f t="shared" si="52"/>
        <v>0.28999999999999998</v>
      </c>
      <c r="N54" s="763">
        <f t="shared" si="52"/>
        <v>0</v>
      </c>
      <c r="O54" s="758"/>
      <c r="P54" s="759">
        <f t="shared" si="40"/>
        <v>24992.031394429454</v>
      </c>
      <c r="Q54" s="759">
        <f t="shared" si="41"/>
        <v>1807.1704054670429</v>
      </c>
      <c r="R54" s="759">
        <f t="shared" si="42"/>
        <v>2026.9614007265479</v>
      </c>
      <c r="S54" s="759">
        <f t="shared" si="43"/>
        <v>256.65757529580952</v>
      </c>
      <c r="T54" s="759">
        <f t="shared" si="44"/>
        <v>898.30151353533336</v>
      </c>
      <c r="U54" s="759">
        <f t="shared" si="45"/>
        <v>708.21542916951682</v>
      </c>
      <c r="V54" s="759">
        <f t="shared" si="46"/>
        <v>0</v>
      </c>
      <c r="W54" s="760">
        <f t="shared" si="47"/>
        <v>30689.337718623705</v>
      </c>
      <c r="X54" s="758"/>
      <c r="AC54" s="761"/>
    </row>
    <row r="55" spans="1:29" x14ac:dyDescent="0.3">
      <c r="B55" s="737" t="s">
        <v>359</v>
      </c>
      <c r="C55" s="756">
        <f>'MFR E-13c'!J435</f>
        <v>216017.09505103741</v>
      </c>
      <c r="D55" s="737"/>
      <c r="E55" s="757">
        <f t="shared" si="39"/>
        <v>3.57</v>
      </c>
      <c r="F55" s="763">
        <f t="shared" si="52"/>
        <v>0</v>
      </c>
      <c r="G55" s="846">
        <f t="shared" si="52"/>
        <v>0.74</v>
      </c>
      <c r="H55" s="763">
        <f t="shared" si="52"/>
        <v>0</v>
      </c>
      <c r="I55" s="846">
        <f t="shared" si="52"/>
        <v>0.83</v>
      </c>
      <c r="J55" s="763">
        <f t="shared" si="52"/>
        <v>0.04</v>
      </c>
      <c r="K55" s="763">
        <f t="shared" si="52"/>
        <v>0.14000000000000001</v>
      </c>
      <c r="L55" s="763">
        <f t="shared" si="52"/>
        <v>0</v>
      </c>
      <c r="M55" s="846">
        <f t="shared" si="52"/>
        <v>0.28999999999999998</v>
      </c>
      <c r="N55" s="763">
        <f t="shared" si="52"/>
        <v>0</v>
      </c>
      <c r="O55" s="758"/>
      <c r="P55" s="759">
        <f t="shared" si="40"/>
        <v>7711.8102933220352</v>
      </c>
      <c r="Q55" s="759">
        <f t="shared" si="41"/>
        <v>0</v>
      </c>
      <c r="R55" s="759">
        <f t="shared" si="42"/>
        <v>0</v>
      </c>
      <c r="S55" s="759">
        <f t="shared" si="43"/>
        <v>86.406838020414966</v>
      </c>
      <c r="T55" s="759">
        <f t="shared" si="44"/>
        <v>302.42393307145244</v>
      </c>
      <c r="U55" s="759">
        <f t="shared" si="45"/>
        <v>0</v>
      </c>
      <c r="V55" s="759">
        <f t="shared" si="46"/>
        <v>0</v>
      </c>
      <c r="W55" s="760">
        <f t="shared" si="47"/>
        <v>8100.6410644139032</v>
      </c>
      <c r="X55" s="758"/>
      <c r="Y55" s="754">
        <f>'MFR E-13a'!H23+'MFR E-13a'!H25</f>
        <v>100848.03105497734</v>
      </c>
      <c r="Z55" s="754">
        <f>'MFR E-13a'!L23+'MFR E-13a'!L25</f>
        <v>104937.98781060688</v>
      </c>
      <c r="AA55" s="754">
        <f>(Y55+SUM($W$45:$W$55)+SUM($W$62:$W$63)+SUM($W$78:$W$84))</f>
        <v>224814.46555171363</v>
      </c>
      <c r="AB55" s="741">
        <f>(Z55+SUM($W$45:$W$55)+SUM($W$62:$W$63)+SUM($W$78:$W$84))</f>
        <v>228904.42230734319</v>
      </c>
      <c r="AC55" s="1242">
        <f>+((AB55)-(AA55))/(AA55)</f>
        <v>1.8192587143324911E-2</v>
      </c>
    </row>
    <row r="56" spans="1:29" x14ac:dyDescent="0.3">
      <c r="C56" s="756"/>
      <c r="D56" s="737"/>
      <c r="E56" s="757"/>
      <c r="F56" s="763"/>
      <c r="G56" s="846"/>
      <c r="H56" s="763"/>
      <c r="I56" s="763"/>
      <c r="J56" s="763"/>
      <c r="K56" s="763"/>
      <c r="L56" s="763"/>
      <c r="M56" s="846"/>
      <c r="N56" s="763"/>
      <c r="O56" s="758"/>
      <c r="P56" s="759"/>
      <c r="Q56" s="759"/>
      <c r="R56" s="759"/>
      <c r="S56" s="759"/>
      <c r="T56" s="759"/>
      <c r="U56" s="759"/>
      <c r="V56" s="759"/>
      <c r="W56" s="760"/>
      <c r="X56" s="758"/>
      <c r="AC56" s="761"/>
    </row>
    <row r="57" spans="1:29" x14ac:dyDescent="0.3">
      <c r="A57" s="739" t="s">
        <v>274</v>
      </c>
      <c r="B57" s="737" t="s">
        <v>149</v>
      </c>
      <c r="C57" s="756">
        <f>'MFR E-13c'!J473</f>
        <v>334101.01510327338</v>
      </c>
      <c r="D57" s="737"/>
      <c r="E57" s="757">
        <f>+'BA-1 Rates Forecast'!C34</f>
        <v>3.9180000000000001</v>
      </c>
      <c r="F57" s="757">
        <f>+'BA-1 Rates Forecast'!G34</f>
        <v>0.11700000000000001</v>
      </c>
      <c r="G57" s="845">
        <f>+'BA-1 Rates Forecast'!H34</f>
        <v>0</v>
      </c>
      <c r="H57" s="757">
        <f>+'BA-1 Rates Forecast'!I34</f>
        <v>0.108</v>
      </c>
      <c r="I57" s="757">
        <f>+'BA-1 Rates Forecast'!J34</f>
        <v>0</v>
      </c>
      <c r="J57" s="757">
        <f>+'BA-1 Rates Forecast'!K34</f>
        <v>3.6999999999999998E-2</v>
      </c>
      <c r="K57" s="757">
        <f>+'BA-1 Rates Forecast'!L34</f>
        <v>5.6000000000000001E-2</v>
      </c>
      <c r="L57" s="757">
        <f>+'BA-1 Rates Forecast'!M34</f>
        <v>0.63800000000000001</v>
      </c>
      <c r="M57" s="845">
        <f>+'BA-1 Rates Forecast'!N34</f>
        <v>0</v>
      </c>
      <c r="N57" s="757">
        <f>+'BA-1 Rates Forecast'!O34</f>
        <v>0</v>
      </c>
      <c r="O57" s="758"/>
      <c r="P57" s="759">
        <f>C57*E57/100</f>
        <v>13090.077771746252</v>
      </c>
      <c r="Q57" s="759">
        <f>C57*F57/100</f>
        <v>390.89818767082988</v>
      </c>
      <c r="R57" s="759">
        <f>C57*H57/100</f>
        <v>360.82909631153524</v>
      </c>
      <c r="S57" s="759">
        <f>C57*J57/100</f>
        <v>123.61737558821115</v>
      </c>
      <c r="T57" s="759">
        <f>C57*K57/100</f>
        <v>187.09656845783309</v>
      </c>
      <c r="U57" s="759">
        <f t="shared" ref="U57" si="53">C57*L57/100</f>
        <v>2131.5644763588843</v>
      </c>
      <c r="V57" s="759">
        <f t="shared" ref="V57" si="54">C57*N57/100</f>
        <v>0</v>
      </c>
      <c r="W57" s="760">
        <f>SUM(P57:V57)</f>
        <v>16284.083476133546</v>
      </c>
      <c r="X57" s="758"/>
      <c r="Y57" s="754">
        <f>'MFR E-13a'!H27</f>
        <v>14930.794967272886</v>
      </c>
      <c r="Z57" s="754">
        <f>'MFR E-13a'!L27</f>
        <v>15535.653983553464</v>
      </c>
      <c r="AA57" s="754">
        <f>(Y57+$W$57)</f>
        <v>31214.878443406433</v>
      </c>
      <c r="AB57" s="741">
        <f>(Z57+$W$57)</f>
        <v>31819.73745968701</v>
      </c>
      <c r="AC57" s="1242">
        <f>+((AB57)-(AA57))/(AA57)</f>
        <v>1.9377266433287774E-2</v>
      </c>
    </row>
    <row r="58" spans="1:29" x14ac:dyDescent="0.3">
      <c r="C58" s="756"/>
      <c r="D58" s="737"/>
      <c r="E58" s="757"/>
      <c r="F58" s="757"/>
      <c r="G58" s="845"/>
      <c r="H58" s="757"/>
      <c r="I58" s="757"/>
      <c r="J58" s="757"/>
      <c r="K58" s="757"/>
      <c r="L58" s="757"/>
      <c r="M58" s="757"/>
      <c r="N58" s="757"/>
      <c r="O58" s="758"/>
      <c r="P58" s="759"/>
      <c r="Q58" s="759"/>
      <c r="R58" s="759"/>
      <c r="S58" s="759"/>
      <c r="T58" s="759"/>
      <c r="U58" s="759"/>
      <c r="V58" s="759"/>
      <c r="W58" s="760"/>
      <c r="X58" s="758"/>
      <c r="AC58" s="761"/>
    </row>
    <row r="59" spans="1:29" x14ac:dyDescent="0.3">
      <c r="A59" s="739" t="s">
        <v>138</v>
      </c>
      <c r="B59" s="737" t="s">
        <v>353</v>
      </c>
      <c r="C59" s="741">
        <f>'MFR E-13c'!J523</f>
        <v>59446.679428360243</v>
      </c>
      <c r="D59" s="766"/>
      <c r="E59" s="757">
        <f>E30</f>
        <v>3.9590000000000001</v>
      </c>
      <c r="F59" s="763">
        <f>F30</f>
        <v>0</v>
      </c>
      <c r="G59" s="846">
        <v>0</v>
      </c>
      <c r="H59" s="763">
        <f>H30</f>
        <v>0</v>
      </c>
      <c r="I59" s="846">
        <v>0</v>
      </c>
      <c r="J59" s="763">
        <f>J30</f>
        <v>4.2999999999999997E-2</v>
      </c>
      <c r="K59" s="763">
        <f>K30</f>
        <v>0.17399999999999999</v>
      </c>
      <c r="L59" s="763">
        <f t="shared" ref="L59:N59" si="55">L30</f>
        <v>0</v>
      </c>
      <c r="M59" s="846">
        <v>0</v>
      </c>
      <c r="N59" s="763">
        <f t="shared" si="55"/>
        <v>0</v>
      </c>
      <c r="O59" s="758"/>
      <c r="P59" s="759">
        <f>C59*E59/100</f>
        <v>2353.4940385687819</v>
      </c>
      <c r="Q59" s="759">
        <f>D59*G59/1000</f>
        <v>0</v>
      </c>
      <c r="R59" s="759">
        <f>D59*I59/1000</f>
        <v>0</v>
      </c>
      <c r="S59" s="759">
        <f>C59*J59/100</f>
        <v>25.562072154194901</v>
      </c>
      <c r="T59" s="759">
        <f>C59*K59/100</f>
        <v>103.43722220534681</v>
      </c>
      <c r="U59" s="759">
        <f>C59*L59/100</f>
        <v>0</v>
      </c>
      <c r="V59" s="759">
        <f t="shared" ref="V59:V60" si="56">C59*N59/100</f>
        <v>0</v>
      </c>
      <c r="W59" s="760">
        <f t="shared" ref="W59:W60" si="57">SUM(P59:V59)</f>
        <v>2482.4933329283235</v>
      </c>
      <c r="X59" s="758"/>
    </row>
    <row r="60" spans="1:29" x14ac:dyDescent="0.3">
      <c r="B60" s="737" t="s">
        <v>360</v>
      </c>
      <c r="C60" s="741">
        <f>'MFR E-13c'!J524</f>
        <v>5731.9040561084093</v>
      </c>
      <c r="E60" s="757">
        <f>E34</f>
        <v>4.4130000000000003</v>
      </c>
      <c r="F60" s="763">
        <f>F31</f>
        <v>0</v>
      </c>
      <c r="G60" s="846">
        <v>0</v>
      </c>
      <c r="H60" s="763">
        <f>H31</f>
        <v>0</v>
      </c>
      <c r="I60" s="846">
        <v>0</v>
      </c>
      <c r="J60" s="763">
        <f>J31</f>
        <v>4.2999999999999997E-2</v>
      </c>
      <c r="K60" s="763">
        <f>K31</f>
        <v>0.17399999999999999</v>
      </c>
      <c r="L60" s="763">
        <f>L31</f>
        <v>0</v>
      </c>
      <c r="M60" s="846">
        <v>0</v>
      </c>
      <c r="N60" s="763">
        <f>N31</f>
        <v>0</v>
      </c>
      <c r="O60" s="758"/>
      <c r="P60" s="759">
        <f>C60*E60/100</f>
        <v>252.94892599606413</v>
      </c>
      <c r="Q60" s="759">
        <f>D60*G60/1000</f>
        <v>0</v>
      </c>
      <c r="R60" s="759">
        <f>D60*I60/1000</f>
        <v>0</v>
      </c>
      <c r="S60" s="759">
        <f>C60*J60/100</f>
        <v>2.4647187441266158</v>
      </c>
      <c r="T60" s="759">
        <f>C60*K60/100</f>
        <v>9.9735130576286313</v>
      </c>
      <c r="U60" s="759">
        <f t="shared" ref="U60" si="58">C60*L60/100</f>
        <v>0</v>
      </c>
      <c r="V60" s="759">
        <f t="shared" si="56"/>
        <v>0</v>
      </c>
      <c r="W60" s="760">
        <f t="shared" si="57"/>
        <v>265.38715779781938</v>
      </c>
      <c r="X60" s="758"/>
    </row>
    <row r="61" spans="1:29" x14ac:dyDescent="0.3">
      <c r="E61" s="757"/>
      <c r="F61" s="763"/>
      <c r="G61" s="846"/>
      <c r="H61" s="763"/>
      <c r="I61" s="763"/>
      <c r="J61" s="763"/>
      <c r="K61" s="763"/>
      <c r="L61" s="763"/>
      <c r="M61" s="763"/>
      <c r="N61" s="763"/>
      <c r="O61" s="758"/>
      <c r="P61" s="759"/>
      <c r="Q61" s="759"/>
      <c r="R61" s="759"/>
      <c r="S61" s="759"/>
      <c r="T61" s="759"/>
      <c r="U61" s="759"/>
      <c r="V61" s="759"/>
      <c r="W61" s="760"/>
      <c r="X61" s="758"/>
    </row>
    <row r="62" spans="1:29" x14ac:dyDescent="0.3">
      <c r="A62" s="739" t="s">
        <v>140</v>
      </c>
      <c r="B62" s="737" t="s">
        <v>353</v>
      </c>
      <c r="C62" s="741">
        <f>'MFR E-13c'!J575</f>
        <v>53277.282498330424</v>
      </c>
      <c r="E62" s="757">
        <f>E59</f>
        <v>3.9590000000000001</v>
      </c>
      <c r="F62" s="763">
        <f>F49</f>
        <v>0</v>
      </c>
      <c r="G62" s="846">
        <v>0</v>
      </c>
      <c r="H62" s="763">
        <f>H49</f>
        <v>0</v>
      </c>
      <c r="I62" s="846">
        <v>0</v>
      </c>
      <c r="J62" s="763">
        <f t="shared" ref="J62:L63" si="59">J49</f>
        <v>4.1000000000000002E-2</v>
      </c>
      <c r="K62" s="763">
        <f t="shared" si="59"/>
        <v>0.14199999999999999</v>
      </c>
      <c r="L62" s="763">
        <f t="shared" si="59"/>
        <v>0</v>
      </c>
      <c r="M62" s="846">
        <v>0</v>
      </c>
      <c r="N62" s="763">
        <f>N49</f>
        <v>0</v>
      </c>
      <c r="O62" s="758"/>
      <c r="P62" s="759">
        <f>C62*E62/100</f>
        <v>2109.2476141089014</v>
      </c>
      <c r="Q62" s="759">
        <f>D62*G62/1000</f>
        <v>0</v>
      </c>
      <c r="R62" s="759">
        <f>D62*I62/1000</f>
        <v>0</v>
      </c>
      <c r="S62" s="759">
        <f>C62*J62/100</f>
        <v>21.843685824315475</v>
      </c>
      <c r="T62" s="759">
        <f>C62*K62/100</f>
        <v>75.653741147629205</v>
      </c>
      <c r="U62" s="759">
        <f t="shared" ref="U62:U63" si="60">C62*L62/100</f>
        <v>0</v>
      </c>
      <c r="V62" s="759">
        <f t="shared" ref="V62:V63" si="61">C62*N62/100</f>
        <v>0</v>
      </c>
      <c r="W62" s="760">
        <f t="shared" ref="W62:W63" si="62">SUM(P62:V62)</f>
        <v>2206.745041080846</v>
      </c>
      <c r="X62" s="758"/>
    </row>
    <row r="63" spans="1:29" x14ac:dyDescent="0.3">
      <c r="B63" s="737" t="s">
        <v>360</v>
      </c>
      <c r="C63" s="741">
        <f>'MFR E-13c'!J576</f>
        <v>2295.9171679622527</v>
      </c>
      <c r="E63" s="757">
        <f>E60</f>
        <v>4.4130000000000003</v>
      </c>
      <c r="F63" s="763">
        <f>F50</f>
        <v>0</v>
      </c>
      <c r="G63" s="846">
        <v>0</v>
      </c>
      <c r="H63" s="763">
        <f>H50</f>
        <v>0</v>
      </c>
      <c r="I63" s="846">
        <v>0</v>
      </c>
      <c r="J63" s="763">
        <f t="shared" si="59"/>
        <v>4.1000000000000002E-2</v>
      </c>
      <c r="K63" s="763">
        <f t="shared" si="59"/>
        <v>0.14199999999999999</v>
      </c>
      <c r="L63" s="763">
        <f t="shared" si="59"/>
        <v>0</v>
      </c>
      <c r="M63" s="846">
        <v>0</v>
      </c>
      <c r="N63" s="763">
        <f>N50</f>
        <v>0</v>
      </c>
      <c r="O63" s="758"/>
      <c r="P63" s="759">
        <f>C63*E63/100</f>
        <v>101.31882462217422</v>
      </c>
      <c r="Q63" s="759">
        <f>D63*G63/1000</f>
        <v>0</v>
      </c>
      <c r="R63" s="759">
        <f>D63*I63/1000</f>
        <v>0</v>
      </c>
      <c r="S63" s="759">
        <f>C63*J63/100</f>
        <v>0.94132603886452371</v>
      </c>
      <c r="T63" s="759">
        <f>C63*K63/100</f>
        <v>3.2602023785063987</v>
      </c>
      <c r="U63" s="759">
        <f t="shared" si="60"/>
        <v>0</v>
      </c>
      <c r="V63" s="759">
        <f t="shared" si="61"/>
        <v>0</v>
      </c>
      <c r="W63" s="760">
        <f t="shared" si="62"/>
        <v>105.52035303954513</v>
      </c>
      <c r="X63" s="758"/>
    </row>
    <row r="64" spans="1:29" x14ac:dyDescent="0.3">
      <c r="E64" s="757"/>
      <c r="F64" s="763"/>
      <c r="G64" s="846"/>
      <c r="H64" s="763"/>
      <c r="I64" s="763"/>
      <c r="J64" s="763"/>
      <c r="K64" s="763"/>
      <c r="L64" s="763"/>
      <c r="M64" s="763"/>
      <c r="N64" s="763"/>
      <c r="O64" s="758"/>
      <c r="P64" s="759"/>
      <c r="Q64" s="759"/>
      <c r="R64" s="759"/>
      <c r="S64" s="759"/>
      <c r="T64" s="759"/>
      <c r="U64" s="759"/>
      <c r="V64" s="759"/>
      <c r="W64" s="760"/>
      <c r="X64" s="758"/>
    </row>
    <row r="65" spans="1:31" x14ac:dyDescent="0.3">
      <c r="A65" s="739" t="s">
        <v>139</v>
      </c>
      <c r="B65" s="737" t="s">
        <v>353</v>
      </c>
      <c r="C65" s="741">
        <f>'MFR E-13c'!J626</f>
        <v>142794.18488681412</v>
      </c>
      <c r="E65" s="757">
        <f>E62</f>
        <v>3.9590000000000001</v>
      </c>
      <c r="F65" s="763">
        <v>0</v>
      </c>
      <c r="G65" s="846">
        <v>0</v>
      </c>
      <c r="H65" s="763">
        <v>0</v>
      </c>
      <c r="I65" s="763">
        <v>0</v>
      </c>
      <c r="J65" s="763">
        <f>J41</f>
        <v>4.1000000000000002E-2</v>
      </c>
      <c r="K65" s="763">
        <f>K41</f>
        <v>0.11899999999999999</v>
      </c>
      <c r="L65" s="763">
        <v>0</v>
      </c>
      <c r="M65" s="763">
        <v>0</v>
      </c>
      <c r="N65" s="763">
        <f>N41</f>
        <v>0</v>
      </c>
      <c r="O65" s="758"/>
      <c r="P65" s="759">
        <f>C65*E65/100</f>
        <v>5653.2217796689711</v>
      </c>
      <c r="Q65" s="759">
        <f>D65*G65/1000</f>
        <v>0</v>
      </c>
      <c r="R65" s="759">
        <f>C65*H65/1000</f>
        <v>0</v>
      </c>
      <c r="S65" s="759">
        <f>C65*J65/100</f>
        <v>58.54561580359379</v>
      </c>
      <c r="T65" s="759">
        <f>C65*K65/100</f>
        <v>169.92508001530882</v>
      </c>
      <c r="U65" s="759">
        <f t="shared" ref="U65" si="63">C65*L65/100</f>
        <v>0</v>
      </c>
      <c r="V65" s="759">
        <f t="shared" ref="V65" si="64">C65*N65/100</f>
        <v>0</v>
      </c>
      <c r="W65" s="760">
        <f>SUM(P65:V65)</f>
        <v>5881.6924754878737</v>
      </c>
      <c r="X65" s="758"/>
      <c r="Y65" s="737"/>
      <c r="Z65" s="737"/>
      <c r="AA65" s="737"/>
      <c r="AB65" s="737"/>
    </row>
    <row r="66" spans="1:31" x14ac:dyDescent="0.3">
      <c r="E66" s="757"/>
      <c r="F66" s="757"/>
      <c r="G66" s="763"/>
      <c r="H66" s="757"/>
      <c r="I66" s="757"/>
      <c r="J66" s="757"/>
      <c r="L66" s="757"/>
      <c r="M66" s="757"/>
      <c r="N66" s="757"/>
      <c r="O66" s="742"/>
      <c r="X66" s="742"/>
    </row>
    <row r="67" spans="1:31" x14ac:dyDescent="0.3">
      <c r="A67" s="765" t="s">
        <v>361</v>
      </c>
      <c r="E67" s="757"/>
      <c r="F67" s="757"/>
      <c r="G67" s="763"/>
      <c r="H67" s="757"/>
      <c r="I67" s="757"/>
      <c r="J67" s="757"/>
      <c r="L67" s="757"/>
      <c r="M67" s="757"/>
      <c r="N67" s="757"/>
      <c r="O67" s="742"/>
      <c r="X67" s="742"/>
    </row>
    <row r="68" spans="1:31" x14ac:dyDescent="0.3">
      <c r="A68" s="765" t="s">
        <v>362</v>
      </c>
      <c r="E68" s="757"/>
      <c r="F68" s="757"/>
      <c r="G68" s="763"/>
      <c r="H68" s="757"/>
      <c r="I68" s="757"/>
      <c r="J68" s="757"/>
      <c r="L68" s="757"/>
      <c r="M68" s="757"/>
      <c r="N68" s="757"/>
      <c r="O68" s="742"/>
      <c r="X68" s="742"/>
    </row>
    <row r="69" spans="1:31" x14ac:dyDescent="0.3">
      <c r="A69" s="765" t="s">
        <v>363</v>
      </c>
      <c r="D69" s="754"/>
      <c r="E69" s="754"/>
      <c r="F69" s="754"/>
      <c r="G69" s="763">
        <f>+'BA-1 Rates Forecast'!H38</f>
        <v>0.09</v>
      </c>
      <c r="H69" s="754"/>
      <c r="I69" s="763">
        <f>+'BA-1 Rates Forecast'!J38</f>
        <v>0.105</v>
      </c>
      <c r="J69" s="754"/>
      <c r="L69" s="754"/>
      <c r="M69" s="763">
        <f>+'BA-1 Rates Forecast'!N38</f>
        <v>0.19900000000000001</v>
      </c>
      <c r="N69" s="754"/>
      <c r="O69" s="742"/>
      <c r="P69" s="754"/>
      <c r="Q69" s="759">
        <f>D69*G69/1000</f>
        <v>0</v>
      </c>
      <c r="R69" s="759">
        <f>D69*I69/1000</f>
        <v>0</v>
      </c>
      <c r="S69" s="754"/>
      <c r="T69" s="754"/>
      <c r="U69" s="759">
        <f t="shared" ref="U69:U71" si="65">D69*M69/1000</f>
        <v>0</v>
      </c>
      <c r="V69" s="754"/>
      <c r="W69" s="760">
        <f t="shared" ref="W69:W71" si="66">SUM(P69:V69)</f>
        <v>0</v>
      </c>
      <c r="X69" s="742"/>
    </row>
    <row r="70" spans="1:31" x14ac:dyDescent="0.3">
      <c r="A70" s="765" t="s">
        <v>364</v>
      </c>
      <c r="D70" s="766">
        <f>'MFR E-13c'!J514</f>
        <v>58299.72</v>
      </c>
      <c r="E70" s="754"/>
      <c r="F70" s="754"/>
      <c r="G70" s="763">
        <f>+'BA-1 Rates Forecast'!H39</f>
        <v>8.8999999999999996E-2</v>
      </c>
      <c r="H70" s="754"/>
      <c r="I70" s="763">
        <f>+'BA-1 Rates Forecast'!J39</f>
        <v>0.104</v>
      </c>
      <c r="J70" s="754"/>
      <c r="L70" s="754"/>
      <c r="M70" s="763">
        <f>+'BA-1 Rates Forecast'!N39</f>
        <v>0.19700000000000001</v>
      </c>
      <c r="N70" s="754"/>
      <c r="O70" s="742"/>
      <c r="P70" s="754"/>
      <c r="Q70" s="759">
        <f>D70*G70/1000</f>
        <v>5.1886750800000003</v>
      </c>
      <c r="R70" s="759">
        <f t="shared" ref="R70:R71" si="67">D70*I70/1000</f>
        <v>6.0631708799999995</v>
      </c>
      <c r="S70" s="754"/>
      <c r="T70" s="754"/>
      <c r="U70" s="759">
        <f t="shared" si="65"/>
        <v>11.48504484</v>
      </c>
      <c r="V70" s="754"/>
      <c r="W70" s="760">
        <f t="shared" si="66"/>
        <v>22.736890800000001</v>
      </c>
      <c r="X70" s="742"/>
    </row>
    <row r="71" spans="1:31" ht="12.75" customHeight="1" x14ac:dyDescent="0.3">
      <c r="A71" s="767" t="s">
        <v>365</v>
      </c>
      <c r="D71" s="766">
        <f>'MFR E-13c'!J517</f>
        <v>253432</v>
      </c>
      <c r="E71" s="754"/>
      <c r="F71" s="754"/>
      <c r="G71" s="763">
        <f>+'BA-1 Rates Forecast'!H40</f>
        <v>8.7999999999999995E-2</v>
      </c>
      <c r="H71" s="754"/>
      <c r="I71" s="763">
        <f>+'BA-1 Rates Forecast'!J40</f>
        <v>0.10299999999999999</v>
      </c>
      <c r="J71" s="754"/>
      <c r="L71" s="754"/>
      <c r="M71" s="763">
        <f>+'BA-1 Rates Forecast'!N40</f>
        <v>0.19500000000000001</v>
      </c>
      <c r="N71" s="754"/>
      <c r="O71" s="742"/>
      <c r="P71" s="754"/>
      <c r="Q71" s="759">
        <f>D71*G71/1000</f>
        <v>22.302015999999998</v>
      </c>
      <c r="R71" s="759">
        <f t="shared" si="67"/>
        <v>26.103496</v>
      </c>
      <c r="S71" s="754"/>
      <c r="T71" s="754"/>
      <c r="U71" s="759">
        <f t="shared" si="65"/>
        <v>49.419240000000002</v>
      </c>
      <c r="V71" s="754"/>
      <c r="W71" s="760">
        <f t="shared" si="66"/>
        <v>97.824752000000004</v>
      </c>
      <c r="X71" s="742"/>
    </row>
    <row r="72" spans="1:31" s="754" customFormat="1" x14ac:dyDescent="0.3">
      <c r="A72" s="765" t="s">
        <v>366</v>
      </c>
      <c r="B72" s="737"/>
      <c r="C72" s="741"/>
      <c r="D72" s="736"/>
      <c r="G72" s="763"/>
      <c r="I72" s="763"/>
      <c r="K72" s="737"/>
      <c r="M72" s="763"/>
      <c r="O72" s="742"/>
      <c r="Q72" s="737"/>
      <c r="R72" s="737"/>
      <c r="U72" s="737"/>
      <c r="W72" s="760"/>
      <c r="X72" s="742"/>
      <c r="AC72" s="737"/>
      <c r="AD72" s="737"/>
      <c r="AE72" s="737"/>
    </row>
    <row r="73" spans="1:31" s="754" customFormat="1" x14ac:dyDescent="0.3">
      <c r="A73" s="765" t="s">
        <v>363</v>
      </c>
      <c r="B73" s="737"/>
      <c r="C73" s="741"/>
      <c r="G73" s="763">
        <f>+'BA-1 Rates Forecast'!H42</f>
        <v>4.2999999999999997E-2</v>
      </c>
      <c r="I73" s="763">
        <f>+'BA-1 Rates Forecast'!J42</f>
        <v>0.05</v>
      </c>
      <c r="K73" s="737"/>
      <c r="M73" s="763">
        <f>+'BA-1 Rates Forecast'!N42</f>
        <v>9.5000000000000001E-2</v>
      </c>
      <c r="O73" s="742"/>
      <c r="Q73" s="759">
        <f>D73*G73/1000</f>
        <v>0</v>
      </c>
      <c r="R73" s="759">
        <f>D73*I73/1000</f>
        <v>0</v>
      </c>
      <c r="U73" s="759">
        <f t="shared" ref="U73:U75" si="68">D73*M73/1000</f>
        <v>0</v>
      </c>
      <c r="W73" s="760">
        <f t="shared" ref="W73:W75" si="69">SUM(P73:V73)</f>
        <v>0</v>
      </c>
      <c r="X73" s="742"/>
      <c r="AC73" s="737"/>
      <c r="AD73" s="737"/>
      <c r="AE73" s="737"/>
    </row>
    <row r="74" spans="1:31" s="754" customFormat="1" x14ac:dyDescent="0.3">
      <c r="A74" s="765" t="s">
        <v>364</v>
      </c>
      <c r="B74" s="737"/>
      <c r="C74" s="741"/>
      <c r="D74" s="766">
        <f>'MFR E-13c'!J515</f>
        <v>2074939.8402319269</v>
      </c>
      <c r="G74" s="763">
        <f>+'BA-1 Rates Forecast'!H43</f>
        <v>4.2999999999999997E-2</v>
      </c>
      <c r="I74" s="763">
        <f>+'BA-1 Rates Forecast'!J43</f>
        <v>0.05</v>
      </c>
      <c r="K74" s="737"/>
      <c r="M74" s="763">
        <f>+'BA-1 Rates Forecast'!N43</f>
        <v>9.4E-2</v>
      </c>
      <c r="O74" s="742"/>
      <c r="Q74" s="759">
        <f>D74*G74/1000</f>
        <v>89.22241312997285</v>
      </c>
      <c r="R74" s="759">
        <f t="shared" ref="R74:R75" si="70">D74*I74/1000</f>
        <v>103.74699201159635</v>
      </c>
      <c r="U74" s="759">
        <f t="shared" si="68"/>
        <v>195.04434498180112</v>
      </c>
      <c r="W74" s="760">
        <f t="shared" si="69"/>
        <v>388.0137501233703</v>
      </c>
      <c r="X74" s="742"/>
      <c r="AC74" s="737"/>
      <c r="AD74" s="737"/>
      <c r="AE74" s="737"/>
    </row>
    <row r="75" spans="1:31" s="754" customFormat="1" x14ac:dyDescent="0.3">
      <c r="A75" s="767" t="s">
        <v>365</v>
      </c>
      <c r="B75" s="737"/>
      <c r="C75" s="741"/>
      <c r="D75" s="766">
        <f>'MFR E-13c'!J518</f>
        <v>146796.72451314615</v>
      </c>
      <c r="G75" s="763">
        <f>+'BA-1 Rates Forecast'!H44</f>
        <v>4.2000000000000003E-2</v>
      </c>
      <c r="I75" s="763">
        <f>+'BA-1 Rates Forecast'!J44</f>
        <v>4.9000000000000002E-2</v>
      </c>
      <c r="K75" s="737"/>
      <c r="M75" s="763">
        <f>+'BA-1 Rates Forecast'!N44</f>
        <v>9.2999999999999999E-2</v>
      </c>
      <c r="O75" s="742"/>
      <c r="Q75" s="759">
        <f>D75*G75/1000</f>
        <v>6.1654624295521385</v>
      </c>
      <c r="R75" s="759">
        <f t="shared" si="70"/>
        <v>7.1930395011441615</v>
      </c>
      <c r="U75" s="759">
        <f t="shared" si="68"/>
        <v>13.652095379722592</v>
      </c>
      <c r="W75" s="760">
        <f t="shared" si="69"/>
        <v>27.010597310418891</v>
      </c>
      <c r="X75" s="742"/>
      <c r="AC75" s="737"/>
      <c r="AD75" s="737"/>
      <c r="AE75" s="737"/>
    </row>
    <row r="76" spans="1:31" s="754" customFormat="1" x14ac:dyDescent="0.3">
      <c r="A76" s="765" t="s">
        <v>367</v>
      </c>
      <c r="B76" s="737"/>
      <c r="C76" s="741"/>
      <c r="D76" s="736"/>
      <c r="G76" s="763"/>
      <c r="I76" s="763"/>
      <c r="K76" s="737"/>
      <c r="M76" s="763"/>
      <c r="O76" s="742"/>
      <c r="Q76" s="737"/>
      <c r="R76" s="737"/>
      <c r="U76" s="737"/>
      <c r="W76" s="760"/>
      <c r="X76" s="742"/>
      <c r="AC76" s="737"/>
      <c r="AD76" s="737"/>
      <c r="AE76" s="737"/>
    </row>
    <row r="77" spans="1:31" s="754" customFormat="1" x14ac:dyDescent="0.3">
      <c r="A77" s="765" t="s">
        <v>362</v>
      </c>
      <c r="B77" s="737"/>
      <c r="C77" s="741"/>
      <c r="D77" s="736"/>
      <c r="G77" s="763"/>
      <c r="I77" s="763"/>
      <c r="K77" s="737"/>
      <c r="M77" s="763"/>
      <c r="O77" s="742"/>
      <c r="Q77" s="737"/>
      <c r="R77" s="737"/>
      <c r="U77" s="737"/>
      <c r="W77" s="760"/>
      <c r="X77" s="742"/>
      <c r="AC77" s="737"/>
      <c r="AD77" s="737"/>
      <c r="AE77" s="737"/>
    </row>
    <row r="78" spans="1:31" s="754" customFormat="1" x14ac:dyDescent="0.3">
      <c r="A78" s="765" t="s">
        <v>363</v>
      </c>
      <c r="B78" s="737"/>
      <c r="C78" s="741"/>
      <c r="G78" s="763">
        <f>+G69</f>
        <v>0.09</v>
      </c>
      <c r="I78" s="763">
        <f>+I69</f>
        <v>0.105</v>
      </c>
      <c r="K78" s="737"/>
      <c r="M78" s="763">
        <f>+M69</f>
        <v>0.19900000000000001</v>
      </c>
      <c r="O78" s="742"/>
      <c r="Q78" s="759">
        <f>D78*G78/1000</f>
        <v>0</v>
      </c>
      <c r="R78" s="759">
        <f>D78*I78/1000</f>
        <v>0</v>
      </c>
      <c r="U78" s="759">
        <f t="shared" ref="U78:U80" si="71">D78*M78/1000</f>
        <v>0</v>
      </c>
      <c r="W78" s="760">
        <f t="shared" ref="W78:W80" si="72">SUM(P78:V78)</f>
        <v>0</v>
      </c>
      <c r="X78" s="742"/>
      <c r="AC78" s="737"/>
      <c r="AD78" s="737"/>
      <c r="AE78" s="737"/>
    </row>
    <row r="79" spans="1:31" s="754" customFormat="1" x14ac:dyDescent="0.3">
      <c r="A79" s="765" t="s">
        <v>364</v>
      </c>
      <c r="B79" s="737"/>
      <c r="C79" s="741"/>
      <c r="D79" s="766">
        <f>'MFR E-13c'!J566</f>
        <v>66270</v>
      </c>
      <c r="G79" s="763">
        <f t="shared" ref="G79:I84" si="73">+G70</f>
        <v>8.8999999999999996E-2</v>
      </c>
      <c r="I79" s="763">
        <f t="shared" si="73"/>
        <v>0.104</v>
      </c>
      <c r="K79" s="737"/>
      <c r="M79" s="763">
        <f t="shared" ref="M79:M80" si="74">+M70</f>
        <v>0.19700000000000001</v>
      </c>
      <c r="O79" s="742"/>
      <c r="Q79" s="759">
        <f>D79*G79/1000</f>
        <v>5.8980299999999994</v>
      </c>
      <c r="R79" s="759">
        <f t="shared" ref="R79:R80" si="75">D79*I79/1000</f>
        <v>6.89208</v>
      </c>
      <c r="U79" s="759">
        <f t="shared" si="71"/>
        <v>13.05519</v>
      </c>
      <c r="W79" s="760">
        <f t="shared" si="72"/>
        <v>25.845299999999998</v>
      </c>
      <c r="X79" s="742"/>
      <c r="AC79" s="737"/>
      <c r="AD79" s="737"/>
      <c r="AE79" s="737"/>
    </row>
    <row r="80" spans="1:31" s="754" customFormat="1" ht="12.75" customHeight="1" x14ac:dyDescent="0.3">
      <c r="A80" s="767" t="s">
        <v>365</v>
      </c>
      <c r="B80" s="737"/>
      <c r="C80" s="741"/>
      <c r="D80" s="766">
        <f>'MFR E-13c'!J569</f>
        <v>110000</v>
      </c>
      <c r="G80" s="763">
        <f t="shared" si="73"/>
        <v>8.7999999999999995E-2</v>
      </c>
      <c r="I80" s="763">
        <f t="shared" si="73"/>
        <v>0.10299999999999999</v>
      </c>
      <c r="K80" s="737"/>
      <c r="M80" s="763">
        <f t="shared" si="74"/>
        <v>0.19500000000000001</v>
      </c>
      <c r="O80" s="742"/>
      <c r="Q80" s="759">
        <f>D80*G80/1000</f>
        <v>9.68</v>
      </c>
      <c r="R80" s="759">
        <f t="shared" si="75"/>
        <v>11.33</v>
      </c>
      <c r="U80" s="759">
        <f t="shared" si="71"/>
        <v>21.45</v>
      </c>
      <c r="W80" s="760">
        <f t="shared" si="72"/>
        <v>42.459999999999994</v>
      </c>
      <c r="X80" s="742"/>
      <c r="AC80" s="737"/>
      <c r="AD80" s="737"/>
      <c r="AE80" s="737"/>
    </row>
    <row r="81" spans="1:31" s="754" customFormat="1" x14ac:dyDescent="0.3">
      <c r="A81" s="765" t="s">
        <v>366</v>
      </c>
      <c r="B81" s="737"/>
      <c r="C81" s="741"/>
      <c r="D81" s="736"/>
      <c r="G81" s="763"/>
      <c r="I81" s="763"/>
      <c r="K81" s="737"/>
      <c r="M81" s="763"/>
      <c r="O81" s="742"/>
      <c r="Q81" s="737"/>
      <c r="R81" s="737"/>
      <c r="U81" s="737"/>
      <c r="W81" s="760"/>
      <c r="X81" s="742"/>
      <c r="AC81" s="737"/>
      <c r="AD81" s="737"/>
      <c r="AE81" s="737"/>
    </row>
    <row r="82" spans="1:31" s="754" customFormat="1" x14ac:dyDescent="0.3">
      <c r="A82" s="765" t="s">
        <v>363</v>
      </c>
      <c r="B82" s="737"/>
      <c r="C82" s="741"/>
      <c r="G82" s="763">
        <f t="shared" si="73"/>
        <v>4.2999999999999997E-2</v>
      </c>
      <c r="I82" s="763">
        <f t="shared" si="73"/>
        <v>0.05</v>
      </c>
      <c r="K82" s="737"/>
      <c r="M82" s="763">
        <f t="shared" ref="M82:M84" si="76">+M73</f>
        <v>9.5000000000000001E-2</v>
      </c>
      <c r="O82" s="742"/>
      <c r="Q82" s="759">
        <f>D82*G82/1000</f>
        <v>0</v>
      </c>
      <c r="R82" s="759">
        <f>D82*I82/1000</f>
        <v>0</v>
      </c>
      <c r="U82" s="759">
        <f t="shared" ref="U82:U84" si="77">D82*M82/1000</f>
        <v>0</v>
      </c>
      <c r="W82" s="760">
        <f t="shared" ref="W82:W84" si="78">SUM(P82:V82)</f>
        <v>0</v>
      </c>
      <c r="X82" s="742"/>
      <c r="AC82" s="737"/>
      <c r="AD82" s="737"/>
      <c r="AE82" s="737"/>
    </row>
    <row r="83" spans="1:31" s="754" customFormat="1" x14ac:dyDescent="0.3">
      <c r="A83" s="765" t="s">
        <v>364</v>
      </c>
      <c r="B83" s="737"/>
      <c r="C83" s="741"/>
      <c r="D83" s="766">
        <f>'MFR E-13c'!J567</f>
        <v>2165383.2056423929</v>
      </c>
      <c r="G83" s="763">
        <f t="shared" si="73"/>
        <v>4.2999999999999997E-2</v>
      </c>
      <c r="I83" s="763">
        <f t="shared" si="73"/>
        <v>0.05</v>
      </c>
      <c r="K83" s="737"/>
      <c r="M83" s="763">
        <f t="shared" si="76"/>
        <v>9.4E-2</v>
      </c>
      <c r="O83" s="742"/>
      <c r="Q83" s="759">
        <f>D83*G83/1000</f>
        <v>93.11147784262289</v>
      </c>
      <c r="R83" s="759">
        <f t="shared" ref="R83:R84" si="79">D83*I83/1000</f>
        <v>108.26916028211964</v>
      </c>
      <c r="U83" s="759">
        <f t="shared" si="77"/>
        <v>203.54602133038492</v>
      </c>
      <c r="W83" s="760">
        <f t="shared" si="78"/>
        <v>404.92665945512744</v>
      </c>
      <c r="X83" s="742"/>
      <c r="AC83" s="737"/>
      <c r="AD83" s="737"/>
      <c r="AE83" s="737"/>
    </row>
    <row r="84" spans="1:31" s="754" customFormat="1" x14ac:dyDescent="0.3">
      <c r="A84" s="767" t="s">
        <v>365</v>
      </c>
      <c r="B84" s="737"/>
      <c r="C84" s="741"/>
      <c r="D84" s="766">
        <f>'MFR E-13c'!J570</f>
        <v>45130.40121168919</v>
      </c>
      <c r="G84" s="763">
        <f t="shared" si="73"/>
        <v>4.2000000000000003E-2</v>
      </c>
      <c r="I84" s="763">
        <f t="shared" si="73"/>
        <v>4.9000000000000002E-2</v>
      </c>
      <c r="K84" s="737"/>
      <c r="M84" s="763">
        <f t="shared" si="76"/>
        <v>9.2999999999999999E-2</v>
      </c>
      <c r="O84" s="742"/>
      <c r="Q84" s="759">
        <f>D84*G84/1000</f>
        <v>1.8954768508909461</v>
      </c>
      <c r="R84" s="759">
        <f t="shared" si="79"/>
        <v>2.2113896593727707</v>
      </c>
      <c r="U84" s="759">
        <f t="shared" si="77"/>
        <v>4.1971273126870949</v>
      </c>
      <c r="W84" s="760">
        <f t="shared" si="78"/>
        <v>8.3039938229508117</v>
      </c>
      <c r="X84" s="742"/>
      <c r="AC84" s="737"/>
      <c r="AD84" s="737"/>
      <c r="AE84" s="737"/>
    </row>
    <row r="85" spans="1:31" s="754" customFormat="1" x14ac:dyDescent="0.3">
      <c r="A85" s="765" t="s">
        <v>368</v>
      </c>
      <c r="B85" s="737"/>
      <c r="C85" s="741"/>
      <c r="D85" s="736"/>
      <c r="G85" s="763"/>
      <c r="I85" s="763"/>
      <c r="K85" s="737"/>
      <c r="M85" s="763"/>
      <c r="O85" s="742"/>
      <c r="Q85" s="737"/>
      <c r="R85" s="737"/>
      <c r="U85" s="737"/>
      <c r="W85" s="760"/>
      <c r="X85" s="742"/>
      <c r="AC85" s="737"/>
      <c r="AD85" s="737"/>
      <c r="AE85" s="737"/>
    </row>
    <row r="86" spans="1:31" s="754" customFormat="1" x14ac:dyDescent="0.3">
      <c r="A86" s="765" t="s">
        <v>362</v>
      </c>
      <c r="B86" s="737"/>
      <c r="C86" s="741"/>
      <c r="D86" s="736"/>
      <c r="G86" s="763"/>
      <c r="I86" s="763"/>
      <c r="K86" s="737"/>
      <c r="M86" s="763"/>
      <c r="O86" s="742"/>
      <c r="Q86" s="737"/>
      <c r="R86" s="737"/>
      <c r="U86" s="737"/>
      <c r="W86" s="760"/>
      <c r="X86" s="742"/>
      <c r="AC86" s="737"/>
      <c r="AD86" s="737"/>
      <c r="AE86" s="737"/>
    </row>
    <row r="87" spans="1:31" s="754" customFormat="1" x14ac:dyDescent="0.3">
      <c r="A87" s="765" t="s">
        <v>363</v>
      </c>
      <c r="B87" s="737"/>
      <c r="C87" s="741"/>
      <c r="G87" s="763">
        <f>+G69</f>
        <v>0.09</v>
      </c>
      <c r="I87" s="763">
        <f>+I69</f>
        <v>0.105</v>
      </c>
      <c r="K87" s="737"/>
      <c r="M87" s="763">
        <f>+M69</f>
        <v>0.19900000000000001</v>
      </c>
      <c r="O87" s="742"/>
      <c r="Q87" s="759">
        <f>D87*G87/1000</f>
        <v>0</v>
      </c>
      <c r="R87" s="759">
        <f>D87*I87/1000</f>
        <v>0</v>
      </c>
      <c r="U87" s="759">
        <f t="shared" ref="U87:U89" si="80">D87*M87/1000</f>
        <v>0</v>
      </c>
      <c r="W87" s="760">
        <f t="shared" ref="W87:W89" si="81">SUM(P87:V87)</f>
        <v>0</v>
      </c>
      <c r="X87" s="742"/>
      <c r="AC87" s="737"/>
      <c r="AD87" s="737"/>
      <c r="AE87" s="737"/>
    </row>
    <row r="88" spans="1:31" x14ac:dyDescent="0.3">
      <c r="A88" s="765" t="s">
        <v>364</v>
      </c>
      <c r="D88" s="766">
        <f>'MFR E-13c'!J617</f>
        <v>24693.142</v>
      </c>
      <c r="E88" s="754"/>
      <c r="F88" s="754"/>
      <c r="G88" s="763">
        <f t="shared" ref="G88:I93" si="82">+G70</f>
        <v>8.8999999999999996E-2</v>
      </c>
      <c r="H88" s="754"/>
      <c r="I88" s="763">
        <f t="shared" si="82"/>
        <v>0.104</v>
      </c>
      <c r="J88" s="754"/>
      <c r="L88" s="754"/>
      <c r="M88" s="763">
        <f t="shared" ref="M88:M89" si="83">+M70</f>
        <v>0.19700000000000001</v>
      </c>
      <c r="N88" s="754"/>
      <c r="O88" s="742"/>
      <c r="P88" s="754"/>
      <c r="Q88" s="759">
        <f>D88*G88/1000</f>
        <v>2.1976896379999999</v>
      </c>
      <c r="R88" s="759">
        <f t="shared" ref="R88:R89" si="84">D88*I88/1000</f>
        <v>2.5680867679999997</v>
      </c>
      <c r="S88" s="754"/>
      <c r="T88" s="754"/>
      <c r="U88" s="759">
        <f t="shared" si="80"/>
        <v>4.8645489739999999</v>
      </c>
      <c r="V88" s="754"/>
      <c r="W88" s="760">
        <f t="shared" si="81"/>
        <v>9.6303253799999986</v>
      </c>
      <c r="X88" s="742"/>
    </row>
    <row r="89" spans="1:31" ht="12.75" customHeight="1" x14ac:dyDescent="0.3">
      <c r="A89" s="767" t="s">
        <v>365</v>
      </c>
      <c r="D89" s="766">
        <f>'MFR E-13c'!J620</f>
        <v>0</v>
      </c>
      <c r="E89" s="754"/>
      <c r="F89" s="754"/>
      <c r="G89" s="763">
        <f t="shared" si="82"/>
        <v>8.7999999999999995E-2</v>
      </c>
      <c r="H89" s="754"/>
      <c r="I89" s="763">
        <f t="shared" si="82"/>
        <v>0.10299999999999999</v>
      </c>
      <c r="J89" s="754"/>
      <c r="L89" s="754"/>
      <c r="M89" s="763">
        <f t="shared" si="83"/>
        <v>0.19500000000000001</v>
      </c>
      <c r="N89" s="754"/>
      <c r="O89" s="742"/>
      <c r="P89" s="754"/>
      <c r="Q89" s="759">
        <f>D89*G89/1000</f>
        <v>0</v>
      </c>
      <c r="R89" s="759">
        <f t="shared" si="84"/>
        <v>0</v>
      </c>
      <c r="S89" s="754"/>
      <c r="T89" s="754"/>
      <c r="U89" s="759">
        <f t="shared" si="80"/>
        <v>0</v>
      </c>
      <c r="V89" s="754"/>
      <c r="W89" s="760">
        <f t="shared" si="81"/>
        <v>0</v>
      </c>
      <c r="X89" s="742"/>
    </row>
    <row r="90" spans="1:31" x14ac:dyDescent="0.3">
      <c r="A90" s="765" t="s">
        <v>366</v>
      </c>
      <c r="E90" s="754"/>
      <c r="F90" s="754"/>
      <c r="G90" s="763"/>
      <c r="H90" s="754"/>
      <c r="I90" s="763"/>
      <c r="J90" s="754"/>
      <c r="L90" s="754"/>
      <c r="M90" s="763"/>
      <c r="N90" s="754"/>
      <c r="O90" s="742"/>
      <c r="P90" s="754"/>
      <c r="S90" s="754"/>
      <c r="T90" s="754"/>
      <c r="V90" s="754"/>
      <c r="W90" s="760"/>
      <c r="X90" s="742"/>
    </row>
    <row r="91" spans="1:31" x14ac:dyDescent="0.3">
      <c r="A91" s="765" t="s">
        <v>363</v>
      </c>
      <c r="D91" s="754"/>
      <c r="E91" s="754"/>
      <c r="F91" s="754"/>
      <c r="G91" s="763">
        <f t="shared" si="82"/>
        <v>4.2999999999999997E-2</v>
      </c>
      <c r="H91" s="754"/>
      <c r="I91" s="763">
        <f t="shared" si="82"/>
        <v>0.05</v>
      </c>
      <c r="J91" s="754"/>
      <c r="L91" s="754"/>
      <c r="M91" s="763">
        <f t="shared" ref="M91:M93" si="85">+M73</f>
        <v>9.5000000000000001E-2</v>
      </c>
      <c r="N91" s="754"/>
      <c r="O91" s="742"/>
      <c r="P91" s="754"/>
      <c r="Q91" s="759">
        <f>D91*G91/1000</f>
        <v>0</v>
      </c>
      <c r="R91" s="759">
        <f>D91*I91/1000</f>
        <v>0</v>
      </c>
      <c r="S91" s="754"/>
      <c r="T91" s="754"/>
      <c r="U91" s="759">
        <f t="shared" ref="U91:U93" si="86">D91*M91/1000</f>
        <v>0</v>
      </c>
      <c r="V91" s="754"/>
      <c r="W91" s="760">
        <f t="shared" ref="W91:W93" si="87">SUM(P91:V91)</f>
        <v>0</v>
      </c>
      <c r="X91" s="742"/>
    </row>
    <row r="92" spans="1:31" x14ac:dyDescent="0.3">
      <c r="A92" s="765" t="s">
        <v>364</v>
      </c>
      <c r="D92" s="766">
        <f>'MFR E-13c'!J618</f>
        <v>4972035.6140713263</v>
      </c>
      <c r="E92" s="754"/>
      <c r="F92" s="754"/>
      <c r="G92" s="763">
        <f t="shared" si="82"/>
        <v>4.2999999999999997E-2</v>
      </c>
      <c r="H92" s="754"/>
      <c r="I92" s="763">
        <f t="shared" si="82"/>
        <v>0.05</v>
      </c>
      <c r="J92" s="754"/>
      <c r="L92" s="754"/>
      <c r="M92" s="763">
        <f t="shared" si="85"/>
        <v>9.4E-2</v>
      </c>
      <c r="N92" s="754"/>
      <c r="O92" s="742"/>
      <c r="P92" s="754"/>
      <c r="Q92" s="759">
        <f>D92*G92/1000</f>
        <v>213.79753140506702</v>
      </c>
      <c r="R92" s="759">
        <f t="shared" ref="R92:R93" si="88">D92*I92/1000</f>
        <v>248.60178070356633</v>
      </c>
      <c r="S92" s="754"/>
      <c r="T92" s="754"/>
      <c r="U92" s="759">
        <f t="shared" si="86"/>
        <v>467.37134772270468</v>
      </c>
      <c r="V92" s="754"/>
      <c r="W92" s="760">
        <f t="shared" si="87"/>
        <v>929.77065983133798</v>
      </c>
      <c r="X92" s="742"/>
    </row>
    <row r="93" spans="1:31" x14ac:dyDescent="0.3">
      <c r="A93" s="767" t="s">
        <v>365</v>
      </c>
      <c r="D93" s="766">
        <f>'MFR E-13c'!J621</f>
        <v>0</v>
      </c>
      <c r="E93" s="754"/>
      <c r="F93" s="754"/>
      <c r="G93" s="763">
        <f t="shared" si="82"/>
        <v>4.2000000000000003E-2</v>
      </c>
      <c r="H93" s="754"/>
      <c r="I93" s="763">
        <f t="shared" si="82"/>
        <v>4.9000000000000002E-2</v>
      </c>
      <c r="J93" s="754"/>
      <c r="L93" s="754"/>
      <c r="M93" s="763">
        <f t="shared" si="85"/>
        <v>9.2999999999999999E-2</v>
      </c>
      <c r="N93" s="754"/>
      <c r="O93" s="742"/>
      <c r="P93" s="754"/>
      <c r="Q93" s="759">
        <f>D93*G93/1000</f>
        <v>0</v>
      </c>
      <c r="R93" s="759">
        <f t="shared" si="88"/>
        <v>0</v>
      </c>
      <c r="S93" s="754"/>
      <c r="T93" s="754"/>
      <c r="U93" s="759">
        <f t="shared" si="86"/>
        <v>0</v>
      </c>
      <c r="V93" s="754"/>
      <c r="W93" s="760">
        <f t="shared" si="87"/>
        <v>0</v>
      </c>
      <c r="X93" s="742"/>
    </row>
    <row r="94" spans="1:31" x14ac:dyDescent="0.3">
      <c r="E94" s="757"/>
      <c r="F94" s="757"/>
      <c r="G94" s="757"/>
      <c r="H94" s="757"/>
      <c r="I94" s="757"/>
      <c r="J94" s="757"/>
      <c r="L94" s="757"/>
      <c r="M94" s="757"/>
      <c r="N94" s="757"/>
      <c r="O94" s="742"/>
      <c r="X94" s="742"/>
    </row>
    <row r="95" spans="1:31" s="739" customFormat="1" ht="13.8" thickBot="1" x14ac:dyDescent="0.35">
      <c r="A95" s="739" t="s">
        <v>369</v>
      </c>
      <c r="C95" s="768">
        <f>SUM(C6:C93)</f>
        <v>39688948.760817446</v>
      </c>
      <c r="D95" s="768">
        <f>SUM(D6:D93)</f>
        <v>48905479.992785111</v>
      </c>
      <c r="E95" s="769"/>
      <c r="F95" s="769"/>
      <c r="G95" s="769"/>
      <c r="H95" s="769"/>
      <c r="I95" s="769"/>
      <c r="J95" s="769"/>
      <c r="K95" s="737"/>
      <c r="L95" s="769"/>
      <c r="M95" s="769"/>
      <c r="N95" s="769"/>
      <c r="O95" s="742"/>
      <c r="P95" s="768">
        <f t="shared" ref="P95:W95" si="89">SUM(P6:P93)</f>
        <v>1582641.9513037347</v>
      </c>
      <c r="Q95" s="768">
        <f t="shared" si="89"/>
        <v>111488.88197662901</v>
      </c>
      <c r="R95" s="768">
        <f t="shared" si="89"/>
        <v>135765.1333527164</v>
      </c>
      <c r="S95" s="768">
        <f t="shared" si="89"/>
        <v>17619.477299000147</v>
      </c>
      <c r="T95" s="768">
        <f t="shared" si="89"/>
        <v>81405.330410645649</v>
      </c>
      <c r="U95" s="768">
        <f t="shared" si="89"/>
        <v>278705.69852839049</v>
      </c>
      <c r="V95" s="768">
        <f t="shared" si="89"/>
        <v>0</v>
      </c>
      <c r="W95" s="768">
        <f t="shared" si="89"/>
        <v>2157346.0141880461</v>
      </c>
      <c r="X95" s="742"/>
      <c r="Y95" s="768">
        <f>SUM(Y6:Y58)</f>
        <v>3435094.8705858095</v>
      </c>
      <c r="Z95" s="768">
        <f>SUM(Z6:Z58)</f>
        <v>3527901.899756304</v>
      </c>
      <c r="AA95" s="768">
        <f>SUM(AA6:AA58)</f>
        <v>5592440.884773856</v>
      </c>
      <c r="AB95" s="768">
        <f>(Z95+W95)</f>
        <v>5685247.9139443506</v>
      </c>
      <c r="AC95" s="770">
        <f>+((AB95)-(AA95))/(AA95)</f>
        <v>1.6595084522605087E-2</v>
      </c>
    </row>
    <row r="96" spans="1:31" ht="13.8" thickTop="1" x14ac:dyDescent="0.3">
      <c r="E96" s="757"/>
      <c r="F96" s="757"/>
      <c r="G96" s="757"/>
      <c r="H96" s="757"/>
      <c r="I96" s="757"/>
      <c r="J96" s="757"/>
      <c r="L96" s="757"/>
      <c r="M96" s="757"/>
      <c r="N96" s="757"/>
      <c r="O96" s="742"/>
      <c r="X96" s="742"/>
    </row>
    <row r="97" spans="1:29" x14ac:dyDescent="0.3">
      <c r="A97" s="771" t="s">
        <v>370</v>
      </c>
      <c r="E97" s="757"/>
      <c r="F97" s="757"/>
      <c r="G97" s="757"/>
      <c r="H97" s="757"/>
      <c r="I97" s="757"/>
      <c r="J97" s="757"/>
      <c r="L97" s="757"/>
      <c r="M97" s="757"/>
      <c r="N97" s="757"/>
      <c r="O97" s="742"/>
      <c r="X97" s="742"/>
    </row>
    <row r="98" spans="1:29" ht="8.25" customHeight="1" x14ac:dyDescent="0.3">
      <c r="E98" s="757"/>
      <c r="F98" s="757"/>
      <c r="G98" s="757"/>
      <c r="H98" s="757"/>
      <c r="I98" s="757"/>
      <c r="J98" s="757"/>
      <c r="L98" s="757"/>
      <c r="M98" s="757"/>
      <c r="N98" s="757"/>
      <c r="O98" s="742"/>
      <c r="X98" s="742"/>
    </row>
    <row r="99" spans="1:29" x14ac:dyDescent="0.3">
      <c r="A99" s="739" t="s">
        <v>346</v>
      </c>
      <c r="E99" s="757"/>
      <c r="F99" s="757"/>
      <c r="G99" s="757"/>
      <c r="H99" s="757"/>
      <c r="I99" s="757"/>
      <c r="J99" s="757"/>
      <c r="L99" s="757"/>
      <c r="M99" s="757"/>
      <c r="N99" s="757"/>
      <c r="O99" s="742"/>
      <c r="P99" s="762">
        <f>SUM(P6:P10)</f>
        <v>833380.00405475055</v>
      </c>
      <c r="Q99" s="762">
        <f t="shared" ref="Q99:W99" si="90">SUM(Q6:Q10)</f>
        <v>68706.728066227108</v>
      </c>
      <c r="R99" s="762">
        <f t="shared" si="90"/>
        <v>85571.106773391919</v>
      </c>
      <c r="S99" s="762">
        <f t="shared" si="90"/>
        <v>9577.3014880195333</v>
      </c>
      <c r="T99" s="762">
        <f t="shared" si="90"/>
        <v>49135.72067766542</v>
      </c>
      <c r="U99" s="762">
        <f t="shared" si="90"/>
        <v>178221.08855966787</v>
      </c>
      <c r="V99" s="762">
        <f t="shared" si="90"/>
        <v>0</v>
      </c>
      <c r="W99" s="762">
        <f t="shared" si="90"/>
        <v>1174311.4909366528</v>
      </c>
      <c r="X99" s="742"/>
      <c r="Y99" s="762">
        <f t="shared" ref="Y99:Z99" si="91">SUM(Y6:Y10)</f>
        <v>2242205.1568560041</v>
      </c>
      <c r="Z99" s="762">
        <f t="shared" si="91"/>
        <v>2299803.4301500805</v>
      </c>
      <c r="AA99" s="762">
        <f t="shared" ref="AA99" si="92">SUM(AA6:AA10)</f>
        <v>3416516.6477926569</v>
      </c>
      <c r="AB99" s="762">
        <f t="shared" ref="AB99:AB105" si="93">(Z99+W99)</f>
        <v>3474114.9210867332</v>
      </c>
      <c r="AC99" s="761">
        <f>+((AB99)-(AA99))/(AA99)</f>
        <v>1.6858771442337158E-2</v>
      </c>
    </row>
    <row r="100" spans="1:29" x14ac:dyDescent="0.3">
      <c r="A100" s="739" t="s">
        <v>136</v>
      </c>
      <c r="E100" s="757"/>
      <c r="F100" s="757"/>
      <c r="G100" s="757"/>
      <c r="H100" s="757"/>
      <c r="I100" s="757"/>
      <c r="J100" s="757"/>
      <c r="L100" s="757"/>
      <c r="M100" s="757"/>
      <c r="N100" s="757"/>
      <c r="O100" s="742"/>
      <c r="P100" s="762">
        <f>SUM(P12:P22)</f>
        <v>88206.817137340477</v>
      </c>
      <c r="Q100" s="762">
        <f t="shared" ref="Q100:W100" si="94">SUM(Q12:Q22)</f>
        <v>6399.8287102919639</v>
      </c>
      <c r="R100" s="762">
        <f t="shared" si="94"/>
        <v>7922.4824717277579</v>
      </c>
      <c r="S100" s="762">
        <f t="shared" si="94"/>
        <v>971.12937262918445</v>
      </c>
      <c r="T100" s="762">
        <f t="shared" si="94"/>
        <v>4501.9855493163768</v>
      </c>
      <c r="U100" s="762">
        <f t="shared" si="94"/>
        <v>18361.05974595014</v>
      </c>
      <c r="V100" s="762">
        <f t="shared" si="94"/>
        <v>0</v>
      </c>
      <c r="W100" s="762">
        <f t="shared" si="94"/>
        <v>126363.30298725588</v>
      </c>
      <c r="X100" s="742"/>
      <c r="Y100" s="762">
        <f t="shared" ref="Y100:Z100" si="95">SUM(Y12:Y22)</f>
        <v>199992.29389740311</v>
      </c>
      <c r="Z100" s="762">
        <f t="shared" si="95"/>
        <v>205905.79840415227</v>
      </c>
      <c r="AA100" s="762">
        <f t="shared" ref="AA100" si="96">SUM(AA12:AA22)</f>
        <v>326355.59688465903</v>
      </c>
      <c r="AB100" s="762">
        <f t="shared" si="93"/>
        <v>332269.10139140813</v>
      </c>
      <c r="AC100" s="761">
        <f t="shared" ref="AC100:AC105" si="97">+((AB100)-(AA100))/(AA100)</f>
        <v>1.8119819495049316E-2</v>
      </c>
    </row>
    <row r="101" spans="1:29" x14ac:dyDescent="0.3">
      <c r="A101" s="739" t="s">
        <v>137</v>
      </c>
      <c r="E101" s="757"/>
      <c r="F101" s="757"/>
      <c r="G101" s="757"/>
      <c r="H101" s="757"/>
      <c r="I101" s="757"/>
      <c r="J101" s="757"/>
      <c r="L101" s="757"/>
      <c r="M101" s="757"/>
      <c r="N101" s="757"/>
      <c r="O101" s="742"/>
      <c r="P101" s="762">
        <f>SUM(P24)</f>
        <v>8354.8904012821749</v>
      </c>
      <c r="Q101" s="762">
        <f t="shared" ref="Q101:W101" si="98">SUM(Q24)</f>
        <v>474.25859492149385</v>
      </c>
      <c r="R101" s="762">
        <f t="shared" si="98"/>
        <v>528.57896262175302</v>
      </c>
      <c r="S101" s="762">
        <f t="shared" si="98"/>
        <v>87.748286285034098</v>
      </c>
      <c r="T101" s="762">
        <f t="shared" si="98"/>
        <v>294.5835325283287</v>
      </c>
      <c r="U101" s="762">
        <f t="shared" si="98"/>
        <v>810.62702568079123</v>
      </c>
      <c r="V101" s="762">
        <f t="shared" si="98"/>
        <v>0</v>
      </c>
      <c r="W101" s="762">
        <f t="shared" si="98"/>
        <v>10550.686803319575</v>
      </c>
      <c r="X101" s="742"/>
      <c r="Y101" s="762">
        <f t="shared" ref="Y101:Z101" si="99">SUM(Y24)</f>
        <v>11991.78251042675</v>
      </c>
      <c r="Z101" s="762">
        <f t="shared" si="99"/>
        <v>12477.58858348337</v>
      </c>
      <c r="AA101" s="762">
        <f t="shared" ref="AA101" si="100">SUM(AA24)</f>
        <v>22542.469313746325</v>
      </c>
      <c r="AB101" s="762">
        <f t="shared" si="93"/>
        <v>23028.275386802947</v>
      </c>
      <c r="AC101" s="761">
        <f t="shared" si="97"/>
        <v>2.1550703531861004E-2</v>
      </c>
    </row>
    <row r="102" spans="1:29" x14ac:dyDescent="0.3">
      <c r="A102" s="739" t="s">
        <v>371</v>
      </c>
      <c r="E102" s="757"/>
      <c r="F102" s="757"/>
      <c r="G102" s="757"/>
      <c r="H102" s="757"/>
      <c r="I102" s="757"/>
      <c r="J102" s="757"/>
      <c r="L102" s="757"/>
      <c r="M102" s="757"/>
      <c r="N102" s="757"/>
      <c r="O102" s="742"/>
      <c r="P102" s="762">
        <f>SUM(P26:P37)+SUM(P59:P60)+SUM(P69:P71)+SUM(P73:P75)</f>
        <v>528418.7644127633</v>
      </c>
      <c r="Q102" s="762">
        <f t="shared" ref="Q102:W102" si="101">SUM(Q26:Q37)+SUM(Q59:Q60)+SUM(Q69:Q71)+SUM(Q73:Q75)</f>
        <v>30525.023571133428</v>
      </c>
      <c r="R102" s="762">
        <f t="shared" si="101"/>
        <v>35785.019856436651</v>
      </c>
      <c r="S102" s="762">
        <f t="shared" si="101"/>
        <v>5708.8537462538789</v>
      </c>
      <c r="T102" s="762">
        <f t="shared" si="101"/>
        <v>23330.253189118266</v>
      </c>
      <c r="U102" s="762">
        <f t="shared" si="101"/>
        <v>72109.272913170018</v>
      </c>
      <c r="V102" s="762">
        <f t="shared" si="101"/>
        <v>0</v>
      </c>
      <c r="W102" s="762">
        <f t="shared" si="101"/>
        <v>695877.18768887548</v>
      </c>
      <c r="X102" s="742"/>
      <c r="Y102" s="762">
        <f t="shared" ref="Y102:Z102" si="102">SUM(Y26:Y37)+SUM(Y59:Y60)+SUM(Y69:Y71)+SUM(Y73:Y75)</f>
        <v>854345.203261205</v>
      </c>
      <c r="Z102" s="762">
        <f t="shared" si="102"/>
        <v>878029.9759091005</v>
      </c>
      <c r="AA102" s="762">
        <f t="shared" ref="AA102" si="103">SUM(AA26:AA37)+SUM(AA59:AA60)+SUM(AA69:AA71)+SUM(AA73:AA75)</f>
        <v>1550222.3909500805</v>
      </c>
      <c r="AB102" s="762">
        <f t="shared" si="93"/>
        <v>1573907.1635979759</v>
      </c>
      <c r="AC102" s="761">
        <f t="shared" si="97"/>
        <v>1.5278306381176551E-2</v>
      </c>
    </row>
    <row r="103" spans="1:29" x14ac:dyDescent="0.3">
      <c r="A103" s="739" t="s">
        <v>372</v>
      </c>
      <c r="E103" s="757"/>
      <c r="F103" s="757"/>
      <c r="G103" s="757"/>
      <c r="H103" s="757"/>
      <c r="I103" s="757"/>
      <c r="J103" s="757"/>
      <c r="L103" s="757"/>
      <c r="M103" s="757"/>
      <c r="N103" s="757"/>
      <c r="O103" s="742"/>
      <c r="P103" s="762">
        <f>SUM(P39:P43)+SUM(P65:P65)+SUM(P87:P89)+SUM(P91:P93)</f>
        <v>8278.1100279854127</v>
      </c>
      <c r="Q103" s="762">
        <f t="shared" ref="Q103:W103" si="104">SUM(Q39:Q43)+SUM(Q65:Q65)+SUM(Q87:Q89)+SUM(Q91:Q93)</f>
        <v>301.63332474600827</v>
      </c>
      <c r="R103" s="762">
        <f t="shared" si="104"/>
        <v>336.8079711745076</v>
      </c>
      <c r="S103" s="762">
        <f t="shared" si="104"/>
        <v>85.856331370711473</v>
      </c>
      <c r="T103" s="762">
        <f t="shared" si="104"/>
        <v>249.19276751973479</v>
      </c>
      <c r="U103" s="762">
        <f t="shared" si="104"/>
        <v>741.2273762764562</v>
      </c>
      <c r="V103" s="762">
        <f t="shared" si="104"/>
        <v>0</v>
      </c>
      <c r="W103" s="762">
        <f t="shared" si="104"/>
        <v>9992.8277990728311</v>
      </c>
      <c r="X103" s="742"/>
      <c r="Y103" s="762">
        <f t="shared" ref="Y103:Z103" si="105">SUM(Y39:Y43)+SUM(Y65:Y65)+SUM(Y87:Y89)+SUM(Y91:Y93)</f>
        <v>10781.608038520231</v>
      </c>
      <c r="Z103" s="762">
        <f t="shared" si="105"/>
        <v>11211.464915326695</v>
      </c>
      <c r="AA103" s="762">
        <f t="shared" ref="AA103" si="106">SUM(AA39:AA43)+SUM(AA65:AA65)+SUM(AA87:AA89)+SUM(AA91:AA93)</f>
        <v>20774.435837593064</v>
      </c>
      <c r="AB103" s="762">
        <f t="shared" si="93"/>
        <v>21204.292714399526</v>
      </c>
      <c r="AC103" s="761">
        <f t="shared" si="97"/>
        <v>2.0691626967245958E-2</v>
      </c>
    </row>
    <row r="104" spans="1:29" x14ac:dyDescent="0.3">
      <c r="A104" s="739" t="s">
        <v>373</v>
      </c>
      <c r="E104" s="757"/>
      <c r="F104" s="757"/>
      <c r="G104" s="757"/>
      <c r="H104" s="757"/>
      <c r="I104" s="757"/>
      <c r="J104" s="757"/>
      <c r="L104" s="757"/>
      <c r="M104" s="757"/>
      <c r="N104" s="757"/>
      <c r="O104" s="742"/>
      <c r="P104" s="762">
        <f>SUM(P45:P55)+SUM(P62:P63)+SUM(P78:P80)+SUM(P82:P84)</f>
        <v>102913.28749786626</v>
      </c>
      <c r="Q104" s="762">
        <f t="shared" ref="Q104:W104" si="107">SUM(Q45:Q55)+SUM(Q62:Q63)+SUM(Q78:Q80)+SUM(Q82:Q84)</f>
        <v>4690.5115216381864</v>
      </c>
      <c r="R104" s="762">
        <f t="shared" si="107"/>
        <v>5260.3082210523044</v>
      </c>
      <c r="S104" s="762">
        <f t="shared" si="107"/>
        <v>1064.9706988535927</v>
      </c>
      <c r="T104" s="762">
        <f t="shared" si="107"/>
        <v>3706.4981260396994</v>
      </c>
      <c r="U104" s="762">
        <f t="shared" si="107"/>
        <v>6330.8584312862549</v>
      </c>
      <c r="V104" s="762">
        <f t="shared" si="107"/>
        <v>0</v>
      </c>
      <c r="W104" s="762">
        <f t="shared" si="107"/>
        <v>123966.43449673631</v>
      </c>
      <c r="X104" s="742"/>
      <c r="Y104" s="762">
        <f t="shared" ref="Y104:Z104" si="108">SUM(Y45:Y55)+SUM(Y62:Y63)+SUM(Y78:Y80)+SUM(Y82:Y84)</f>
        <v>100848.03105497734</v>
      </c>
      <c r="Z104" s="762">
        <f t="shared" si="108"/>
        <v>104937.98781060688</v>
      </c>
      <c r="AA104" s="762">
        <f t="shared" ref="AA104" si="109">SUM(AA45:AA55)+SUM(AA62:AA63)+SUM(AA78:AA80)+SUM(AA82:AA84)</f>
        <v>224814.46555171363</v>
      </c>
      <c r="AB104" s="762">
        <f t="shared" si="93"/>
        <v>228904.42230734319</v>
      </c>
      <c r="AC104" s="761">
        <f t="shared" si="97"/>
        <v>1.8192587143324911E-2</v>
      </c>
    </row>
    <row r="105" spans="1:29" x14ac:dyDescent="0.3">
      <c r="A105" s="739" t="s">
        <v>274</v>
      </c>
      <c r="E105" s="757"/>
      <c r="F105" s="757"/>
      <c r="G105" s="757"/>
      <c r="H105" s="757"/>
      <c r="I105" s="757"/>
      <c r="J105" s="757"/>
      <c r="L105" s="757"/>
      <c r="M105" s="757"/>
      <c r="N105" s="757"/>
      <c r="O105" s="742"/>
      <c r="P105" s="762">
        <f>P57</f>
        <v>13090.077771746252</v>
      </c>
      <c r="Q105" s="762">
        <f t="shared" ref="Q105:W105" si="110">Q57</f>
        <v>390.89818767082988</v>
      </c>
      <c r="R105" s="762">
        <f t="shared" si="110"/>
        <v>360.82909631153524</v>
      </c>
      <c r="S105" s="762">
        <f t="shared" si="110"/>
        <v>123.61737558821115</v>
      </c>
      <c r="T105" s="762">
        <f t="shared" si="110"/>
        <v>187.09656845783309</v>
      </c>
      <c r="U105" s="762">
        <f t="shared" si="110"/>
        <v>2131.5644763588843</v>
      </c>
      <c r="V105" s="762">
        <f t="shared" si="110"/>
        <v>0</v>
      </c>
      <c r="W105" s="762">
        <f t="shared" si="110"/>
        <v>16284.083476133546</v>
      </c>
      <c r="X105" s="742"/>
      <c r="Y105" s="762">
        <f t="shared" ref="Y105:Z105" si="111">Y57</f>
        <v>14930.794967272886</v>
      </c>
      <c r="Z105" s="762">
        <f t="shared" si="111"/>
        <v>15535.653983553464</v>
      </c>
      <c r="AA105" s="762">
        <f t="shared" ref="AA105" si="112">AA57</f>
        <v>31214.878443406433</v>
      </c>
      <c r="AB105" s="762">
        <f t="shared" si="93"/>
        <v>31819.73745968701</v>
      </c>
      <c r="AC105" s="761">
        <f t="shared" si="97"/>
        <v>1.9377266433287774E-2</v>
      </c>
    </row>
    <row r="106" spans="1:29" ht="6.75" customHeight="1" x14ac:dyDescent="0.3">
      <c r="E106" s="757"/>
      <c r="F106" s="757"/>
      <c r="G106" s="757"/>
      <c r="H106" s="757"/>
      <c r="I106" s="757"/>
      <c r="J106" s="757"/>
      <c r="L106" s="757"/>
      <c r="M106" s="757"/>
      <c r="N106" s="757"/>
      <c r="O106" s="742"/>
      <c r="X106" s="742"/>
      <c r="Y106" s="739"/>
      <c r="Z106" s="739"/>
      <c r="AA106" s="739"/>
      <c r="AB106" s="739"/>
      <c r="AC106" s="739"/>
    </row>
    <row r="107" spans="1:29" s="739" customFormat="1" ht="13.8" thickBot="1" x14ac:dyDescent="0.35">
      <c r="A107" s="1383" t="s">
        <v>374</v>
      </c>
      <c r="B107" s="1383"/>
      <c r="C107" s="772"/>
      <c r="D107" s="736"/>
      <c r="E107" s="773"/>
      <c r="F107" s="773"/>
      <c r="G107" s="773"/>
      <c r="H107" s="773"/>
      <c r="I107" s="773"/>
      <c r="J107" s="773"/>
      <c r="K107" s="737"/>
      <c r="L107" s="773"/>
      <c r="M107" s="773"/>
      <c r="N107" s="773"/>
      <c r="O107" s="742"/>
      <c r="P107" s="774">
        <f t="shared" ref="P107:W107" si="113">SUM(P99:P105)</f>
        <v>1582641.9513037344</v>
      </c>
      <c r="Q107" s="774">
        <f t="shared" si="113"/>
        <v>111488.88197662903</v>
      </c>
      <c r="R107" s="774">
        <f t="shared" si="113"/>
        <v>135765.13335271642</v>
      </c>
      <c r="S107" s="774">
        <f t="shared" si="113"/>
        <v>17619.477299000144</v>
      </c>
      <c r="T107" s="774">
        <f t="shared" si="113"/>
        <v>81405.330410645664</v>
      </c>
      <c r="U107" s="774">
        <f t="shared" si="113"/>
        <v>278705.69852839038</v>
      </c>
      <c r="V107" s="774">
        <f t="shared" si="113"/>
        <v>0</v>
      </c>
      <c r="W107" s="774">
        <f t="shared" si="113"/>
        <v>2157346.0141880461</v>
      </c>
      <c r="X107" s="742"/>
      <c r="Y107" s="774">
        <f>SUM(Y99:Y105)</f>
        <v>3435094.8705858095</v>
      </c>
      <c r="Z107" s="774">
        <f>SUM(Z99:Z105)</f>
        <v>3527901.899756304</v>
      </c>
      <c r="AA107" s="774">
        <f>SUM(AA99:AA105)</f>
        <v>5592440.884773856</v>
      </c>
      <c r="AB107" s="768">
        <f>(Z107+W107)</f>
        <v>5685247.9139443506</v>
      </c>
      <c r="AC107" s="770">
        <f>+((AB107)-(AA107))/(AA107)</f>
        <v>1.6595084522605087E-2</v>
      </c>
    </row>
    <row r="108" spans="1:29" ht="13.8" thickTop="1" x14ac:dyDescent="0.3">
      <c r="E108" s="757"/>
      <c r="F108" s="757"/>
      <c r="G108" s="757"/>
      <c r="H108" s="757"/>
      <c r="I108" s="757"/>
      <c r="J108" s="757"/>
      <c r="L108" s="757"/>
      <c r="M108" s="757"/>
      <c r="N108" s="757"/>
      <c r="O108" s="742"/>
      <c r="X108" s="742"/>
    </row>
    <row r="109" spans="1:29" x14ac:dyDescent="0.3">
      <c r="J109" s="775"/>
      <c r="N109" s="775" t="s">
        <v>151</v>
      </c>
      <c r="O109" s="742"/>
      <c r="P109" s="762">
        <f t="shared" ref="P109:W109" si="114">P95-P107</f>
        <v>0</v>
      </c>
      <c r="Q109" s="762">
        <f t="shared" si="114"/>
        <v>0</v>
      </c>
      <c r="R109" s="762">
        <f t="shared" si="114"/>
        <v>0</v>
      </c>
      <c r="S109" s="762">
        <f t="shared" si="114"/>
        <v>0</v>
      </c>
      <c r="T109" s="762">
        <f t="shared" si="114"/>
        <v>0</v>
      </c>
      <c r="U109" s="762">
        <f t="shared" si="114"/>
        <v>0</v>
      </c>
      <c r="V109" s="762">
        <f t="shared" si="114"/>
        <v>0</v>
      </c>
      <c r="W109" s="762">
        <f t="shared" si="114"/>
        <v>0</v>
      </c>
      <c r="X109" s="742"/>
      <c r="Y109" s="762">
        <f>Y95-Y107</f>
        <v>0</v>
      </c>
      <c r="Z109" s="762">
        <f>Z95-Z107</f>
        <v>0</v>
      </c>
      <c r="AA109" s="762"/>
      <c r="AB109" s="762"/>
      <c r="AC109" s="762">
        <f>AC95-AC107</f>
        <v>0</v>
      </c>
    </row>
    <row r="310" spans="9:13" x14ac:dyDescent="0.3">
      <c r="I310" s="737" t="s">
        <v>375</v>
      </c>
      <c r="M310" s="737" t="s">
        <v>375</v>
      </c>
    </row>
  </sheetData>
  <mergeCells count="2">
    <mergeCell ref="Y1:AC1"/>
    <mergeCell ref="A107:B107"/>
  </mergeCells>
  <printOptions horizontalCentered="1"/>
  <pageMargins left="0" right="0" top="0" bottom="0" header="0.5" footer="0"/>
  <pageSetup scale="15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F1118-1B5D-4E88-A1FF-7D3061F29FCC}">
  <sheetPr codeName="Sheet2">
    <tabColor rgb="FFFFC000"/>
    <pageSetUpPr fitToPage="1"/>
  </sheetPr>
  <dimension ref="A1:AA54"/>
  <sheetViews>
    <sheetView tabSelected="1" topLeftCell="A12" workbookViewId="0">
      <selection activeCell="S8" sqref="S8"/>
    </sheetView>
  </sheetViews>
  <sheetFormatPr defaultRowHeight="14.4" x14ac:dyDescent="0.3"/>
  <cols>
    <col min="1" max="1" width="2" style="8" customWidth="1"/>
    <col min="2" max="2" width="4.109375" style="8" customWidth="1"/>
    <col min="3" max="3" width="28.109375" style="8" customWidth="1"/>
    <col min="4" max="4" width="14.109375" style="8" customWidth="1"/>
    <col min="5" max="5" width="1.109375" style="8" customWidth="1"/>
    <col min="6" max="6" width="10" style="8" bestFit="1" customWidth="1"/>
    <col min="7" max="7" width="1.109375" style="8" customWidth="1"/>
    <col min="8" max="8" width="11.109375" style="8" bestFit="1" customWidth="1"/>
    <col min="9" max="9" width="1" style="8" customWidth="1"/>
    <col min="10" max="10" width="10.33203125" style="8" customWidth="1"/>
    <col min="11" max="11" width="1" style="8" customWidth="1"/>
    <col min="12" max="13" width="11.6640625" style="8" customWidth="1"/>
    <col min="14" max="14" width="1" style="8" customWidth="1"/>
    <col min="15" max="16" width="11.6640625" style="8" customWidth="1"/>
    <col min="17" max="17" width="1" style="8" customWidth="1"/>
    <col min="18" max="19" width="11.6640625" style="8" customWidth="1"/>
    <col min="20" max="20" width="1" style="8" customWidth="1"/>
    <col min="21" max="22" width="11.6640625" style="8" customWidth="1"/>
    <col min="23" max="23" width="1" style="8" customWidth="1"/>
    <col min="24" max="24" width="15.5546875" style="8" bestFit="1" customWidth="1"/>
    <col min="25" max="25" width="1.6640625" style="8" customWidth="1"/>
    <col min="26" max="26" width="3.33203125" style="8" customWidth="1"/>
    <col min="27" max="27" width="2" style="8" customWidth="1"/>
  </cols>
  <sheetData>
    <row r="1" spans="1:27" ht="21" x14ac:dyDescent="0.4">
      <c r="B1" s="1384"/>
      <c r="C1" s="1384"/>
      <c r="D1" s="1384"/>
      <c r="E1" s="1384"/>
      <c r="F1" s="1384"/>
      <c r="G1" s="1384"/>
      <c r="H1" s="1384"/>
      <c r="I1" s="1384"/>
      <c r="J1" s="1384"/>
      <c r="K1" s="1384"/>
      <c r="L1" s="1384"/>
      <c r="M1" s="1384"/>
      <c r="N1" s="1384"/>
      <c r="O1" s="1384"/>
      <c r="P1" s="1384"/>
      <c r="Q1" s="1384"/>
      <c r="R1" s="1384"/>
      <c r="S1" s="1384"/>
      <c r="T1" s="1384"/>
      <c r="U1" s="1384"/>
      <c r="V1" s="1384"/>
      <c r="W1" s="1384"/>
      <c r="X1" s="1384"/>
    </row>
    <row r="2" spans="1:27" ht="15.6" x14ac:dyDescent="0.3">
      <c r="A2" s="9"/>
      <c r="B2" s="10">
        <v>2026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  <c r="AA2" s="9"/>
    </row>
    <row r="3" spans="1:27" x14ac:dyDescent="0.3">
      <c r="A3" s="9"/>
      <c r="B3" s="12" t="s">
        <v>376</v>
      </c>
      <c r="C3" s="13"/>
      <c r="D3" s="14"/>
      <c r="E3" s="13"/>
      <c r="F3" s="13"/>
      <c r="G3" s="13"/>
      <c r="H3" s="15" t="s">
        <v>377</v>
      </c>
      <c r="I3" s="13"/>
      <c r="J3" s="16"/>
      <c r="K3" s="16"/>
      <c r="L3" s="16"/>
      <c r="M3" s="16"/>
      <c r="N3" s="13"/>
      <c r="O3" s="13"/>
      <c r="P3" s="13"/>
      <c r="Q3" s="13"/>
      <c r="R3" s="13"/>
      <c r="S3" s="13"/>
      <c r="T3" s="13"/>
      <c r="U3" s="13"/>
      <c r="V3" s="17" t="s">
        <v>103</v>
      </c>
      <c r="W3" s="13"/>
      <c r="X3" s="13"/>
      <c r="Y3" s="13"/>
      <c r="Z3" s="13"/>
      <c r="AA3" s="9"/>
    </row>
    <row r="4" spans="1:27" x14ac:dyDescent="0.3">
      <c r="A4" s="9"/>
      <c r="B4" s="18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3"/>
      <c r="Z4" s="13"/>
      <c r="AA4" s="9"/>
    </row>
    <row r="5" spans="1:27" x14ac:dyDescent="0.3">
      <c r="A5" s="9"/>
      <c r="B5" s="12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9"/>
    </row>
    <row r="6" spans="1:27" ht="15" customHeight="1" x14ac:dyDescent="0.3">
      <c r="A6" s="9"/>
      <c r="B6" s="12"/>
      <c r="C6" s="1278" t="s">
        <v>4</v>
      </c>
      <c r="D6" s="1385" t="s">
        <v>1112</v>
      </c>
      <c r="E6" s="1385"/>
      <c r="F6" s="1385"/>
      <c r="G6" s="1385"/>
      <c r="H6" s="1385"/>
      <c r="I6" s="1385"/>
      <c r="J6" s="1385"/>
      <c r="K6" s="1385"/>
      <c r="L6" s="1385"/>
      <c r="M6" s="1385"/>
      <c r="N6" s="1385"/>
      <c r="O6" s="1385"/>
      <c r="P6" s="1385"/>
      <c r="Q6" s="1385"/>
      <c r="R6" s="1385"/>
      <c r="S6" s="1385"/>
      <c r="T6" s="1385"/>
      <c r="U6" s="1385"/>
      <c r="W6" s="13"/>
      <c r="X6" s="1374" t="s">
        <v>1113</v>
      </c>
      <c r="Y6" s="13"/>
      <c r="Z6" s="13"/>
      <c r="AA6" s="9"/>
    </row>
    <row r="7" spans="1:27" ht="15" customHeight="1" x14ac:dyDescent="0.3">
      <c r="A7" s="9"/>
      <c r="B7" s="13"/>
      <c r="C7" s="1279"/>
      <c r="D7" s="1385" t="s">
        <v>1114</v>
      </c>
      <c r="E7" s="1385"/>
      <c r="F7" s="1385"/>
      <c r="G7" s="1385"/>
      <c r="H7" s="1385"/>
      <c r="I7" s="1385"/>
      <c r="J7" s="1385"/>
      <c r="K7" s="1385"/>
      <c r="L7" s="1385"/>
      <c r="M7" s="1385"/>
      <c r="N7" s="1385"/>
      <c r="O7" s="1385"/>
      <c r="P7" s="1385"/>
      <c r="Q7" s="1385"/>
      <c r="R7" s="1385"/>
      <c r="S7" s="1385"/>
      <c r="T7" s="1385"/>
      <c r="U7" s="1385"/>
      <c r="V7" s="1375"/>
      <c r="W7" s="13"/>
      <c r="X7" s="13"/>
      <c r="Y7" s="13"/>
      <c r="Z7" s="13"/>
      <c r="AA7" s="9"/>
    </row>
    <row r="8" spans="1:27" x14ac:dyDescent="0.3">
      <c r="A8" s="23"/>
      <c r="B8" s="24"/>
      <c r="AA8" s="23"/>
    </row>
    <row r="9" spans="1:27" x14ac:dyDescent="0.3">
      <c r="A9" s="23"/>
      <c r="B9" s="25"/>
      <c r="D9" s="26">
        <v>-1</v>
      </c>
      <c r="E9" s="26"/>
      <c r="F9" s="26">
        <f>D9-1</f>
        <v>-2</v>
      </c>
      <c r="G9" s="26"/>
      <c r="H9" s="26">
        <f>F9-1</f>
        <v>-3</v>
      </c>
      <c r="I9" s="27"/>
      <c r="J9" s="26">
        <f>H9-1</f>
        <v>-4</v>
      </c>
      <c r="K9" s="26">
        <v>-6</v>
      </c>
      <c r="L9" s="26">
        <f>J9-1</f>
        <v>-5</v>
      </c>
      <c r="M9" s="26">
        <f>L9-1</f>
        <v>-6</v>
      </c>
      <c r="N9" s="27"/>
      <c r="O9" s="26">
        <f>M9-1</f>
        <v>-7</v>
      </c>
      <c r="P9" s="26">
        <f>O9-1</f>
        <v>-8</v>
      </c>
      <c r="Q9" s="26">
        <v>-9</v>
      </c>
      <c r="R9" s="26">
        <f>P9-1</f>
        <v>-9</v>
      </c>
      <c r="S9" s="26">
        <f>R9-1</f>
        <v>-10</v>
      </c>
      <c r="T9" s="27">
        <v>-11</v>
      </c>
      <c r="U9" s="26">
        <f>S9-1</f>
        <v>-11</v>
      </c>
      <c r="V9" s="26">
        <f>U9-1</f>
        <v>-12</v>
      </c>
      <c r="W9" s="26">
        <v>-9</v>
      </c>
      <c r="X9" s="26">
        <f>V9-1</f>
        <v>-13</v>
      </c>
      <c r="Z9" s="28"/>
      <c r="AA9" s="23"/>
    </row>
    <row r="10" spans="1:27" x14ac:dyDescent="0.3">
      <c r="A10" s="23"/>
      <c r="D10" s="29"/>
      <c r="E10" s="30"/>
      <c r="G10" s="29"/>
      <c r="X10" s="28"/>
      <c r="AA10" s="23"/>
    </row>
    <row r="11" spans="1:27" x14ac:dyDescent="0.3">
      <c r="A11" s="23"/>
      <c r="B11" s="25"/>
      <c r="C11" s="25"/>
      <c r="D11" s="29"/>
      <c r="E11" s="30"/>
      <c r="F11" s="28"/>
      <c r="G11" s="29"/>
      <c r="H11" s="29"/>
      <c r="J11" s="28"/>
      <c r="X11" s="28"/>
      <c r="AA11" s="23"/>
    </row>
    <row r="12" spans="1:27" ht="41.25" customHeight="1" x14ac:dyDescent="0.3">
      <c r="A12" s="23"/>
      <c r="B12" s="25"/>
      <c r="C12" s="25"/>
      <c r="D12" s="31" t="s">
        <v>294</v>
      </c>
      <c r="E12" s="30"/>
      <c r="F12" s="32" t="s">
        <v>378</v>
      </c>
      <c r="G12" s="29"/>
      <c r="H12" s="33" t="s">
        <v>379</v>
      </c>
      <c r="J12" s="32" t="s">
        <v>380</v>
      </c>
      <c r="L12" s="34" t="s">
        <v>381</v>
      </c>
      <c r="M12" s="35"/>
      <c r="O12" s="34" t="s">
        <v>382</v>
      </c>
      <c r="P12" s="35"/>
      <c r="R12" s="34" t="s">
        <v>383</v>
      </c>
      <c r="S12" s="36"/>
      <c r="U12" s="34" t="s">
        <v>384</v>
      </c>
      <c r="V12" s="35"/>
      <c r="X12" s="32" t="s">
        <v>385</v>
      </c>
      <c r="AA12" s="23"/>
    </row>
    <row r="13" spans="1:27" x14ac:dyDescent="0.3">
      <c r="A13" s="23"/>
      <c r="B13" s="25"/>
      <c r="C13" s="25"/>
      <c r="D13" s="37"/>
      <c r="E13" s="30"/>
      <c r="F13" s="28"/>
      <c r="G13" s="29"/>
      <c r="H13" s="38"/>
      <c r="J13" s="28"/>
      <c r="L13" s="38"/>
      <c r="M13" s="38"/>
      <c r="O13" s="28"/>
      <c r="S13" s="28"/>
      <c r="U13" s="28"/>
      <c r="V13" s="28"/>
      <c r="X13" s="28"/>
      <c r="AA13" s="23"/>
    </row>
    <row r="14" spans="1:27" x14ac:dyDescent="0.3">
      <c r="A14" s="23"/>
      <c r="B14" s="39" t="s">
        <v>30</v>
      </c>
      <c r="C14" s="39" t="s">
        <v>386</v>
      </c>
      <c r="D14" s="40" t="s">
        <v>387</v>
      </c>
      <c r="E14" s="30"/>
      <c r="F14" s="40" t="s">
        <v>388</v>
      </c>
      <c r="G14" s="29"/>
      <c r="H14" s="40" t="s">
        <v>389</v>
      </c>
      <c r="I14" s="41"/>
      <c r="J14" s="40" t="s">
        <v>390</v>
      </c>
      <c r="L14" s="40" t="s">
        <v>391</v>
      </c>
      <c r="M14" s="40" t="s">
        <v>392</v>
      </c>
      <c r="O14" s="40" t="s">
        <v>393</v>
      </c>
      <c r="P14" s="40" t="s">
        <v>394</v>
      </c>
      <c r="R14" s="40" t="s">
        <v>395</v>
      </c>
      <c r="S14" s="40" t="s">
        <v>396</v>
      </c>
      <c r="T14" s="41"/>
      <c r="U14" s="40" t="s">
        <v>397</v>
      </c>
      <c r="V14" s="40" t="s">
        <v>394</v>
      </c>
      <c r="X14" s="40" t="s">
        <v>398</v>
      </c>
      <c r="Z14" s="28"/>
      <c r="AA14" s="23"/>
    </row>
    <row r="15" spans="1:27" x14ac:dyDescent="0.3">
      <c r="A15" s="23"/>
      <c r="B15" s="25"/>
      <c r="C15" s="25"/>
      <c r="E15" s="30"/>
      <c r="F15" s="42"/>
      <c r="G15" s="29"/>
      <c r="H15" s="42"/>
      <c r="I15" s="41"/>
      <c r="M15" s="42"/>
      <c r="O15" s="41"/>
      <c r="P15" s="41"/>
      <c r="R15" s="41"/>
      <c r="S15" s="41"/>
      <c r="T15" s="41"/>
      <c r="U15" s="41"/>
      <c r="V15" s="41"/>
      <c r="X15" s="41"/>
      <c r="AA15" s="23"/>
    </row>
    <row r="16" spans="1:27" x14ac:dyDescent="0.3">
      <c r="A16" s="23"/>
      <c r="B16" s="38">
        <v>1</v>
      </c>
      <c r="C16" s="43" t="s">
        <v>399</v>
      </c>
      <c r="D16" s="30">
        <f>'MFR E-6b'!H29</f>
        <v>2281997.2598304595</v>
      </c>
      <c r="E16" s="30"/>
      <c r="F16" s="30">
        <f>'MFR E-13a'!H18</f>
        <v>2242205.1568560041</v>
      </c>
      <c r="G16" s="29"/>
      <c r="H16" s="30">
        <f>D16-F16</f>
        <v>39792.102974455338</v>
      </c>
      <c r="I16" s="47"/>
      <c r="J16" s="30">
        <f>'MFR E-5 Yr4'!J56</f>
        <v>0</v>
      </c>
      <c r="L16" s="30">
        <f>H16+J16</f>
        <v>39792.102974455338</v>
      </c>
      <c r="M16" s="44">
        <f>L16/F16</f>
        <v>1.7746860876125804E-2</v>
      </c>
      <c r="O16" s="45">
        <f>F16*P16</f>
        <v>39792.102974455338</v>
      </c>
      <c r="P16" s="44">
        <f>IF(M16&gt;M$34,M$34,IF(M16&lt;0,0,M16))</f>
        <v>1.7746860876125804E-2</v>
      </c>
      <c r="R16" s="46">
        <f>IF(P16=M$34,0,F16+O16)</f>
        <v>2281997.2598304595</v>
      </c>
      <c r="S16" s="47">
        <f>IF((O16+S$34*(R16/R$33))/F16&gt;$M$34,(F16*(1+$M$34))-F16-O16,S$34*(R16/R$33))</f>
        <v>17806.841387521548</v>
      </c>
      <c r="T16" s="47"/>
      <c r="U16" s="48">
        <f>O16+S16</f>
        <v>57598.944361976886</v>
      </c>
      <c r="V16" s="49">
        <f>U16/F16</f>
        <v>2.568852550617692E-2</v>
      </c>
      <c r="X16" s="30">
        <f>F16+U16</f>
        <v>2299804.101217981</v>
      </c>
      <c r="Z16" s="50"/>
      <c r="AA16" s="23"/>
    </row>
    <row r="17" spans="1:27" x14ac:dyDescent="0.3">
      <c r="A17" s="23"/>
      <c r="B17" s="38">
        <f>B16+1</f>
        <v>2</v>
      </c>
      <c r="C17" s="51"/>
      <c r="D17" s="30"/>
      <c r="E17" s="30"/>
      <c r="F17" s="30"/>
      <c r="G17" s="30"/>
      <c r="H17" s="30"/>
      <c r="J17" s="30"/>
      <c r="L17" s="30"/>
      <c r="M17" s="52"/>
      <c r="O17" s="30"/>
      <c r="P17" s="52"/>
      <c r="R17" s="46"/>
      <c r="V17" s="52"/>
      <c r="X17" s="30"/>
      <c r="Z17" s="53"/>
      <c r="AA17" s="23"/>
    </row>
    <row r="18" spans="1:27" x14ac:dyDescent="0.3">
      <c r="A18" s="23"/>
      <c r="B18" s="38">
        <f t="shared" ref="B18:B45" si="0">B17+1</f>
        <v>3</v>
      </c>
      <c r="C18" s="43" t="s">
        <v>400</v>
      </c>
      <c r="D18" s="30">
        <f>'MFR E-6b'!I29</f>
        <v>204311.7654968744</v>
      </c>
      <c r="E18" s="30"/>
      <c r="F18" s="30">
        <f>'MFR E-13a'!H19</f>
        <v>199992.29389740311</v>
      </c>
      <c r="G18" s="30"/>
      <c r="H18" s="30">
        <f>D18-F18</f>
        <v>4319.4715994712897</v>
      </c>
      <c r="I18" s="47"/>
      <c r="J18" s="30">
        <f>'MFR E-5 Yr4'!K56</f>
        <v>0</v>
      </c>
      <c r="L18" s="30">
        <f>H18+J18</f>
        <v>4319.4715994712897</v>
      </c>
      <c r="M18" s="44">
        <f>L18/F18</f>
        <v>2.1598190186703878E-2</v>
      </c>
      <c r="O18" s="45">
        <f>F18*P18</f>
        <v>4319.4715994712897</v>
      </c>
      <c r="P18" s="44">
        <f>IF(M18&gt;M$34,M$34,IF(M18&lt;0,0,M18))</f>
        <v>2.1598190186703878E-2</v>
      </c>
      <c r="R18" s="46">
        <f>IF(P18=M$34,0,F18+O18)</f>
        <v>204311.7654968744</v>
      </c>
      <c r="S18" s="47">
        <f>IF((O18+S$34*(R18/R$33))/F18&gt;$M$34,(F18*(1+$M$34))-F18-O18,S$34*(R18/R$33))</f>
        <v>1594.2820203375859</v>
      </c>
      <c r="T18" s="47"/>
      <c r="U18" s="48">
        <f>O18+S18</f>
        <v>5913.7536198088756</v>
      </c>
      <c r="V18" s="49">
        <f>U18/F18</f>
        <v>2.956990744274705E-2</v>
      </c>
      <c r="X18" s="30">
        <f>F18+U18</f>
        <v>205906.04751721199</v>
      </c>
      <c r="Z18" s="50"/>
      <c r="AA18" s="23"/>
    </row>
    <row r="19" spans="1:27" x14ac:dyDescent="0.3">
      <c r="A19" s="23"/>
      <c r="B19" s="38">
        <f t="shared" si="0"/>
        <v>4</v>
      </c>
      <c r="C19" s="43" t="s">
        <v>401</v>
      </c>
      <c r="D19" s="30"/>
      <c r="E19" s="30"/>
      <c r="F19" s="30"/>
      <c r="G19" s="30"/>
      <c r="H19" s="30"/>
      <c r="J19" s="30"/>
      <c r="L19" s="30"/>
      <c r="M19" s="54"/>
      <c r="O19" s="30"/>
      <c r="P19" s="54"/>
      <c r="R19" s="46"/>
      <c r="V19" s="54"/>
      <c r="X19" s="30"/>
      <c r="Z19" s="50"/>
      <c r="AA19" s="23"/>
    </row>
    <row r="20" spans="1:27" x14ac:dyDescent="0.3">
      <c r="A20" s="23"/>
      <c r="B20" s="38">
        <f t="shared" si="0"/>
        <v>5</v>
      </c>
      <c r="C20" s="43"/>
      <c r="D20" s="30"/>
      <c r="E20" s="30"/>
      <c r="F20" s="30"/>
      <c r="G20" s="30"/>
      <c r="H20" s="30"/>
      <c r="J20" s="30"/>
      <c r="L20" s="30"/>
      <c r="M20" s="55"/>
      <c r="O20" s="30"/>
      <c r="P20" s="55"/>
      <c r="R20" s="46"/>
      <c r="V20" s="55"/>
      <c r="X20" s="30"/>
      <c r="Z20" s="50"/>
      <c r="AA20" s="23"/>
    </row>
    <row r="21" spans="1:27" x14ac:dyDescent="0.3">
      <c r="A21" s="23"/>
      <c r="B21" s="38">
        <f t="shared" si="0"/>
        <v>6</v>
      </c>
      <c r="C21" s="43" t="s">
        <v>402</v>
      </c>
      <c r="D21" s="30">
        <f>'MFR E-6b'!J29</f>
        <v>13235.026666544913</v>
      </c>
      <c r="E21" s="30"/>
      <c r="F21" s="30">
        <f>'MFR E-13a'!H20</f>
        <v>11991.78251042675</v>
      </c>
      <c r="G21" s="30"/>
      <c r="H21" s="30">
        <f>D21-F21</f>
        <v>1243.2441561181622</v>
      </c>
      <c r="I21" s="47"/>
      <c r="J21" s="30">
        <f>'MFR E-5 Yr4'!L56</f>
        <v>0</v>
      </c>
      <c r="L21" s="30">
        <f>H21+J21</f>
        <v>1243.2441561181622</v>
      </c>
      <c r="M21" s="44">
        <f>L21/F21</f>
        <v>0.10367467514001127</v>
      </c>
      <c r="O21" s="45">
        <f>F21*P21</f>
        <v>485.9489270900678</v>
      </c>
      <c r="P21" s="44">
        <f>IF(M21&gt;M$34,M$34,IF(M21&lt;0,0,M21))</f>
        <v>4.0523494039984419E-2</v>
      </c>
      <c r="R21" s="46">
        <f>IF(P21=M$34,0,F21+O21)</f>
        <v>0</v>
      </c>
      <c r="S21" s="47">
        <f>IF((O21+S$34*(R21/R$33))/F21&gt;$M$34,(F21*(1+$M$34))-F21-O21,S$34*(R21/R$33))</f>
        <v>0</v>
      </c>
      <c r="T21" s="47"/>
      <c r="U21" s="48">
        <f>O21+S21</f>
        <v>485.9489270900678</v>
      </c>
      <c r="V21" s="49">
        <f>U21/F21</f>
        <v>4.0523494039984419E-2</v>
      </c>
      <c r="X21" s="30">
        <f>F21+U21</f>
        <v>12477.731437516819</v>
      </c>
      <c r="Z21" s="50"/>
      <c r="AA21" s="23"/>
    </row>
    <row r="22" spans="1:27" x14ac:dyDescent="0.3">
      <c r="A22" s="23"/>
      <c r="B22" s="38">
        <f t="shared" si="0"/>
        <v>7</v>
      </c>
      <c r="C22" s="43" t="s">
        <v>403</v>
      </c>
      <c r="D22" s="30"/>
      <c r="E22" s="30"/>
      <c r="F22" s="30"/>
      <c r="G22" s="30"/>
      <c r="H22" s="30"/>
      <c r="J22" s="30"/>
      <c r="L22" s="30"/>
      <c r="M22" s="52"/>
      <c r="O22" s="30"/>
      <c r="P22" s="52"/>
      <c r="R22" s="46"/>
      <c r="V22" s="52"/>
      <c r="X22" s="30"/>
      <c r="Z22" s="50"/>
      <c r="AA22" s="23"/>
    </row>
    <row r="23" spans="1:27" x14ac:dyDescent="0.3">
      <c r="A23" s="23"/>
      <c r="B23" s="38">
        <f t="shared" si="0"/>
        <v>8</v>
      </c>
      <c r="C23" s="51"/>
      <c r="D23" s="30"/>
      <c r="E23" s="30"/>
      <c r="F23" s="30"/>
      <c r="G23" s="30"/>
      <c r="H23" s="30"/>
      <c r="J23" s="30"/>
      <c r="L23" s="30"/>
      <c r="M23" s="52"/>
      <c r="O23" s="30"/>
      <c r="P23" s="52"/>
      <c r="R23" s="46"/>
      <c r="V23" s="52"/>
      <c r="X23" s="30"/>
      <c r="Z23" s="50"/>
      <c r="AA23" s="23"/>
    </row>
    <row r="24" spans="1:27" x14ac:dyDescent="0.3">
      <c r="A24" s="23"/>
      <c r="B24" s="38">
        <f t="shared" si="0"/>
        <v>9</v>
      </c>
      <c r="C24" s="51" t="s">
        <v>400</v>
      </c>
      <c r="D24" s="30">
        <f>'MFR E-6b'!K29</f>
        <v>871220.95348612685</v>
      </c>
      <c r="E24" s="30"/>
      <c r="F24" s="30">
        <f>'MFR E-13a'!H21+'MFR E-13a'!H24</f>
        <v>854345.203261205</v>
      </c>
      <c r="G24" s="30"/>
      <c r="H24" s="30">
        <f>D24-F24</f>
        <v>16875.750224921852</v>
      </c>
      <c r="I24" s="47"/>
      <c r="J24" s="30">
        <f>'MFR E-5 Yr4'!M56</f>
        <v>0</v>
      </c>
      <c r="L24" s="30">
        <f>H24+J24</f>
        <v>16875.750224921852</v>
      </c>
      <c r="M24" s="44">
        <f>L24/F24</f>
        <v>1.9752847163539713E-2</v>
      </c>
      <c r="O24" s="45">
        <f>F24*P24</f>
        <v>16875.750224921852</v>
      </c>
      <c r="P24" s="44">
        <f>IF(M24&gt;M$34,M$34,IF(M24&lt;0,0,M24))</f>
        <v>1.9752847163539713E-2</v>
      </c>
      <c r="R24" s="46">
        <f>IF(P24=M$34,0,F24+O24)</f>
        <v>871220.95348612685</v>
      </c>
      <c r="S24" s="47">
        <f>IF((O24+S$34*(R24/R$33))/F24&gt;$M$34,(F24*(1+$M$34))-F24-O24,S$34*(R24/R$33))</f>
        <v>6798.2962141529188</v>
      </c>
      <c r="T24" s="47"/>
      <c r="U24" s="48">
        <f>O24+S24</f>
        <v>23674.046439074773</v>
      </c>
      <c r="V24" s="49">
        <f>U24/F24</f>
        <v>2.7710164870951747E-2</v>
      </c>
      <c r="X24" s="30">
        <f>F24+U24</f>
        <v>878019.24970027979</v>
      </c>
      <c r="Z24" s="50"/>
      <c r="AA24" s="23"/>
    </row>
    <row r="25" spans="1:27" x14ac:dyDescent="0.3">
      <c r="A25" s="23"/>
      <c r="B25" s="38">
        <f t="shared" si="0"/>
        <v>10</v>
      </c>
      <c r="C25" s="51" t="s">
        <v>404</v>
      </c>
      <c r="D25" s="30"/>
      <c r="E25" s="30"/>
      <c r="F25" s="30"/>
      <c r="G25" s="30"/>
      <c r="H25" s="30"/>
      <c r="J25" s="30"/>
      <c r="L25" s="30"/>
      <c r="M25" s="52"/>
      <c r="O25" s="30"/>
      <c r="P25" s="52"/>
      <c r="R25" s="46"/>
      <c r="V25" s="52"/>
      <c r="X25" s="30"/>
      <c r="Z25" s="50"/>
      <c r="AA25" s="23"/>
    </row>
    <row r="26" spans="1:27" x14ac:dyDescent="0.3">
      <c r="A26" s="23"/>
      <c r="B26" s="38">
        <f t="shared" si="0"/>
        <v>11</v>
      </c>
      <c r="C26" s="51"/>
      <c r="D26" s="30"/>
      <c r="E26" s="30"/>
      <c r="F26" s="30"/>
      <c r="G26" s="30"/>
      <c r="H26" s="30"/>
      <c r="J26" s="30"/>
      <c r="L26" s="30"/>
      <c r="M26" s="52"/>
      <c r="O26" s="30"/>
      <c r="P26" s="52"/>
      <c r="R26" s="46"/>
      <c r="V26" s="52"/>
      <c r="X26" s="30"/>
      <c r="Z26" s="50"/>
      <c r="AA26" s="23"/>
    </row>
    <row r="27" spans="1:27" x14ac:dyDescent="0.3">
      <c r="A27" s="23"/>
      <c r="B27" s="38">
        <f t="shared" si="0"/>
        <v>12</v>
      </c>
      <c r="C27" s="43" t="s">
        <v>405</v>
      </c>
      <c r="D27" s="30">
        <f>'MFR E-6b'!L29</f>
        <v>132536.88881375437</v>
      </c>
      <c r="E27" s="30"/>
      <c r="F27" s="30">
        <f>'MFR E-13a'!H22+'MFR E-13a'!H23+'MFR E-13a'!H25+'MFR E-13a'!H26</f>
        <v>111629.63909349758</v>
      </c>
      <c r="G27" s="30"/>
      <c r="H27" s="30">
        <f>D27-F27</f>
        <v>20907.24972025679</v>
      </c>
      <c r="I27" s="47"/>
      <c r="J27" s="30">
        <f>'MFR E-5 Yr4'!N56+'MFR E-5 Yr4'!O56</f>
        <v>0</v>
      </c>
      <c r="L27" s="30">
        <f>H27+J27</f>
        <v>20907.24972025679</v>
      </c>
      <c r="M27" s="44">
        <f>L27/F27</f>
        <v>0.18729120590227399</v>
      </c>
      <c r="O27" s="45">
        <f>F27*P27</f>
        <v>4523.6230144909605</v>
      </c>
      <c r="P27" s="44">
        <f>IF(M27&gt;M$34,M$34,IF(M27&lt;0,0,M27))</f>
        <v>4.0523494039984419E-2</v>
      </c>
      <c r="R27" s="46">
        <f>IF(P27=M$34,0,F27+O27)</f>
        <v>0</v>
      </c>
      <c r="S27" s="47">
        <f>IF((O27+S$34*(R27/R$33))/F27&gt;$M$34,(F27*(1+$M$34))-F27-O27,S$34*(R27/R$33))</f>
        <v>0</v>
      </c>
      <c r="T27" s="47"/>
      <c r="U27" s="48">
        <f>O27+S27</f>
        <v>4523.6230144909605</v>
      </c>
      <c r="V27" s="49">
        <f>U27/F27</f>
        <v>4.0523494039984419E-2</v>
      </c>
      <c r="X27" s="30">
        <f>F27+U27</f>
        <v>116153.26210798854</v>
      </c>
      <c r="Z27" s="50"/>
      <c r="AA27" s="23"/>
    </row>
    <row r="28" spans="1:27" x14ac:dyDescent="0.3">
      <c r="A28" s="23"/>
      <c r="B28" s="38">
        <f t="shared" si="0"/>
        <v>13</v>
      </c>
      <c r="C28" s="51" t="s">
        <v>406</v>
      </c>
      <c r="D28" s="30"/>
      <c r="E28" s="30"/>
      <c r="F28" s="30"/>
      <c r="G28" s="30"/>
      <c r="H28" s="30"/>
      <c r="J28" s="30"/>
      <c r="L28" s="30"/>
      <c r="M28" s="52"/>
      <c r="O28" s="30"/>
      <c r="P28" s="52"/>
      <c r="R28" s="46"/>
      <c r="V28" s="52"/>
      <c r="X28" s="30"/>
      <c r="Z28" s="50"/>
      <c r="AA28" s="23"/>
    </row>
    <row r="29" spans="1:27" x14ac:dyDescent="0.3">
      <c r="A29" s="23"/>
      <c r="B29" s="38">
        <f t="shared" si="0"/>
        <v>14</v>
      </c>
      <c r="C29" s="51"/>
      <c r="D29" s="30"/>
      <c r="E29" s="30"/>
      <c r="F29" s="30"/>
      <c r="G29" s="30"/>
      <c r="H29" s="30"/>
      <c r="J29" s="30"/>
      <c r="L29" s="30"/>
      <c r="M29" s="52"/>
      <c r="O29" s="30"/>
      <c r="P29" s="52"/>
      <c r="R29" s="46"/>
      <c r="V29" s="52"/>
      <c r="X29" s="30"/>
      <c r="Z29" s="50"/>
      <c r="AA29" s="23"/>
    </row>
    <row r="30" spans="1:27" x14ac:dyDescent="0.3">
      <c r="A30" s="23"/>
      <c r="B30" s="38">
        <f t="shared" si="0"/>
        <v>15</v>
      </c>
      <c r="C30" s="51" t="s">
        <v>407</v>
      </c>
      <c r="D30" s="30"/>
      <c r="E30" s="30"/>
      <c r="F30" s="30"/>
      <c r="G30" s="30"/>
      <c r="H30" s="30"/>
      <c r="J30" s="30"/>
      <c r="L30" s="30"/>
      <c r="M30" s="52"/>
      <c r="O30" s="30"/>
      <c r="P30" s="52"/>
      <c r="R30" s="46"/>
      <c r="V30" s="52"/>
      <c r="X30" s="30"/>
      <c r="Z30" s="50"/>
      <c r="AA30" s="23"/>
    </row>
    <row r="31" spans="1:27" x14ac:dyDescent="0.3">
      <c r="A31" s="23"/>
      <c r="B31" s="38">
        <f t="shared" si="0"/>
        <v>16</v>
      </c>
      <c r="C31" s="56" t="s">
        <v>141</v>
      </c>
      <c r="D31" s="30">
        <f>'MFR E-6b'!M29</f>
        <v>24594.340635359513</v>
      </c>
      <c r="E31" s="30"/>
      <c r="F31" s="30">
        <f>'MFR E-13a'!H27</f>
        <v>14930.794967272886</v>
      </c>
      <c r="G31" s="30"/>
      <c r="H31" s="30">
        <f>D31-F31</f>
        <v>9663.5456680866264</v>
      </c>
      <c r="I31" s="47"/>
      <c r="J31" s="30">
        <f>'MFR E-5 Yr4'!P56</f>
        <v>0</v>
      </c>
      <c r="L31" s="30">
        <f>H31+J31</f>
        <v>9663.5456680866264</v>
      </c>
      <c r="M31" s="44">
        <f>L31/F31</f>
        <v>0.64722244791843631</v>
      </c>
      <c r="O31" s="45">
        <f>F31*P31</f>
        <v>605.04798086851213</v>
      </c>
      <c r="P31" s="44">
        <f>IF(M31&gt;M$34,M$34,IF(M31&lt;0,0,M31))</f>
        <v>4.0523494039984419E-2</v>
      </c>
      <c r="R31" s="46">
        <f>IF(P31=M$34,0,F31+O31)</f>
        <v>0</v>
      </c>
      <c r="S31" s="47">
        <f>IF((O31+S$34*(R31/R$33))/F31&gt;$M$34,(F31*(1+$M$34))-F31-O31,S$34*(R31/R$33))</f>
        <v>0</v>
      </c>
      <c r="T31" s="47"/>
      <c r="U31" s="48">
        <f>O31+S31</f>
        <v>605.04798086851213</v>
      </c>
      <c r="V31" s="49">
        <f>U31/F31</f>
        <v>4.0523494039984419E-2</v>
      </c>
      <c r="X31" s="30">
        <f>F31+U31</f>
        <v>15535.842948141399</v>
      </c>
      <c r="Z31" s="50"/>
      <c r="AA31" s="23"/>
    </row>
    <row r="32" spans="1:27" x14ac:dyDescent="0.3">
      <c r="A32" s="23"/>
      <c r="B32" s="38">
        <f t="shared" si="0"/>
        <v>17</v>
      </c>
      <c r="C32" s="51" t="s">
        <v>408</v>
      </c>
      <c r="D32" s="30"/>
      <c r="E32" s="30"/>
      <c r="F32" s="30"/>
      <c r="G32" s="30"/>
      <c r="H32" s="30"/>
      <c r="J32" s="30"/>
      <c r="L32" s="30"/>
      <c r="M32" s="57"/>
      <c r="O32" s="30"/>
      <c r="P32" s="57"/>
      <c r="R32" s="46"/>
      <c r="V32" s="57"/>
      <c r="X32" s="30"/>
      <c r="Z32" s="50"/>
      <c r="AA32" s="23"/>
    </row>
    <row r="33" spans="1:27" ht="15" thickBot="1" x14ac:dyDescent="0.35">
      <c r="A33" s="23"/>
      <c r="B33" s="38">
        <f t="shared" si="0"/>
        <v>18</v>
      </c>
      <c r="C33" s="51" t="s">
        <v>409</v>
      </c>
      <c r="D33" s="58">
        <f>SUM(D16:D32)</f>
        <v>3527896.2349291192</v>
      </c>
      <c r="E33" s="58"/>
      <c r="F33" s="58">
        <f>SUM(F16:F32)</f>
        <v>3435094.8705858095</v>
      </c>
      <c r="G33" s="58"/>
      <c r="H33" s="58">
        <f>SUM(H16:H32)</f>
        <v>92801.364343310066</v>
      </c>
      <c r="I33" s="47"/>
      <c r="J33" s="58">
        <f>SUM(J16:J32)</f>
        <v>0</v>
      </c>
      <c r="L33" s="58">
        <f>SUM(L16:L32)</f>
        <v>92801.364343310066</v>
      </c>
      <c r="M33" s="59">
        <f>L33/F33</f>
        <v>2.7015662693322947E-2</v>
      </c>
      <c r="O33" s="58">
        <f>SUM(O16:O32)</f>
        <v>66601.944721298016</v>
      </c>
      <c r="P33" s="59">
        <f>O33/F33</f>
        <v>1.9388676945024212E-2</v>
      </c>
      <c r="R33" s="58">
        <f>SUM(R16:R32)</f>
        <v>3357529.9788134606</v>
      </c>
      <c r="S33" s="1216">
        <f>SUM(S16:S32)</f>
        <v>26199.41962201205</v>
      </c>
      <c r="T33" s="47"/>
      <c r="U33" s="58">
        <f>SUM(U16:U32)</f>
        <v>92801.364343310081</v>
      </c>
      <c r="V33" s="59">
        <f>U33/F33</f>
        <v>2.701566269332295E-2</v>
      </c>
      <c r="X33" s="58">
        <f>SUM(X16:X32)</f>
        <v>3527896.2349291197</v>
      </c>
      <c r="Z33" s="60"/>
      <c r="AA33" s="23"/>
    </row>
    <row r="34" spans="1:27" ht="15" thickTop="1" x14ac:dyDescent="0.3">
      <c r="A34" s="23"/>
      <c r="B34" s="38">
        <f t="shared" si="0"/>
        <v>19</v>
      </c>
      <c r="C34" s="51" t="s">
        <v>410</v>
      </c>
      <c r="D34" s="46"/>
      <c r="E34" s="46"/>
      <c r="F34" s="46"/>
      <c r="G34" s="46"/>
      <c r="H34" s="46"/>
      <c r="I34" s="47"/>
      <c r="J34" s="46"/>
      <c r="L34" s="46"/>
      <c r="M34" s="1347">
        <f>M33*1.5</f>
        <v>4.0523494039984419E-2</v>
      </c>
      <c r="O34" s="46"/>
      <c r="P34" s="64"/>
      <c r="R34" s="46"/>
      <c r="S34" s="1217">
        <f>L33-O33</f>
        <v>26199.41962201205</v>
      </c>
      <c r="T34" s="47"/>
      <c r="U34" s="46"/>
      <c r="V34" s="64"/>
      <c r="X34" s="46"/>
      <c r="Z34" s="60"/>
      <c r="AA34" s="23"/>
    </row>
    <row r="35" spans="1:27" x14ac:dyDescent="0.3">
      <c r="A35" s="23"/>
      <c r="B35" s="38">
        <f t="shared" si="0"/>
        <v>20</v>
      </c>
      <c r="C35" s="51"/>
      <c r="D35" s="46"/>
      <c r="E35" s="46"/>
      <c r="F35" s="46"/>
      <c r="G35" s="46"/>
      <c r="H35" s="46"/>
      <c r="I35" s="47"/>
      <c r="J35" s="46"/>
      <c r="L35" s="46"/>
      <c r="M35" s="64"/>
      <c r="O35" s="46"/>
      <c r="P35" s="64"/>
      <c r="R35" s="46"/>
      <c r="S35" s="47"/>
      <c r="T35" s="47"/>
      <c r="U35" s="46"/>
      <c r="V35" s="64"/>
      <c r="X35" s="46"/>
      <c r="Z35" s="60"/>
      <c r="AA35" s="23"/>
    </row>
    <row r="36" spans="1:27" x14ac:dyDescent="0.3">
      <c r="A36" s="23"/>
      <c r="B36" s="38">
        <f t="shared" si="0"/>
        <v>21</v>
      </c>
      <c r="C36" s="51" t="s">
        <v>411</v>
      </c>
      <c r="D36" s="30"/>
      <c r="E36" s="30"/>
      <c r="F36" s="30"/>
      <c r="G36" s="30"/>
      <c r="H36" s="30"/>
      <c r="J36" s="30"/>
      <c r="L36" s="30"/>
      <c r="M36" s="52"/>
      <c r="O36" s="30"/>
      <c r="P36" s="52"/>
      <c r="R36" s="46"/>
      <c r="V36" s="52"/>
      <c r="X36" s="30"/>
      <c r="Z36" s="50"/>
      <c r="AA36" s="23"/>
    </row>
    <row r="37" spans="1:27" x14ac:dyDescent="0.3">
      <c r="A37" s="23"/>
      <c r="B37" s="38">
        <f t="shared" si="0"/>
        <v>22</v>
      </c>
      <c r="C37" s="56" t="s">
        <v>222</v>
      </c>
      <c r="D37" s="30">
        <f>'MFR E-6b'!N29</f>
        <v>113089.39845368821</v>
      </c>
      <c r="E37" s="30"/>
      <c r="F37" s="30">
        <f>'MFR E-13a'!F31</f>
        <v>108687</v>
      </c>
      <c r="G37" s="30"/>
      <c r="H37" s="30">
        <f>D37-F37</f>
        <v>4402.3984536882053</v>
      </c>
      <c r="I37" s="47"/>
      <c r="J37" s="30">
        <v>0</v>
      </c>
      <c r="L37" s="30">
        <f>H37+J37</f>
        <v>4402.3984536882053</v>
      </c>
      <c r="M37" s="44">
        <f>L37/F37</f>
        <v>4.0505289995015091E-2</v>
      </c>
      <c r="O37" s="1067" t="s">
        <v>223</v>
      </c>
      <c r="P37" s="1067" t="s">
        <v>223</v>
      </c>
      <c r="R37" s="1067" t="s">
        <v>223</v>
      </c>
      <c r="S37" s="1067" t="s">
        <v>223</v>
      </c>
      <c r="T37" s="47"/>
      <c r="U37" s="48">
        <f>L37</f>
        <v>4402.3984536882053</v>
      </c>
      <c r="V37" s="49">
        <f>U37/F37</f>
        <v>4.0505289995015091E-2</v>
      </c>
      <c r="X37" s="30">
        <f>F37+U37</f>
        <v>113089.39845368821</v>
      </c>
      <c r="Z37" s="50"/>
      <c r="AA37" s="23"/>
    </row>
    <row r="38" spans="1:27" x14ac:dyDescent="0.3">
      <c r="A38" s="23"/>
      <c r="B38" s="38">
        <f t="shared" si="0"/>
        <v>23</v>
      </c>
      <c r="C38" s="56"/>
      <c r="D38" s="30"/>
      <c r="E38" s="30"/>
      <c r="F38" s="30"/>
      <c r="G38" s="30"/>
      <c r="H38" s="30"/>
      <c r="I38" s="47"/>
      <c r="J38" s="30"/>
      <c r="L38" s="30"/>
      <c r="M38" s="44"/>
      <c r="O38" s="1067"/>
      <c r="P38" s="1067"/>
      <c r="R38" s="1067"/>
      <c r="S38" s="1067"/>
      <c r="T38" s="47"/>
      <c r="U38" s="48"/>
      <c r="V38" s="49"/>
      <c r="X38" s="30"/>
      <c r="Z38" s="50"/>
      <c r="AA38" s="23"/>
    </row>
    <row r="39" spans="1:27" x14ac:dyDescent="0.3">
      <c r="A39" s="23"/>
      <c r="B39" s="38">
        <f t="shared" si="0"/>
        <v>24</v>
      </c>
      <c r="C39" s="56" t="s">
        <v>143</v>
      </c>
      <c r="D39" s="30">
        <f>'MFR E-6b'!O29</f>
        <v>5042.7948235122058</v>
      </c>
      <c r="E39" s="30"/>
      <c r="F39" s="30">
        <f>'MFR E-13a'!F32</f>
        <v>4574</v>
      </c>
      <c r="G39" s="30"/>
      <c r="H39" s="30">
        <f>D39-F39</f>
        <v>468.79482351220577</v>
      </c>
      <c r="I39" s="47"/>
      <c r="J39" s="30">
        <v>0</v>
      </c>
      <c r="L39" s="30">
        <f>H39+J39</f>
        <v>468.79482351220577</v>
      </c>
      <c r="M39" s="44">
        <f>L39/F39</f>
        <v>0.10249121633410707</v>
      </c>
      <c r="O39" s="1067" t="s">
        <v>223</v>
      </c>
      <c r="P39" s="1067" t="s">
        <v>223</v>
      </c>
      <c r="R39" s="1067" t="s">
        <v>223</v>
      </c>
      <c r="S39" s="1067" t="s">
        <v>223</v>
      </c>
      <c r="T39" s="47"/>
      <c r="U39" s="48">
        <f>L39</f>
        <v>468.79482351220577</v>
      </c>
      <c r="V39" s="49">
        <f>U39/F39</f>
        <v>0.10249121633410707</v>
      </c>
      <c r="X39" s="30">
        <f>F39+U39</f>
        <v>5042.7948235122058</v>
      </c>
      <c r="Z39" s="50"/>
      <c r="AA39" s="23"/>
    </row>
    <row r="40" spans="1:27" x14ac:dyDescent="0.3">
      <c r="A40" s="23"/>
      <c r="B40" s="38">
        <f t="shared" si="0"/>
        <v>25</v>
      </c>
      <c r="C40" s="51"/>
      <c r="D40" s="30"/>
      <c r="E40" s="30"/>
      <c r="F40" s="30"/>
      <c r="G40" s="30"/>
      <c r="H40" s="30"/>
      <c r="J40" s="30"/>
      <c r="L40" s="30"/>
      <c r="M40" s="44"/>
      <c r="O40" s="30"/>
      <c r="P40" s="44"/>
      <c r="R40" s="46"/>
      <c r="V40" s="44"/>
      <c r="X40" s="30"/>
      <c r="Z40" s="50"/>
      <c r="AA40" s="23"/>
    </row>
    <row r="41" spans="1:27" ht="15" thickBot="1" x14ac:dyDescent="0.35">
      <c r="A41" s="23"/>
      <c r="B41" s="38">
        <f t="shared" si="0"/>
        <v>26</v>
      </c>
      <c r="C41" s="51" t="s">
        <v>121</v>
      </c>
      <c r="D41" s="58">
        <f>SUM(D33:D40)</f>
        <v>3646028.4282063199</v>
      </c>
      <c r="E41" s="58"/>
      <c r="F41" s="58">
        <f>SUM(F33:F40)</f>
        <v>3548355.8705858095</v>
      </c>
      <c r="G41" s="58"/>
      <c r="H41" s="58">
        <f>SUM(H33:H40)</f>
        <v>97672.557620510473</v>
      </c>
      <c r="I41" s="47"/>
      <c r="J41" s="58">
        <f>SUM(J33:J40)</f>
        <v>0</v>
      </c>
      <c r="L41" s="58">
        <f>SUM(L33:L40)</f>
        <v>97672.557620510473</v>
      </c>
      <c r="M41" s="59">
        <f>L41/F41</f>
        <v>2.7526144835181201E-2</v>
      </c>
      <c r="O41" s="58">
        <f>SUM(O33:O40)</f>
        <v>66601.944721298016</v>
      </c>
      <c r="P41" s="59">
        <f>O41/F41</f>
        <v>1.8769804143208016E-2</v>
      </c>
      <c r="R41" s="58">
        <f>SUM(R33:R40)</f>
        <v>3357529.9788134606</v>
      </c>
      <c r="S41" s="58">
        <f>SUM(S33:S40)</f>
        <v>52398.8392440241</v>
      </c>
      <c r="T41" s="47"/>
      <c r="U41" s="58">
        <f>SUM(U33:U40)</f>
        <v>97672.557620510488</v>
      </c>
      <c r="V41" s="59">
        <f>U41/F41</f>
        <v>2.7526144835181204E-2</v>
      </c>
      <c r="X41" s="58">
        <f>SUM(X33:X40)</f>
        <v>3646028.4282063204</v>
      </c>
      <c r="Z41" s="60"/>
      <c r="AA41" s="23"/>
    </row>
    <row r="42" spans="1:27" ht="15" thickTop="1" x14ac:dyDescent="0.3">
      <c r="A42" s="23"/>
      <c r="B42" s="38">
        <f t="shared" si="0"/>
        <v>27</v>
      </c>
      <c r="D42" s="61"/>
      <c r="E42" s="61"/>
      <c r="F42" s="57"/>
      <c r="G42" s="61"/>
      <c r="H42" s="62"/>
      <c r="I42" s="66"/>
      <c r="J42" s="63"/>
      <c r="L42" s="63"/>
      <c r="M42" s="64"/>
      <c r="O42" s="61"/>
      <c r="P42" s="65"/>
      <c r="R42" s="49"/>
      <c r="S42" s="49"/>
      <c r="T42" s="66"/>
      <c r="U42" s="49"/>
      <c r="V42" s="65"/>
      <c r="X42" s="47"/>
      <c r="AA42" s="23"/>
    </row>
    <row r="43" spans="1:27" x14ac:dyDescent="0.3">
      <c r="A43" s="23"/>
      <c r="B43" s="38">
        <f t="shared" si="0"/>
        <v>28</v>
      </c>
      <c r="D43" s="42"/>
      <c r="E43" s="42"/>
      <c r="F43" s="42"/>
      <c r="G43" s="42"/>
      <c r="H43" s="42"/>
      <c r="J43" s="42"/>
      <c r="L43" s="42"/>
      <c r="V43" s="67"/>
      <c r="AA43" s="23"/>
    </row>
    <row r="44" spans="1:27" x14ac:dyDescent="0.3">
      <c r="A44" s="23"/>
      <c r="B44" s="38">
        <f t="shared" si="0"/>
        <v>29</v>
      </c>
      <c r="C44" s="8" t="s">
        <v>412</v>
      </c>
      <c r="F44" s="42"/>
      <c r="H44" s="42"/>
      <c r="J44" s="42"/>
      <c r="AA44" s="23"/>
    </row>
    <row r="45" spans="1:27" x14ac:dyDescent="0.3">
      <c r="A45" s="23"/>
      <c r="B45" s="38">
        <f t="shared" si="0"/>
        <v>30</v>
      </c>
      <c r="C45" s="8" t="s">
        <v>413</v>
      </c>
      <c r="F45" s="42"/>
      <c r="H45" s="42"/>
      <c r="J45" s="42"/>
      <c r="AA45" s="23"/>
    </row>
    <row r="46" spans="1:27" x14ac:dyDescent="0.3">
      <c r="A46" s="23"/>
      <c r="B46" s="97" t="s">
        <v>98</v>
      </c>
      <c r="C46" s="99"/>
      <c r="D46" s="1281" t="s">
        <v>414</v>
      </c>
      <c r="E46" s="99"/>
      <c r="F46" s="99"/>
      <c r="G46" s="99"/>
      <c r="H46" s="99"/>
      <c r="I46" s="98"/>
      <c r="J46" s="99"/>
      <c r="K46" s="99"/>
      <c r="L46" s="99"/>
      <c r="M46" s="99"/>
      <c r="N46" s="98"/>
      <c r="O46" s="98"/>
      <c r="P46" s="98"/>
      <c r="Q46" s="99"/>
      <c r="R46" s="98"/>
      <c r="S46" s="97"/>
      <c r="T46" s="98"/>
      <c r="U46" s="98"/>
      <c r="V46" s="97" t="s">
        <v>99</v>
      </c>
      <c r="W46" s="99"/>
      <c r="X46" s="98"/>
      <c r="Y46" s="13"/>
      <c r="Z46" s="13"/>
      <c r="AA46" s="23"/>
    </row>
    <row r="47" spans="1:27" x14ac:dyDescent="0.3">
      <c r="B47" s="38"/>
    </row>
    <row r="51" spans="2:8" x14ac:dyDescent="0.3">
      <c r="B51" s="68"/>
    </row>
    <row r="54" spans="2:8" x14ac:dyDescent="0.3">
      <c r="H54" s="69"/>
    </row>
  </sheetData>
  <mergeCells count="3">
    <mergeCell ref="B1:X1"/>
    <mergeCell ref="D6:U6"/>
    <mergeCell ref="D7:U7"/>
  </mergeCells>
  <printOptions horizontalCentered="1"/>
  <pageMargins left="0.5" right="0.5" top="0.75" bottom="0.5" header="0.5" footer="0.5"/>
  <pageSetup scale="65" fitToHeight="0" orientation="landscape" r:id="rId1"/>
  <headerFooter alignWithMargins="0">
    <oddHeader xml:space="preserve">&amp;RDEF’s Response to OPC POD 1 (1-26)
Q7
Page &amp;P of &amp;N
</oddHeader>
    <oddFooter>&amp;R20240025-OPCPOD1-00004300</oddFooter>
  </headerFooter>
  <ignoredErrors>
    <ignoredError sqref="E16 E18 E21 E24 E27 J38:N38 E31 E37 E39 E41 K41 T37 T39 K16 K18 K21 K24 K27 K31 K37 K39 N37 N39 Q37:Q39 B16:C27 C43:C45 B30:C31 B28 C38:C41 C29 G41 X38 M41:N41 P41:Q41 T41 Q16 Q18 Q21 Q24 Q27 Q31 X17 T31:V31 T27:V27 T24:V24 T21:V21 T18:V18 T16:V16 V41 V39 V37 T38:V38 J40:V40 J28:V30 J25:V26 J22:V23 J19:V20 J17:V17 X19:X20 X22:X23 X25:X26 X28:X30 X40 D17:H17 D19:H20 D22:H23 D25:H26 D28:H30 D40:H40 G39:H39 G37:H37 G31:H31 D38:H38 G27:H27 G24:H24 G21:H21 G18:H18 G16:H16 M16:O16 M18:O18 M21:O21 M24:O24 M27:O27 M31:O31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12DCA-DFF5-404A-9F5D-0FAFDB5CC875}">
  <sheetPr codeName="Sheet4">
    <tabColor rgb="FF92D050"/>
    <pageSetUpPr fitToPage="1"/>
  </sheetPr>
  <dimension ref="A1:AB123"/>
  <sheetViews>
    <sheetView tabSelected="1" topLeftCell="A9" workbookViewId="0">
      <selection activeCell="S8" sqref="S8"/>
    </sheetView>
  </sheetViews>
  <sheetFormatPr defaultRowHeight="14.4" x14ac:dyDescent="0.3"/>
  <cols>
    <col min="1" max="1" width="1" style="21" customWidth="1"/>
    <col min="2" max="2" width="5.33203125" style="21" bestFit="1" customWidth="1"/>
    <col min="3" max="3" width="19" style="21" customWidth="1"/>
    <col min="4" max="4" width="13.88671875" style="21" customWidth="1"/>
    <col min="5" max="6" width="13.88671875" style="339" customWidth="1"/>
    <col min="7" max="7" width="8.5546875" style="21" bestFit="1" customWidth="1"/>
    <col min="8" max="8" width="13.88671875" style="339" customWidth="1"/>
    <col min="9" max="11" width="13.88671875" style="21" customWidth="1"/>
    <col min="12" max="12" width="9.33203125" style="21" customWidth="1"/>
    <col min="13" max="25" width="1" style="21" customWidth="1"/>
  </cols>
  <sheetData>
    <row r="1" spans="1:28" ht="18" x14ac:dyDescent="0.35">
      <c r="A1" s="333"/>
      <c r="B1" s="334">
        <v>2026</v>
      </c>
      <c r="C1" s="335"/>
      <c r="D1" s="335"/>
      <c r="E1" s="336"/>
      <c r="F1" s="336"/>
      <c r="G1" s="335"/>
      <c r="H1" s="336"/>
      <c r="I1" s="335"/>
      <c r="J1" s="335"/>
      <c r="K1" s="337"/>
      <c r="Y1" s="333"/>
    </row>
    <row r="2" spans="1:28" x14ac:dyDescent="0.3">
      <c r="A2" s="333"/>
      <c r="B2" s="338"/>
      <c r="Y2" s="333"/>
      <c r="AA2" s="515"/>
      <c r="AB2" s="515"/>
    </row>
    <row r="3" spans="1:28" x14ac:dyDescent="0.3">
      <c r="A3" s="333"/>
      <c r="B3" s="20" t="s">
        <v>420</v>
      </c>
      <c r="C3" s="340"/>
      <c r="D3" s="341"/>
      <c r="E3" s="21"/>
      <c r="F3" s="21"/>
      <c r="H3" s="342"/>
      <c r="K3" s="343" t="s">
        <v>103</v>
      </c>
      <c r="Y3" s="333"/>
    </row>
    <row r="4" spans="1:28" ht="15" thickBot="1" x14ac:dyDescent="0.35">
      <c r="A4" s="333"/>
      <c r="B4" s="344"/>
      <c r="C4" s="345"/>
      <c r="D4" s="345"/>
      <c r="E4" s="345"/>
      <c r="F4" s="345"/>
      <c r="G4" s="345"/>
      <c r="H4" s="345"/>
      <c r="I4" s="345"/>
      <c r="J4" s="345"/>
      <c r="K4" s="345"/>
      <c r="L4" s="345"/>
      <c r="Y4" s="333"/>
    </row>
    <row r="5" spans="1:28" x14ac:dyDescent="0.3">
      <c r="A5" s="333"/>
      <c r="B5" s="20"/>
      <c r="E5" s="21"/>
      <c r="F5" s="21"/>
      <c r="H5" s="21"/>
      <c r="Y5" s="333"/>
    </row>
    <row r="6" spans="1:28" x14ac:dyDescent="0.3">
      <c r="A6" s="333"/>
      <c r="B6" s="20" t="s">
        <v>3</v>
      </c>
      <c r="E6" s="21" t="s">
        <v>4</v>
      </c>
      <c r="F6" s="1160" t="s">
        <v>421</v>
      </c>
      <c r="H6" s="342"/>
      <c r="J6" s="20" t="s">
        <v>6</v>
      </c>
      <c r="Y6" s="333"/>
    </row>
    <row r="7" spans="1:28" x14ac:dyDescent="0.3">
      <c r="A7" s="333"/>
      <c r="E7" s="21"/>
      <c r="F7" s="1160" t="s">
        <v>422</v>
      </c>
      <c r="G7" s="342"/>
      <c r="H7" s="342"/>
      <c r="J7" s="20"/>
      <c r="Y7" s="333"/>
    </row>
    <row r="8" spans="1:28" x14ac:dyDescent="0.3">
      <c r="A8" s="333"/>
      <c r="B8" s="20" t="s">
        <v>9</v>
      </c>
      <c r="E8" s="21"/>
      <c r="F8" s="1161" t="s">
        <v>423</v>
      </c>
      <c r="G8" s="340"/>
      <c r="H8" s="340"/>
      <c r="J8" s="20" t="s">
        <v>204</v>
      </c>
      <c r="Y8" s="333"/>
    </row>
    <row r="9" spans="1:28" x14ac:dyDescent="0.3">
      <c r="A9" s="333"/>
      <c r="E9" s="340"/>
      <c r="F9" s="1160" t="s">
        <v>424</v>
      </c>
      <c r="G9" s="346"/>
      <c r="H9" s="346"/>
      <c r="J9" s="20"/>
      <c r="Y9" s="333"/>
    </row>
    <row r="10" spans="1:28" x14ac:dyDescent="0.3">
      <c r="A10" s="333"/>
      <c r="B10" s="20" t="s">
        <v>13</v>
      </c>
      <c r="D10" s="22" t="s">
        <v>14</v>
      </c>
      <c r="E10" s="21"/>
      <c r="F10" s="1160" t="s">
        <v>425</v>
      </c>
      <c r="G10" s="346"/>
      <c r="H10" s="346"/>
      <c r="J10" s="20" t="s">
        <v>280</v>
      </c>
      <c r="Y10" s="333"/>
    </row>
    <row r="11" spans="1:28" ht="15" thickBot="1" x14ac:dyDescent="0.35">
      <c r="A11" s="333"/>
      <c r="B11" s="344"/>
      <c r="C11" s="345"/>
      <c r="D11" s="345"/>
      <c r="E11" s="345"/>
      <c r="F11" s="345"/>
      <c r="G11" s="345"/>
      <c r="H11" s="345"/>
      <c r="I11" s="345"/>
      <c r="J11" s="345"/>
      <c r="K11" s="345"/>
      <c r="L11" s="345"/>
      <c r="Y11" s="333"/>
    </row>
    <row r="12" spans="1:28" x14ac:dyDescent="0.3">
      <c r="A12" s="347"/>
      <c r="B12" s="348"/>
      <c r="C12" s="349"/>
      <c r="D12" s="349">
        <v>-1</v>
      </c>
      <c r="E12" s="349">
        <v>-2</v>
      </c>
      <c r="F12" s="349">
        <v>-3</v>
      </c>
      <c r="G12" s="348"/>
      <c r="H12" s="348">
        <v>-6</v>
      </c>
      <c r="I12" s="350">
        <v>-7</v>
      </c>
      <c r="J12" s="351">
        <v>-8</v>
      </c>
      <c r="K12" s="349">
        <v>-9</v>
      </c>
      <c r="L12" s="352"/>
      <c r="M12" s="352"/>
      <c r="N12" s="352"/>
      <c r="O12" s="352"/>
      <c r="P12" s="352"/>
      <c r="Q12" s="352"/>
      <c r="R12" s="352"/>
      <c r="S12" s="352"/>
      <c r="T12" s="348"/>
      <c r="U12" s="348"/>
      <c r="V12" s="348"/>
      <c r="W12" s="348"/>
      <c r="X12" s="348"/>
      <c r="Y12" s="347"/>
    </row>
    <row r="13" spans="1:28" x14ac:dyDescent="0.3">
      <c r="A13" s="347"/>
      <c r="B13" s="348"/>
      <c r="C13" s="349"/>
      <c r="D13" s="348"/>
      <c r="E13" s="348"/>
      <c r="F13" s="348"/>
      <c r="G13" s="348"/>
      <c r="H13" s="348"/>
      <c r="I13" s="350"/>
      <c r="J13" s="351"/>
      <c r="K13" s="349"/>
      <c r="L13" s="352"/>
      <c r="M13" s="352"/>
      <c r="N13" s="348"/>
      <c r="O13" s="348"/>
      <c r="P13" s="348"/>
      <c r="Q13" s="348"/>
      <c r="R13" s="348"/>
      <c r="S13" s="348"/>
      <c r="T13" s="348"/>
      <c r="U13" s="348"/>
      <c r="V13" s="348"/>
      <c r="W13" s="348"/>
      <c r="X13" s="348"/>
      <c r="Y13" s="347"/>
    </row>
    <row r="14" spans="1:28" x14ac:dyDescent="0.3">
      <c r="A14" s="347"/>
      <c r="B14" s="348"/>
      <c r="C14" s="349"/>
      <c r="D14" s="353" t="s">
        <v>426</v>
      </c>
      <c r="E14" s="353"/>
      <c r="F14" s="353"/>
      <c r="G14" s="354"/>
      <c r="H14" s="355" t="s">
        <v>427</v>
      </c>
      <c r="I14" s="356"/>
      <c r="J14" s="353"/>
      <c r="K14" s="353"/>
      <c r="L14" s="357"/>
      <c r="M14" s="357"/>
      <c r="N14" s="348"/>
      <c r="O14" s="348"/>
      <c r="P14" s="348"/>
      <c r="Q14" s="348"/>
      <c r="R14" s="348"/>
      <c r="S14" s="348"/>
      <c r="T14" s="348"/>
      <c r="U14" s="348"/>
      <c r="V14" s="348"/>
      <c r="W14" s="348"/>
      <c r="X14" s="348"/>
      <c r="Y14" s="347"/>
    </row>
    <row r="15" spans="1:28" x14ac:dyDescent="0.3">
      <c r="A15" s="358"/>
      <c r="B15" s="359"/>
      <c r="C15" s="360"/>
      <c r="D15" s="359" t="s">
        <v>344</v>
      </c>
      <c r="E15" s="360"/>
      <c r="F15" s="359" t="s">
        <v>344</v>
      </c>
      <c r="G15" s="359"/>
      <c r="H15" s="359"/>
      <c r="I15" s="359"/>
      <c r="J15" s="359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58"/>
    </row>
    <row r="16" spans="1:28" x14ac:dyDescent="0.3">
      <c r="A16" s="358"/>
      <c r="B16" s="359"/>
      <c r="C16" s="359"/>
      <c r="D16" s="360" t="s">
        <v>428</v>
      </c>
      <c r="E16" s="359"/>
      <c r="F16" s="360" t="s">
        <v>429</v>
      </c>
      <c r="G16" s="360"/>
      <c r="H16" s="359"/>
      <c r="I16" s="361"/>
      <c r="J16" s="362"/>
      <c r="K16" s="362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58"/>
    </row>
    <row r="17" spans="1:25" x14ac:dyDescent="0.3">
      <c r="A17" s="358"/>
      <c r="B17" s="359"/>
      <c r="C17" s="359"/>
      <c r="D17" s="360" t="s">
        <v>430</v>
      </c>
      <c r="E17" s="359"/>
      <c r="F17" s="359" t="s">
        <v>431</v>
      </c>
      <c r="G17" s="360"/>
      <c r="H17" s="359"/>
      <c r="I17" s="360" t="s">
        <v>344</v>
      </c>
      <c r="J17" s="360" t="s">
        <v>343</v>
      </c>
      <c r="K17" s="360" t="s">
        <v>432</v>
      </c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58"/>
    </row>
    <row r="18" spans="1:25" x14ac:dyDescent="0.3">
      <c r="A18" s="358"/>
      <c r="B18" s="359" t="s">
        <v>30</v>
      </c>
      <c r="C18" s="360" t="s">
        <v>128</v>
      </c>
      <c r="D18" s="360" t="s">
        <v>433</v>
      </c>
      <c r="E18" s="360" t="s">
        <v>434</v>
      </c>
      <c r="F18" s="360" t="s">
        <v>435</v>
      </c>
      <c r="G18" s="360"/>
      <c r="H18" s="361" t="s">
        <v>436</v>
      </c>
      <c r="I18" s="363" t="s">
        <v>437</v>
      </c>
      <c r="J18" s="363" t="s">
        <v>437</v>
      </c>
      <c r="K18" s="363" t="s">
        <v>437</v>
      </c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58"/>
    </row>
    <row r="19" spans="1:25" ht="15" thickBot="1" x14ac:dyDescent="0.35">
      <c r="A19" s="358"/>
      <c r="B19" s="364" t="s">
        <v>39</v>
      </c>
      <c r="C19" s="365" t="s">
        <v>438</v>
      </c>
      <c r="D19" s="365" t="s">
        <v>437</v>
      </c>
      <c r="E19" s="365" t="s">
        <v>439</v>
      </c>
      <c r="F19" s="365" t="s">
        <v>440</v>
      </c>
      <c r="G19" s="365"/>
      <c r="H19" s="366" t="s">
        <v>439</v>
      </c>
      <c r="I19" s="365" t="s">
        <v>441</v>
      </c>
      <c r="J19" s="365" t="s">
        <v>442</v>
      </c>
      <c r="K19" s="365" t="s">
        <v>443</v>
      </c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58"/>
    </row>
    <row r="20" spans="1:25" x14ac:dyDescent="0.3">
      <c r="A20" s="333"/>
      <c r="B20" s="21">
        <v>1</v>
      </c>
      <c r="C20" s="360"/>
      <c r="D20" s="360"/>
      <c r="E20" s="360"/>
      <c r="F20" s="360"/>
      <c r="G20" s="360"/>
      <c r="H20" s="342"/>
      <c r="I20" s="360"/>
      <c r="J20" s="360"/>
      <c r="K20" s="360"/>
      <c r="Y20" s="333"/>
    </row>
    <row r="21" spans="1:25" x14ac:dyDescent="0.3">
      <c r="A21" s="333"/>
      <c r="B21" s="21">
        <f>+B20+1</f>
        <v>2</v>
      </c>
      <c r="C21" s="367" t="s">
        <v>135</v>
      </c>
      <c r="D21" s="369">
        <f>('MFR E-13c'!N50-'MFR E-13c'!N21-SUM('MFR E-13c'!N45:N49))/1000</f>
        <v>1876071.2871700001</v>
      </c>
      <c r="E21" s="369">
        <f>'MFR E-13c'!J42</f>
        <v>20820220.626129419</v>
      </c>
      <c r="F21" s="368">
        <f>'MFR E-12 (2-4)'!Q125</f>
        <v>86.386626389327958</v>
      </c>
      <c r="G21" s="360" t="s">
        <v>444</v>
      </c>
      <c r="H21" s="730">
        <v>216351.11871524318</v>
      </c>
      <c r="I21" s="369">
        <f t="shared" ref="I21:I30" si="0">+F21*H21/1000</f>
        <v>18689.843261366852</v>
      </c>
      <c r="J21" s="1220">
        <f>'MFR E-12 (2-4)'!P86/1000</f>
        <v>18100.991867290824</v>
      </c>
      <c r="K21" s="370">
        <f t="shared" ref="K21:K30" si="1">+I21-J21</f>
        <v>588.85139407602765</v>
      </c>
      <c r="Y21" s="333"/>
    </row>
    <row r="22" spans="1:25" x14ac:dyDescent="0.3">
      <c r="A22" s="333"/>
      <c r="B22" s="21">
        <f t="shared" ref="B22:B30" si="2">+B21+1</f>
        <v>3</v>
      </c>
      <c r="C22" s="371" t="s">
        <v>136</v>
      </c>
      <c r="D22" s="369">
        <f>('MFR E-13c'!N109-'MFR E-13c'!N80-'MFR E-13c'!N107)/1000</f>
        <v>169246.41157</v>
      </c>
      <c r="E22" s="369">
        <f>'MFR E-13c'!J100</f>
        <v>2207185.0855162772</v>
      </c>
      <c r="F22" s="368">
        <f>'MFR E-12 (2-4)'!Q126</f>
        <v>76.679754987748211</v>
      </c>
      <c r="G22" s="360"/>
      <c r="H22" s="372">
        <v>1132.5663340495084</v>
      </c>
      <c r="I22" s="369">
        <f t="shared" si="0"/>
        <v>86.844909002288503</v>
      </c>
      <c r="J22" s="1220">
        <f>'MFR E-12 (2-4)'!P87/1000</f>
        <v>84.206792253085581</v>
      </c>
      <c r="K22" s="370">
        <f t="shared" si="1"/>
        <v>2.6381167492029221</v>
      </c>
      <c r="Y22" s="333"/>
    </row>
    <row r="23" spans="1:25" x14ac:dyDescent="0.3">
      <c r="A23" s="333"/>
      <c r="B23" s="21">
        <f t="shared" si="2"/>
        <v>4</v>
      </c>
      <c r="C23" s="371" t="s">
        <v>137</v>
      </c>
      <c r="D23" s="369">
        <f>('MFR E-13c'!N144-'MFR E-13c'!N133-'MFR E-13c'!N141-'MFR E-13c'!N142)/1000</f>
        <v>8129.251949999998</v>
      </c>
      <c r="E23" s="369">
        <f>'MFR E-13c'!J137</f>
        <v>208924.4911548431</v>
      </c>
      <c r="F23" s="368">
        <f>'MFR E-12 (2-4)'!Q127</f>
        <v>38.909999996003627</v>
      </c>
      <c r="G23" s="360"/>
      <c r="H23" s="372">
        <v>193.41756705581793</v>
      </c>
      <c r="I23" s="369">
        <f t="shared" si="0"/>
        <v>7.5258775333689067</v>
      </c>
      <c r="J23" s="1220">
        <f>'MFR E-12 (2-4)'!P88/1000</f>
        <v>7.2280144767502117</v>
      </c>
      <c r="K23" s="370">
        <f t="shared" si="1"/>
        <v>0.29786305661869505</v>
      </c>
      <c r="Y23" s="333"/>
    </row>
    <row r="24" spans="1:25" x14ac:dyDescent="0.3">
      <c r="A24" s="333"/>
      <c r="B24" s="21">
        <f t="shared" si="2"/>
        <v>5</v>
      </c>
      <c r="C24" s="371" t="s">
        <v>122</v>
      </c>
      <c r="D24" s="369">
        <f>('MFR E-13c'!N247-'MFR E-13c'!N172-'MFR E-13c'!N245)/1000</f>
        <v>827105.74654999992</v>
      </c>
      <c r="E24" s="369">
        <f>'MFR E-13c'!J236</f>
        <v>13222562.71959688</v>
      </c>
      <c r="F24" s="368">
        <f>'MFR E-12 (2-4)'!Q128</f>
        <v>62.552605277051434</v>
      </c>
      <c r="G24" s="360"/>
      <c r="H24" s="372">
        <v>15289.771611106815</v>
      </c>
      <c r="I24" s="369">
        <f t="shared" si="0"/>
        <v>956.41504836583135</v>
      </c>
      <c r="J24" s="1220">
        <f>'MFR E-12 (2-4)'!P89/1000</f>
        <v>929.54769686717418</v>
      </c>
      <c r="K24" s="370">
        <f t="shared" si="1"/>
        <v>26.867351498657172</v>
      </c>
      <c r="Y24" s="333"/>
    </row>
    <row r="25" spans="1:25" x14ac:dyDescent="0.3">
      <c r="A25" s="333"/>
      <c r="B25" s="21">
        <f t="shared" si="2"/>
        <v>6</v>
      </c>
      <c r="C25" s="371" t="s">
        <v>445</v>
      </c>
      <c r="D25" s="369">
        <f>('MFR E-13c'!N347-'MFR E-13c'!N276-'MFR E-13c'!N345)/1000</f>
        <v>2779.9504300000003</v>
      </c>
      <c r="E25" s="369">
        <f>'MFR E-13c'!J336</f>
        <v>66611.501383213879</v>
      </c>
      <c r="F25" s="368">
        <f>'MFR E-12 (2-4)'!Q129</f>
        <v>41.733790295568205</v>
      </c>
      <c r="G25" s="360"/>
      <c r="H25" s="372">
        <v>269.39349096679337</v>
      </c>
      <c r="I25" s="369">
        <f t="shared" si="0"/>
        <v>11.242811458999203</v>
      </c>
      <c r="J25" s="1220">
        <f>'MFR E-12 (2-4)'!P90/1000</f>
        <v>10.77142598080618</v>
      </c>
      <c r="K25" s="370">
        <f t="shared" si="1"/>
        <v>0.47138547819302268</v>
      </c>
      <c r="Y25" s="333"/>
    </row>
    <row r="26" spans="1:25" x14ac:dyDescent="0.3">
      <c r="A26" s="333"/>
      <c r="B26" s="21">
        <f t="shared" si="2"/>
        <v>7</v>
      </c>
      <c r="C26" s="371" t="s">
        <v>446</v>
      </c>
      <c r="D26" s="369">
        <f>('MFR E-13c'!N446-'MFR E-13c'!N375-'MFR E-13c'!N444)/1000</f>
        <v>95591.14142</v>
      </c>
      <c r="E26" s="369">
        <f>'MFR E-13c'!J436</f>
        <v>2565797.3538959669</v>
      </c>
      <c r="F26" s="368">
        <f>'MFR E-12 (2-4)'!Q130</f>
        <v>37.255920182025349</v>
      </c>
      <c r="G26" s="360"/>
      <c r="H26" s="372">
        <v>4955.7203242568648</v>
      </c>
      <c r="I26" s="369">
        <f t="shared" si="0"/>
        <v>184.62992084495451</v>
      </c>
      <c r="J26" s="1220">
        <f>'MFR E-12 (2-4)'!P91/1000</f>
        <v>177.05281252348851</v>
      </c>
      <c r="K26" s="370">
        <f t="shared" si="1"/>
        <v>7.5771083214659996</v>
      </c>
      <c r="Y26" s="333"/>
    </row>
    <row r="27" spans="1:25" x14ac:dyDescent="0.3">
      <c r="A27" s="333"/>
      <c r="B27" s="21">
        <f t="shared" si="2"/>
        <v>8</v>
      </c>
      <c r="C27" s="371" t="s">
        <v>138</v>
      </c>
      <c r="D27" s="369">
        <f>('MFR E-13c'!N533-'MFR E-13c'!N505-'MFR E-13c'!N531)/1000</f>
        <v>4597.3794200000002</v>
      </c>
      <c r="E27" s="369">
        <f>'MFR E-13c'!J525</f>
        <v>65178.583484468654</v>
      </c>
      <c r="F27" s="368">
        <f>'MFR E-12 (2-4)'!Q132</f>
        <v>70.535123260165747</v>
      </c>
      <c r="G27" s="360"/>
      <c r="H27" s="372">
        <v>-653.26085843703379</v>
      </c>
      <c r="I27" s="369">
        <f t="shared" si="0"/>
        <v>-46.077835170897863</v>
      </c>
      <c r="J27" s="1220">
        <f>'MFR E-12 (2-4)'!P93/1000</f>
        <v>-44.972767895684136</v>
      </c>
      <c r="K27" s="370">
        <f t="shared" si="1"/>
        <v>-1.1050672752137274</v>
      </c>
      <c r="Y27" s="333"/>
    </row>
    <row r="28" spans="1:25" x14ac:dyDescent="0.3">
      <c r="A28" s="333"/>
      <c r="B28" s="21">
        <f t="shared" si="2"/>
        <v>9</v>
      </c>
      <c r="C28" s="371" t="s">
        <v>140</v>
      </c>
      <c r="D28" s="369">
        <f>('MFR E-13c'!N584-'MFR E-13c'!N556-'MFR E-13c'!N582)/1000</f>
        <v>4664.70046</v>
      </c>
      <c r="E28" s="369">
        <f>'MFR E-13c'!J577</f>
        <v>55573.199666292676</v>
      </c>
      <c r="F28" s="368">
        <f>'MFR E-12 (2-4)'!Q133</f>
        <v>83.937950136938881</v>
      </c>
      <c r="G28" s="360"/>
      <c r="H28" s="372">
        <v>2.5249742066080216E-6</v>
      </c>
      <c r="I28" s="369">
        <f t="shared" si="0"/>
        <v>2.1194115905132093E-7</v>
      </c>
      <c r="J28" s="1220">
        <f>'MFR E-12 (2-4)'!P94/1000</f>
        <v>2.038597756524041E-7</v>
      </c>
      <c r="K28" s="370">
        <f t="shared" si="1"/>
        <v>8.081383398916828E-9</v>
      </c>
      <c r="Y28" s="333"/>
    </row>
    <row r="29" spans="1:25" x14ac:dyDescent="0.3">
      <c r="A29" s="333"/>
      <c r="B29" s="21">
        <f t="shared" si="2"/>
        <v>10</v>
      </c>
      <c r="C29" s="371" t="s">
        <v>139</v>
      </c>
      <c r="D29" s="369">
        <f>('MFR E-13c'!N635-'MFR E-13c'!N608-'MFR E-13c'!N633)/1000</f>
        <v>8535.5720499999989</v>
      </c>
      <c r="E29" s="369">
        <f>'MFR E-13c'!J628</f>
        <v>142794.18488681412</v>
      </c>
      <c r="F29" s="368">
        <f>'MFR E-12 (2-4)'!Q134</f>
        <v>59.775347691964683</v>
      </c>
      <c r="G29" s="360"/>
      <c r="H29" s="372">
        <v>-88.418629692291688</v>
      </c>
      <c r="I29" s="369">
        <f t="shared" si="0"/>
        <v>-5.2852543323038077</v>
      </c>
      <c r="J29" s="1220">
        <f>'MFR E-12 (2-4)'!P95/1000</f>
        <v>-5.0817005125759254</v>
      </c>
      <c r="K29" s="370">
        <f t="shared" si="1"/>
        <v>-0.20355381972788233</v>
      </c>
      <c r="Y29" s="333"/>
    </row>
    <row r="30" spans="1:25" x14ac:dyDescent="0.3">
      <c r="A30" s="333"/>
      <c r="B30" s="21">
        <f t="shared" si="2"/>
        <v>11</v>
      </c>
      <c r="C30" s="371" t="s">
        <v>125</v>
      </c>
      <c r="D30" s="369">
        <f>('MFR E-13c'!N480-'MFR E-13c'!N469-'MFR E-13c'!N477-'MFR E-13c'!N478)/1000</f>
        <v>13437.54283</v>
      </c>
      <c r="E30" s="369">
        <f>'MFR E-13c'!J473</f>
        <v>334101.01510327338</v>
      </c>
      <c r="F30" s="368">
        <f>'MFR E-12 (2-4)'!Q131</f>
        <v>40.220000007621429</v>
      </c>
      <c r="G30" s="360"/>
      <c r="H30" s="372">
        <v>232.04168328433661</v>
      </c>
      <c r="I30" s="369">
        <f t="shared" si="0"/>
        <v>9.332716503464507</v>
      </c>
      <c r="J30" s="1220">
        <f>'MFR E-12 (2-4)'!P92/1000</f>
        <v>8.9637702228851648</v>
      </c>
      <c r="K30" s="370">
        <f t="shared" si="1"/>
        <v>0.3689462805793422</v>
      </c>
      <c r="Y30" s="333"/>
    </row>
    <row r="31" spans="1:25" x14ac:dyDescent="0.3">
      <c r="A31" s="333"/>
      <c r="B31" s="21">
        <f>+B30+1</f>
        <v>12</v>
      </c>
      <c r="C31" s="367" t="s">
        <v>447</v>
      </c>
      <c r="D31" s="373">
        <f>SUM(D21:D30)</f>
        <v>3010158.9838500004</v>
      </c>
      <c r="E31" s="373">
        <f>SUM(E21:E30)</f>
        <v>39688948.760817453</v>
      </c>
      <c r="F31" s="374">
        <f t="shared" ref="F31" si="3">+D31/E31*1000</f>
        <v>75.843756960923898</v>
      </c>
      <c r="G31" s="360"/>
      <c r="H31" s="375">
        <f>SUM(H21:H30)</f>
        <v>237682.35024035894</v>
      </c>
      <c r="I31" s="375">
        <f>SUM(I21:I30)</f>
        <v>19894.471455784496</v>
      </c>
      <c r="J31" s="375">
        <f>SUM(J21:J30)</f>
        <v>19268.707911410616</v>
      </c>
      <c r="K31" s="375">
        <f>SUM(K21:K30)</f>
        <v>625.76354437388466</v>
      </c>
      <c r="Y31" s="333"/>
    </row>
    <row r="32" spans="1:25" x14ac:dyDescent="0.3">
      <c r="A32" s="333"/>
      <c r="B32" s="21">
        <f>+B31+1</f>
        <v>13</v>
      </c>
      <c r="C32" s="371" t="s">
        <v>448</v>
      </c>
      <c r="D32" s="376">
        <f>'Exhibit MJC-2 - Old E-8a'!X37</f>
        <v>113089.39845368821</v>
      </c>
      <c r="E32" s="376"/>
      <c r="F32" s="368"/>
      <c r="G32" s="360"/>
      <c r="H32" s="372"/>
      <c r="I32" s="377"/>
      <c r="J32" s="377"/>
      <c r="K32" s="370"/>
      <c r="Y32" s="333"/>
    </row>
    <row r="33" spans="1:25" x14ac:dyDescent="0.3">
      <c r="A33" s="333"/>
      <c r="B33" s="21">
        <f t="shared" ref="B33:B38" si="4">+B32+1</f>
        <v>14</v>
      </c>
      <c r="C33" s="371" t="s">
        <v>143</v>
      </c>
      <c r="D33" s="376">
        <f>'Exhibit MJC-2 - Old E-8a'!X39</f>
        <v>5042.7948235122058</v>
      </c>
      <c r="E33" s="376"/>
      <c r="F33" s="368"/>
      <c r="G33" s="360"/>
      <c r="H33" s="372"/>
      <c r="I33" s="377"/>
      <c r="J33" s="377"/>
      <c r="K33" s="370"/>
      <c r="Y33" s="333"/>
    </row>
    <row r="34" spans="1:25" ht="15" thickBot="1" x14ac:dyDescent="0.35">
      <c r="A34" s="333"/>
      <c r="B34" s="21">
        <f t="shared" si="4"/>
        <v>15</v>
      </c>
      <c r="C34" s="367" t="s">
        <v>374</v>
      </c>
      <c r="D34" s="378">
        <f>+D31+D32+D33</f>
        <v>3128291.1771272011</v>
      </c>
      <c r="E34" s="378">
        <f>+E31+E32+E33</f>
        <v>39688948.760817453</v>
      </c>
      <c r="F34" s="378"/>
      <c r="G34" s="378">
        <f>+G31+G32</f>
        <v>0</v>
      </c>
      <c r="H34" s="378">
        <f>+H31+H32+H33</f>
        <v>237682.35024035894</v>
      </c>
      <c r="I34" s="378">
        <f>+I31+I32+I33</f>
        <v>19894.471455784496</v>
      </c>
      <c r="J34" s="378">
        <f>+J31+J32+J33</f>
        <v>19268.707911410616</v>
      </c>
      <c r="K34" s="378">
        <f>+K31+K32+K33</f>
        <v>625.76354437388466</v>
      </c>
      <c r="Y34" s="333"/>
    </row>
    <row r="35" spans="1:25" ht="15" thickTop="1" x14ac:dyDescent="0.3">
      <c r="A35" s="333"/>
      <c r="B35" s="21">
        <f t="shared" si="4"/>
        <v>16</v>
      </c>
      <c r="C35" s="360"/>
      <c r="D35" s="360"/>
      <c r="E35" s="360"/>
      <c r="G35" s="360"/>
      <c r="H35" s="21"/>
      <c r="I35" s="342"/>
      <c r="J35" s="360"/>
      <c r="K35" s="360"/>
      <c r="Y35" s="333"/>
    </row>
    <row r="36" spans="1:25" x14ac:dyDescent="0.3">
      <c r="A36" s="358"/>
      <c r="B36" s="21">
        <f t="shared" si="4"/>
        <v>17</v>
      </c>
      <c r="C36" s="1221" t="s">
        <v>449</v>
      </c>
      <c r="D36" s="360"/>
      <c r="E36" s="360"/>
      <c r="F36" s="360"/>
      <c r="G36" s="360"/>
      <c r="H36" s="360"/>
      <c r="I36" s="360"/>
      <c r="K36" s="360"/>
      <c r="U36" s="359"/>
      <c r="V36" s="359"/>
      <c r="W36" s="359"/>
      <c r="X36" s="359"/>
      <c r="Y36" s="358"/>
    </row>
    <row r="37" spans="1:25" x14ac:dyDescent="0.3">
      <c r="A37" s="358"/>
      <c r="B37" s="21">
        <f t="shared" si="4"/>
        <v>18</v>
      </c>
      <c r="C37" s="360"/>
      <c r="D37" s="360"/>
      <c r="E37" s="360"/>
      <c r="F37" s="360"/>
      <c r="G37" s="360"/>
      <c r="H37" s="360"/>
      <c r="I37" s="360"/>
      <c r="K37" s="360"/>
      <c r="U37" s="359"/>
      <c r="V37" s="359"/>
      <c r="W37" s="359"/>
      <c r="X37" s="359"/>
      <c r="Y37" s="358"/>
    </row>
    <row r="38" spans="1:25" x14ac:dyDescent="0.3">
      <c r="A38" s="358"/>
      <c r="B38" s="21">
        <f t="shared" si="4"/>
        <v>19</v>
      </c>
      <c r="C38" s="360"/>
      <c r="D38" s="360"/>
      <c r="E38" s="360"/>
      <c r="F38" s="360"/>
      <c r="G38" s="360"/>
      <c r="H38" s="360"/>
      <c r="I38" s="360"/>
      <c r="K38" s="360"/>
      <c r="U38" s="359"/>
      <c r="V38" s="359"/>
      <c r="W38" s="359"/>
      <c r="X38" s="359"/>
      <c r="Y38" s="358"/>
    </row>
    <row r="39" spans="1:25" x14ac:dyDescent="0.3">
      <c r="A39" s="333"/>
      <c r="B39" s="379"/>
      <c r="C39" s="380" t="s">
        <v>98</v>
      </c>
      <c r="D39" s="1281" t="s">
        <v>450</v>
      </c>
      <c r="E39" s="381"/>
      <c r="F39" s="381"/>
      <c r="G39" s="381"/>
      <c r="H39" s="381"/>
      <c r="I39" s="379"/>
      <c r="J39" s="380" t="s">
        <v>99</v>
      </c>
      <c r="K39" s="379"/>
      <c r="L39" s="379"/>
      <c r="Y39" s="333"/>
    </row>
    <row r="40" spans="1:25" x14ac:dyDescent="0.3">
      <c r="A40" s="333"/>
      <c r="D40" s="346"/>
      <c r="E40" s="346"/>
      <c r="F40" s="346"/>
      <c r="G40" s="346"/>
      <c r="H40" s="346"/>
      <c r="J40" s="20"/>
      <c r="Y40" s="333"/>
    </row>
    <row r="41" spans="1:25" x14ac:dyDescent="0.3">
      <c r="A41" s="333"/>
      <c r="D41" s="346"/>
      <c r="F41" s="346"/>
      <c r="G41" s="346"/>
      <c r="H41" s="346"/>
      <c r="J41" s="20"/>
      <c r="Y41" s="333"/>
    </row>
    <row r="42" spans="1:25" x14ac:dyDescent="0.3">
      <c r="E42" s="21"/>
      <c r="F42" s="21"/>
      <c r="H42" s="21"/>
    </row>
    <row r="43" spans="1:25" x14ac:dyDescent="0.3">
      <c r="E43" s="21"/>
      <c r="F43" s="21"/>
      <c r="H43" s="21"/>
    </row>
    <row r="44" spans="1:25" x14ac:dyDescent="0.3">
      <c r="E44" s="21"/>
      <c r="F44" s="21"/>
      <c r="H44" s="21"/>
    </row>
    <row r="45" spans="1:25" x14ac:dyDescent="0.3">
      <c r="E45" s="21"/>
      <c r="F45" s="21"/>
      <c r="H45" s="21"/>
    </row>
    <row r="46" spans="1:25" x14ac:dyDescent="0.3">
      <c r="E46" s="21"/>
      <c r="F46" s="21"/>
      <c r="H46" s="21"/>
    </row>
    <row r="47" spans="1:25" x14ac:dyDescent="0.3">
      <c r="E47" s="21"/>
      <c r="F47" s="21"/>
      <c r="H47" s="21"/>
    </row>
    <row r="48" spans="1:25" x14ac:dyDescent="0.3">
      <c r="E48" s="21"/>
      <c r="F48" s="21"/>
      <c r="H48" s="21"/>
    </row>
    <row r="49" spans="5:8" x14ac:dyDescent="0.3">
      <c r="E49" s="21"/>
      <c r="F49" s="21"/>
      <c r="H49" s="21"/>
    </row>
    <row r="50" spans="5:8" x14ac:dyDescent="0.3">
      <c r="E50" s="21"/>
      <c r="F50" s="21"/>
      <c r="H50" s="21"/>
    </row>
    <row r="51" spans="5:8" x14ac:dyDescent="0.3">
      <c r="E51" s="21"/>
      <c r="F51" s="21"/>
      <c r="H51" s="21"/>
    </row>
    <row r="52" spans="5:8" x14ac:dyDescent="0.3">
      <c r="E52" s="21"/>
      <c r="F52" s="21"/>
      <c r="H52" s="21"/>
    </row>
    <row r="53" spans="5:8" x14ac:dyDescent="0.3">
      <c r="E53" s="21"/>
      <c r="F53" s="21"/>
      <c r="H53" s="21"/>
    </row>
    <row r="54" spans="5:8" x14ac:dyDescent="0.3">
      <c r="E54" s="21"/>
      <c r="F54" s="21"/>
      <c r="H54" s="21"/>
    </row>
    <row r="55" spans="5:8" x14ac:dyDescent="0.3">
      <c r="E55" s="21"/>
      <c r="F55" s="21"/>
      <c r="H55" s="21"/>
    </row>
    <row r="56" spans="5:8" x14ac:dyDescent="0.3">
      <c r="E56" s="21"/>
      <c r="F56" s="21"/>
      <c r="H56" s="21"/>
    </row>
    <row r="57" spans="5:8" x14ac:dyDescent="0.3">
      <c r="E57" s="21"/>
      <c r="F57" s="21"/>
      <c r="H57" s="21"/>
    </row>
    <row r="58" spans="5:8" x14ac:dyDescent="0.3">
      <c r="E58" s="21"/>
      <c r="F58" s="21"/>
      <c r="H58" s="21"/>
    </row>
    <row r="59" spans="5:8" x14ac:dyDescent="0.3">
      <c r="E59" s="21"/>
      <c r="F59" s="21"/>
      <c r="H59" s="21"/>
    </row>
    <row r="60" spans="5:8" x14ac:dyDescent="0.3">
      <c r="E60" s="21"/>
      <c r="F60" s="21"/>
      <c r="H60" s="21"/>
    </row>
    <row r="61" spans="5:8" x14ac:dyDescent="0.3">
      <c r="E61" s="21"/>
      <c r="F61" s="21"/>
      <c r="H61" s="21"/>
    </row>
    <row r="62" spans="5:8" x14ac:dyDescent="0.3">
      <c r="E62" s="21"/>
      <c r="F62" s="21"/>
      <c r="H62" s="21"/>
    </row>
    <row r="63" spans="5:8" x14ac:dyDescent="0.3">
      <c r="E63" s="21"/>
      <c r="F63" s="21"/>
      <c r="H63" s="21"/>
    </row>
    <row r="64" spans="5:8" x14ac:dyDescent="0.3">
      <c r="E64" s="21"/>
      <c r="F64" s="21"/>
      <c r="H64" s="21"/>
    </row>
    <row r="65" spans="5:8" x14ac:dyDescent="0.3">
      <c r="E65" s="21"/>
      <c r="F65" s="21"/>
      <c r="H65" s="21"/>
    </row>
    <row r="66" spans="5:8" x14ac:dyDescent="0.3">
      <c r="E66" s="21"/>
      <c r="F66" s="21"/>
      <c r="H66" s="21"/>
    </row>
    <row r="67" spans="5:8" x14ac:dyDescent="0.3">
      <c r="E67" s="21"/>
      <c r="F67" s="21"/>
      <c r="H67" s="21"/>
    </row>
    <row r="68" spans="5:8" x14ac:dyDescent="0.3">
      <c r="E68" s="21"/>
      <c r="F68" s="21"/>
      <c r="H68" s="21"/>
    </row>
    <row r="69" spans="5:8" x14ac:dyDescent="0.3">
      <c r="E69" s="21"/>
      <c r="F69" s="21"/>
      <c r="H69" s="21"/>
    </row>
    <row r="70" spans="5:8" x14ac:dyDescent="0.3">
      <c r="E70" s="21"/>
      <c r="F70" s="21"/>
      <c r="H70" s="21"/>
    </row>
    <row r="71" spans="5:8" x14ac:dyDescent="0.3">
      <c r="E71" s="21"/>
      <c r="F71" s="21"/>
      <c r="H71" s="21"/>
    </row>
    <row r="72" spans="5:8" x14ac:dyDescent="0.3">
      <c r="E72" s="21"/>
      <c r="F72" s="21"/>
      <c r="H72" s="21"/>
    </row>
    <row r="73" spans="5:8" x14ac:dyDescent="0.3">
      <c r="E73" s="21"/>
      <c r="F73" s="21"/>
      <c r="H73" s="21"/>
    </row>
    <row r="74" spans="5:8" x14ac:dyDescent="0.3">
      <c r="E74" s="21"/>
      <c r="F74" s="21"/>
      <c r="H74" s="21"/>
    </row>
    <row r="75" spans="5:8" x14ac:dyDescent="0.3">
      <c r="E75" s="21"/>
      <c r="F75" s="21"/>
      <c r="H75" s="21"/>
    </row>
    <row r="76" spans="5:8" x14ac:dyDescent="0.3">
      <c r="E76" s="21"/>
      <c r="F76" s="21"/>
      <c r="H76" s="21"/>
    </row>
    <row r="77" spans="5:8" x14ac:dyDescent="0.3">
      <c r="E77" s="21"/>
      <c r="F77" s="21"/>
      <c r="H77" s="21"/>
    </row>
    <row r="78" spans="5:8" x14ac:dyDescent="0.3">
      <c r="E78" s="21"/>
      <c r="F78" s="21"/>
      <c r="H78" s="21"/>
    </row>
    <row r="79" spans="5:8" x14ac:dyDescent="0.3">
      <c r="E79" s="21"/>
      <c r="F79" s="21"/>
      <c r="H79" s="21"/>
    </row>
    <row r="80" spans="5:8" x14ac:dyDescent="0.3">
      <c r="E80" s="21"/>
      <c r="F80" s="21"/>
      <c r="H80" s="21"/>
    </row>
    <row r="81" spans="5:8" x14ac:dyDescent="0.3">
      <c r="E81" s="21"/>
      <c r="F81" s="21"/>
      <c r="H81" s="21"/>
    </row>
    <row r="82" spans="5:8" x14ac:dyDescent="0.3">
      <c r="E82" s="21"/>
      <c r="F82" s="21"/>
      <c r="H82" s="21"/>
    </row>
    <row r="83" spans="5:8" x14ac:dyDescent="0.3">
      <c r="E83" s="21"/>
      <c r="F83" s="21"/>
      <c r="H83" s="21"/>
    </row>
    <row r="84" spans="5:8" x14ac:dyDescent="0.3">
      <c r="E84" s="21"/>
      <c r="F84" s="21"/>
      <c r="H84" s="21"/>
    </row>
    <row r="85" spans="5:8" x14ac:dyDescent="0.3">
      <c r="E85" s="21"/>
      <c r="F85" s="21"/>
      <c r="H85" s="21"/>
    </row>
    <row r="86" spans="5:8" x14ac:dyDescent="0.3">
      <c r="E86" s="21"/>
      <c r="F86" s="21"/>
      <c r="H86" s="21"/>
    </row>
    <row r="87" spans="5:8" x14ac:dyDescent="0.3">
      <c r="E87" s="21"/>
      <c r="F87" s="21"/>
      <c r="H87" s="21"/>
    </row>
    <row r="88" spans="5:8" x14ac:dyDescent="0.3">
      <c r="E88" s="21"/>
      <c r="F88" s="21"/>
      <c r="H88" s="21"/>
    </row>
    <row r="89" spans="5:8" x14ac:dyDescent="0.3">
      <c r="E89" s="21"/>
      <c r="F89" s="21"/>
      <c r="H89" s="21"/>
    </row>
    <row r="90" spans="5:8" x14ac:dyDescent="0.3">
      <c r="E90" s="21"/>
      <c r="F90" s="21"/>
      <c r="H90" s="21"/>
    </row>
    <row r="91" spans="5:8" x14ac:dyDescent="0.3">
      <c r="E91" s="21"/>
      <c r="F91" s="21"/>
      <c r="H91" s="21"/>
    </row>
    <row r="92" spans="5:8" x14ac:dyDescent="0.3">
      <c r="E92" s="21"/>
      <c r="F92" s="21"/>
      <c r="H92" s="21"/>
    </row>
    <row r="93" spans="5:8" x14ac:dyDescent="0.3">
      <c r="E93" s="21"/>
      <c r="F93" s="21"/>
      <c r="H93" s="21"/>
    </row>
    <row r="94" spans="5:8" x14ac:dyDescent="0.3">
      <c r="E94" s="21"/>
      <c r="F94" s="21"/>
      <c r="H94" s="21"/>
    </row>
    <row r="95" spans="5:8" x14ac:dyDescent="0.3">
      <c r="E95" s="21"/>
      <c r="F95" s="21"/>
      <c r="H95" s="21"/>
    </row>
    <row r="96" spans="5:8" x14ac:dyDescent="0.3">
      <c r="E96" s="21"/>
      <c r="F96" s="21"/>
      <c r="H96" s="21"/>
    </row>
    <row r="97" spans="5:8" x14ac:dyDescent="0.3">
      <c r="E97" s="21"/>
      <c r="F97" s="21"/>
      <c r="H97" s="21"/>
    </row>
    <row r="98" spans="5:8" x14ac:dyDescent="0.3">
      <c r="E98" s="21"/>
      <c r="F98" s="21"/>
      <c r="H98" s="21"/>
    </row>
    <row r="99" spans="5:8" x14ac:dyDescent="0.3">
      <c r="E99" s="21"/>
      <c r="F99" s="21"/>
      <c r="H99" s="21"/>
    </row>
    <row r="100" spans="5:8" x14ac:dyDescent="0.3">
      <c r="E100" s="21"/>
      <c r="F100" s="21"/>
      <c r="H100" s="21"/>
    </row>
    <row r="101" spans="5:8" x14ac:dyDescent="0.3">
      <c r="E101" s="21"/>
      <c r="F101" s="21"/>
      <c r="H101" s="21"/>
    </row>
    <row r="102" spans="5:8" x14ac:dyDescent="0.3">
      <c r="E102" s="21"/>
      <c r="F102" s="21"/>
      <c r="H102" s="21"/>
    </row>
    <row r="103" spans="5:8" x14ac:dyDescent="0.3">
      <c r="E103" s="21"/>
      <c r="F103" s="21"/>
      <c r="H103" s="21"/>
    </row>
    <row r="104" spans="5:8" x14ac:dyDescent="0.3">
      <c r="E104" s="21"/>
      <c r="F104" s="21"/>
      <c r="H104" s="21"/>
    </row>
    <row r="105" spans="5:8" x14ac:dyDescent="0.3">
      <c r="E105" s="21"/>
      <c r="F105" s="21"/>
      <c r="H105" s="21"/>
    </row>
    <row r="106" spans="5:8" x14ac:dyDescent="0.3">
      <c r="E106" s="21"/>
      <c r="F106" s="21"/>
      <c r="H106" s="21"/>
    </row>
    <row r="107" spans="5:8" x14ac:dyDescent="0.3">
      <c r="E107" s="21"/>
      <c r="F107" s="21"/>
      <c r="H107" s="21"/>
    </row>
    <row r="108" spans="5:8" x14ac:dyDescent="0.3">
      <c r="E108" s="21"/>
      <c r="F108" s="21"/>
      <c r="H108" s="21"/>
    </row>
    <row r="109" spans="5:8" x14ac:dyDescent="0.3">
      <c r="E109" s="21"/>
      <c r="F109" s="21"/>
      <c r="H109" s="21"/>
    </row>
    <row r="110" spans="5:8" x14ac:dyDescent="0.3">
      <c r="E110" s="21"/>
      <c r="F110" s="21"/>
      <c r="H110" s="21"/>
    </row>
    <row r="111" spans="5:8" x14ac:dyDescent="0.3">
      <c r="E111" s="21"/>
      <c r="F111" s="21"/>
      <c r="H111" s="21"/>
    </row>
    <row r="112" spans="5:8" x14ac:dyDescent="0.3">
      <c r="E112" s="21"/>
      <c r="F112" s="21"/>
      <c r="H112" s="21"/>
    </row>
    <row r="113" spans="5:8" x14ac:dyDescent="0.3">
      <c r="E113" s="21"/>
      <c r="F113" s="21"/>
      <c r="H113" s="21"/>
    </row>
    <row r="114" spans="5:8" x14ac:dyDescent="0.3">
      <c r="E114" s="21"/>
      <c r="F114" s="21"/>
      <c r="H114" s="21"/>
    </row>
    <row r="115" spans="5:8" x14ac:dyDescent="0.3">
      <c r="E115" s="21"/>
      <c r="F115" s="21"/>
      <c r="H115" s="21"/>
    </row>
    <row r="116" spans="5:8" x14ac:dyDescent="0.3">
      <c r="E116" s="21"/>
      <c r="F116" s="21"/>
      <c r="H116" s="21"/>
    </row>
    <row r="117" spans="5:8" x14ac:dyDescent="0.3">
      <c r="E117" s="21"/>
      <c r="F117" s="21"/>
      <c r="H117" s="21"/>
    </row>
    <row r="118" spans="5:8" x14ac:dyDescent="0.3">
      <c r="E118" s="21"/>
      <c r="F118" s="21"/>
      <c r="H118" s="21"/>
    </row>
    <row r="119" spans="5:8" x14ac:dyDescent="0.3">
      <c r="E119" s="21"/>
      <c r="F119" s="21"/>
      <c r="H119" s="21"/>
    </row>
    <row r="120" spans="5:8" x14ac:dyDescent="0.3">
      <c r="E120" s="21"/>
      <c r="F120" s="21"/>
      <c r="H120" s="21"/>
    </row>
    <row r="121" spans="5:8" x14ac:dyDescent="0.3">
      <c r="E121" s="21"/>
      <c r="F121" s="21"/>
      <c r="H121" s="21"/>
    </row>
    <row r="122" spans="5:8" x14ac:dyDescent="0.3">
      <c r="E122" s="21"/>
      <c r="F122" s="21"/>
      <c r="H122" s="21"/>
    </row>
    <row r="123" spans="5:8" x14ac:dyDescent="0.3">
      <c r="E123" s="21"/>
      <c r="F123" s="21"/>
      <c r="H123" s="21"/>
    </row>
  </sheetData>
  <printOptions horizontalCentered="1"/>
  <pageMargins left="0.5" right="0.5" top="0.75" bottom="0.5" header="0.5" footer="0.5"/>
  <pageSetup scale="91" fitToHeight="0" orientation="landscape" r:id="rId1"/>
  <headerFooter alignWithMargins="0">
    <oddHeader xml:space="preserve">&amp;RDEF’s Response to OPC POD 1 (1-26)
Q7
Page &amp;P of &amp;N
</oddHeader>
    <oddFooter>&amp;R20240025-OPCPOD1-00004300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967BE-BED2-4E20-9290-C8BC9F424F3F}">
  <sheetPr>
    <tabColor rgb="FFFFFF00"/>
    <pageSetUpPr fitToPage="1"/>
  </sheetPr>
  <dimension ref="A1:Q136"/>
  <sheetViews>
    <sheetView topLeftCell="A35" workbookViewId="0">
      <selection activeCell="F62" sqref="F62"/>
    </sheetView>
  </sheetViews>
  <sheetFormatPr defaultColWidth="8.6640625" defaultRowHeight="13.8" x14ac:dyDescent="0.3"/>
  <cols>
    <col min="1" max="1" width="12.5546875" style="1162" customWidth="1"/>
    <col min="2" max="2" width="6.88671875" style="1162" customWidth="1"/>
    <col min="3" max="3" width="12.44140625" style="1162" customWidth="1"/>
    <col min="4" max="4" width="14.5546875" style="1162" bestFit="1" customWidth="1"/>
    <col min="5" max="5" width="12.5546875" style="1162" customWidth="1"/>
    <col min="6" max="14" width="13" style="1162" customWidth="1"/>
    <col min="15" max="15" width="12.88671875" style="1162" customWidth="1"/>
    <col min="16" max="16" width="15" style="1162" bestFit="1" customWidth="1"/>
    <col min="17" max="17" width="17.6640625" style="1162" bestFit="1" customWidth="1"/>
    <col min="18" max="16384" width="8.6640625" style="1162"/>
  </cols>
  <sheetData>
    <row r="1" spans="1:16" ht="18" x14ac:dyDescent="0.35">
      <c r="A1" s="334">
        <v>2026</v>
      </c>
      <c r="B1" s="335"/>
      <c r="C1" s="335"/>
      <c r="D1" s="336"/>
      <c r="E1" s="336"/>
      <c r="F1" s="336"/>
      <c r="G1" s="336"/>
      <c r="H1" s="335"/>
      <c r="I1" s="336"/>
      <c r="J1" s="335"/>
      <c r="K1" s="335"/>
      <c r="L1" s="337"/>
      <c r="M1" s="337"/>
      <c r="N1" s="337"/>
      <c r="O1" s="337"/>
      <c r="P1" s="337"/>
    </row>
    <row r="2" spans="1:16" ht="18" x14ac:dyDescent="0.35">
      <c r="A2" s="1163" t="s">
        <v>452</v>
      </c>
      <c r="B2" s="460"/>
      <c r="C2" s="460"/>
      <c r="D2" s="1164"/>
      <c r="E2" s="1164"/>
      <c r="F2" s="1164"/>
      <c r="G2" s="1164"/>
      <c r="H2" s="460"/>
      <c r="I2" s="1164"/>
      <c r="J2" s="460"/>
      <c r="K2" s="460"/>
      <c r="L2" s="460"/>
      <c r="M2" s="460"/>
      <c r="N2" s="460"/>
      <c r="O2" s="460"/>
      <c r="P2" s="460"/>
    </row>
    <row r="3" spans="1:16" ht="18" x14ac:dyDescent="0.35">
      <c r="A3" s="459"/>
      <c r="B3" s="460"/>
      <c r="C3" s="460"/>
      <c r="D3" s="1164"/>
      <c r="E3" s="1164"/>
      <c r="F3" s="1164"/>
      <c r="G3" s="1164"/>
      <c r="H3" s="460"/>
      <c r="I3" s="1164"/>
      <c r="J3" s="460"/>
      <c r="K3" s="460"/>
      <c r="L3" s="460"/>
      <c r="M3" s="460"/>
      <c r="N3" s="460"/>
      <c r="O3" s="460"/>
      <c r="P3" s="460"/>
    </row>
    <row r="4" spans="1:16" x14ac:dyDescent="0.3">
      <c r="D4" s="1165">
        <v>-1</v>
      </c>
      <c r="E4" s="1165">
        <f>+D4-1</f>
        <v>-2</v>
      </c>
      <c r="F4" s="1165">
        <f t="shared" ref="F4:P4" si="0">+E4-1</f>
        <v>-3</v>
      </c>
      <c r="G4" s="1165">
        <f t="shared" si="0"/>
        <v>-4</v>
      </c>
      <c r="H4" s="1165">
        <f t="shared" si="0"/>
        <v>-5</v>
      </c>
      <c r="I4" s="1165">
        <f t="shared" si="0"/>
        <v>-6</v>
      </c>
      <c r="J4" s="1165">
        <f t="shared" si="0"/>
        <v>-7</v>
      </c>
      <c r="K4" s="1165">
        <f t="shared" si="0"/>
        <v>-8</v>
      </c>
      <c r="L4" s="1165">
        <f t="shared" si="0"/>
        <v>-9</v>
      </c>
      <c r="M4" s="1165">
        <f t="shared" si="0"/>
        <v>-10</v>
      </c>
      <c r="N4" s="1165">
        <f t="shared" si="0"/>
        <v>-11</v>
      </c>
      <c r="O4" s="1165">
        <f t="shared" si="0"/>
        <v>-12</v>
      </c>
      <c r="P4" s="1165">
        <f t="shared" si="0"/>
        <v>-13</v>
      </c>
    </row>
    <row r="5" spans="1:16" x14ac:dyDescent="0.3">
      <c r="A5" s="1166" t="s">
        <v>453</v>
      </c>
      <c r="B5" s="382"/>
      <c r="C5" s="382"/>
      <c r="D5" s="1167">
        <v>46023</v>
      </c>
      <c r="E5" s="1167">
        <v>46054</v>
      </c>
      <c r="F5" s="1167">
        <v>46082</v>
      </c>
      <c r="G5" s="1167">
        <v>46113</v>
      </c>
      <c r="H5" s="1167">
        <v>46143</v>
      </c>
      <c r="I5" s="1167">
        <v>46174</v>
      </c>
      <c r="J5" s="1167">
        <v>46204</v>
      </c>
      <c r="K5" s="1167">
        <v>46235</v>
      </c>
      <c r="L5" s="1167">
        <v>46266</v>
      </c>
      <c r="M5" s="1167">
        <v>46296</v>
      </c>
      <c r="N5" s="1167">
        <v>46327</v>
      </c>
      <c r="O5" s="1167">
        <v>46357</v>
      </c>
      <c r="P5" s="1167" t="s">
        <v>121</v>
      </c>
    </row>
    <row r="6" spans="1:16" x14ac:dyDescent="0.3">
      <c r="A6" s="1166">
        <v>1</v>
      </c>
      <c r="B6" s="382"/>
      <c r="C6" s="382"/>
      <c r="D6" s="1168"/>
      <c r="E6" s="1168"/>
      <c r="F6" s="1168"/>
      <c r="G6" s="1168"/>
      <c r="H6" s="1168"/>
      <c r="I6" s="1168"/>
      <c r="J6" s="1168"/>
      <c r="K6" s="1168"/>
      <c r="L6" s="1168"/>
      <c r="M6" s="1168"/>
      <c r="N6" s="1168"/>
      <c r="O6" s="1168"/>
      <c r="P6" s="1169"/>
    </row>
    <row r="7" spans="1:16" x14ac:dyDescent="0.3">
      <c r="A7" s="1166">
        <f>+A6+1</f>
        <v>2</v>
      </c>
      <c r="B7" s="1170" t="s">
        <v>454</v>
      </c>
      <c r="C7" s="382"/>
      <c r="D7" s="1171"/>
      <c r="E7" s="1171"/>
      <c r="F7" s="1171"/>
      <c r="G7" s="1171"/>
      <c r="H7" s="1171"/>
      <c r="I7" s="1171"/>
      <c r="J7" s="1171"/>
      <c r="K7" s="1171"/>
      <c r="L7" s="1171"/>
      <c r="M7" s="1171"/>
      <c r="N7" s="1171"/>
      <c r="O7" s="1171"/>
      <c r="P7" s="1171"/>
    </row>
    <row r="8" spans="1:16" x14ac:dyDescent="0.3">
      <c r="A8" s="1166">
        <f t="shared" ref="A8:A71" si="1">+A7+1</f>
        <v>3</v>
      </c>
      <c r="B8" s="1172" t="s">
        <v>135</v>
      </c>
      <c r="C8" s="1173"/>
      <c r="D8" s="382">
        <v>129039453.00585128</v>
      </c>
      <c r="E8" s="382">
        <v>110204462.1731357</v>
      </c>
      <c r="F8" s="382">
        <v>92148236.371404305</v>
      </c>
      <c r="G8" s="382">
        <v>97417443.828900784</v>
      </c>
      <c r="H8" s="382">
        <v>109171395.09202576</v>
      </c>
      <c r="I8" s="382">
        <v>148634930.86536753</v>
      </c>
      <c r="J8" s="382">
        <v>165655613.50544837</v>
      </c>
      <c r="K8" s="382">
        <v>162531299.01031461</v>
      </c>
      <c r="L8" s="382">
        <v>159061681.1828185</v>
      </c>
      <c r="M8" s="382">
        <v>138120860.85806358</v>
      </c>
      <c r="N8" s="382">
        <v>101558125.81889918</v>
      </c>
      <c r="O8" s="382">
        <v>110353067.91063933</v>
      </c>
      <c r="P8" s="382">
        <f>SUM(D8:O8)</f>
        <v>1523896569.6228685</v>
      </c>
    </row>
    <row r="9" spans="1:16" x14ac:dyDescent="0.3">
      <c r="A9" s="1166">
        <f t="shared" si="1"/>
        <v>4</v>
      </c>
      <c r="B9" s="1172" t="s">
        <v>136</v>
      </c>
      <c r="C9" s="1173"/>
      <c r="D9" s="382">
        <v>12428384.731149977</v>
      </c>
      <c r="E9" s="382">
        <v>11185894.289942181</v>
      </c>
      <c r="F9" s="382">
        <v>10195547.011002675</v>
      </c>
      <c r="G9" s="382">
        <v>11635997.788950216</v>
      </c>
      <c r="H9" s="382">
        <v>13303462.562821722</v>
      </c>
      <c r="I9" s="382">
        <v>15660045.200937727</v>
      </c>
      <c r="J9" s="382">
        <v>16508096.254708096</v>
      </c>
      <c r="K9" s="382">
        <v>17098212.921206314</v>
      </c>
      <c r="L9" s="382">
        <v>16208154.013814805</v>
      </c>
      <c r="M9" s="382">
        <v>14641975.279796498</v>
      </c>
      <c r="N9" s="382">
        <v>12840200.436988559</v>
      </c>
      <c r="O9" s="382">
        <v>10964675.531662019</v>
      </c>
      <c r="P9" s="382">
        <f t="shared" ref="P9:P17" si="2">SUM(D9:O9)</f>
        <v>162670646.02298081</v>
      </c>
    </row>
    <row r="10" spans="1:16" x14ac:dyDescent="0.3">
      <c r="A10" s="1166">
        <f t="shared" si="1"/>
        <v>5</v>
      </c>
      <c r="B10" s="1172" t="s">
        <v>137</v>
      </c>
      <c r="C10" s="1173"/>
      <c r="D10" s="382">
        <v>548296.99391349172</v>
      </c>
      <c r="E10" s="382">
        <v>460782.69657037966</v>
      </c>
      <c r="F10" s="382">
        <v>399483.74232070503</v>
      </c>
      <c r="G10" s="382">
        <v>520043.17387913039</v>
      </c>
      <c r="H10" s="382">
        <v>478424.6409421172</v>
      </c>
      <c r="I10" s="382">
        <v>514223.87889372988</v>
      </c>
      <c r="J10" s="382">
        <v>514321.14185381081</v>
      </c>
      <c r="K10" s="382">
        <v>507939.23710696457</v>
      </c>
      <c r="L10" s="382">
        <v>498263.8532599337</v>
      </c>
      <c r="M10" s="382">
        <v>520873.81795768108</v>
      </c>
      <c r="N10" s="382">
        <v>483814.32327264838</v>
      </c>
      <c r="O10" s="382">
        <v>459827.86497682205</v>
      </c>
      <c r="P10" s="382">
        <f t="shared" si="2"/>
        <v>5906295.364947414</v>
      </c>
    </row>
    <row r="11" spans="1:16" x14ac:dyDescent="0.3">
      <c r="A11" s="1166">
        <f t="shared" si="1"/>
        <v>6</v>
      </c>
      <c r="B11" s="1172" t="s">
        <v>272</v>
      </c>
      <c r="C11" s="1173"/>
      <c r="D11" s="382">
        <v>27817315.9199498</v>
      </c>
      <c r="E11" s="382">
        <v>26972971.046905026</v>
      </c>
      <c r="F11" s="382">
        <v>28295447.715991594</v>
      </c>
      <c r="G11" s="382">
        <v>28069295.847669777</v>
      </c>
      <c r="H11" s="382">
        <v>28289105.265251968</v>
      </c>
      <c r="I11" s="382">
        <v>33196076.167804956</v>
      </c>
      <c r="J11" s="382">
        <v>35041886.526822947</v>
      </c>
      <c r="K11" s="382">
        <v>35022894.639343873</v>
      </c>
      <c r="L11" s="382">
        <v>34489819.03145349</v>
      </c>
      <c r="M11" s="382">
        <v>32636399.338840656</v>
      </c>
      <c r="N11" s="382">
        <v>29541551.879333034</v>
      </c>
      <c r="O11" s="382">
        <v>27226626.314622577</v>
      </c>
      <c r="P11" s="382">
        <f t="shared" si="2"/>
        <v>366599389.69398969</v>
      </c>
    </row>
    <row r="12" spans="1:16" x14ac:dyDescent="0.3">
      <c r="A12" s="1166">
        <f t="shared" si="1"/>
        <v>7</v>
      </c>
      <c r="B12" s="1172" t="s">
        <v>275</v>
      </c>
      <c r="C12" s="1173"/>
      <c r="D12" s="382">
        <v>102863.45145227779</v>
      </c>
      <c r="E12" s="382">
        <v>149511.85876402041</v>
      </c>
      <c r="F12" s="382">
        <v>8783.9239755954131</v>
      </c>
      <c r="G12" s="382">
        <v>51703.846334008653</v>
      </c>
      <c r="H12" s="382">
        <v>170951.35176177218</v>
      </c>
      <c r="I12" s="382">
        <v>76589.946190828923</v>
      </c>
      <c r="J12" s="382">
        <v>80448.04193233393</v>
      </c>
      <c r="K12" s="382">
        <v>62197.865755643645</v>
      </c>
      <c r="L12" s="382">
        <v>95391.245785862848</v>
      </c>
      <c r="M12" s="382">
        <v>79709.680984807099</v>
      </c>
      <c r="N12" s="382">
        <v>85126.302552061112</v>
      </c>
      <c r="O12" s="382">
        <v>75101.512325756106</v>
      </c>
      <c r="P12" s="382">
        <f t="shared" si="2"/>
        <v>1038379.0278149683</v>
      </c>
    </row>
    <row r="13" spans="1:16" x14ac:dyDescent="0.3">
      <c r="A13" s="1166">
        <f t="shared" si="1"/>
        <v>8</v>
      </c>
      <c r="B13" s="1172" t="s">
        <v>273</v>
      </c>
      <c r="C13" s="1173"/>
      <c r="D13" s="382">
        <v>2937197.3463964835</v>
      </c>
      <c r="E13" s="382">
        <v>3387435.4059923533</v>
      </c>
      <c r="F13" s="382">
        <v>3454559.4859144553</v>
      </c>
      <c r="G13" s="382">
        <v>3479310.2657112302</v>
      </c>
      <c r="H13" s="382">
        <v>3203044.2858508378</v>
      </c>
      <c r="I13" s="382">
        <v>3403525.3309211466</v>
      </c>
      <c r="J13" s="382">
        <v>3333950.8052430358</v>
      </c>
      <c r="K13" s="382">
        <v>3202681.9916891744</v>
      </c>
      <c r="L13" s="382">
        <v>3486952.6860500462</v>
      </c>
      <c r="M13" s="382">
        <v>3277119.2651841249</v>
      </c>
      <c r="N13" s="382">
        <v>2497584.6142720389</v>
      </c>
      <c r="O13" s="382">
        <v>3770901.4488293924</v>
      </c>
      <c r="P13" s="382">
        <f t="shared" si="2"/>
        <v>39434262.932054311</v>
      </c>
    </row>
    <row r="14" spans="1:16" x14ac:dyDescent="0.3">
      <c r="A14" s="1166">
        <f t="shared" si="1"/>
        <v>9</v>
      </c>
      <c r="B14" s="1172" t="s">
        <v>274</v>
      </c>
      <c r="C14" s="1173"/>
      <c r="D14" s="382">
        <v>967779.68055425619</v>
      </c>
      <c r="E14" s="382">
        <v>873246.4158748585</v>
      </c>
      <c r="F14" s="382">
        <v>695499.19931566506</v>
      </c>
      <c r="G14" s="382">
        <v>806607.19142897555</v>
      </c>
      <c r="H14" s="382">
        <v>867582.71477969317</v>
      </c>
      <c r="I14" s="382">
        <v>803939.27073432563</v>
      </c>
      <c r="J14" s="382">
        <v>747150.27847162075</v>
      </c>
      <c r="K14" s="382">
        <v>813818.91202370718</v>
      </c>
      <c r="L14" s="382">
        <v>776333.01624296419</v>
      </c>
      <c r="M14" s="382">
        <v>857470.93363090279</v>
      </c>
      <c r="N14" s="382">
        <v>866628.68071907654</v>
      </c>
      <c r="O14" s="382">
        <v>739831.5299581273</v>
      </c>
      <c r="P14" s="382">
        <f t="shared" si="2"/>
        <v>9815887.8237341717</v>
      </c>
    </row>
    <row r="15" spans="1:16" x14ac:dyDescent="0.3">
      <c r="A15" s="1166">
        <f t="shared" si="1"/>
        <v>10</v>
      </c>
      <c r="B15" s="1172" t="s">
        <v>138</v>
      </c>
      <c r="C15" s="1173"/>
      <c r="D15" s="382">
        <v>178597.45313208207</v>
      </c>
      <c r="E15" s="382">
        <v>110527.31419736646</v>
      </c>
      <c r="F15" s="382">
        <v>4379.1265023564411</v>
      </c>
      <c r="G15" s="382">
        <v>99888.191354644063</v>
      </c>
      <c r="H15" s="382">
        <v>34676.423219940742</v>
      </c>
      <c r="I15" s="382">
        <v>24032.962991680772</v>
      </c>
      <c r="J15" s="382">
        <v>65345.564781743007</v>
      </c>
      <c r="K15" s="382">
        <v>48020.204020382713</v>
      </c>
      <c r="L15" s="382">
        <v>114600.90099806308</v>
      </c>
      <c r="M15" s="382">
        <v>86031.320575084334</v>
      </c>
      <c r="N15" s="382">
        <v>54792.280890491034</v>
      </c>
      <c r="O15" s="382">
        <v>61626.277715870965</v>
      </c>
      <c r="P15" s="382">
        <f t="shared" si="2"/>
        <v>882518.0203797057</v>
      </c>
    </row>
    <row r="16" spans="1:16" x14ac:dyDescent="0.3">
      <c r="A16" s="1166">
        <f t="shared" si="1"/>
        <v>11</v>
      </c>
      <c r="B16" s="1172" t="s">
        <v>140</v>
      </c>
      <c r="C16" s="1173"/>
      <c r="D16" s="382">
        <v>122017.94482704229</v>
      </c>
      <c r="E16" s="382">
        <v>54754.14676321725</v>
      </c>
      <c r="F16" s="382">
        <v>37245.131708101319</v>
      </c>
      <c r="G16" s="382">
        <v>53654.291092216386</v>
      </c>
      <c r="H16" s="382">
        <v>58144.966552023187</v>
      </c>
      <c r="I16" s="382">
        <v>62272.75580213077</v>
      </c>
      <c r="J16" s="382">
        <v>62048.676478720066</v>
      </c>
      <c r="K16" s="382">
        <v>47885.717830505353</v>
      </c>
      <c r="L16" s="382">
        <v>89098.973950856234</v>
      </c>
      <c r="M16" s="382">
        <v>93121.505846004584</v>
      </c>
      <c r="N16" s="382">
        <v>48249.015344914384</v>
      </c>
      <c r="O16" s="382">
        <v>14520.553342601157</v>
      </c>
      <c r="P16" s="382">
        <f t="shared" si="2"/>
        <v>743013.67953833297</v>
      </c>
    </row>
    <row r="17" spans="1:16" x14ac:dyDescent="0.3">
      <c r="A17" s="1166">
        <f t="shared" si="1"/>
        <v>12</v>
      </c>
      <c r="B17" s="1172" t="s">
        <v>139</v>
      </c>
      <c r="C17" s="1173"/>
      <c r="D17" s="382">
        <v>566894.6228625949</v>
      </c>
      <c r="E17" s="382">
        <v>0</v>
      </c>
      <c r="F17" s="382">
        <v>190193.60041523929</v>
      </c>
      <c r="G17" s="382">
        <v>136610.20935459711</v>
      </c>
      <c r="H17" s="382">
        <v>102251.16777482163</v>
      </c>
      <c r="I17" s="382">
        <v>150708.84783418805</v>
      </c>
      <c r="J17" s="382">
        <v>141320.76346224305</v>
      </c>
      <c r="K17" s="382">
        <v>121374.63835007955</v>
      </c>
      <c r="L17" s="382">
        <v>132320.38537285139</v>
      </c>
      <c r="M17" s="382">
        <v>157915.03129599293</v>
      </c>
      <c r="N17" s="382">
        <v>124300.66648242399</v>
      </c>
      <c r="O17" s="382">
        <v>93835.969824881628</v>
      </c>
      <c r="P17" s="382">
        <f t="shared" si="2"/>
        <v>1917725.9030299133</v>
      </c>
    </row>
    <row r="18" spans="1:16" ht="14.4" thickBot="1" x14ac:dyDescent="0.35">
      <c r="A18" s="1166">
        <f t="shared" si="1"/>
        <v>13</v>
      </c>
      <c r="B18" s="382"/>
      <c r="C18" s="1174" t="s">
        <v>121</v>
      </c>
      <c r="D18" s="1175">
        <f>SUM(D8:D17)</f>
        <v>174708801.15008935</v>
      </c>
      <c r="E18" s="1175">
        <f t="shared" ref="E18:P18" si="3">SUM(E8:E17)</f>
        <v>153399585.3481451</v>
      </c>
      <c r="F18" s="1175">
        <f t="shared" si="3"/>
        <v>135429375.30855072</v>
      </c>
      <c r="G18" s="1175">
        <f t="shared" si="3"/>
        <v>142270554.63467559</v>
      </c>
      <c r="H18" s="1175">
        <f t="shared" si="3"/>
        <v>155679038.47098067</v>
      </c>
      <c r="I18" s="1175">
        <f t="shared" si="3"/>
        <v>202526345.22747827</v>
      </c>
      <c r="J18" s="1175">
        <f t="shared" si="3"/>
        <v>222150181.55920294</v>
      </c>
      <c r="K18" s="1175">
        <f t="shared" si="3"/>
        <v>219456325.13764125</v>
      </c>
      <c r="L18" s="1175">
        <f t="shared" si="3"/>
        <v>214952615.28974736</v>
      </c>
      <c r="M18" s="1175">
        <f t="shared" si="3"/>
        <v>190471477.03217533</v>
      </c>
      <c r="N18" s="1175">
        <f t="shared" si="3"/>
        <v>148100374.01875442</v>
      </c>
      <c r="O18" s="1175">
        <f t="shared" si="3"/>
        <v>153760014.91389737</v>
      </c>
      <c r="P18" s="1175">
        <f t="shared" si="3"/>
        <v>2112904688.0913377</v>
      </c>
    </row>
    <row r="19" spans="1:16" ht="14.4" thickTop="1" x14ac:dyDescent="0.3">
      <c r="A19" s="1166">
        <f t="shared" si="1"/>
        <v>14</v>
      </c>
    </row>
    <row r="20" spans="1:16" x14ac:dyDescent="0.3">
      <c r="A20" s="1166">
        <f t="shared" si="1"/>
        <v>15</v>
      </c>
      <c r="B20" s="1170" t="s">
        <v>455</v>
      </c>
      <c r="C20" s="382"/>
      <c r="D20" s="1171"/>
      <c r="E20" s="1171"/>
      <c r="F20" s="1171"/>
      <c r="G20" s="1171"/>
      <c r="H20" s="1171"/>
      <c r="I20" s="1171"/>
      <c r="J20" s="1171"/>
      <c r="K20" s="1171"/>
      <c r="L20" s="1171"/>
      <c r="M20" s="1171"/>
      <c r="N20" s="1171"/>
      <c r="O20" s="1171"/>
      <c r="P20" s="1171"/>
    </row>
    <row r="21" spans="1:16" x14ac:dyDescent="0.3">
      <c r="A21" s="1166">
        <f t="shared" si="1"/>
        <v>16</v>
      </c>
      <c r="B21" s="1172" t="s">
        <v>135</v>
      </c>
      <c r="C21" s="1173"/>
      <c r="D21" s="382">
        <v>0</v>
      </c>
      <c r="E21" s="382">
        <v>0</v>
      </c>
      <c r="F21" s="382">
        <v>0</v>
      </c>
      <c r="G21" s="382">
        <v>0</v>
      </c>
      <c r="H21" s="382">
        <v>0</v>
      </c>
      <c r="I21" s="382">
        <v>0</v>
      </c>
      <c r="J21" s="382">
        <v>0</v>
      </c>
      <c r="K21" s="382">
        <v>0</v>
      </c>
      <c r="L21" s="382">
        <v>0</v>
      </c>
      <c r="M21" s="382">
        <v>0</v>
      </c>
      <c r="N21" s="382">
        <v>0</v>
      </c>
      <c r="O21" s="382">
        <v>0</v>
      </c>
      <c r="P21" s="382">
        <v>0</v>
      </c>
    </row>
    <row r="22" spans="1:16" x14ac:dyDescent="0.3">
      <c r="A22" s="1166">
        <f t="shared" si="1"/>
        <v>17</v>
      </c>
      <c r="B22" s="1172" t="s">
        <v>136</v>
      </c>
      <c r="C22" s="1173"/>
      <c r="D22" s="382">
        <v>0</v>
      </c>
      <c r="E22" s="382">
        <v>0</v>
      </c>
      <c r="F22" s="382">
        <v>0</v>
      </c>
      <c r="G22" s="382">
        <v>0</v>
      </c>
      <c r="H22" s="382">
        <v>0</v>
      </c>
      <c r="I22" s="382">
        <v>0</v>
      </c>
      <c r="J22" s="382">
        <v>0</v>
      </c>
      <c r="K22" s="382">
        <v>0</v>
      </c>
      <c r="L22" s="382">
        <v>0</v>
      </c>
      <c r="M22" s="382">
        <v>0</v>
      </c>
      <c r="N22" s="382">
        <v>0</v>
      </c>
      <c r="O22" s="382">
        <v>0</v>
      </c>
      <c r="P22" s="382">
        <v>0</v>
      </c>
    </row>
    <row r="23" spans="1:16" x14ac:dyDescent="0.3">
      <c r="A23" s="1166">
        <f t="shared" si="1"/>
        <v>18</v>
      </c>
      <c r="B23" s="1172" t="s">
        <v>137</v>
      </c>
      <c r="C23" s="1173"/>
      <c r="D23" s="382">
        <v>0</v>
      </c>
      <c r="E23" s="382">
        <v>0</v>
      </c>
      <c r="F23" s="382">
        <v>0</v>
      </c>
      <c r="G23" s="382">
        <v>0</v>
      </c>
      <c r="H23" s="382">
        <v>0</v>
      </c>
      <c r="I23" s="382">
        <v>0</v>
      </c>
      <c r="J23" s="382">
        <v>0</v>
      </c>
      <c r="K23" s="382">
        <v>0</v>
      </c>
      <c r="L23" s="382">
        <v>0</v>
      </c>
      <c r="M23" s="382">
        <v>0</v>
      </c>
      <c r="N23" s="382">
        <v>0</v>
      </c>
      <c r="O23" s="382">
        <v>0</v>
      </c>
      <c r="P23" s="382">
        <v>0</v>
      </c>
    </row>
    <row r="24" spans="1:16" x14ac:dyDescent="0.3">
      <c r="A24" s="1166">
        <f t="shared" si="1"/>
        <v>19</v>
      </c>
      <c r="B24" s="1172" t="s">
        <v>272</v>
      </c>
      <c r="C24" s="1173"/>
      <c r="D24" s="382">
        <v>19718855.646309186</v>
      </c>
      <c r="E24" s="382">
        <v>19623339.881444596</v>
      </c>
      <c r="F24" s="382">
        <v>19049349.100724932</v>
      </c>
      <c r="G24" s="382">
        <v>19045082.778885074</v>
      </c>
      <c r="H24" s="382">
        <v>17987220.037792854</v>
      </c>
      <c r="I24" s="382">
        <v>22009758.122527752</v>
      </c>
      <c r="J24" s="382">
        <v>23003893.229546681</v>
      </c>
      <c r="K24" s="382">
        <v>23215924.230406087</v>
      </c>
      <c r="L24" s="382">
        <v>22757111.42105544</v>
      </c>
      <c r="M24" s="382">
        <v>21411703.22349786</v>
      </c>
      <c r="N24" s="382">
        <v>19400411.621753752</v>
      </c>
      <c r="O24" s="382">
        <v>18530387.905289091</v>
      </c>
      <c r="P24" s="382">
        <v>245753037.19923329</v>
      </c>
    </row>
    <row r="25" spans="1:16" x14ac:dyDescent="0.3">
      <c r="A25" s="1166">
        <f t="shared" si="1"/>
        <v>20</v>
      </c>
      <c r="B25" s="1172" t="s">
        <v>275</v>
      </c>
      <c r="C25" s="1173"/>
      <c r="D25" s="382">
        <v>19557.381629625925</v>
      </c>
      <c r="E25" s="382">
        <v>88041.17231045822</v>
      </c>
      <c r="F25" s="382">
        <v>-70499.009118318078</v>
      </c>
      <c r="G25" s="382">
        <v>221057.53843882965</v>
      </c>
      <c r="H25" s="382">
        <v>164547.88752447325</v>
      </c>
      <c r="I25" s="382">
        <v>70130.089408121275</v>
      </c>
      <c r="J25" s="382">
        <v>73492.837015545054</v>
      </c>
      <c r="K25" s="382">
        <v>57042.821546532425</v>
      </c>
      <c r="L25" s="382">
        <v>87540.914909132276</v>
      </c>
      <c r="M25" s="382">
        <v>73138.062324361395</v>
      </c>
      <c r="N25" s="382">
        <v>78299.337085827909</v>
      </c>
      <c r="O25" s="382">
        <v>70980.450274699149</v>
      </c>
      <c r="P25" s="382">
        <v>933329.48334928858</v>
      </c>
    </row>
    <row r="26" spans="1:16" x14ac:dyDescent="0.3">
      <c r="A26" s="1166">
        <f t="shared" si="1"/>
        <v>21</v>
      </c>
      <c r="B26" s="1172" t="s">
        <v>273</v>
      </c>
      <c r="C26" s="1173"/>
      <c r="D26" s="382">
        <v>2093928.2628855985</v>
      </c>
      <c r="E26" s="382">
        <v>2984062.672898653</v>
      </c>
      <c r="F26" s="382">
        <v>2871564.9877001373</v>
      </c>
      <c r="G26" s="382">
        <v>2688592.6255836599</v>
      </c>
      <c r="H26" s="382">
        <v>2135735.4821477612</v>
      </c>
      <c r="I26" s="382">
        <v>2421345.1036134097</v>
      </c>
      <c r="J26" s="382">
        <v>2317543.8335015797</v>
      </c>
      <c r="K26" s="382">
        <v>2617487.4884626586</v>
      </c>
      <c r="L26" s="382">
        <v>2551089.7533374238</v>
      </c>
      <c r="M26" s="382">
        <v>2433570.7989717247</v>
      </c>
      <c r="N26" s="382">
        <v>1848513.7730065449</v>
      </c>
      <c r="O26" s="382">
        <v>2830678.2063891548</v>
      </c>
      <c r="P26" s="382">
        <v>29794112.988498304</v>
      </c>
    </row>
    <row r="27" spans="1:16" x14ac:dyDescent="0.3">
      <c r="A27" s="1166">
        <f t="shared" si="1"/>
        <v>22</v>
      </c>
      <c r="B27" s="1172" t="s">
        <v>274</v>
      </c>
      <c r="C27" s="1173"/>
      <c r="D27" s="382">
        <v>0</v>
      </c>
      <c r="E27" s="382">
        <v>0</v>
      </c>
      <c r="F27" s="382">
        <v>0</v>
      </c>
      <c r="G27" s="382">
        <v>0</v>
      </c>
      <c r="H27" s="382">
        <v>0</v>
      </c>
      <c r="I27" s="382">
        <v>0</v>
      </c>
      <c r="J27" s="382">
        <v>0</v>
      </c>
      <c r="K27" s="382">
        <v>0</v>
      </c>
      <c r="L27" s="382">
        <v>0</v>
      </c>
      <c r="M27" s="382">
        <v>0</v>
      </c>
      <c r="N27" s="382">
        <v>0</v>
      </c>
      <c r="O27" s="382">
        <v>0</v>
      </c>
      <c r="P27" s="382">
        <v>0</v>
      </c>
    </row>
    <row r="28" spans="1:16" x14ac:dyDescent="0.3">
      <c r="A28" s="1166">
        <f t="shared" si="1"/>
        <v>23</v>
      </c>
      <c r="B28" s="1172" t="s">
        <v>138</v>
      </c>
      <c r="C28" s="1173"/>
      <c r="D28" s="382">
        <v>473339.4186465487</v>
      </c>
      <c r="E28" s="382">
        <v>347581.89535776468</v>
      </c>
      <c r="F28" s="382">
        <v>168323.77822522679</v>
      </c>
      <c r="G28" s="382">
        <v>258332.88326070539</v>
      </c>
      <c r="H28" s="382">
        <v>150019.95753218015</v>
      </c>
      <c r="I28" s="382">
        <v>146879.96473576291</v>
      </c>
      <c r="J28" s="382">
        <v>216617.84288489958</v>
      </c>
      <c r="K28" s="382">
        <v>198181.96394405398</v>
      </c>
      <c r="L28" s="382">
        <v>290767.24556629505</v>
      </c>
      <c r="M28" s="382">
        <v>191272.97500237444</v>
      </c>
      <c r="N28" s="382">
        <v>166697.05775871273</v>
      </c>
      <c r="O28" s="382">
        <v>203902.606784634</v>
      </c>
      <c r="P28" s="382">
        <v>2811917.5896991584</v>
      </c>
    </row>
    <row r="29" spans="1:16" x14ac:dyDescent="0.3">
      <c r="A29" s="1166">
        <f t="shared" si="1"/>
        <v>24</v>
      </c>
      <c r="B29" s="1172" t="s">
        <v>140</v>
      </c>
      <c r="C29" s="1173"/>
      <c r="D29" s="382">
        <v>359697.60069117427</v>
      </c>
      <c r="E29" s="382">
        <v>216432.29718371236</v>
      </c>
      <c r="F29" s="382">
        <v>171618.75912199347</v>
      </c>
      <c r="G29" s="382">
        <v>157139.73615044545</v>
      </c>
      <c r="H29" s="382">
        <v>144027.59863088944</v>
      </c>
      <c r="I29" s="382">
        <v>177049.58813058745</v>
      </c>
      <c r="J29" s="382">
        <v>209178.01936723365</v>
      </c>
      <c r="K29" s="382">
        <v>175211.19256493781</v>
      </c>
      <c r="L29" s="382">
        <v>235108.8742840389</v>
      </c>
      <c r="M29" s="382">
        <v>173291.85963513068</v>
      </c>
      <c r="N29" s="382">
        <v>234258.65460828718</v>
      </c>
      <c r="O29" s="382">
        <v>103732.41542134117</v>
      </c>
      <c r="P29" s="382">
        <v>2356746.5957897715</v>
      </c>
    </row>
    <row r="30" spans="1:16" x14ac:dyDescent="0.3">
      <c r="A30" s="1166">
        <f t="shared" si="1"/>
        <v>25</v>
      </c>
      <c r="B30" s="1172" t="s">
        <v>139</v>
      </c>
      <c r="C30" s="1173"/>
      <c r="D30" s="382">
        <v>1124162.7384487595</v>
      </c>
      <c r="E30" s="382">
        <v>72523.758054000005</v>
      </c>
      <c r="F30" s="382">
        <v>443141.85773004789</v>
      </c>
      <c r="G30" s="382">
        <v>272651.14609294431</v>
      </c>
      <c r="H30" s="382">
        <v>199856.46019157537</v>
      </c>
      <c r="I30" s="382">
        <v>300374.11250203819</v>
      </c>
      <c r="J30" s="382">
        <v>354292.97034507612</v>
      </c>
      <c r="K30" s="382">
        <v>308220.3027982848</v>
      </c>
      <c r="L30" s="382">
        <v>318473.79871549155</v>
      </c>
      <c r="M30" s="382">
        <v>241216.95658417762</v>
      </c>
      <c r="N30" s="382">
        <v>213469.22242389014</v>
      </c>
      <c r="O30" s="382">
        <v>226772.99363163911</v>
      </c>
      <c r="P30" s="382">
        <v>4075156.3175179246</v>
      </c>
    </row>
    <row r="31" spans="1:16" ht="14.4" thickBot="1" x14ac:dyDescent="0.35">
      <c r="A31" s="1166">
        <f t="shared" si="1"/>
        <v>26</v>
      </c>
      <c r="B31" s="382"/>
      <c r="C31" s="1174" t="s">
        <v>121</v>
      </c>
      <c r="D31" s="1175">
        <f>SUM(D21:D30)</f>
        <v>23789541.048610896</v>
      </c>
      <c r="E31" s="1175">
        <f t="shared" ref="E31" si="4">SUM(E21:E30)</f>
        <v>23331981.677249182</v>
      </c>
      <c r="F31" s="1175">
        <f t="shared" ref="F31" si="5">SUM(F21:F30)</f>
        <v>22633499.474384021</v>
      </c>
      <c r="G31" s="1175">
        <f t="shared" ref="G31" si="6">SUM(G21:G30)</f>
        <v>22642856.70841166</v>
      </c>
      <c r="H31" s="1175">
        <f t="shared" ref="H31" si="7">SUM(H21:H30)</f>
        <v>20781407.423819732</v>
      </c>
      <c r="I31" s="1175">
        <f t="shared" ref="I31" si="8">SUM(I21:I30)</f>
        <v>25125536.98091767</v>
      </c>
      <c r="J31" s="1175">
        <f t="shared" ref="J31" si="9">SUM(J21:J30)</f>
        <v>26175018.732661016</v>
      </c>
      <c r="K31" s="1175">
        <f t="shared" ref="K31" si="10">SUM(K21:K30)</f>
        <v>26572067.999722559</v>
      </c>
      <c r="L31" s="1175">
        <f t="shared" ref="L31" si="11">SUM(L21:L30)</f>
        <v>26240092.007867821</v>
      </c>
      <c r="M31" s="1175">
        <f t="shared" ref="M31" si="12">SUM(M21:M30)</f>
        <v>24524193.876015626</v>
      </c>
      <c r="N31" s="1175">
        <f t="shared" ref="N31" si="13">SUM(N21:N30)</f>
        <v>21941649.666637011</v>
      </c>
      <c r="O31" s="1175">
        <f t="shared" ref="O31" si="14">SUM(O21:O30)</f>
        <v>21966454.577790558</v>
      </c>
      <c r="P31" s="1175">
        <f t="shared" ref="P31" si="15">SUM(P21:P30)</f>
        <v>285724300.17408776</v>
      </c>
    </row>
    <row r="32" spans="1:16" ht="14.4" thickTop="1" x14ac:dyDescent="0.3">
      <c r="A32" s="1166">
        <f t="shared" si="1"/>
        <v>27</v>
      </c>
    </row>
    <row r="33" spans="1:16" x14ac:dyDescent="0.3">
      <c r="A33" s="1166">
        <f t="shared" si="1"/>
        <v>28</v>
      </c>
      <c r="B33" s="1170" t="s">
        <v>456</v>
      </c>
    </row>
    <row r="34" spans="1:16" x14ac:dyDescent="0.3">
      <c r="A34" s="1166">
        <f t="shared" si="1"/>
        <v>29</v>
      </c>
      <c r="B34" s="1172" t="s">
        <v>135</v>
      </c>
      <c r="C34" s="1173" t="str">
        <f>"Line "&amp;A8&amp;" + "&amp;A21</f>
        <v>Line 3 + 16</v>
      </c>
      <c r="D34" s="1176">
        <f t="shared" ref="D34:O34" si="16">D8+D21</f>
        <v>129039453.00585128</v>
      </c>
      <c r="E34" s="1176">
        <f t="shared" si="16"/>
        <v>110204462.1731357</v>
      </c>
      <c r="F34" s="1176">
        <f t="shared" si="16"/>
        <v>92148236.371404305</v>
      </c>
      <c r="G34" s="1176">
        <f t="shared" si="16"/>
        <v>97417443.828900784</v>
      </c>
      <c r="H34" s="1176">
        <f t="shared" si="16"/>
        <v>109171395.09202576</v>
      </c>
      <c r="I34" s="1176">
        <f t="shared" si="16"/>
        <v>148634930.86536753</v>
      </c>
      <c r="J34" s="1176">
        <f t="shared" si="16"/>
        <v>165655613.50544837</v>
      </c>
      <c r="K34" s="1176">
        <f t="shared" si="16"/>
        <v>162531299.01031461</v>
      </c>
      <c r="L34" s="1176">
        <f t="shared" si="16"/>
        <v>159061681.1828185</v>
      </c>
      <c r="M34" s="1176">
        <f t="shared" si="16"/>
        <v>138120860.85806358</v>
      </c>
      <c r="N34" s="1176">
        <f t="shared" si="16"/>
        <v>101558125.81889918</v>
      </c>
      <c r="O34" s="1176">
        <f t="shared" si="16"/>
        <v>110353067.91063933</v>
      </c>
      <c r="P34" s="382">
        <f>SUM(D34:O34)</f>
        <v>1523896569.6228685</v>
      </c>
    </row>
    <row r="35" spans="1:16" x14ac:dyDescent="0.3">
      <c r="A35" s="1166">
        <f t="shared" si="1"/>
        <v>30</v>
      </c>
      <c r="B35" s="1172" t="s">
        <v>136</v>
      </c>
      <c r="C35" s="1173" t="str">
        <f t="shared" ref="C35:C43" si="17">"Line "&amp;A9&amp;" + "&amp;A22</f>
        <v>Line 4 + 17</v>
      </c>
      <c r="D35" s="1176">
        <f t="shared" ref="D35:O35" si="18">D9+D22</f>
        <v>12428384.731149977</v>
      </c>
      <c r="E35" s="1176">
        <f t="shared" si="18"/>
        <v>11185894.289942181</v>
      </c>
      <c r="F35" s="1176">
        <f t="shared" si="18"/>
        <v>10195547.011002675</v>
      </c>
      <c r="G35" s="1176">
        <f t="shared" si="18"/>
        <v>11635997.788950216</v>
      </c>
      <c r="H35" s="1176">
        <f t="shared" si="18"/>
        <v>13303462.562821722</v>
      </c>
      <c r="I35" s="1176">
        <f t="shared" si="18"/>
        <v>15660045.200937727</v>
      </c>
      <c r="J35" s="1176">
        <f t="shared" si="18"/>
        <v>16508096.254708096</v>
      </c>
      <c r="K35" s="1176">
        <f t="shared" si="18"/>
        <v>17098212.921206314</v>
      </c>
      <c r="L35" s="1176">
        <f t="shared" si="18"/>
        <v>16208154.013814805</v>
      </c>
      <c r="M35" s="1176">
        <f t="shared" si="18"/>
        <v>14641975.279796498</v>
      </c>
      <c r="N35" s="1176">
        <f t="shared" si="18"/>
        <v>12840200.436988559</v>
      </c>
      <c r="O35" s="1176">
        <f t="shared" si="18"/>
        <v>10964675.531662019</v>
      </c>
      <c r="P35" s="382">
        <f t="shared" ref="P35:P43" si="19">SUM(D35:O35)</f>
        <v>162670646.02298081</v>
      </c>
    </row>
    <row r="36" spans="1:16" x14ac:dyDescent="0.3">
      <c r="A36" s="1166">
        <f t="shared" si="1"/>
        <v>31</v>
      </c>
      <c r="B36" s="1172" t="s">
        <v>137</v>
      </c>
      <c r="C36" s="1173" t="str">
        <f t="shared" si="17"/>
        <v>Line 5 + 18</v>
      </c>
      <c r="D36" s="1176">
        <f t="shared" ref="D36:O36" si="20">D10+D23</f>
        <v>548296.99391349172</v>
      </c>
      <c r="E36" s="1176">
        <f t="shared" si="20"/>
        <v>460782.69657037966</v>
      </c>
      <c r="F36" s="1176">
        <f t="shared" si="20"/>
        <v>399483.74232070503</v>
      </c>
      <c r="G36" s="1176">
        <f t="shared" si="20"/>
        <v>520043.17387913039</v>
      </c>
      <c r="H36" s="1176">
        <f t="shared" si="20"/>
        <v>478424.6409421172</v>
      </c>
      <c r="I36" s="1176">
        <f t="shared" si="20"/>
        <v>514223.87889372988</v>
      </c>
      <c r="J36" s="1176">
        <f t="shared" si="20"/>
        <v>514321.14185381081</v>
      </c>
      <c r="K36" s="1176">
        <f t="shared" si="20"/>
        <v>507939.23710696457</v>
      </c>
      <c r="L36" s="1176">
        <f t="shared" si="20"/>
        <v>498263.8532599337</v>
      </c>
      <c r="M36" s="1176">
        <f t="shared" si="20"/>
        <v>520873.81795768108</v>
      </c>
      <c r="N36" s="1176">
        <f t="shared" si="20"/>
        <v>483814.32327264838</v>
      </c>
      <c r="O36" s="1176">
        <f t="shared" si="20"/>
        <v>459827.86497682205</v>
      </c>
      <c r="P36" s="382">
        <f t="shared" si="19"/>
        <v>5906295.364947414</v>
      </c>
    </row>
    <row r="37" spans="1:16" x14ac:dyDescent="0.3">
      <c r="A37" s="1166">
        <f t="shared" si="1"/>
        <v>32</v>
      </c>
      <c r="B37" s="1172" t="s">
        <v>272</v>
      </c>
      <c r="C37" s="1173" t="str">
        <f t="shared" si="17"/>
        <v>Line 6 + 19</v>
      </c>
      <c r="D37" s="1176">
        <f t="shared" ref="D37:O37" si="21">D11+D24</f>
        <v>47536171.566258982</v>
      </c>
      <c r="E37" s="1176">
        <f t="shared" si="21"/>
        <v>46596310.928349622</v>
      </c>
      <c r="F37" s="1176">
        <f t="shared" si="21"/>
        <v>47344796.816716522</v>
      </c>
      <c r="G37" s="1176">
        <f t="shared" si="21"/>
        <v>47114378.626554847</v>
      </c>
      <c r="H37" s="1176">
        <f t="shared" si="21"/>
        <v>46276325.303044826</v>
      </c>
      <c r="I37" s="1176">
        <f t="shared" si="21"/>
        <v>55205834.290332705</v>
      </c>
      <c r="J37" s="1176">
        <f t="shared" si="21"/>
        <v>58045779.756369628</v>
      </c>
      <c r="K37" s="1176">
        <f t="shared" si="21"/>
        <v>58238818.869749963</v>
      </c>
      <c r="L37" s="1176">
        <f t="shared" si="21"/>
        <v>57246930.452508926</v>
      </c>
      <c r="M37" s="1176">
        <f t="shared" si="21"/>
        <v>54048102.562338516</v>
      </c>
      <c r="N37" s="1176">
        <f t="shared" si="21"/>
        <v>48941963.501086786</v>
      </c>
      <c r="O37" s="1176">
        <f t="shared" si="21"/>
        <v>45757014.219911665</v>
      </c>
      <c r="P37" s="382">
        <f t="shared" si="19"/>
        <v>612352426.89322305</v>
      </c>
    </row>
    <row r="38" spans="1:16" x14ac:dyDescent="0.3">
      <c r="A38" s="1166">
        <f t="shared" si="1"/>
        <v>33</v>
      </c>
      <c r="B38" s="1172" t="s">
        <v>275</v>
      </c>
      <c r="C38" s="1173" t="str">
        <f t="shared" si="17"/>
        <v>Line 7 + 20</v>
      </c>
      <c r="D38" s="1176">
        <f t="shared" ref="D38:O38" si="22">D12+D25</f>
        <v>122420.83308190372</v>
      </c>
      <c r="E38" s="1176">
        <f t="shared" si="22"/>
        <v>237553.03107447864</v>
      </c>
      <c r="F38" s="1176">
        <f t="shared" si="22"/>
        <v>-61715.085142722666</v>
      </c>
      <c r="G38" s="1176">
        <f t="shared" si="22"/>
        <v>272761.38477283833</v>
      </c>
      <c r="H38" s="1176">
        <f t="shared" si="22"/>
        <v>335499.23928624543</v>
      </c>
      <c r="I38" s="1176">
        <f t="shared" si="22"/>
        <v>146720.0355989502</v>
      </c>
      <c r="J38" s="1176">
        <f t="shared" si="22"/>
        <v>153940.87894787898</v>
      </c>
      <c r="K38" s="1176">
        <f t="shared" si="22"/>
        <v>119240.68730217607</v>
      </c>
      <c r="L38" s="1176">
        <f t="shared" si="22"/>
        <v>182932.16069499514</v>
      </c>
      <c r="M38" s="1176">
        <f t="shared" si="22"/>
        <v>152847.74330916849</v>
      </c>
      <c r="N38" s="1176">
        <f t="shared" si="22"/>
        <v>163425.63963788902</v>
      </c>
      <c r="O38" s="1176">
        <f t="shared" si="22"/>
        <v>146081.96260045527</v>
      </c>
      <c r="P38" s="382">
        <f t="shared" si="19"/>
        <v>1971708.5111642568</v>
      </c>
    </row>
    <row r="39" spans="1:16" x14ac:dyDescent="0.3">
      <c r="A39" s="1166">
        <f t="shared" si="1"/>
        <v>34</v>
      </c>
      <c r="B39" s="1172" t="s">
        <v>273</v>
      </c>
      <c r="C39" s="1173" t="str">
        <f t="shared" si="17"/>
        <v>Line 8 + 21</v>
      </c>
      <c r="D39" s="1176">
        <f t="shared" ref="D39:O39" si="23">D13+D26</f>
        <v>5031125.6092820819</v>
      </c>
      <c r="E39" s="1176">
        <f t="shared" si="23"/>
        <v>6371498.0788910063</v>
      </c>
      <c r="F39" s="1176">
        <f t="shared" si="23"/>
        <v>6326124.4736145921</v>
      </c>
      <c r="G39" s="1176">
        <f t="shared" si="23"/>
        <v>6167902.8912948901</v>
      </c>
      <c r="H39" s="1176">
        <f t="shared" si="23"/>
        <v>5338779.7679985985</v>
      </c>
      <c r="I39" s="1176">
        <f t="shared" si="23"/>
        <v>5824870.4345345562</v>
      </c>
      <c r="J39" s="1176">
        <f t="shared" si="23"/>
        <v>5651494.638744615</v>
      </c>
      <c r="K39" s="1176">
        <f t="shared" si="23"/>
        <v>5820169.480151833</v>
      </c>
      <c r="L39" s="1176">
        <f t="shared" si="23"/>
        <v>6038042.4393874705</v>
      </c>
      <c r="M39" s="1176">
        <f t="shared" si="23"/>
        <v>5710690.0641558496</v>
      </c>
      <c r="N39" s="1176">
        <f t="shared" si="23"/>
        <v>4346098.3872785838</v>
      </c>
      <c r="O39" s="1176">
        <f t="shared" si="23"/>
        <v>6601579.6552185472</v>
      </c>
      <c r="P39" s="382">
        <f t="shared" si="19"/>
        <v>69228375.920552626</v>
      </c>
    </row>
    <row r="40" spans="1:16" x14ac:dyDescent="0.3">
      <c r="A40" s="1166">
        <f t="shared" si="1"/>
        <v>35</v>
      </c>
      <c r="B40" s="1172" t="s">
        <v>274</v>
      </c>
      <c r="C40" s="1173" t="str">
        <f t="shared" si="17"/>
        <v>Line 9 + 22</v>
      </c>
      <c r="D40" s="1176">
        <f t="shared" ref="D40:O40" si="24">D14+D27</f>
        <v>967779.68055425619</v>
      </c>
      <c r="E40" s="1176">
        <f t="shared" si="24"/>
        <v>873246.4158748585</v>
      </c>
      <c r="F40" s="1176">
        <f t="shared" si="24"/>
        <v>695499.19931566506</v>
      </c>
      <c r="G40" s="1176">
        <f t="shared" si="24"/>
        <v>806607.19142897555</v>
      </c>
      <c r="H40" s="1176">
        <f t="shared" si="24"/>
        <v>867582.71477969317</v>
      </c>
      <c r="I40" s="1176">
        <f t="shared" si="24"/>
        <v>803939.27073432563</v>
      </c>
      <c r="J40" s="1176">
        <f t="shared" si="24"/>
        <v>747150.27847162075</v>
      </c>
      <c r="K40" s="1176">
        <f t="shared" si="24"/>
        <v>813818.91202370718</v>
      </c>
      <c r="L40" s="1176">
        <f t="shared" si="24"/>
        <v>776333.01624296419</v>
      </c>
      <c r="M40" s="1176">
        <f t="shared" si="24"/>
        <v>857470.93363090279</v>
      </c>
      <c r="N40" s="1176">
        <f t="shared" si="24"/>
        <v>866628.68071907654</v>
      </c>
      <c r="O40" s="1176">
        <f t="shared" si="24"/>
        <v>739831.5299581273</v>
      </c>
      <c r="P40" s="382">
        <f t="shared" si="19"/>
        <v>9815887.8237341717</v>
      </c>
    </row>
    <row r="41" spans="1:16" x14ac:dyDescent="0.3">
      <c r="A41" s="1166">
        <f t="shared" si="1"/>
        <v>36</v>
      </c>
      <c r="B41" s="1172" t="s">
        <v>138</v>
      </c>
      <c r="C41" s="1173" t="str">
        <f t="shared" si="17"/>
        <v>Line 10 + 23</v>
      </c>
      <c r="D41" s="1176">
        <f t="shared" ref="D41:O41" si="25">D15+D28</f>
        <v>651936.87177863077</v>
      </c>
      <c r="E41" s="1176">
        <f t="shared" si="25"/>
        <v>458109.20955513115</v>
      </c>
      <c r="F41" s="1176">
        <f t="shared" si="25"/>
        <v>172702.90472758323</v>
      </c>
      <c r="G41" s="1176">
        <f t="shared" si="25"/>
        <v>358221.07461534947</v>
      </c>
      <c r="H41" s="1176">
        <f t="shared" si="25"/>
        <v>184696.38075212089</v>
      </c>
      <c r="I41" s="1176">
        <f t="shared" si="25"/>
        <v>170912.92772744369</v>
      </c>
      <c r="J41" s="1176">
        <f t="shared" si="25"/>
        <v>281963.40766664257</v>
      </c>
      <c r="K41" s="1176">
        <f t="shared" si="25"/>
        <v>246202.1679644367</v>
      </c>
      <c r="L41" s="1176">
        <f t="shared" si="25"/>
        <v>405368.14656435815</v>
      </c>
      <c r="M41" s="1176">
        <f t="shared" si="25"/>
        <v>277304.2955774588</v>
      </c>
      <c r="N41" s="1176">
        <f t="shared" si="25"/>
        <v>221489.33864920377</v>
      </c>
      <c r="O41" s="1176">
        <f t="shared" si="25"/>
        <v>265528.88450050494</v>
      </c>
      <c r="P41" s="382">
        <f t="shared" si="19"/>
        <v>3694435.6100788643</v>
      </c>
    </row>
    <row r="42" spans="1:16" x14ac:dyDescent="0.3">
      <c r="A42" s="1166">
        <f t="shared" si="1"/>
        <v>37</v>
      </c>
      <c r="B42" s="1172" t="s">
        <v>140</v>
      </c>
      <c r="C42" s="1173" t="str">
        <f t="shared" si="17"/>
        <v>Line 11 + 24</v>
      </c>
      <c r="D42" s="1176">
        <f t="shared" ref="D42:O42" si="26">D16+D29</f>
        <v>481715.54551821656</v>
      </c>
      <c r="E42" s="1176">
        <f t="shared" si="26"/>
        <v>271186.44394692959</v>
      </c>
      <c r="F42" s="1176">
        <f t="shared" si="26"/>
        <v>208863.89083009478</v>
      </c>
      <c r="G42" s="1176">
        <f t="shared" si="26"/>
        <v>210794.02724266183</v>
      </c>
      <c r="H42" s="1176">
        <f t="shared" si="26"/>
        <v>202172.56518291263</v>
      </c>
      <c r="I42" s="1176">
        <f t="shared" si="26"/>
        <v>239322.34393271821</v>
      </c>
      <c r="J42" s="1176">
        <f t="shared" si="26"/>
        <v>271226.69584595371</v>
      </c>
      <c r="K42" s="1176">
        <f t="shared" si="26"/>
        <v>223096.91039544315</v>
      </c>
      <c r="L42" s="1176">
        <f t="shared" si="26"/>
        <v>324207.84823489515</v>
      </c>
      <c r="M42" s="1176">
        <f t="shared" si="26"/>
        <v>266413.36548113526</v>
      </c>
      <c r="N42" s="1176">
        <f t="shared" si="26"/>
        <v>282507.66995320155</v>
      </c>
      <c r="O42" s="1176">
        <f t="shared" si="26"/>
        <v>118252.96876394232</v>
      </c>
      <c r="P42" s="382">
        <f t="shared" si="19"/>
        <v>3099760.2753281048</v>
      </c>
    </row>
    <row r="43" spans="1:16" x14ac:dyDescent="0.3">
      <c r="A43" s="1166">
        <f t="shared" si="1"/>
        <v>38</v>
      </c>
      <c r="B43" s="1172" t="s">
        <v>139</v>
      </c>
      <c r="C43" s="1173" t="str">
        <f t="shared" si="17"/>
        <v>Line 12 + 25</v>
      </c>
      <c r="D43" s="1176">
        <f t="shared" ref="D43:O43" si="27">D17+D30</f>
        <v>1691057.3613113544</v>
      </c>
      <c r="E43" s="1176">
        <f t="shared" si="27"/>
        <v>72523.758054000005</v>
      </c>
      <c r="F43" s="1176">
        <f t="shared" si="27"/>
        <v>633335.45814528712</v>
      </c>
      <c r="G43" s="1176">
        <f t="shared" si="27"/>
        <v>409261.35544754146</v>
      </c>
      <c r="H43" s="1176">
        <f t="shared" si="27"/>
        <v>302107.62796639698</v>
      </c>
      <c r="I43" s="1176">
        <f t="shared" si="27"/>
        <v>451082.96033622627</v>
      </c>
      <c r="J43" s="1176">
        <f t="shared" si="27"/>
        <v>495613.73380731919</v>
      </c>
      <c r="K43" s="1176">
        <f t="shared" si="27"/>
        <v>429594.94114836433</v>
      </c>
      <c r="L43" s="1176">
        <f t="shared" si="27"/>
        <v>450794.18408834294</v>
      </c>
      <c r="M43" s="1176">
        <f t="shared" si="27"/>
        <v>399131.98788017058</v>
      </c>
      <c r="N43" s="1176">
        <f t="shared" si="27"/>
        <v>337769.88890631415</v>
      </c>
      <c r="O43" s="1176">
        <f t="shared" si="27"/>
        <v>320608.96345652075</v>
      </c>
      <c r="P43" s="382">
        <f t="shared" si="19"/>
        <v>5992882.2205478381</v>
      </c>
    </row>
    <row r="44" spans="1:16" ht="14.4" thickBot="1" x14ac:dyDescent="0.35">
      <c r="A44" s="1166">
        <f t="shared" si="1"/>
        <v>39</v>
      </c>
      <c r="C44" s="1177" t="s">
        <v>121</v>
      </c>
      <c r="D44" s="1175">
        <f>SUM(D34:D43)</f>
        <v>198498342.19870019</v>
      </c>
      <c r="E44" s="1175">
        <f t="shared" ref="E44" si="28">SUM(E34:E43)</f>
        <v>176731567.02539426</v>
      </c>
      <c r="F44" s="1175">
        <f t="shared" ref="F44" si="29">SUM(F34:F43)</f>
        <v>158062874.78293473</v>
      </c>
      <c r="G44" s="1175">
        <f t="shared" ref="G44" si="30">SUM(G34:G43)</f>
        <v>164913411.34308726</v>
      </c>
      <c r="H44" s="1175">
        <f t="shared" ref="H44" si="31">SUM(H34:H43)</f>
        <v>176460445.89480039</v>
      </c>
      <c r="I44" s="1175">
        <f t="shared" ref="I44" si="32">SUM(I34:I43)</f>
        <v>227651882.20839593</v>
      </c>
      <c r="J44" s="1175">
        <f t="shared" ref="J44" si="33">SUM(J34:J43)</f>
        <v>248325200.29186395</v>
      </c>
      <c r="K44" s="1175">
        <f t="shared" ref="K44" si="34">SUM(K34:K43)</f>
        <v>246028393.13736382</v>
      </c>
      <c r="L44" s="1175">
        <f t="shared" ref="L44" si="35">SUM(L34:L43)</f>
        <v>241192707.29761517</v>
      </c>
      <c r="M44" s="1175">
        <f t="shared" ref="M44" si="36">SUM(M34:M43)</f>
        <v>214995670.908191</v>
      </c>
      <c r="N44" s="1175">
        <f t="shared" ref="N44" si="37">SUM(N34:N43)</f>
        <v>170042023.68539143</v>
      </c>
      <c r="O44" s="1175">
        <f t="shared" ref="O44" si="38">SUM(O34:O43)</f>
        <v>175726469.49168795</v>
      </c>
      <c r="P44" s="1175">
        <f t="shared" ref="P44" si="39">SUM(P34:P43)</f>
        <v>2398628988.2654252</v>
      </c>
    </row>
    <row r="45" spans="1:16" ht="14.4" thickTop="1" x14ac:dyDescent="0.3">
      <c r="A45" s="1166">
        <f t="shared" si="1"/>
        <v>40</v>
      </c>
      <c r="D45" s="1176"/>
    </row>
    <row r="46" spans="1:16" x14ac:dyDescent="0.3">
      <c r="A46" s="1166">
        <f t="shared" si="1"/>
        <v>41</v>
      </c>
      <c r="B46" s="1170" t="s">
        <v>457</v>
      </c>
      <c r="C46" s="382"/>
      <c r="D46" s="1176"/>
      <c r="E46" s="1169"/>
      <c r="F46" s="1169"/>
      <c r="G46" s="1169"/>
      <c r="H46" s="1169"/>
      <c r="I46" s="1169"/>
      <c r="J46" s="1169"/>
      <c r="K46" s="1169"/>
      <c r="L46" s="1169"/>
      <c r="M46" s="1169"/>
      <c r="N46" s="1169"/>
      <c r="O46" s="1169"/>
      <c r="P46" s="1169"/>
    </row>
    <row r="47" spans="1:16" x14ac:dyDescent="0.3">
      <c r="A47" s="1166">
        <f t="shared" si="1"/>
        <v>42</v>
      </c>
      <c r="B47" s="1172" t="s">
        <v>135</v>
      </c>
      <c r="C47" s="505"/>
      <c r="D47" s="1171">
        <v>1578535.2397241695</v>
      </c>
      <c r="E47" s="1171">
        <v>1349139.9650846978</v>
      </c>
      <c r="F47" s="1171">
        <v>1318156.974784631</v>
      </c>
      <c r="G47" s="1171">
        <v>1388545.5130590596</v>
      </c>
      <c r="H47" s="1171">
        <v>1548604.2082082434</v>
      </c>
      <c r="I47" s="1171">
        <v>2078868.1106794144</v>
      </c>
      <c r="J47" s="1171">
        <v>2306173.0674933302</v>
      </c>
      <c r="K47" s="1171">
        <v>2266167.8248810158</v>
      </c>
      <c r="L47" s="1171">
        <v>2223587.3260774706</v>
      </c>
      <c r="M47" s="1171">
        <v>1958947.7620040055</v>
      </c>
      <c r="N47" s="1171">
        <v>1447811.7324599202</v>
      </c>
      <c r="O47" s="1171">
        <v>1355682.9016734667</v>
      </c>
      <c r="P47" s="382">
        <f>SUM(D47:O47)</f>
        <v>20820220.626129426</v>
      </c>
    </row>
    <row r="48" spans="1:16" x14ac:dyDescent="0.3">
      <c r="A48" s="1166">
        <f t="shared" si="1"/>
        <v>43</v>
      </c>
      <c r="B48" s="1172" t="s">
        <v>136</v>
      </c>
      <c r="C48" s="505"/>
      <c r="D48" s="1171">
        <v>168381.85976489153</v>
      </c>
      <c r="E48" s="1171">
        <v>150382.894021863</v>
      </c>
      <c r="F48" s="1171">
        <v>137451.38766398522</v>
      </c>
      <c r="G48" s="1171">
        <v>157585.79466653912</v>
      </c>
      <c r="H48" s="1171">
        <v>181286.34399840832</v>
      </c>
      <c r="I48" s="1171">
        <v>212935.3203059255</v>
      </c>
      <c r="J48" s="1171">
        <v>224486.35879341399</v>
      </c>
      <c r="K48" s="1171">
        <v>232442.25749400555</v>
      </c>
      <c r="L48" s="1171">
        <v>220321.87606893218</v>
      </c>
      <c r="M48" s="1171">
        <v>198991.30733676461</v>
      </c>
      <c r="N48" s="1171">
        <v>174474.10624119229</v>
      </c>
      <c r="O48" s="1171">
        <v>148445.57916035608</v>
      </c>
      <c r="P48" s="382">
        <f t="shared" ref="P48:P56" si="40">SUM(D48:O48)</f>
        <v>2207185.0855162772</v>
      </c>
    </row>
    <row r="49" spans="1:16" x14ac:dyDescent="0.3">
      <c r="A49" s="1166">
        <f t="shared" si="1"/>
        <v>44</v>
      </c>
      <c r="B49" s="1172" t="s">
        <v>137</v>
      </c>
      <c r="C49" s="505"/>
      <c r="D49" s="1171">
        <v>19395.012165316293</v>
      </c>
      <c r="E49" s="1171">
        <v>16299.352549359028</v>
      </c>
      <c r="F49" s="1171">
        <v>14131.01317016997</v>
      </c>
      <c r="G49" s="1171">
        <v>18395.584502268495</v>
      </c>
      <c r="H49" s="1171">
        <v>16923.404348854521</v>
      </c>
      <c r="I49" s="1171">
        <v>18189.73749181924</v>
      </c>
      <c r="J49" s="1171">
        <v>18193.177992706431</v>
      </c>
      <c r="K49" s="1171">
        <v>17967.429681887676</v>
      </c>
      <c r="L49" s="1171">
        <v>17625.180518568581</v>
      </c>
      <c r="M49" s="1171">
        <v>18424.967030692645</v>
      </c>
      <c r="N49" s="1171">
        <v>17114.054590472177</v>
      </c>
      <c r="O49" s="1171">
        <v>16265.577112728053</v>
      </c>
      <c r="P49" s="382">
        <f t="shared" si="40"/>
        <v>208924.4911548431</v>
      </c>
    </row>
    <row r="50" spans="1:16" x14ac:dyDescent="0.3">
      <c r="A50" s="1166">
        <f t="shared" si="1"/>
        <v>45</v>
      </c>
      <c r="B50" s="1172" t="s">
        <v>272</v>
      </c>
      <c r="C50" s="505"/>
      <c r="D50" s="1171">
        <v>941009.39998041093</v>
      </c>
      <c r="E50" s="1171">
        <v>911617.25233843795</v>
      </c>
      <c r="F50" s="1171">
        <v>982666.36685513344</v>
      </c>
      <c r="G50" s="1171">
        <v>1011905.8499694484</v>
      </c>
      <c r="H50" s="1171">
        <v>1059698.4779626315</v>
      </c>
      <c r="I50" s="1171">
        <v>1218488.5100625281</v>
      </c>
      <c r="J50" s="1171">
        <v>1288618.9357290745</v>
      </c>
      <c r="K50" s="1171">
        <v>1284327.5559807606</v>
      </c>
      <c r="L50" s="1171">
        <v>1267012.7758598633</v>
      </c>
      <c r="M50" s="1171">
        <v>1200527.5207207508</v>
      </c>
      <c r="N50" s="1171">
        <v>1085807.8893020959</v>
      </c>
      <c r="O50" s="1171">
        <v>970882.18483574153</v>
      </c>
      <c r="P50" s="382">
        <f t="shared" si="40"/>
        <v>13222562.719596874</v>
      </c>
    </row>
    <row r="51" spans="1:16" x14ac:dyDescent="0.3">
      <c r="A51" s="1166">
        <f t="shared" si="1"/>
        <v>46</v>
      </c>
      <c r="B51" s="1172" t="s">
        <v>275</v>
      </c>
      <c r="C51" s="505"/>
      <c r="D51" s="1171">
        <v>6100.5607901565809</v>
      </c>
      <c r="E51" s="1171">
        <v>8847.8456385274694</v>
      </c>
      <c r="F51" s="1171">
        <v>493.67090838314687</v>
      </c>
      <c r="G51" s="1171">
        <v>3190.1778337698056</v>
      </c>
      <c r="H51" s="1171">
        <v>11064.828141626751</v>
      </c>
      <c r="I51" s="1171">
        <v>5113.6010415513092</v>
      </c>
      <c r="J51" s="1171">
        <v>5373.4834019003556</v>
      </c>
      <c r="K51" s="1171">
        <v>4150.3547627616517</v>
      </c>
      <c r="L51" s="1171">
        <v>6369.0773245948103</v>
      </c>
      <c r="M51" s="1171">
        <v>5321.3875135714397</v>
      </c>
      <c r="N51" s="1171">
        <v>5670.6726263654418</v>
      </c>
      <c r="O51" s="1171">
        <v>4918.7247506696103</v>
      </c>
      <c r="P51" s="382">
        <f t="shared" si="40"/>
        <v>66614.384733878367</v>
      </c>
    </row>
    <row r="52" spans="1:16" x14ac:dyDescent="0.3">
      <c r="A52" s="1166">
        <f t="shared" si="1"/>
        <v>47</v>
      </c>
      <c r="B52" s="1172" t="s">
        <v>273</v>
      </c>
      <c r="C52" s="505"/>
      <c r="D52" s="1171">
        <v>177485.96766239934</v>
      </c>
      <c r="E52" s="1171">
        <v>205210.95581533646</v>
      </c>
      <c r="F52" s="1171">
        <v>209327.78019791079</v>
      </c>
      <c r="G52" s="1171">
        <v>222827.20107187648</v>
      </c>
      <c r="H52" s="1171">
        <v>216364.10046689893</v>
      </c>
      <c r="I52" s="1171">
        <v>227973.17063447245</v>
      </c>
      <c r="J52" s="1171">
        <v>222874.30145806036</v>
      </c>
      <c r="K52" s="1171">
        <v>216745.94805575768</v>
      </c>
      <c r="L52" s="1171">
        <v>233701.92457852029</v>
      </c>
      <c r="M52" s="1171">
        <v>219802.52001074859</v>
      </c>
      <c r="N52" s="1171">
        <v>167772.53879517212</v>
      </c>
      <c r="O52" s="1171">
        <v>245710.94514881331</v>
      </c>
      <c r="P52" s="382">
        <f t="shared" si="40"/>
        <v>2565797.3538959669</v>
      </c>
    </row>
    <row r="53" spans="1:16" x14ac:dyDescent="0.3">
      <c r="A53" s="1166">
        <f t="shared" si="1"/>
        <v>48</v>
      </c>
      <c r="B53" s="1172" t="s">
        <v>274</v>
      </c>
      <c r="C53" s="505"/>
      <c r="D53" s="1171">
        <v>32940.084430029136</v>
      </c>
      <c r="E53" s="1171">
        <v>29722.478416434937</v>
      </c>
      <c r="F53" s="1171">
        <v>23672.539118981113</v>
      </c>
      <c r="G53" s="1171">
        <v>27454.295147344303</v>
      </c>
      <c r="H53" s="1171">
        <v>29529.704383243465</v>
      </c>
      <c r="I53" s="1171">
        <v>27363.48777176057</v>
      </c>
      <c r="J53" s="1171">
        <v>25430.574488482667</v>
      </c>
      <c r="K53" s="1171">
        <v>27699.758748254153</v>
      </c>
      <c r="L53" s="1171">
        <v>26423.860321407898</v>
      </c>
      <c r="M53" s="1171">
        <v>29185.532118138282</v>
      </c>
      <c r="N53" s="1171">
        <v>29497.232155176192</v>
      </c>
      <c r="O53" s="1171">
        <v>25181.468004020669</v>
      </c>
      <c r="P53" s="382">
        <f t="shared" si="40"/>
        <v>334101.01510327338</v>
      </c>
    </row>
    <row r="54" spans="1:16" x14ac:dyDescent="0.3">
      <c r="A54" s="1166">
        <f t="shared" si="1"/>
        <v>49</v>
      </c>
      <c r="B54" s="1172" t="s">
        <v>138</v>
      </c>
      <c r="C54" s="505"/>
      <c r="D54" s="1171">
        <v>13190.358429252738</v>
      </c>
      <c r="E54" s="1171">
        <v>8163.0217280182023</v>
      </c>
      <c r="F54" s="1171">
        <v>323.42145512233685</v>
      </c>
      <c r="G54" s="1171">
        <v>7377.2667174774042</v>
      </c>
      <c r="H54" s="1171">
        <v>2561.0356883264949</v>
      </c>
      <c r="I54" s="1171">
        <v>1774.9603391197027</v>
      </c>
      <c r="J54" s="1171">
        <v>4826.1126131272522</v>
      </c>
      <c r="K54" s="1171">
        <v>3546.5438715201412</v>
      </c>
      <c r="L54" s="1171">
        <v>8463.8774740076115</v>
      </c>
      <c r="M54" s="1171">
        <v>6353.8641488245439</v>
      </c>
      <c r="N54" s="1171">
        <v>4046.69725926817</v>
      </c>
      <c r="O54" s="1171">
        <v>4551.4237604040591</v>
      </c>
      <c r="P54" s="382">
        <f t="shared" si="40"/>
        <v>65178.583484468654</v>
      </c>
    </row>
    <row r="55" spans="1:16" x14ac:dyDescent="0.3">
      <c r="A55" s="1166">
        <f t="shared" si="1"/>
        <v>50</v>
      </c>
      <c r="B55" s="1172" t="s">
        <v>140</v>
      </c>
      <c r="C55" s="505"/>
      <c r="D55" s="1171">
        <v>9126.2486781632251</v>
      </c>
      <c r="E55" s="1171">
        <v>4095.2989351695778</v>
      </c>
      <c r="F55" s="1171">
        <v>2785.7241367315874</v>
      </c>
      <c r="G55" s="1171">
        <v>4013.0359829630816</v>
      </c>
      <c r="H55" s="1171">
        <v>4348.9129807048012</v>
      </c>
      <c r="I55" s="1171">
        <v>4657.6481527397727</v>
      </c>
      <c r="J55" s="1171">
        <v>4640.8882930979862</v>
      </c>
      <c r="K55" s="1171">
        <v>3581.5794936802804</v>
      </c>
      <c r="L55" s="1171">
        <v>6664.0967801687548</v>
      </c>
      <c r="M55" s="1171">
        <v>6964.959300374313</v>
      </c>
      <c r="N55" s="1171">
        <v>3608.7520826413152</v>
      </c>
      <c r="O55" s="1171">
        <v>1086.0548498579774</v>
      </c>
      <c r="P55" s="382">
        <f t="shared" si="40"/>
        <v>55573.199666292669</v>
      </c>
    </row>
    <row r="56" spans="1:16" x14ac:dyDescent="0.3">
      <c r="A56" s="1166">
        <f t="shared" si="1"/>
        <v>51</v>
      </c>
      <c r="B56" s="1172" t="s">
        <v>139</v>
      </c>
      <c r="C56" s="505"/>
      <c r="D56" s="1171">
        <v>42211.066482695082</v>
      </c>
      <c r="E56" s="1171">
        <v>0</v>
      </c>
      <c r="F56" s="1171">
        <v>14161.846642981332</v>
      </c>
      <c r="G56" s="1171">
        <v>10172.018566984148</v>
      </c>
      <c r="H56" s="1171">
        <v>7613.638702518364</v>
      </c>
      <c r="I56" s="1171">
        <v>11221.805497705736</v>
      </c>
      <c r="J56" s="1171">
        <v>10522.767197486453</v>
      </c>
      <c r="K56" s="1171">
        <v>9037.5754542129234</v>
      </c>
      <c r="L56" s="1171">
        <v>9852.5975705771689</v>
      </c>
      <c r="M56" s="1171">
        <v>11758.379098733651</v>
      </c>
      <c r="N56" s="1171">
        <v>9255.4479882668657</v>
      </c>
      <c r="O56" s="1171">
        <v>6987.0416846523931</v>
      </c>
      <c r="P56" s="382">
        <f t="shared" si="40"/>
        <v>142794.18488681412</v>
      </c>
    </row>
    <row r="57" spans="1:16" ht="14.4" thickBot="1" x14ac:dyDescent="0.35">
      <c r="A57" s="1166">
        <f t="shared" si="1"/>
        <v>52</v>
      </c>
      <c r="B57" s="382"/>
      <c r="C57" s="382"/>
      <c r="D57" s="1175">
        <f>SUM(D47:D56)</f>
        <v>2988375.7981074844</v>
      </c>
      <c r="E57" s="1175">
        <f t="shared" ref="E57" si="41">SUM(E47:E56)</f>
        <v>2683479.0645278445</v>
      </c>
      <c r="F57" s="1175">
        <f t="shared" ref="F57" si="42">SUM(F47:F56)</f>
        <v>2703170.7249340299</v>
      </c>
      <c r="G57" s="1175">
        <f t="shared" ref="G57" si="43">SUM(G47:G56)</f>
        <v>2851466.7375177313</v>
      </c>
      <c r="H57" s="1175">
        <f t="shared" ref="H57" si="44">SUM(H47:H56)</f>
        <v>3077994.6548814569</v>
      </c>
      <c r="I57" s="1175">
        <f t="shared" ref="I57" si="45">SUM(I47:I56)</f>
        <v>3806586.3519770363</v>
      </c>
      <c r="J57" s="1175">
        <f t="shared" ref="J57" si="46">SUM(J47:J56)</f>
        <v>4111139.66746068</v>
      </c>
      <c r="K57" s="1175">
        <f t="shared" ref="K57" si="47">SUM(K47:K56)</f>
        <v>4065666.8284238568</v>
      </c>
      <c r="L57" s="1175">
        <f t="shared" ref="L57" si="48">SUM(L47:L56)</f>
        <v>4020022.5925741112</v>
      </c>
      <c r="M57" s="1175">
        <f t="shared" ref="M57" si="49">SUM(M47:M56)</f>
        <v>3656278.1992826043</v>
      </c>
      <c r="N57" s="1175">
        <f t="shared" ref="N57" si="50">SUM(N47:N56)</f>
        <v>2945059.1235005711</v>
      </c>
      <c r="O57" s="1175">
        <f t="shared" ref="O57" si="51">SUM(O47:O56)</f>
        <v>2779711.9009807101</v>
      </c>
      <c r="P57" s="1175">
        <f t="shared" ref="P57" si="52">SUM(P47:P56)</f>
        <v>39688951.644168116</v>
      </c>
    </row>
    <row r="58" spans="1:16" ht="14.4" thickTop="1" x14ac:dyDescent="0.3">
      <c r="A58" s="1166">
        <f t="shared" si="1"/>
        <v>53</v>
      </c>
    </row>
    <row r="59" spans="1:16" x14ac:dyDescent="0.3">
      <c r="A59" s="1166">
        <f t="shared" si="1"/>
        <v>54</v>
      </c>
      <c r="B59" s="1178" t="s">
        <v>458</v>
      </c>
    </row>
    <row r="60" spans="1:16" x14ac:dyDescent="0.3">
      <c r="A60" s="1166">
        <f t="shared" si="1"/>
        <v>55</v>
      </c>
      <c r="B60" s="1172" t="s">
        <v>135</v>
      </c>
      <c r="C60" s="1173" t="str">
        <f>"Line "&amp;A34&amp;" / "&amp;A47</f>
        <v>Line 29 / 42</v>
      </c>
      <c r="D60" s="1184">
        <f>SUM('MFR E-13c'!$H$26:$H$27)/'MFR E-13c'!$D$28</f>
        <v>91.663351795266919</v>
      </c>
      <c r="E60" s="1184">
        <f>SUM('MFR E-13c'!$H$26:$H$27)/'MFR E-13c'!$D$28</f>
        <v>91.663351795266919</v>
      </c>
      <c r="F60" s="1179">
        <f>SUM('MFR E-13c'!$H$31:$H$32)/'MFR E-13c'!$D$33</f>
        <v>86.612863879018647</v>
      </c>
      <c r="G60" s="1179">
        <f>SUM('MFR E-13c'!$H$31:$H$32)/'MFR E-13c'!$D$33</f>
        <v>86.612863879018647</v>
      </c>
      <c r="H60" s="1179">
        <f>SUM('MFR E-13c'!$H$31:$H$32)/'MFR E-13c'!$D$33</f>
        <v>86.612863879018647</v>
      </c>
      <c r="I60" s="1179">
        <f>SUM('MFR E-13c'!$H$31:$H$32)/'MFR E-13c'!$D$33</f>
        <v>86.612863879018647</v>
      </c>
      <c r="J60" s="1179">
        <f>SUM('MFR E-13c'!$H$31:$H$32)/'MFR E-13c'!$D$33</f>
        <v>86.612863879018647</v>
      </c>
      <c r="K60" s="1179">
        <f>SUM('MFR E-13c'!$H$31:$H$32)/'MFR E-13c'!$D$33</f>
        <v>86.612863879018647</v>
      </c>
      <c r="L60" s="1179">
        <f>SUM('MFR E-13c'!$H$31:$H$32)/'MFR E-13c'!$D$33</f>
        <v>86.612863879018647</v>
      </c>
      <c r="M60" s="1179">
        <f>SUM('MFR E-13c'!$H$31:$H$32)/'MFR E-13c'!$D$33</f>
        <v>86.612863879018647</v>
      </c>
      <c r="N60" s="1179">
        <f>SUM('MFR E-13c'!$H$31:$H$32)/'MFR E-13c'!$D$33</f>
        <v>86.612863879018647</v>
      </c>
      <c r="O60" s="1184">
        <f>SUM('MFR E-13c'!$H$26:$H$27)/'MFR E-13c'!$D$28</f>
        <v>91.663351795266919</v>
      </c>
      <c r="P60" s="1179"/>
    </row>
    <row r="61" spans="1:16" x14ac:dyDescent="0.3">
      <c r="A61" s="1166">
        <f t="shared" si="1"/>
        <v>56</v>
      </c>
      <c r="B61" s="1172" t="s">
        <v>136</v>
      </c>
      <c r="C61" s="1173" t="str">
        <f t="shared" ref="C61:C69" si="53">"Line "&amp;A35&amp;" / "&amp;A48</f>
        <v>Line 30 / 43</v>
      </c>
      <c r="D61" s="1179">
        <v>74.350428510445738</v>
      </c>
      <c r="E61" s="1179">
        <f>D61</f>
        <v>74.350428510445738</v>
      </c>
      <c r="F61" s="1179">
        <f t="shared" ref="F61:O61" si="54">E61</f>
        <v>74.350428510445738</v>
      </c>
      <c r="G61" s="1179">
        <f t="shared" si="54"/>
        <v>74.350428510445738</v>
      </c>
      <c r="H61" s="1179">
        <f t="shared" si="54"/>
        <v>74.350428510445738</v>
      </c>
      <c r="I61" s="1179">
        <f t="shared" si="54"/>
        <v>74.350428510445738</v>
      </c>
      <c r="J61" s="1179">
        <f t="shared" si="54"/>
        <v>74.350428510445738</v>
      </c>
      <c r="K61" s="1179">
        <f t="shared" si="54"/>
        <v>74.350428510445738</v>
      </c>
      <c r="L61" s="1179">
        <f t="shared" si="54"/>
        <v>74.350428510445738</v>
      </c>
      <c r="M61" s="1179">
        <f t="shared" si="54"/>
        <v>74.350428510445738</v>
      </c>
      <c r="N61" s="1179">
        <f t="shared" si="54"/>
        <v>74.350428510445738</v>
      </c>
      <c r="O61" s="1179">
        <f t="shared" si="54"/>
        <v>74.350428510445738</v>
      </c>
      <c r="P61" s="1179"/>
    </row>
    <row r="62" spans="1:16" x14ac:dyDescent="0.3">
      <c r="A62" s="1166">
        <f t="shared" si="1"/>
        <v>57</v>
      </c>
      <c r="B62" s="1172" t="s">
        <v>137</v>
      </c>
      <c r="C62" s="1173" t="str">
        <f t="shared" si="53"/>
        <v>Line 31 / 44</v>
      </c>
      <c r="D62" s="1179">
        <v>37.369999978669398</v>
      </c>
      <c r="E62" s="1179">
        <f t="shared" ref="E62:O62" si="55">D62</f>
        <v>37.369999978669398</v>
      </c>
      <c r="F62" s="1179">
        <f t="shared" si="55"/>
        <v>37.369999978669398</v>
      </c>
      <c r="G62" s="1179">
        <f t="shared" si="55"/>
        <v>37.369999978669398</v>
      </c>
      <c r="H62" s="1179">
        <f t="shared" si="55"/>
        <v>37.369999978669398</v>
      </c>
      <c r="I62" s="1179">
        <f t="shared" si="55"/>
        <v>37.369999978669398</v>
      </c>
      <c r="J62" s="1179">
        <f t="shared" si="55"/>
        <v>37.369999978669398</v>
      </c>
      <c r="K62" s="1179">
        <f t="shared" si="55"/>
        <v>37.369999978669398</v>
      </c>
      <c r="L62" s="1179">
        <f t="shared" si="55"/>
        <v>37.369999978669398</v>
      </c>
      <c r="M62" s="1179">
        <f t="shared" si="55"/>
        <v>37.369999978669398</v>
      </c>
      <c r="N62" s="1179">
        <f t="shared" si="55"/>
        <v>37.369999978669398</v>
      </c>
      <c r="O62" s="1179">
        <f t="shared" si="55"/>
        <v>37.369999978669398</v>
      </c>
      <c r="P62" s="1179"/>
    </row>
    <row r="63" spans="1:16" x14ac:dyDescent="0.3">
      <c r="A63" s="1166">
        <f t="shared" si="1"/>
        <v>58</v>
      </c>
      <c r="B63" s="1172" t="s">
        <v>272</v>
      </c>
      <c r="C63" s="1173" t="str">
        <f t="shared" si="53"/>
        <v>Line 32 / 45</v>
      </c>
      <c r="D63" s="1179">
        <v>60.795394497059178</v>
      </c>
      <c r="E63" s="1179">
        <f t="shared" ref="E63:O63" si="56">D63</f>
        <v>60.795394497059178</v>
      </c>
      <c r="F63" s="1179">
        <f t="shared" si="56"/>
        <v>60.795394497059178</v>
      </c>
      <c r="G63" s="1179">
        <f t="shared" si="56"/>
        <v>60.795394497059178</v>
      </c>
      <c r="H63" s="1179">
        <f t="shared" si="56"/>
        <v>60.795394497059178</v>
      </c>
      <c r="I63" s="1179">
        <f t="shared" si="56"/>
        <v>60.795394497059178</v>
      </c>
      <c r="J63" s="1179">
        <f t="shared" si="56"/>
        <v>60.795394497059178</v>
      </c>
      <c r="K63" s="1179">
        <f t="shared" si="56"/>
        <v>60.795394497059178</v>
      </c>
      <c r="L63" s="1179">
        <f t="shared" si="56"/>
        <v>60.795394497059178</v>
      </c>
      <c r="M63" s="1179">
        <f t="shared" si="56"/>
        <v>60.795394497059178</v>
      </c>
      <c r="N63" s="1179">
        <f t="shared" si="56"/>
        <v>60.795394497059178</v>
      </c>
      <c r="O63" s="1179">
        <f t="shared" si="56"/>
        <v>60.795394497059178</v>
      </c>
      <c r="P63" s="1179"/>
    </row>
    <row r="64" spans="1:16" x14ac:dyDescent="0.3">
      <c r="A64" s="1166">
        <f t="shared" si="1"/>
        <v>59</v>
      </c>
      <c r="B64" s="1172" t="s">
        <v>275</v>
      </c>
      <c r="C64" s="1173" t="str">
        <f t="shared" si="53"/>
        <v>Line 33 / 46</v>
      </c>
      <c r="D64" s="1179">
        <v>39.983987520076766</v>
      </c>
      <c r="E64" s="1179">
        <f t="shared" ref="E64:O64" si="57">D64</f>
        <v>39.983987520076766</v>
      </c>
      <c r="F64" s="1179">
        <f t="shared" si="57"/>
        <v>39.983987520076766</v>
      </c>
      <c r="G64" s="1179">
        <f t="shared" si="57"/>
        <v>39.983987520076766</v>
      </c>
      <c r="H64" s="1179">
        <f t="shared" si="57"/>
        <v>39.983987520076766</v>
      </c>
      <c r="I64" s="1179">
        <f t="shared" si="57"/>
        <v>39.983987520076766</v>
      </c>
      <c r="J64" s="1179">
        <f t="shared" si="57"/>
        <v>39.983987520076766</v>
      </c>
      <c r="K64" s="1179">
        <f t="shared" si="57"/>
        <v>39.983987520076766</v>
      </c>
      <c r="L64" s="1179">
        <f t="shared" si="57"/>
        <v>39.983987520076766</v>
      </c>
      <c r="M64" s="1179">
        <f t="shared" si="57"/>
        <v>39.983987520076766</v>
      </c>
      <c r="N64" s="1179">
        <f t="shared" si="57"/>
        <v>39.983987520076766</v>
      </c>
      <c r="O64" s="1179">
        <f t="shared" si="57"/>
        <v>39.983987520076766</v>
      </c>
      <c r="P64" s="1179"/>
    </row>
    <row r="65" spans="1:16" x14ac:dyDescent="0.3">
      <c r="A65" s="1166">
        <f t="shared" si="1"/>
        <v>60</v>
      </c>
      <c r="B65" s="1172" t="s">
        <v>273</v>
      </c>
      <c r="C65" s="1173" t="str">
        <f t="shared" si="53"/>
        <v>Line 34 / 47</v>
      </c>
      <c r="D65" s="1179">
        <v>35.726958128945355</v>
      </c>
      <c r="E65" s="1179">
        <f t="shared" ref="E65:O65" si="58">D65</f>
        <v>35.726958128945355</v>
      </c>
      <c r="F65" s="1179">
        <f t="shared" si="58"/>
        <v>35.726958128945355</v>
      </c>
      <c r="G65" s="1179">
        <f t="shared" si="58"/>
        <v>35.726958128945355</v>
      </c>
      <c r="H65" s="1179">
        <f t="shared" si="58"/>
        <v>35.726958128945355</v>
      </c>
      <c r="I65" s="1179">
        <f t="shared" si="58"/>
        <v>35.726958128945355</v>
      </c>
      <c r="J65" s="1179">
        <f t="shared" si="58"/>
        <v>35.726958128945355</v>
      </c>
      <c r="K65" s="1179">
        <f t="shared" si="58"/>
        <v>35.726958128945355</v>
      </c>
      <c r="L65" s="1179">
        <f t="shared" si="58"/>
        <v>35.726958128945355</v>
      </c>
      <c r="M65" s="1179">
        <f t="shared" si="58"/>
        <v>35.726958128945355</v>
      </c>
      <c r="N65" s="1179">
        <f t="shared" si="58"/>
        <v>35.726958128945355</v>
      </c>
      <c r="O65" s="1179">
        <f t="shared" si="58"/>
        <v>35.726958128945355</v>
      </c>
      <c r="P65" s="1179"/>
    </row>
    <row r="66" spans="1:16" x14ac:dyDescent="0.3">
      <c r="A66" s="1166">
        <f t="shared" si="1"/>
        <v>61</v>
      </c>
      <c r="B66" s="1172" t="s">
        <v>274</v>
      </c>
      <c r="C66" s="1173" t="str">
        <f t="shared" si="53"/>
        <v>Line 35 / 48</v>
      </c>
      <c r="D66" s="1179">
        <v>38.629999989705361</v>
      </c>
      <c r="E66" s="1179">
        <f t="shared" ref="E66:O66" si="59">D66</f>
        <v>38.629999989705361</v>
      </c>
      <c r="F66" s="1179">
        <f t="shared" si="59"/>
        <v>38.629999989705361</v>
      </c>
      <c r="G66" s="1179">
        <f t="shared" si="59"/>
        <v>38.629999989705361</v>
      </c>
      <c r="H66" s="1179">
        <f t="shared" si="59"/>
        <v>38.629999989705361</v>
      </c>
      <c r="I66" s="1179">
        <f t="shared" si="59"/>
        <v>38.629999989705361</v>
      </c>
      <c r="J66" s="1179">
        <f t="shared" si="59"/>
        <v>38.629999989705361</v>
      </c>
      <c r="K66" s="1179">
        <f t="shared" si="59"/>
        <v>38.629999989705361</v>
      </c>
      <c r="L66" s="1179">
        <f t="shared" si="59"/>
        <v>38.629999989705361</v>
      </c>
      <c r="M66" s="1179">
        <f t="shared" si="59"/>
        <v>38.629999989705361</v>
      </c>
      <c r="N66" s="1179">
        <f t="shared" si="59"/>
        <v>38.629999989705361</v>
      </c>
      <c r="O66" s="1179">
        <f t="shared" si="59"/>
        <v>38.629999989705361</v>
      </c>
      <c r="P66" s="1179"/>
    </row>
    <row r="67" spans="1:16" x14ac:dyDescent="0.3">
      <c r="A67" s="1166">
        <f t="shared" si="1"/>
        <v>62</v>
      </c>
      <c r="B67" s="1172" t="s">
        <v>138</v>
      </c>
      <c r="C67" s="1173" t="str">
        <f t="shared" si="53"/>
        <v>Line 36 / 49</v>
      </c>
      <c r="D67" s="1179">
        <v>68.843506104566259</v>
      </c>
      <c r="E67" s="1179">
        <f t="shared" ref="E67:O67" si="60">D67</f>
        <v>68.843506104566259</v>
      </c>
      <c r="F67" s="1179">
        <f t="shared" si="60"/>
        <v>68.843506104566259</v>
      </c>
      <c r="G67" s="1179">
        <f t="shared" si="60"/>
        <v>68.843506104566259</v>
      </c>
      <c r="H67" s="1179">
        <f t="shared" si="60"/>
        <v>68.843506104566259</v>
      </c>
      <c r="I67" s="1179">
        <f t="shared" si="60"/>
        <v>68.843506104566259</v>
      </c>
      <c r="J67" s="1179">
        <f t="shared" si="60"/>
        <v>68.843506104566259</v>
      </c>
      <c r="K67" s="1179">
        <f t="shared" si="60"/>
        <v>68.843506104566259</v>
      </c>
      <c r="L67" s="1179">
        <f t="shared" si="60"/>
        <v>68.843506104566259</v>
      </c>
      <c r="M67" s="1179">
        <f t="shared" si="60"/>
        <v>68.843506104566259</v>
      </c>
      <c r="N67" s="1179">
        <f t="shared" si="60"/>
        <v>68.843506104566259</v>
      </c>
      <c r="O67" s="1179">
        <f t="shared" si="60"/>
        <v>68.843506104566259</v>
      </c>
      <c r="P67" s="1179"/>
    </row>
    <row r="68" spans="1:16" x14ac:dyDescent="0.3">
      <c r="A68" s="1166">
        <f t="shared" si="1"/>
        <v>63</v>
      </c>
      <c r="B68" s="1172" t="s">
        <v>140</v>
      </c>
      <c r="C68" s="1173" t="str">
        <f t="shared" si="53"/>
        <v>Line 37 / 50</v>
      </c>
      <c r="D68" s="1179">
        <v>80.737369216504547</v>
      </c>
      <c r="E68" s="1179">
        <f t="shared" ref="E68:O68" si="61">D68</f>
        <v>80.737369216504547</v>
      </c>
      <c r="F68" s="1179">
        <f t="shared" si="61"/>
        <v>80.737369216504547</v>
      </c>
      <c r="G68" s="1179">
        <f t="shared" si="61"/>
        <v>80.737369216504547</v>
      </c>
      <c r="H68" s="1179">
        <f t="shared" si="61"/>
        <v>80.737369216504547</v>
      </c>
      <c r="I68" s="1179">
        <f t="shared" si="61"/>
        <v>80.737369216504547</v>
      </c>
      <c r="J68" s="1179">
        <f t="shared" si="61"/>
        <v>80.737369216504547</v>
      </c>
      <c r="K68" s="1179">
        <f t="shared" si="61"/>
        <v>80.737369216504547</v>
      </c>
      <c r="L68" s="1179">
        <f t="shared" si="61"/>
        <v>80.737369216504547</v>
      </c>
      <c r="M68" s="1179">
        <f t="shared" si="61"/>
        <v>80.737369216504547</v>
      </c>
      <c r="N68" s="1179">
        <f t="shared" si="61"/>
        <v>80.737369216504547</v>
      </c>
      <c r="O68" s="1179">
        <f t="shared" si="61"/>
        <v>80.737369216504547</v>
      </c>
      <c r="P68" s="1179"/>
    </row>
    <row r="69" spans="1:16" x14ac:dyDescent="0.3">
      <c r="A69" s="1166">
        <f t="shared" si="1"/>
        <v>64</v>
      </c>
      <c r="B69" s="1172" t="s">
        <v>139</v>
      </c>
      <c r="C69" s="1173" t="str">
        <f t="shared" si="53"/>
        <v>Line 38 / 51</v>
      </c>
      <c r="D69" s="1179">
        <v>57.47318783678169</v>
      </c>
      <c r="E69" s="1179">
        <f t="shared" ref="E69:O69" si="62">D69</f>
        <v>57.47318783678169</v>
      </c>
      <c r="F69" s="1179">
        <f t="shared" si="62"/>
        <v>57.47318783678169</v>
      </c>
      <c r="G69" s="1179">
        <f t="shared" si="62"/>
        <v>57.47318783678169</v>
      </c>
      <c r="H69" s="1179">
        <f t="shared" si="62"/>
        <v>57.47318783678169</v>
      </c>
      <c r="I69" s="1179">
        <f t="shared" si="62"/>
        <v>57.47318783678169</v>
      </c>
      <c r="J69" s="1179">
        <f t="shared" si="62"/>
        <v>57.47318783678169</v>
      </c>
      <c r="K69" s="1179">
        <f t="shared" si="62"/>
        <v>57.47318783678169</v>
      </c>
      <c r="L69" s="1179">
        <f t="shared" si="62"/>
        <v>57.47318783678169</v>
      </c>
      <c r="M69" s="1179">
        <f t="shared" si="62"/>
        <v>57.47318783678169</v>
      </c>
      <c r="N69" s="1179">
        <f t="shared" si="62"/>
        <v>57.47318783678169</v>
      </c>
      <c r="O69" s="1179">
        <f t="shared" si="62"/>
        <v>57.47318783678169</v>
      </c>
      <c r="P69" s="1179"/>
    </row>
    <row r="70" spans="1:16" x14ac:dyDescent="0.3">
      <c r="A70" s="1166">
        <f t="shared" si="1"/>
        <v>65</v>
      </c>
    </row>
    <row r="71" spans="1:16" x14ac:dyDescent="0.3">
      <c r="A71" s="1166">
        <f t="shared" si="1"/>
        <v>66</v>
      </c>
      <c r="B71" s="1170" t="s">
        <v>459</v>
      </c>
      <c r="C71" s="505"/>
      <c r="D71" s="1171"/>
      <c r="E71" s="1171"/>
      <c r="F71" s="1171"/>
      <c r="G71" s="1171"/>
      <c r="H71" s="1171"/>
      <c r="I71" s="1171"/>
      <c r="J71" s="1171"/>
      <c r="K71" s="1171"/>
      <c r="L71" s="1171"/>
      <c r="M71" s="1171"/>
      <c r="N71" s="1171"/>
      <c r="O71" s="1171"/>
      <c r="P71" s="1171"/>
    </row>
    <row r="72" spans="1:16" x14ac:dyDescent="0.3">
      <c r="A72" s="1166">
        <f t="shared" ref="A72:A135" si="63">+A71+1</f>
        <v>67</v>
      </c>
      <c r="B72" s="1172" t="s">
        <v>135</v>
      </c>
      <c r="C72" s="505"/>
      <c r="D72" s="1171">
        <v>-111207.76281847083</v>
      </c>
      <c r="E72" s="1171">
        <v>-107736.62087270897</v>
      </c>
      <c r="F72" s="1171">
        <v>56991.078265516553</v>
      </c>
      <c r="G72" s="1171">
        <v>97885.080991412047</v>
      </c>
      <c r="H72" s="1171">
        <v>375500.47318502772</v>
      </c>
      <c r="I72" s="1171">
        <v>60098.103085932322</v>
      </c>
      <c r="J72" s="1171">
        <v>233.3450419800356</v>
      </c>
      <c r="K72" s="1171">
        <v>59687.631454476155</v>
      </c>
      <c r="L72" s="1171">
        <v>-91671.998846651055</v>
      </c>
      <c r="M72" s="1171">
        <v>-148920.09453224018</v>
      </c>
      <c r="N72" s="1171">
        <v>-67168.042142670602</v>
      </c>
      <c r="O72" s="1171">
        <v>92659.925903639989</v>
      </c>
      <c r="P72" s="382">
        <f>SUM(D72:O72)</f>
        <v>216351.11871524318</v>
      </c>
    </row>
    <row r="73" spans="1:16" x14ac:dyDescent="0.3">
      <c r="A73" s="1166">
        <f t="shared" si="63"/>
        <v>68</v>
      </c>
      <c r="B73" s="1172" t="s">
        <v>136</v>
      </c>
      <c r="C73" s="505"/>
      <c r="D73" s="1171">
        <v>-5917.8721839843784</v>
      </c>
      <c r="E73" s="1171">
        <v>271.86965910118306</v>
      </c>
      <c r="F73" s="1171">
        <v>6462.9938660337357</v>
      </c>
      <c r="G73" s="1171">
        <v>5276.1491997751873</v>
      </c>
      <c r="H73" s="1171">
        <v>18280.796288853802</v>
      </c>
      <c r="I73" s="1171">
        <v>2075.7986079861585</v>
      </c>
      <c r="J73" s="1171">
        <v>-1431.8462995979644</v>
      </c>
      <c r="K73" s="1171">
        <v>710.53521829092642</v>
      </c>
      <c r="L73" s="1171">
        <v>-5198.4841806455806</v>
      </c>
      <c r="M73" s="1171">
        <v>-8750.8625003386696</v>
      </c>
      <c r="N73" s="1171">
        <v>-8050.3799491391983</v>
      </c>
      <c r="O73" s="1171">
        <v>-2596.1313922856934</v>
      </c>
      <c r="P73" s="382">
        <f t="shared" ref="P73:P81" si="64">SUM(D73:O73)</f>
        <v>1132.5663340495084</v>
      </c>
    </row>
    <row r="74" spans="1:16" x14ac:dyDescent="0.3">
      <c r="A74" s="1166">
        <f t="shared" si="63"/>
        <v>69</v>
      </c>
      <c r="B74" s="1172" t="s">
        <v>137</v>
      </c>
      <c r="C74" s="505"/>
      <c r="D74" s="1171">
        <v>-592.05263957553325</v>
      </c>
      <c r="E74" s="1171">
        <v>139.39319200176033</v>
      </c>
      <c r="F74" s="1171">
        <v>671.42645483137312</v>
      </c>
      <c r="G74" s="1171">
        <v>587.52403082518504</v>
      </c>
      <c r="H74" s="1171">
        <v>1712.4485325341229</v>
      </c>
      <c r="I74" s="1171">
        <v>120.94765958245262</v>
      </c>
      <c r="J74" s="1171">
        <v>-99.452552194092277</v>
      </c>
      <c r="K74" s="1171">
        <v>51.58442173018193</v>
      </c>
      <c r="L74" s="1171">
        <v>-441.07879380946906</v>
      </c>
      <c r="M74" s="1171">
        <v>-875.76410806915374</v>
      </c>
      <c r="N74" s="1171">
        <v>-800.17458281251857</v>
      </c>
      <c r="O74" s="1171">
        <v>-281.38404798849115</v>
      </c>
      <c r="P74" s="382">
        <f t="shared" si="64"/>
        <v>193.41756705581793</v>
      </c>
    </row>
    <row r="75" spans="1:16" x14ac:dyDescent="0.3">
      <c r="A75" s="1166">
        <f t="shared" si="63"/>
        <v>70</v>
      </c>
      <c r="B75" s="1172" t="s">
        <v>272</v>
      </c>
      <c r="C75" s="505"/>
      <c r="D75" s="1171">
        <v>-32614.164138287655</v>
      </c>
      <c r="E75" s="1171">
        <v>-638.50594189681578</v>
      </c>
      <c r="F75" s="1171">
        <v>41635.694107720046</v>
      </c>
      <c r="G75" s="1171">
        <v>32460.832534515299</v>
      </c>
      <c r="H75" s="1171">
        <v>99975.117226491682</v>
      </c>
      <c r="I75" s="1171">
        <v>14207.701122257626</v>
      </c>
      <c r="J75" s="1171">
        <v>-8778.5495724354405</v>
      </c>
      <c r="K75" s="1171">
        <v>3482.0664218408056</v>
      </c>
      <c r="L75" s="1171">
        <v>-26141.792676524259</v>
      </c>
      <c r="M75" s="1171">
        <v>-46818.423447399633</v>
      </c>
      <c r="N75" s="1171">
        <v>-45768.972128283815</v>
      </c>
      <c r="O75" s="1171">
        <v>-15711.231896891026</v>
      </c>
      <c r="P75" s="382">
        <f t="shared" si="64"/>
        <v>15289.771611106815</v>
      </c>
    </row>
    <row r="76" spans="1:16" x14ac:dyDescent="0.3">
      <c r="A76" s="1166">
        <f t="shared" si="63"/>
        <v>71</v>
      </c>
      <c r="B76" s="1172" t="s">
        <v>275</v>
      </c>
      <c r="C76" s="505"/>
      <c r="D76" s="1171">
        <v>-102.9904983175993</v>
      </c>
      <c r="E76" s="1171">
        <v>66.663414294798713</v>
      </c>
      <c r="F76" s="1171">
        <v>16.24003278418752</v>
      </c>
      <c r="G76" s="1171">
        <v>128.34186710305539</v>
      </c>
      <c r="H76" s="1171">
        <v>148.15757987622965</v>
      </c>
      <c r="I76" s="1171">
        <v>56.202860590402452</v>
      </c>
      <c r="J76" s="1171">
        <v>7.3467509182382855</v>
      </c>
      <c r="K76" s="1171">
        <v>-24.72537789546368</v>
      </c>
      <c r="L76" s="1171">
        <v>8.441952453356862</v>
      </c>
      <c r="M76" s="1171">
        <v>-17.689094645214936</v>
      </c>
      <c r="N76" s="1171">
        <v>-7.0530159522613758</v>
      </c>
      <c r="O76" s="1171">
        <v>-9.5429802429362098</v>
      </c>
      <c r="P76" s="382">
        <f t="shared" si="64"/>
        <v>269.39349096679337</v>
      </c>
    </row>
    <row r="77" spans="1:16" x14ac:dyDescent="0.3">
      <c r="A77" s="1166">
        <f t="shared" si="63"/>
        <v>72</v>
      </c>
      <c r="B77" s="1172" t="s">
        <v>273</v>
      </c>
      <c r="C77" s="505"/>
      <c r="D77" s="1171">
        <v>-2497.7975460985908</v>
      </c>
      <c r="E77" s="1171">
        <v>1159.9308420431335</v>
      </c>
      <c r="F77" s="1171">
        <v>2824.7269788324775</v>
      </c>
      <c r="G77" s="1171">
        <v>1228.8084872992185</v>
      </c>
      <c r="H77" s="1171">
        <v>3218.0813626969757</v>
      </c>
      <c r="I77" s="1171">
        <v>771.53534539285465</v>
      </c>
      <c r="J77" s="1171">
        <v>1149.3440401598054</v>
      </c>
      <c r="K77" s="1171">
        <v>-1468.675980324886</v>
      </c>
      <c r="L77" s="1171">
        <v>571.8504392329196</v>
      </c>
      <c r="M77" s="1171">
        <v>-2220.7419233848341</v>
      </c>
      <c r="N77" s="1171">
        <v>-71.574739518982824</v>
      </c>
      <c r="O77" s="1171">
        <v>290.23301792677375</v>
      </c>
      <c r="P77" s="382">
        <f t="shared" si="64"/>
        <v>4955.7203242568648</v>
      </c>
    </row>
    <row r="78" spans="1:16" x14ac:dyDescent="0.3">
      <c r="A78" s="1166">
        <f t="shared" si="63"/>
        <v>73</v>
      </c>
      <c r="B78" s="1172" t="s">
        <v>274</v>
      </c>
      <c r="C78" s="505"/>
      <c r="D78" s="1171">
        <v>-1569.8095340481013</v>
      </c>
      <c r="E78" s="1171">
        <v>-596.72024628922372</v>
      </c>
      <c r="F78" s="1171">
        <v>906.41013710203697</v>
      </c>
      <c r="G78" s="1171">
        <v>1004.6654048627533</v>
      </c>
      <c r="H78" s="1171">
        <v>2932.8683963362273</v>
      </c>
      <c r="I78" s="1171">
        <v>568.23986000968216</v>
      </c>
      <c r="J78" s="1171">
        <v>-248.87390585164394</v>
      </c>
      <c r="K78" s="1171">
        <v>160.35993366204275</v>
      </c>
      <c r="L78" s="1171">
        <v>-486.92903655884584</v>
      </c>
      <c r="M78" s="1171">
        <v>-972.76626527027838</v>
      </c>
      <c r="N78" s="1171">
        <v>-1209.9263745577809</v>
      </c>
      <c r="O78" s="1171">
        <v>-255.47668611253175</v>
      </c>
      <c r="P78" s="382">
        <f t="shared" si="64"/>
        <v>232.04168328433661</v>
      </c>
    </row>
    <row r="79" spans="1:16" x14ac:dyDescent="0.3">
      <c r="A79" s="1166">
        <f t="shared" si="63"/>
        <v>74</v>
      </c>
      <c r="B79" s="1172" t="s">
        <v>138</v>
      </c>
      <c r="C79" s="505"/>
      <c r="D79" s="1171">
        <v>-454.05276520936604</v>
      </c>
      <c r="E79" s="1171">
        <v>-341.93406142122694</v>
      </c>
      <c r="F79" s="1171">
        <v>16.377517034117432</v>
      </c>
      <c r="G79" s="1171">
        <v>164.49136416513556</v>
      </c>
      <c r="H79" s="1171">
        <v>191.03028500630626</v>
      </c>
      <c r="I79" s="1171">
        <v>37.704219241838246</v>
      </c>
      <c r="J79" s="1171">
        <v>-33.069963637288311</v>
      </c>
      <c r="K79" s="1171">
        <v>-4.6133432357778474</v>
      </c>
      <c r="L79" s="1171">
        <v>-10.885697873027311</v>
      </c>
      <c r="M79" s="1171">
        <v>-77.43002583919224</v>
      </c>
      <c r="N79" s="1171">
        <v>-93.569267507902623</v>
      </c>
      <c r="O79" s="1171">
        <v>-47.309119160649971</v>
      </c>
      <c r="P79" s="382">
        <f t="shared" si="64"/>
        <v>-653.26085843703379</v>
      </c>
    </row>
    <row r="80" spans="1:16" x14ac:dyDescent="0.3">
      <c r="A80" s="1166">
        <f t="shared" si="63"/>
        <v>75</v>
      </c>
      <c r="B80" s="1172" t="s">
        <v>140</v>
      </c>
      <c r="C80" s="505"/>
      <c r="D80" s="1171">
        <v>-74.440991305456919</v>
      </c>
      <c r="E80" s="1171">
        <v>29.878181463633609</v>
      </c>
      <c r="F80" s="1171">
        <v>18.292350602939223</v>
      </c>
      <c r="G80" s="1171">
        <v>-1.5788241848185862</v>
      </c>
      <c r="H80" s="1171">
        <v>-21.148337812891441</v>
      </c>
      <c r="I80" s="1171">
        <v>6.0406078712867384</v>
      </c>
      <c r="J80" s="1171">
        <v>37.975667908479409</v>
      </c>
      <c r="K80" s="1171">
        <v>-26.898457760444671</v>
      </c>
      <c r="L80" s="1171">
        <v>51.498035805720974</v>
      </c>
      <c r="M80" s="1171">
        <v>-27.493608892054908</v>
      </c>
      <c r="N80" s="1171">
        <v>9.3141693358606972</v>
      </c>
      <c r="O80" s="1171">
        <v>-1.4387905072799185</v>
      </c>
      <c r="P80" s="382">
        <f t="shared" si="64"/>
        <v>2.5249742066080216E-6</v>
      </c>
    </row>
    <row r="81" spans="1:16" x14ac:dyDescent="0.3">
      <c r="A81" s="1166">
        <f t="shared" si="63"/>
        <v>76</v>
      </c>
      <c r="B81" s="1172" t="s">
        <v>139</v>
      </c>
      <c r="C81" s="505"/>
      <c r="D81" s="1171">
        <v>-344.30725524177979</v>
      </c>
      <c r="E81" s="1171">
        <v>0</v>
      </c>
      <c r="F81" s="1171">
        <v>92.993222323304508</v>
      </c>
      <c r="G81" s="1171">
        <v>-4.0019150065327267</v>
      </c>
      <c r="H81" s="1171">
        <v>-37.024379190973377</v>
      </c>
      <c r="I81" s="1171">
        <v>14.553810076791706</v>
      </c>
      <c r="J81" s="1171">
        <v>86.106169192715242</v>
      </c>
      <c r="K81" s="1171">
        <v>-79.966036758918563</v>
      </c>
      <c r="L81" s="1171">
        <v>100.58931826045591</v>
      </c>
      <c r="M81" s="1171">
        <v>-10.17431687878161</v>
      </c>
      <c r="N81" s="1171">
        <v>46.075332580650866</v>
      </c>
      <c r="O81" s="1171">
        <v>46.737420950776141</v>
      </c>
      <c r="P81" s="382">
        <f t="shared" si="64"/>
        <v>-88.418629692291688</v>
      </c>
    </row>
    <row r="82" spans="1:16" ht="14.4" thickBot="1" x14ac:dyDescent="0.35">
      <c r="A82" s="1166">
        <f t="shared" si="63"/>
        <v>77</v>
      </c>
      <c r="B82" s="382"/>
      <c r="C82" s="505"/>
      <c r="D82" s="1175">
        <f>SUM(D72:D81)</f>
        <v>-155375.25037053932</v>
      </c>
      <c r="E82" s="1175">
        <f t="shared" ref="E82" si="65">SUM(E72:E81)</f>
        <v>-107646.04583341171</v>
      </c>
      <c r="F82" s="1175">
        <f t="shared" ref="F82" si="66">SUM(F72:F81)</f>
        <v>109636.23293278077</v>
      </c>
      <c r="G82" s="1175">
        <f t="shared" ref="G82" si="67">SUM(G72:G81)</f>
        <v>138730.31314076655</v>
      </c>
      <c r="H82" s="1175">
        <f t="shared" ref="H82" si="68">SUM(H72:H81)</f>
        <v>501900.80013981916</v>
      </c>
      <c r="I82" s="1175">
        <f t="shared" ref="I82" si="69">SUM(I72:I81)</f>
        <v>77956.827178941414</v>
      </c>
      <c r="J82" s="1175">
        <f t="shared" ref="J82" si="70">SUM(J72:J81)</f>
        <v>-9077.6746235571572</v>
      </c>
      <c r="K82" s="1175">
        <f t="shared" ref="K82" si="71">SUM(K72:K81)</f>
        <v>62487.298254024623</v>
      </c>
      <c r="L82" s="1175">
        <f t="shared" ref="L82" si="72">SUM(L72:L81)</f>
        <v>-123218.78948630978</v>
      </c>
      <c r="M82" s="1175">
        <f t="shared" ref="M82" si="73">SUM(M72:M81)</f>
        <v>-208691.43982295797</v>
      </c>
      <c r="N82" s="1175">
        <f t="shared" ref="N82" si="74">SUM(N72:N81)</f>
        <v>-123114.30269852653</v>
      </c>
      <c r="O82" s="1175">
        <f t="shared" ref="O82" si="75">SUM(O72:O81)</f>
        <v>74094.381429328932</v>
      </c>
      <c r="P82" s="1175">
        <f t="shared" ref="P82" si="76">SUM(P72:P81)</f>
        <v>237682.35024035894</v>
      </c>
    </row>
    <row r="83" spans="1:16" ht="14.4" thickTop="1" x14ac:dyDescent="0.3">
      <c r="A83" s="1166">
        <f t="shared" si="63"/>
        <v>78</v>
      </c>
    </row>
    <row r="84" spans="1:16" x14ac:dyDescent="0.3">
      <c r="A84" s="1166">
        <f t="shared" si="63"/>
        <v>79</v>
      </c>
    </row>
    <row r="85" spans="1:16" ht="27.6" x14ac:dyDescent="0.3">
      <c r="A85" s="1166">
        <f t="shared" si="63"/>
        <v>80</v>
      </c>
      <c r="B85" s="1178" t="s">
        <v>460</v>
      </c>
      <c r="D85" s="1180">
        <v>-1</v>
      </c>
      <c r="E85" s="1180">
        <f>+D85-1</f>
        <v>-2</v>
      </c>
      <c r="F85" s="1180">
        <f t="shared" ref="F85:O85" si="77">+E85-1</f>
        <v>-3</v>
      </c>
      <c r="G85" s="1180">
        <f t="shared" si="77"/>
        <v>-4</v>
      </c>
      <c r="H85" s="1180">
        <f t="shared" si="77"/>
        <v>-5</v>
      </c>
      <c r="I85" s="1180">
        <f t="shared" si="77"/>
        <v>-6</v>
      </c>
      <c r="J85" s="1180">
        <f t="shared" si="77"/>
        <v>-7</v>
      </c>
      <c r="K85" s="1180">
        <f t="shared" si="77"/>
        <v>-8</v>
      </c>
      <c r="L85" s="1180">
        <f t="shared" si="77"/>
        <v>-9</v>
      </c>
      <c r="M85" s="1180">
        <f t="shared" si="77"/>
        <v>-10</v>
      </c>
      <c r="N85" s="1180">
        <f t="shared" si="77"/>
        <v>-11</v>
      </c>
      <c r="O85" s="1180">
        <f t="shared" si="77"/>
        <v>-12</v>
      </c>
      <c r="P85" s="1181" t="s">
        <v>461</v>
      </c>
    </row>
    <row r="86" spans="1:16" x14ac:dyDescent="0.3">
      <c r="A86" s="1166">
        <f t="shared" si="63"/>
        <v>81</v>
      </c>
      <c r="B86" s="1172" t="s">
        <v>135</v>
      </c>
      <c r="C86" s="1173" t="str">
        <f t="shared" ref="C86:C95" si="78">"Line "&amp;A60&amp;" x "&amp;A72</f>
        <v>Line 55 x 67</v>
      </c>
      <c r="D86" s="1176">
        <f t="shared" ref="D86:O95" si="79">+D60*D72</f>
        <v>-10193676.285594096</v>
      </c>
      <c r="E86" s="1176">
        <f t="shared" si="79"/>
        <v>-9875499.7802884188</v>
      </c>
      <c r="F86" s="1176">
        <f t="shared" si="79"/>
        <v>4936160.5041296836</v>
      </c>
      <c r="G86" s="1176">
        <f t="shared" si="79"/>
        <v>8478107.1956958864</v>
      </c>
      <c r="H86" s="1176">
        <f t="shared" si="79"/>
        <v>32523171.370481897</v>
      </c>
      <c r="I86" s="1176">
        <f t="shared" si="79"/>
        <v>5205268.8219690863</v>
      </c>
      <c r="J86" s="1176">
        <f t="shared" si="79"/>
        <v>20210.682357860715</v>
      </c>
      <c r="K86" s="1176">
        <f t="shared" si="79"/>
        <v>5169716.6984275747</v>
      </c>
      <c r="L86" s="1176">
        <f t="shared" si="79"/>
        <v>-7939974.3576225424</v>
      </c>
      <c r="M86" s="1176">
        <f t="shared" si="79"/>
        <v>-12898395.876571508</v>
      </c>
      <c r="N86" s="1176">
        <f t="shared" si="79"/>
        <v>-5817616.4911233168</v>
      </c>
      <c r="O86" s="1176">
        <f t="shared" si="79"/>
        <v>8493519.3854287192</v>
      </c>
      <c r="P86" s="382">
        <f>SUM(D86:O86)</f>
        <v>18100991.867290825</v>
      </c>
    </row>
    <row r="87" spans="1:16" x14ac:dyDescent="0.3">
      <c r="A87" s="1166">
        <f t="shared" si="63"/>
        <v>82</v>
      </c>
      <c r="B87" s="1172" t="s">
        <v>136</v>
      </c>
      <c r="C87" s="1173" t="str">
        <f t="shared" si="78"/>
        <v>Line 56 x 68</v>
      </c>
      <c r="D87" s="1176">
        <f t="shared" si="79"/>
        <v>-439996.33274928591</v>
      </c>
      <c r="E87" s="1176">
        <f t="shared" si="79"/>
        <v>20213.625653161766</v>
      </c>
      <c r="F87" s="1176">
        <f t="shared" si="79"/>
        <v>480526.3633999906</v>
      </c>
      <c r="G87" s="1176">
        <f t="shared" si="79"/>
        <v>392283.95388833055</v>
      </c>
      <c r="H87" s="1176">
        <f t="shared" si="79"/>
        <v>1359185.0375884464</v>
      </c>
      <c r="I87" s="1176">
        <f t="shared" si="79"/>
        <v>154336.51600515764</v>
      </c>
      <c r="J87" s="1176">
        <f t="shared" si="79"/>
        <v>-106458.38593620472</v>
      </c>
      <c r="K87" s="1176">
        <f t="shared" si="79"/>
        <v>52828.597951693482</v>
      </c>
      <c r="L87" s="1176">
        <f t="shared" si="79"/>
        <v>-386509.52643577231</v>
      </c>
      <c r="M87" s="1176">
        <f t="shared" si="79"/>
        <v>-650630.37673617073</v>
      </c>
      <c r="N87" s="1176">
        <f t="shared" si="79"/>
        <v>-598549.19889039977</v>
      </c>
      <c r="O87" s="1176">
        <f t="shared" si="79"/>
        <v>-193023.48148586141</v>
      </c>
      <c r="P87" s="382">
        <f t="shared" ref="P87:P95" si="80">SUM(D87:O87)</f>
        <v>84206.792253085587</v>
      </c>
    </row>
    <row r="88" spans="1:16" x14ac:dyDescent="0.3">
      <c r="A88" s="1166">
        <f t="shared" si="63"/>
        <v>83</v>
      </c>
      <c r="B88" s="1172" t="s">
        <v>137</v>
      </c>
      <c r="C88" s="1173" t="str">
        <f t="shared" si="78"/>
        <v>Line 57 x 69</v>
      </c>
      <c r="D88" s="1176">
        <f t="shared" si="79"/>
        <v>-22125.00712830884</v>
      </c>
      <c r="E88" s="1176">
        <f t="shared" si="79"/>
        <v>5209.1235821324426</v>
      </c>
      <c r="F88" s="1176">
        <f t="shared" si="79"/>
        <v>25091.206602726485</v>
      </c>
      <c r="G88" s="1176">
        <f t="shared" si="79"/>
        <v>21955.773019404922</v>
      </c>
      <c r="H88" s="1176">
        <f t="shared" si="79"/>
        <v>63994.201624272617</v>
      </c>
      <c r="I88" s="1176">
        <f t="shared" si="79"/>
        <v>4519.8140360163679</v>
      </c>
      <c r="J88" s="1176">
        <f t="shared" si="79"/>
        <v>-3716.5418733718457</v>
      </c>
      <c r="K88" s="1176">
        <f t="shared" si="79"/>
        <v>1927.709838956572</v>
      </c>
      <c r="L88" s="1176">
        <f t="shared" si="79"/>
        <v>-16483.114515251382</v>
      </c>
      <c r="M88" s="1176">
        <f t="shared" si="79"/>
        <v>-32727.3046998637</v>
      </c>
      <c r="N88" s="1176">
        <f t="shared" si="79"/>
        <v>-29902.524142635611</v>
      </c>
      <c r="O88" s="1176">
        <f t="shared" si="79"/>
        <v>-10515.321867327822</v>
      </c>
      <c r="P88" s="382">
        <f t="shared" si="80"/>
        <v>7228.0144767502115</v>
      </c>
    </row>
    <row r="89" spans="1:16" x14ac:dyDescent="0.3">
      <c r="A89" s="1166">
        <f t="shared" si="63"/>
        <v>84</v>
      </c>
      <c r="B89" s="1172" t="s">
        <v>272</v>
      </c>
      <c r="C89" s="1173" t="str">
        <f t="shared" si="78"/>
        <v>Line 58 x 70</v>
      </c>
      <c r="D89" s="1176">
        <f t="shared" si="79"/>
        <v>-1982790.9749790381</v>
      </c>
      <c r="E89" s="1176">
        <f t="shared" si="79"/>
        <v>-38818.220626333263</v>
      </c>
      <c r="F89" s="1176">
        <f t="shared" si="79"/>
        <v>2531258.4484377224</v>
      </c>
      <c r="G89" s="1176">
        <f t="shared" si="79"/>
        <v>1973469.1196388309</v>
      </c>
      <c r="H89" s="1176">
        <f t="shared" si="79"/>
        <v>6078026.6916742986</v>
      </c>
      <c r="I89" s="1176">
        <f t="shared" si="79"/>
        <v>863762.79462396272</v>
      </c>
      <c r="J89" s="1176">
        <f t="shared" si="79"/>
        <v>-533695.38436820277</v>
      </c>
      <c r="K89" s="1176">
        <f t="shared" si="79"/>
        <v>211693.60178077506</v>
      </c>
      <c r="L89" s="1176">
        <f t="shared" si="79"/>
        <v>-1589300.5986296248</v>
      </c>
      <c r="M89" s="1176">
        <f t="shared" si="79"/>
        <v>-2846344.5232150261</v>
      </c>
      <c r="N89" s="1176">
        <f t="shared" si="79"/>
        <v>-2782542.7162639205</v>
      </c>
      <c r="O89" s="1176">
        <f t="shared" si="79"/>
        <v>-955170.54120626929</v>
      </c>
      <c r="P89" s="382">
        <f t="shared" si="80"/>
        <v>929547.69686717424</v>
      </c>
    </row>
    <row r="90" spans="1:16" x14ac:dyDescent="0.3">
      <c r="A90" s="1166">
        <f t="shared" si="63"/>
        <v>85</v>
      </c>
      <c r="B90" s="1172" t="s">
        <v>275</v>
      </c>
      <c r="C90" s="1173" t="str">
        <f t="shared" si="78"/>
        <v>Line 59 x 71</v>
      </c>
      <c r="D90" s="1176">
        <f t="shared" si="79"/>
        <v>-4117.9707994173777</v>
      </c>
      <c r="E90" s="1176">
        <f t="shared" si="79"/>
        <v>2665.4691252089387</v>
      </c>
      <c r="F90" s="1176">
        <f t="shared" si="79"/>
        <v>649.34126816859134</v>
      </c>
      <c r="G90" s="1176">
        <f t="shared" si="79"/>
        <v>5131.6196125519173</v>
      </c>
      <c r="H90" s="1176">
        <f t="shared" si="79"/>
        <v>5923.9308247759427</v>
      </c>
      <c r="I90" s="1176">
        <f t="shared" si="79"/>
        <v>2247.214476439266</v>
      </c>
      <c r="J90" s="1176">
        <f t="shared" si="79"/>
        <v>293.75239702795216</v>
      </c>
      <c r="K90" s="1176">
        <f t="shared" si="79"/>
        <v>-988.61920120140178</v>
      </c>
      <c r="L90" s="1176">
        <f t="shared" si="79"/>
        <v>337.54292154010221</v>
      </c>
      <c r="M90" s="1176">
        <f t="shared" si="79"/>
        <v>-707.28053953573078</v>
      </c>
      <c r="N90" s="1176">
        <f t="shared" si="79"/>
        <v>-282.00770181412122</v>
      </c>
      <c r="O90" s="1176">
        <f t="shared" si="79"/>
        <v>-381.56640293790059</v>
      </c>
      <c r="P90" s="382">
        <f t="shared" si="80"/>
        <v>10771.42598080618</v>
      </c>
    </row>
    <row r="91" spans="1:16" x14ac:dyDescent="0.3">
      <c r="A91" s="1166">
        <f t="shared" si="63"/>
        <v>86</v>
      </c>
      <c r="B91" s="1172" t="s">
        <v>273</v>
      </c>
      <c r="C91" s="1173" t="str">
        <f t="shared" si="78"/>
        <v>Line 60 x 72</v>
      </c>
      <c r="D91" s="1176">
        <f t="shared" si="79"/>
        <v>-89238.708344046812</v>
      </c>
      <c r="E91" s="1176">
        <f t="shared" si="79"/>
        <v>41440.800626147357</v>
      </c>
      <c r="F91" s="1176">
        <f t="shared" si="79"/>
        <v>100918.90249845023</v>
      </c>
      <c r="G91" s="1176">
        <f t="shared" si="79"/>
        <v>43901.589374231859</v>
      </c>
      <c r="H91" s="1176">
        <f t="shared" si="79"/>
        <v>114972.25810061426</v>
      </c>
      <c r="I91" s="1176">
        <f t="shared" si="79"/>
        <v>27564.61097985191</v>
      </c>
      <c r="J91" s="1176">
        <f t="shared" si="79"/>
        <v>41062.566398542258</v>
      </c>
      <c r="K91" s="1176">
        <f t="shared" si="79"/>
        <v>-52471.325254054973</v>
      </c>
      <c r="L91" s="1176">
        <f t="shared" si="79"/>
        <v>20430.47669849353</v>
      </c>
      <c r="M91" s="1176">
        <f t="shared" si="79"/>
        <v>-79340.353711963544</v>
      </c>
      <c r="N91" s="1176">
        <f t="shared" si="79"/>
        <v>-2557.14772188487</v>
      </c>
      <c r="O91" s="1176">
        <f t="shared" si="79"/>
        <v>10369.142879107292</v>
      </c>
      <c r="P91" s="382">
        <f t="shared" si="80"/>
        <v>177052.81252348851</v>
      </c>
    </row>
    <row r="92" spans="1:16" x14ac:dyDescent="0.3">
      <c r="A92" s="1166">
        <f t="shared" si="63"/>
        <v>87</v>
      </c>
      <c r="B92" s="1172" t="s">
        <v>274</v>
      </c>
      <c r="C92" s="1173" t="str">
        <f t="shared" si="78"/>
        <v>Line 61 x 73</v>
      </c>
      <c r="D92" s="1176">
        <f t="shared" si="79"/>
        <v>-60641.742284117536</v>
      </c>
      <c r="E92" s="1176">
        <f t="shared" si="79"/>
        <v>-23051.303108009692</v>
      </c>
      <c r="F92" s="1176">
        <f t="shared" si="79"/>
        <v>35014.623586920527</v>
      </c>
      <c r="G92" s="1176">
        <f t="shared" si="79"/>
        <v>38810.224579505491</v>
      </c>
      <c r="H92" s="1176">
        <f t="shared" si="79"/>
        <v>113296.70612027564</v>
      </c>
      <c r="I92" s="1176">
        <f t="shared" si="79"/>
        <v>21951.105786324199</v>
      </c>
      <c r="J92" s="1176">
        <f t="shared" si="79"/>
        <v>-9613.9989804869383</v>
      </c>
      <c r="K92" s="1176">
        <f t="shared" si="79"/>
        <v>6194.7042357138635</v>
      </c>
      <c r="L92" s="1176">
        <f t="shared" si="79"/>
        <v>-18810.068677255455</v>
      </c>
      <c r="M92" s="1176">
        <f t="shared" si="79"/>
        <v>-37577.960817376574</v>
      </c>
      <c r="N92" s="1176">
        <f t="shared" si="79"/>
        <v>-46739.45583671132</v>
      </c>
      <c r="O92" s="1176">
        <f t="shared" si="79"/>
        <v>-9869.064381897062</v>
      </c>
      <c r="P92" s="382">
        <f t="shared" si="80"/>
        <v>8963.7702228851649</v>
      </c>
    </row>
    <row r="93" spans="1:16" x14ac:dyDescent="0.3">
      <c r="A93" s="1166">
        <f t="shared" si="63"/>
        <v>88</v>
      </c>
      <c r="B93" s="1172" t="s">
        <v>138</v>
      </c>
      <c r="C93" s="1173" t="str">
        <f t="shared" si="78"/>
        <v>Line 62 x 74</v>
      </c>
      <c r="D93" s="1176">
        <f t="shared" si="79"/>
        <v>-31258.584313486183</v>
      </c>
      <c r="E93" s="1176">
        <f t="shared" si="79"/>
        <v>-23539.939644811373</v>
      </c>
      <c r="F93" s="1176">
        <f t="shared" si="79"/>
        <v>1127.4856939159013</v>
      </c>
      <c r="G93" s="1176">
        <f t="shared" si="79"/>
        <v>11324.162233050942</v>
      </c>
      <c r="H93" s="1176">
        <f t="shared" si="79"/>
        <v>13151.194591988677</v>
      </c>
      <c r="I93" s="1176">
        <f t="shared" si="79"/>
        <v>2595.6906475433957</v>
      </c>
      <c r="J93" s="1176">
        <f t="shared" si="79"/>
        <v>-2276.6522435414422</v>
      </c>
      <c r="K93" s="1176">
        <f t="shared" si="79"/>
        <v>-317.59872321473171</v>
      </c>
      <c r="L93" s="1176">
        <f t="shared" si="79"/>
        <v>-749.40960797421963</v>
      </c>
      <c r="M93" s="1176">
        <f t="shared" si="79"/>
        <v>-5330.5544565371538</v>
      </c>
      <c r="N93" s="1176">
        <f t="shared" si="79"/>
        <v>-6441.6364388800876</v>
      </c>
      <c r="O93" s="1176">
        <f t="shared" si="79"/>
        <v>-3256.9256337378588</v>
      </c>
      <c r="P93" s="382">
        <f t="shared" si="80"/>
        <v>-44972.767895684134</v>
      </c>
    </row>
    <row r="94" spans="1:16" x14ac:dyDescent="0.3">
      <c r="A94" s="1166">
        <f t="shared" si="63"/>
        <v>89</v>
      </c>
      <c r="B94" s="1172" t="s">
        <v>140</v>
      </c>
      <c r="C94" s="1173" t="str">
        <f t="shared" si="78"/>
        <v>Line 63 x 75</v>
      </c>
      <c r="D94" s="1176">
        <f t="shared" si="79"/>
        <v>-6010.1697998712798</v>
      </c>
      <c r="E94" s="1176">
        <f t="shared" si="79"/>
        <v>2412.2857683471088</v>
      </c>
      <c r="F94" s="1176">
        <f t="shared" si="79"/>
        <v>1476.8762644672536</v>
      </c>
      <c r="G94" s="1176">
        <f t="shared" si="79"/>
        <v>-127.47011113764501</v>
      </c>
      <c r="H94" s="1176">
        <f t="shared" si="79"/>
        <v>-1707.4611583147805</v>
      </c>
      <c r="I94" s="1176">
        <f t="shared" si="79"/>
        <v>487.70278799620098</v>
      </c>
      <c r="J94" s="1176">
        <f t="shared" si="79"/>
        <v>3066.0555211702649</v>
      </c>
      <c r="K94" s="1176">
        <f t="shared" si="79"/>
        <v>-2171.7107155595736</v>
      </c>
      <c r="L94" s="1176">
        <f t="shared" si="79"/>
        <v>4157.8159307712658</v>
      </c>
      <c r="M94" s="1176">
        <f t="shared" si="79"/>
        <v>-2219.7616522120097</v>
      </c>
      <c r="N94" s="1176">
        <f t="shared" si="79"/>
        <v>752.00152861443007</v>
      </c>
      <c r="O94" s="1176">
        <f t="shared" si="79"/>
        <v>-116.16416041146066</v>
      </c>
      <c r="P94" s="382">
        <f t="shared" si="80"/>
        <v>2.038597756524041E-4</v>
      </c>
    </row>
    <row r="95" spans="1:16" x14ac:dyDescent="0.3">
      <c r="A95" s="1166">
        <f t="shared" si="63"/>
        <v>90</v>
      </c>
      <c r="B95" s="1172" t="s">
        <v>139</v>
      </c>
      <c r="C95" s="1173" t="str">
        <f t="shared" si="78"/>
        <v>Line 64 x 76</v>
      </c>
      <c r="D95" s="1176">
        <f t="shared" si="79"/>
        <v>-19788.435554077547</v>
      </c>
      <c r="E95" s="1176">
        <f t="shared" si="79"/>
        <v>0</v>
      </c>
      <c r="F95" s="1176">
        <f t="shared" si="79"/>
        <v>5344.6169341348805</v>
      </c>
      <c r="G95" s="1176">
        <f t="shared" si="79"/>
        <v>-230.00281287729084</v>
      </c>
      <c r="H95" s="1176">
        <f t="shared" si="79"/>
        <v>-2127.9090997830444</v>
      </c>
      <c r="I95" s="1176">
        <f t="shared" si="79"/>
        <v>836.45386028429584</v>
      </c>
      <c r="J95" s="1176">
        <f t="shared" si="79"/>
        <v>4948.7960359186281</v>
      </c>
      <c r="K95" s="1176">
        <f t="shared" si="79"/>
        <v>-4595.9030512083154</v>
      </c>
      <c r="L95" s="1176">
        <f t="shared" si="79"/>
        <v>5781.1887827569972</v>
      </c>
      <c r="M95" s="1176">
        <f t="shared" si="79"/>
        <v>-584.75042508515389</v>
      </c>
      <c r="N95" s="1176">
        <f t="shared" si="79"/>
        <v>2648.0962440499343</v>
      </c>
      <c r="O95" s="1176">
        <f t="shared" si="79"/>
        <v>2686.1485733106929</v>
      </c>
      <c r="P95" s="382">
        <f t="shared" si="80"/>
        <v>-5081.7005125759251</v>
      </c>
    </row>
    <row r="96" spans="1:16" ht="14.4" thickBot="1" x14ac:dyDescent="0.35">
      <c r="A96" s="1166">
        <f t="shared" si="63"/>
        <v>91</v>
      </c>
      <c r="D96" s="1175">
        <f>SUM(D86:D95)</f>
        <v>-12849644.211545747</v>
      </c>
      <c r="E96" s="1175">
        <f t="shared" ref="E96" si="81">SUM(E86:E95)</f>
        <v>-9888967.9389125761</v>
      </c>
      <c r="F96" s="1175">
        <f t="shared" ref="F96" si="82">SUM(F86:F95)</f>
        <v>8117568.3688161792</v>
      </c>
      <c r="G96" s="1175">
        <f t="shared" ref="G96" si="83">SUM(G86:G95)</f>
        <v>10964626.165117778</v>
      </c>
      <c r="H96" s="1175">
        <f t="shared" ref="H96" si="84">SUM(H86:H95)</f>
        <v>40267886.020748481</v>
      </c>
      <c r="I96" s="1175">
        <f t="shared" ref="I96" si="85">SUM(I86:I95)</f>
        <v>6283570.7251726631</v>
      </c>
      <c r="J96" s="1175">
        <f t="shared" ref="J96" si="86">SUM(J86:J95)</f>
        <v>-586179.1106912879</v>
      </c>
      <c r="K96" s="1175">
        <f t="shared" ref="K96" si="87">SUM(K86:K95)</f>
        <v>5381816.1552894749</v>
      </c>
      <c r="L96" s="1175">
        <f t="shared" ref="L96" si="88">SUM(L86:L95)</f>
        <v>-9921120.0511548612</v>
      </c>
      <c r="M96" s="1175">
        <f t="shared" ref="M96" si="89">SUM(M86:M95)</f>
        <v>-16553858.742825279</v>
      </c>
      <c r="N96" s="1175">
        <f t="shared" ref="N96" si="90">SUM(N86:N95)</f>
        <v>-9281231.0803468991</v>
      </c>
      <c r="O96" s="1175">
        <f t="shared" ref="O96" si="91">SUM(O86:O95)</f>
        <v>7334241.611742693</v>
      </c>
      <c r="P96" s="1175">
        <f t="shared" ref="P96" si="92">SUM(P86:P95)</f>
        <v>19268707.911410611</v>
      </c>
    </row>
    <row r="97" spans="1:16" s="1183" customFormat="1" ht="14.4" thickTop="1" x14ac:dyDescent="0.3">
      <c r="A97" s="1182">
        <f t="shared" si="63"/>
        <v>92</v>
      </c>
    </row>
    <row r="98" spans="1:16" x14ac:dyDescent="0.3">
      <c r="A98" s="1166">
        <f t="shared" si="63"/>
        <v>93</v>
      </c>
      <c r="B98" s="1178" t="s">
        <v>462</v>
      </c>
    </row>
    <row r="99" spans="1:16" x14ac:dyDescent="0.3">
      <c r="A99" s="1166">
        <f t="shared" si="63"/>
        <v>94</v>
      </c>
      <c r="B99" s="1172" t="s">
        <v>135</v>
      </c>
      <c r="C99" s="1173"/>
      <c r="D99" s="1184">
        <f>SUM('MFR E-13c'!$N$26:$N$27)/'MFR E-13c'!$J$28</f>
        <v>93.853738163359196</v>
      </c>
      <c r="E99" s="1184">
        <f>SUM('MFR E-13c'!$N$26:$N$27)/'MFR E-13c'!$J$28</f>
        <v>93.853738163359196</v>
      </c>
      <c r="F99" s="1179">
        <f>SUM('MFR E-13c'!$N$31:$N$32)/'MFR E-13c'!$J$33</f>
        <v>89.138763722080469</v>
      </c>
      <c r="G99" s="1179">
        <f>SUM('MFR E-13c'!$N$31:$N$32)/'MFR E-13c'!$J$33</f>
        <v>89.138763722080469</v>
      </c>
      <c r="H99" s="1179">
        <f>SUM('MFR E-13c'!$N$31:$N$32)/'MFR E-13c'!$J$33</f>
        <v>89.138763722080469</v>
      </c>
      <c r="I99" s="1179">
        <f>SUM('MFR E-13c'!$N$31:$N$32)/'MFR E-13c'!$J$33</f>
        <v>89.138763722080469</v>
      </c>
      <c r="J99" s="1179">
        <f>SUM('MFR E-13c'!$N$31:$N$32)/'MFR E-13c'!$J$33</f>
        <v>89.138763722080469</v>
      </c>
      <c r="K99" s="1179">
        <f>SUM('MFR E-13c'!$N$31:$N$32)/'MFR E-13c'!$J$33</f>
        <v>89.138763722080469</v>
      </c>
      <c r="L99" s="1179">
        <f>SUM('MFR E-13c'!$N$31:$N$32)/'MFR E-13c'!$J$33</f>
        <v>89.138763722080469</v>
      </c>
      <c r="M99" s="1179">
        <f>SUM('MFR E-13c'!$N$31:$N$32)/'MFR E-13c'!$J$33</f>
        <v>89.138763722080469</v>
      </c>
      <c r="N99" s="1179">
        <f>SUM('MFR E-13c'!$N$31:$N$32)/'MFR E-13c'!$J$33</f>
        <v>89.138763722080469</v>
      </c>
      <c r="O99" s="1184">
        <f>SUM('MFR E-13c'!$N$26:$N$27)/'MFR E-13c'!$J$28</f>
        <v>93.853738163359196</v>
      </c>
      <c r="P99" s="1179"/>
    </row>
    <row r="100" spans="1:16" x14ac:dyDescent="0.3">
      <c r="A100" s="1166">
        <f t="shared" si="63"/>
        <v>95</v>
      </c>
      <c r="B100" s="1172" t="s">
        <v>136</v>
      </c>
      <c r="C100" s="1173"/>
      <c r="D100" s="1179">
        <f>'MFR E-12'!D22/'MFR E-12'!E22*1000</f>
        <v>76.679754987748112</v>
      </c>
      <c r="E100" s="1179">
        <f t="shared" ref="E100:O100" si="93">D100</f>
        <v>76.679754987748112</v>
      </c>
      <c r="F100" s="1179">
        <f t="shared" si="93"/>
        <v>76.679754987748112</v>
      </c>
      <c r="G100" s="1179">
        <f t="shared" si="93"/>
        <v>76.679754987748112</v>
      </c>
      <c r="H100" s="1179">
        <f t="shared" si="93"/>
        <v>76.679754987748112</v>
      </c>
      <c r="I100" s="1179">
        <f t="shared" si="93"/>
        <v>76.679754987748112</v>
      </c>
      <c r="J100" s="1179">
        <f t="shared" si="93"/>
        <v>76.679754987748112</v>
      </c>
      <c r="K100" s="1179">
        <f t="shared" si="93"/>
        <v>76.679754987748112</v>
      </c>
      <c r="L100" s="1179">
        <f t="shared" si="93"/>
        <v>76.679754987748112</v>
      </c>
      <c r="M100" s="1179">
        <f t="shared" si="93"/>
        <v>76.679754987748112</v>
      </c>
      <c r="N100" s="1179">
        <f t="shared" si="93"/>
        <v>76.679754987748112</v>
      </c>
      <c r="O100" s="1179">
        <f t="shared" si="93"/>
        <v>76.679754987748112</v>
      </c>
      <c r="P100" s="1179"/>
    </row>
    <row r="101" spans="1:16" x14ac:dyDescent="0.3">
      <c r="A101" s="1166">
        <f t="shared" si="63"/>
        <v>96</v>
      </c>
      <c r="B101" s="1172" t="s">
        <v>137</v>
      </c>
      <c r="C101" s="1173"/>
      <c r="D101" s="1179">
        <f>'MFR E-12'!D23/'MFR E-12'!E23*1000</f>
        <v>38.909999996003592</v>
      </c>
      <c r="E101" s="1179">
        <f>D101</f>
        <v>38.909999996003592</v>
      </c>
      <c r="F101" s="1179">
        <f t="shared" ref="F101:O101" si="94">E101</f>
        <v>38.909999996003592</v>
      </c>
      <c r="G101" s="1179">
        <f t="shared" si="94"/>
        <v>38.909999996003592</v>
      </c>
      <c r="H101" s="1179">
        <f t="shared" si="94"/>
        <v>38.909999996003592</v>
      </c>
      <c r="I101" s="1179">
        <f t="shared" si="94"/>
        <v>38.909999996003592</v>
      </c>
      <c r="J101" s="1179">
        <f t="shared" si="94"/>
        <v>38.909999996003592</v>
      </c>
      <c r="K101" s="1179">
        <f t="shared" si="94"/>
        <v>38.909999996003592</v>
      </c>
      <c r="L101" s="1179">
        <f t="shared" si="94"/>
        <v>38.909999996003592</v>
      </c>
      <c r="M101" s="1179">
        <f t="shared" si="94"/>
        <v>38.909999996003592</v>
      </c>
      <c r="N101" s="1179">
        <f t="shared" si="94"/>
        <v>38.909999996003592</v>
      </c>
      <c r="O101" s="1179">
        <f t="shared" si="94"/>
        <v>38.909999996003592</v>
      </c>
      <c r="P101" s="1179"/>
    </row>
    <row r="102" spans="1:16" x14ac:dyDescent="0.3">
      <c r="A102" s="1166">
        <f t="shared" si="63"/>
        <v>97</v>
      </c>
      <c r="B102" s="1172" t="s">
        <v>272</v>
      </c>
      <c r="C102" s="1173"/>
      <c r="D102" s="1179">
        <f>'MFR E-12'!D24/'MFR E-12'!E24*1000</f>
        <v>62.552605277051477</v>
      </c>
      <c r="E102" s="1179">
        <f>D102</f>
        <v>62.552605277051477</v>
      </c>
      <c r="F102" s="1179">
        <f t="shared" ref="F102:O102" si="95">E102</f>
        <v>62.552605277051477</v>
      </c>
      <c r="G102" s="1179">
        <f t="shared" si="95"/>
        <v>62.552605277051477</v>
      </c>
      <c r="H102" s="1179">
        <f t="shared" si="95"/>
        <v>62.552605277051477</v>
      </c>
      <c r="I102" s="1179">
        <f t="shared" si="95"/>
        <v>62.552605277051477</v>
      </c>
      <c r="J102" s="1179">
        <f t="shared" si="95"/>
        <v>62.552605277051477</v>
      </c>
      <c r="K102" s="1179">
        <f t="shared" si="95"/>
        <v>62.552605277051477</v>
      </c>
      <c r="L102" s="1179">
        <f t="shared" si="95"/>
        <v>62.552605277051477</v>
      </c>
      <c r="M102" s="1179">
        <f t="shared" si="95"/>
        <v>62.552605277051477</v>
      </c>
      <c r="N102" s="1179">
        <f t="shared" si="95"/>
        <v>62.552605277051477</v>
      </c>
      <c r="O102" s="1179">
        <f t="shared" si="95"/>
        <v>62.552605277051477</v>
      </c>
      <c r="P102" s="1179"/>
    </row>
    <row r="103" spans="1:16" x14ac:dyDescent="0.3">
      <c r="A103" s="1166">
        <f t="shared" si="63"/>
        <v>98</v>
      </c>
      <c r="B103" s="1172" t="s">
        <v>275</v>
      </c>
      <c r="C103" s="1173"/>
      <c r="D103" s="1179">
        <f>'MFR E-12'!D25/'MFR E-12'!E25*1000</f>
        <v>41.733790295568213</v>
      </c>
      <c r="E103" s="1179">
        <f t="shared" ref="E103:O108" si="96">D103</f>
        <v>41.733790295568213</v>
      </c>
      <c r="F103" s="1179">
        <f t="shared" si="96"/>
        <v>41.733790295568213</v>
      </c>
      <c r="G103" s="1179">
        <f t="shared" si="96"/>
        <v>41.733790295568213</v>
      </c>
      <c r="H103" s="1179">
        <f t="shared" si="96"/>
        <v>41.733790295568213</v>
      </c>
      <c r="I103" s="1179">
        <f t="shared" si="96"/>
        <v>41.733790295568213</v>
      </c>
      <c r="J103" s="1179">
        <f t="shared" si="96"/>
        <v>41.733790295568213</v>
      </c>
      <c r="K103" s="1179">
        <f t="shared" si="96"/>
        <v>41.733790295568213</v>
      </c>
      <c r="L103" s="1179">
        <f t="shared" si="96"/>
        <v>41.733790295568213</v>
      </c>
      <c r="M103" s="1179">
        <f t="shared" si="96"/>
        <v>41.733790295568213</v>
      </c>
      <c r="N103" s="1179">
        <f t="shared" si="96"/>
        <v>41.733790295568213</v>
      </c>
      <c r="O103" s="1179">
        <f t="shared" si="96"/>
        <v>41.733790295568213</v>
      </c>
      <c r="P103" s="1179"/>
    </row>
    <row r="104" spans="1:16" x14ac:dyDescent="0.3">
      <c r="A104" s="1166">
        <f t="shared" si="63"/>
        <v>99</v>
      </c>
      <c r="B104" s="1172" t="s">
        <v>273</v>
      </c>
      <c r="C104" s="1173"/>
      <c r="D104" s="1179">
        <f>'MFR E-12'!D26/'MFR E-12'!E26*1000</f>
        <v>37.255920182025349</v>
      </c>
      <c r="E104" s="1179">
        <f t="shared" si="96"/>
        <v>37.255920182025349</v>
      </c>
      <c r="F104" s="1179">
        <f t="shared" si="96"/>
        <v>37.255920182025349</v>
      </c>
      <c r="G104" s="1179">
        <f t="shared" si="96"/>
        <v>37.255920182025349</v>
      </c>
      <c r="H104" s="1179">
        <f t="shared" si="96"/>
        <v>37.255920182025349</v>
      </c>
      <c r="I104" s="1179">
        <f t="shared" si="96"/>
        <v>37.255920182025349</v>
      </c>
      <c r="J104" s="1179">
        <f t="shared" si="96"/>
        <v>37.255920182025349</v>
      </c>
      <c r="K104" s="1179">
        <f t="shared" si="96"/>
        <v>37.255920182025349</v>
      </c>
      <c r="L104" s="1179">
        <f t="shared" si="96"/>
        <v>37.255920182025349</v>
      </c>
      <c r="M104" s="1179">
        <f t="shared" si="96"/>
        <v>37.255920182025349</v>
      </c>
      <c r="N104" s="1179">
        <f t="shared" si="96"/>
        <v>37.255920182025349</v>
      </c>
      <c r="O104" s="1179">
        <f t="shared" si="96"/>
        <v>37.255920182025349</v>
      </c>
      <c r="P104" s="1179"/>
    </row>
    <row r="105" spans="1:16" x14ac:dyDescent="0.3">
      <c r="A105" s="1166">
        <f t="shared" si="63"/>
        <v>100</v>
      </c>
      <c r="B105" s="1172" t="s">
        <v>274</v>
      </c>
      <c r="C105" s="1173"/>
      <c r="D105" s="1179">
        <f>'MFR E-12'!D30/'MFR E-12'!E30*1000</f>
        <v>40.220000007621479</v>
      </c>
      <c r="E105" s="1179">
        <f t="shared" si="96"/>
        <v>40.220000007621479</v>
      </c>
      <c r="F105" s="1179">
        <f t="shared" si="96"/>
        <v>40.220000007621479</v>
      </c>
      <c r="G105" s="1179">
        <f t="shared" si="96"/>
        <v>40.220000007621479</v>
      </c>
      <c r="H105" s="1179">
        <f t="shared" si="96"/>
        <v>40.220000007621479</v>
      </c>
      <c r="I105" s="1179">
        <f t="shared" si="96"/>
        <v>40.220000007621479</v>
      </c>
      <c r="J105" s="1179">
        <f t="shared" si="96"/>
        <v>40.220000007621479</v>
      </c>
      <c r="K105" s="1179">
        <f t="shared" si="96"/>
        <v>40.220000007621479</v>
      </c>
      <c r="L105" s="1179">
        <f t="shared" si="96"/>
        <v>40.220000007621479</v>
      </c>
      <c r="M105" s="1179">
        <f t="shared" si="96"/>
        <v>40.220000007621479</v>
      </c>
      <c r="N105" s="1179">
        <f t="shared" si="96"/>
        <v>40.220000007621479</v>
      </c>
      <c r="O105" s="1179">
        <f t="shared" si="96"/>
        <v>40.220000007621479</v>
      </c>
      <c r="P105" s="1179"/>
    </row>
    <row r="106" spans="1:16" x14ac:dyDescent="0.3">
      <c r="A106" s="1166">
        <f t="shared" si="63"/>
        <v>101</v>
      </c>
      <c r="B106" s="1172" t="s">
        <v>138</v>
      </c>
      <c r="C106" s="1173"/>
      <c r="D106" s="1179">
        <f>'MFR E-12'!D27/'MFR E-12'!E27*1000</f>
        <v>70.535123260165761</v>
      </c>
      <c r="E106" s="1179">
        <f t="shared" si="96"/>
        <v>70.535123260165761</v>
      </c>
      <c r="F106" s="1179">
        <f t="shared" si="96"/>
        <v>70.535123260165761</v>
      </c>
      <c r="G106" s="1179">
        <f t="shared" si="96"/>
        <v>70.535123260165761</v>
      </c>
      <c r="H106" s="1179">
        <f t="shared" si="96"/>
        <v>70.535123260165761</v>
      </c>
      <c r="I106" s="1179">
        <f t="shared" si="96"/>
        <v>70.535123260165761</v>
      </c>
      <c r="J106" s="1179">
        <f t="shared" si="96"/>
        <v>70.535123260165761</v>
      </c>
      <c r="K106" s="1179">
        <f t="shared" si="96"/>
        <v>70.535123260165761</v>
      </c>
      <c r="L106" s="1179">
        <f t="shared" si="96"/>
        <v>70.535123260165761</v>
      </c>
      <c r="M106" s="1179">
        <f t="shared" si="96"/>
        <v>70.535123260165761</v>
      </c>
      <c r="N106" s="1179">
        <f t="shared" si="96"/>
        <v>70.535123260165761</v>
      </c>
      <c r="O106" s="1179">
        <f t="shared" si="96"/>
        <v>70.535123260165761</v>
      </c>
      <c r="P106" s="1179"/>
    </row>
    <row r="107" spans="1:16" x14ac:dyDescent="0.3">
      <c r="A107" s="1166">
        <f t="shared" si="63"/>
        <v>102</v>
      </c>
      <c r="B107" s="1172" t="s">
        <v>140</v>
      </c>
      <c r="C107" s="1173"/>
      <c r="D107" s="1179">
        <f>'MFR E-12'!D28/'MFR E-12'!E28*1000</f>
        <v>83.937950091243778</v>
      </c>
      <c r="E107" s="1179">
        <f t="shared" si="96"/>
        <v>83.937950091243778</v>
      </c>
      <c r="F107" s="1179">
        <f t="shared" si="96"/>
        <v>83.937950091243778</v>
      </c>
      <c r="G107" s="1179">
        <f t="shared" si="96"/>
        <v>83.937950091243778</v>
      </c>
      <c r="H107" s="1179">
        <f t="shared" si="96"/>
        <v>83.937950091243778</v>
      </c>
      <c r="I107" s="1179">
        <f t="shared" si="96"/>
        <v>83.937950091243778</v>
      </c>
      <c r="J107" s="1179">
        <f t="shared" si="96"/>
        <v>83.937950091243778</v>
      </c>
      <c r="K107" s="1179">
        <f t="shared" si="96"/>
        <v>83.937950091243778</v>
      </c>
      <c r="L107" s="1179">
        <f t="shared" si="96"/>
        <v>83.937950091243778</v>
      </c>
      <c r="M107" s="1179">
        <f t="shared" si="96"/>
        <v>83.937950091243778</v>
      </c>
      <c r="N107" s="1179">
        <f t="shared" si="96"/>
        <v>83.937950091243778</v>
      </c>
      <c r="O107" s="1179">
        <f t="shared" si="96"/>
        <v>83.937950091243778</v>
      </c>
      <c r="P107" s="1179"/>
    </row>
    <row r="108" spans="1:16" x14ac:dyDescent="0.3">
      <c r="A108" s="1166">
        <f t="shared" si="63"/>
        <v>103</v>
      </c>
      <c r="B108" s="1172" t="s">
        <v>139</v>
      </c>
      <c r="C108" s="1173"/>
      <c r="D108" s="1179">
        <f>'MFR E-12'!D29/'MFR E-12'!E29*1000</f>
        <v>59.775347691964654</v>
      </c>
      <c r="E108" s="1179">
        <f t="shared" si="96"/>
        <v>59.775347691964654</v>
      </c>
      <c r="F108" s="1179">
        <f t="shared" si="96"/>
        <v>59.775347691964654</v>
      </c>
      <c r="G108" s="1179">
        <f t="shared" si="96"/>
        <v>59.775347691964654</v>
      </c>
      <c r="H108" s="1179">
        <f t="shared" si="96"/>
        <v>59.775347691964654</v>
      </c>
      <c r="I108" s="1179">
        <f t="shared" si="96"/>
        <v>59.775347691964654</v>
      </c>
      <c r="J108" s="1179">
        <f t="shared" si="96"/>
        <v>59.775347691964654</v>
      </c>
      <c r="K108" s="1179">
        <f t="shared" si="96"/>
        <v>59.775347691964654</v>
      </c>
      <c r="L108" s="1179">
        <f t="shared" si="96"/>
        <v>59.775347691964654</v>
      </c>
      <c r="M108" s="1179">
        <f t="shared" si="96"/>
        <v>59.775347691964654</v>
      </c>
      <c r="N108" s="1179">
        <f t="shared" si="96"/>
        <v>59.775347691964654</v>
      </c>
      <c r="O108" s="1179">
        <f t="shared" si="96"/>
        <v>59.775347691964654</v>
      </c>
      <c r="P108" s="1179"/>
    </row>
    <row r="109" spans="1:16" x14ac:dyDescent="0.3">
      <c r="A109" s="1166">
        <f t="shared" si="63"/>
        <v>104</v>
      </c>
    </row>
    <row r="110" spans="1:16" x14ac:dyDescent="0.3">
      <c r="A110" s="1166">
        <f t="shared" si="63"/>
        <v>105</v>
      </c>
      <c r="B110" s="1170"/>
      <c r="C110" s="382"/>
      <c r="D110" s="1171"/>
      <c r="E110" s="1171"/>
      <c r="F110" s="1171"/>
      <c r="G110" s="1171"/>
      <c r="H110" s="1171"/>
      <c r="I110" s="1171"/>
      <c r="J110" s="1171"/>
      <c r="K110" s="1171"/>
      <c r="L110" s="1171"/>
      <c r="M110" s="1171"/>
      <c r="N110" s="1171"/>
      <c r="O110" s="1171"/>
      <c r="P110" s="1171"/>
    </row>
    <row r="111" spans="1:16" x14ac:dyDescent="0.3">
      <c r="A111" s="1166">
        <v>66</v>
      </c>
      <c r="B111" s="1170" t="s">
        <v>459</v>
      </c>
      <c r="C111" s="382"/>
      <c r="D111" s="1171"/>
      <c r="E111" s="1171"/>
      <c r="F111" s="1171"/>
      <c r="G111" s="1171"/>
      <c r="H111" s="1171"/>
      <c r="I111" s="1171"/>
      <c r="J111" s="1171"/>
      <c r="K111" s="1171"/>
      <c r="L111" s="1171"/>
      <c r="M111" s="1171"/>
      <c r="N111" s="1171"/>
      <c r="O111" s="1171"/>
      <c r="P111" s="1171"/>
    </row>
    <row r="112" spans="1:16" x14ac:dyDescent="0.3">
      <c r="A112" s="1166">
        <v>67</v>
      </c>
      <c r="B112" s="1172" t="s">
        <v>135</v>
      </c>
      <c r="C112" s="505"/>
      <c r="D112" s="1171">
        <f t="shared" ref="D112:O121" si="97">D72</f>
        <v>-111207.76281847083</v>
      </c>
      <c r="E112" s="1171">
        <f t="shared" si="97"/>
        <v>-107736.62087270897</v>
      </c>
      <c r="F112" s="1171">
        <f t="shared" si="97"/>
        <v>56991.078265516553</v>
      </c>
      <c r="G112" s="1171">
        <f t="shared" si="97"/>
        <v>97885.080991412047</v>
      </c>
      <c r="H112" s="1171">
        <f t="shared" si="97"/>
        <v>375500.47318502772</v>
      </c>
      <c r="I112" s="1171">
        <f t="shared" si="97"/>
        <v>60098.103085932322</v>
      </c>
      <c r="J112" s="1171">
        <f t="shared" si="97"/>
        <v>233.3450419800356</v>
      </c>
      <c r="K112" s="1171">
        <f t="shared" si="97"/>
        <v>59687.631454476155</v>
      </c>
      <c r="L112" s="1171">
        <f t="shared" si="97"/>
        <v>-91671.998846651055</v>
      </c>
      <c r="M112" s="1171">
        <f t="shared" si="97"/>
        <v>-148920.09453224018</v>
      </c>
      <c r="N112" s="1171">
        <f t="shared" si="97"/>
        <v>-67168.042142670602</v>
      </c>
      <c r="O112" s="1171">
        <f t="shared" si="97"/>
        <v>92659.925903639989</v>
      </c>
      <c r="P112" s="382">
        <f>SUM(D112:O112)</f>
        <v>216351.11871524318</v>
      </c>
    </row>
    <row r="113" spans="1:17" x14ac:dyDescent="0.3">
      <c r="A113" s="1166">
        <v>68</v>
      </c>
      <c r="B113" s="1172" t="s">
        <v>136</v>
      </c>
      <c r="C113" s="505"/>
      <c r="D113" s="1171">
        <f t="shared" si="97"/>
        <v>-5917.8721839843784</v>
      </c>
      <c r="E113" s="1171">
        <f t="shared" si="97"/>
        <v>271.86965910118306</v>
      </c>
      <c r="F113" s="1171">
        <f t="shared" si="97"/>
        <v>6462.9938660337357</v>
      </c>
      <c r="G113" s="1171">
        <f t="shared" si="97"/>
        <v>5276.1491997751873</v>
      </c>
      <c r="H113" s="1171">
        <f t="shared" si="97"/>
        <v>18280.796288853802</v>
      </c>
      <c r="I113" s="1171">
        <f t="shared" si="97"/>
        <v>2075.7986079861585</v>
      </c>
      <c r="J113" s="1171">
        <f t="shared" si="97"/>
        <v>-1431.8462995979644</v>
      </c>
      <c r="K113" s="1171">
        <f t="shared" si="97"/>
        <v>710.53521829092642</v>
      </c>
      <c r="L113" s="1171">
        <f t="shared" si="97"/>
        <v>-5198.4841806455806</v>
      </c>
      <c r="M113" s="1171">
        <f t="shared" si="97"/>
        <v>-8750.8625003386696</v>
      </c>
      <c r="N113" s="1171">
        <f t="shared" si="97"/>
        <v>-8050.3799491391983</v>
      </c>
      <c r="O113" s="1171">
        <f t="shared" si="97"/>
        <v>-2596.1313922856934</v>
      </c>
      <c r="P113" s="382">
        <f t="shared" ref="P113:P121" si="98">SUM(D113:O113)</f>
        <v>1132.5663340495084</v>
      </c>
    </row>
    <row r="114" spans="1:17" x14ac:dyDescent="0.3">
      <c r="A114" s="1166">
        <v>69</v>
      </c>
      <c r="B114" s="1172" t="s">
        <v>137</v>
      </c>
      <c r="C114" s="505"/>
      <c r="D114" s="1171">
        <f t="shared" si="97"/>
        <v>-592.05263957553325</v>
      </c>
      <c r="E114" s="1171">
        <f t="shared" si="97"/>
        <v>139.39319200176033</v>
      </c>
      <c r="F114" s="1171">
        <f t="shared" si="97"/>
        <v>671.42645483137312</v>
      </c>
      <c r="G114" s="1171">
        <f t="shared" si="97"/>
        <v>587.52403082518504</v>
      </c>
      <c r="H114" s="1171">
        <f t="shared" si="97"/>
        <v>1712.4485325341229</v>
      </c>
      <c r="I114" s="1171">
        <f t="shared" si="97"/>
        <v>120.94765958245262</v>
      </c>
      <c r="J114" s="1171">
        <f t="shared" si="97"/>
        <v>-99.452552194092277</v>
      </c>
      <c r="K114" s="1171">
        <f t="shared" si="97"/>
        <v>51.58442173018193</v>
      </c>
      <c r="L114" s="1171">
        <f t="shared" si="97"/>
        <v>-441.07879380946906</v>
      </c>
      <c r="M114" s="1171">
        <f t="shared" si="97"/>
        <v>-875.76410806915374</v>
      </c>
      <c r="N114" s="1171">
        <f t="shared" si="97"/>
        <v>-800.17458281251857</v>
      </c>
      <c r="O114" s="1171">
        <f t="shared" si="97"/>
        <v>-281.38404798849115</v>
      </c>
      <c r="P114" s="382">
        <f t="shared" si="98"/>
        <v>193.41756705581793</v>
      </c>
    </row>
    <row r="115" spans="1:17" x14ac:dyDescent="0.3">
      <c r="A115" s="1166">
        <v>70</v>
      </c>
      <c r="B115" s="1172" t="s">
        <v>272</v>
      </c>
      <c r="C115" s="505"/>
      <c r="D115" s="1171">
        <f t="shared" si="97"/>
        <v>-32614.164138287655</v>
      </c>
      <c r="E115" s="1171">
        <f t="shared" si="97"/>
        <v>-638.50594189681578</v>
      </c>
      <c r="F115" s="1171">
        <f t="shared" si="97"/>
        <v>41635.694107720046</v>
      </c>
      <c r="G115" s="1171">
        <f t="shared" si="97"/>
        <v>32460.832534515299</v>
      </c>
      <c r="H115" s="1171">
        <f t="shared" si="97"/>
        <v>99975.117226491682</v>
      </c>
      <c r="I115" s="1171">
        <f t="shared" si="97"/>
        <v>14207.701122257626</v>
      </c>
      <c r="J115" s="1171">
        <f t="shared" si="97"/>
        <v>-8778.5495724354405</v>
      </c>
      <c r="K115" s="1171">
        <f t="shared" si="97"/>
        <v>3482.0664218408056</v>
      </c>
      <c r="L115" s="1171">
        <f t="shared" si="97"/>
        <v>-26141.792676524259</v>
      </c>
      <c r="M115" s="1171">
        <f t="shared" si="97"/>
        <v>-46818.423447399633</v>
      </c>
      <c r="N115" s="1171">
        <f t="shared" si="97"/>
        <v>-45768.972128283815</v>
      </c>
      <c r="O115" s="1171">
        <f t="shared" si="97"/>
        <v>-15711.231896891026</v>
      </c>
      <c r="P115" s="382">
        <f t="shared" si="98"/>
        <v>15289.771611106815</v>
      </c>
    </row>
    <row r="116" spans="1:17" x14ac:dyDescent="0.3">
      <c r="A116" s="1166">
        <v>71</v>
      </c>
      <c r="B116" s="1172" t="s">
        <v>275</v>
      </c>
      <c r="C116" s="505"/>
      <c r="D116" s="1171">
        <f t="shared" si="97"/>
        <v>-102.9904983175993</v>
      </c>
      <c r="E116" s="1171">
        <f t="shared" si="97"/>
        <v>66.663414294798713</v>
      </c>
      <c r="F116" s="1171">
        <f t="shared" si="97"/>
        <v>16.24003278418752</v>
      </c>
      <c r="G116" s="1171">
        <f t="shared" si="97"/>
        <v>128.34186710305539</v>
      </c>
      <c r="H116" s="1171">
        <f t="shared" si="97"/>
        <v>148.15757987622965</v>
      </c>
      <c r="I116" s="1171">
        <f t="shared" si="97"/>
        <v>56.202860590402452</v>
      </c>
      <c r="J116" s="1171">
        <f t="shared" si="97"/>
        <v>7.3467509182382855</v>
      </c>
      <c r="K116" s="1171">
        <f t="shared" si="97"/>
        <v>-24.72537789546368</v>
      </c>
      <c r="L116" s="1171">
        <f t="shared" si="97"/>
        <v>8.441952453356862</v>
      </c>
      <c r="M116" s="1171">
        <f t="shared" si="97"/>
        <v>-17.689094645214936</v>
      </c>
      <c r="N116" s="1171">
        <f t="shared" si="97"/>
        <v>-7.0530159522613758</v>
      </c>
      <c r="O116" s="1171">
        <f t="shared" si="97"/>
        <v>-9.5429802429362098</v>
      </c>
      <c r="P116" s="382">
        <f t="shared" si="98"/>
        <v>269.39349096679337</v>
      </c>
    </row>
    <row r="117" spans="1:17" x14ac:dyDescent="0.3">
      <c r="A117" s="1166">
        <v>72</v>
      </c>
      <c r="B117" s="1172" t="s">
        <v>273</v>
      </c>
      <c r="C117" s="505"/>
      <c r="D117" s="1171">
        <f t="shared" si="97"/>
        <v>-2497.7975460985908</v>
      </c>
      <c r="E117" s="1171">
        <f t="shared" si="97"/>
        <v>1159.9308420431335</v>
      </c>
      <c r="F117" s="1171">
        <f t="shared" si="97"/>
        <v>2824.7269788324775</v>
      </c>
      <c r="G117" s="1171">
        <f t="shared" si="97"/>
        <v>1228.8084872992185</v>
      </c>
      <c r="H117" s="1171">
        <f t="shared" si="97"/>
        <v>3218.0813626969757</v>
      </c>
      <c r="I117" s="1171">
        <f t="shared" si="97"/>
        <v>771.53534539285465</v>
      </c>
      <c r="J117" s="1171">
        <f t="shared" si="97"/>
        <v>1149.3440401598054</v>
      </c>
      <c r="K117" s="1171">
        <f t="shared" si="97"/>
        <v>-1468.675980324886</v>
      </c>
      <c r="L117" s="1171">
        <f t="shared" si="97"/>
        <v>571.8504392329196</v>
      </c>
      <c r="M117" s="1171">
        <f t="shared" si="97"/>
        <v>-2220.7419233848341</v>
      </c>
      <c r="N117" s="1171">
        <f t="shared" si="97"/>
        <v>-71.574739518982824</v>
      </c>
      <c r="O117" s="1171">
        <f t="shared" si="97"/>
        <v>290.23301792677375</v>
      </c>
      <c r="P117" s="382">
        <f t="shared" si="98"/>
        <v>4955.7203242568648</v>
      </c>
    </row>
    <row r="118" spans="1:17" x14ac:dyDescent="0.3">
      <c r="A118" s="1166">
        <v>73</v>
      </c>
      <c r="B118" s="1172" t="s">
        <v>274</v>
      </c>
      <c r="C118" s="505"/>
      <c r="D118" s="1171">
        <f t="shared" si="97"/>
        <v>-1569.8095340481013</v>
      </c>
      <c r="E118" s="1171">
        <f t="shared" si="97"/>
        <v>-596.72024628922372</v>
      </c>
      <c r="F118" s="1171">
        <f t="shared" si="97"/>
        <v>906.41013710203697</v>
      </c>
      <c r="G118" s="1171">
        <f t="shared" si="97"/>
        <v>1004.6654048627533</v>
      </c>
      <c r="H118" s="1171">
        <f t="shared" si="97"/>
        <v>2932.8683963362273</v>
      </c>
      <c r="I118" s="1171">
        <f t="shared" si="97"/>
        <v>568.23986000968216</v>
      </c>
      <c r="J118" s="1171">
        <f t="shared" si="97"/>
        <v>-248.87390585164394</v>
      </c>
      <c r="K118" s="1171">
        <f t="shared" si="97"/>
        <v>160.35993366204275</v>
      </c>
      <c r="L118" s="1171">
        <f t="shared" si="97"/>
        <v>-486.92903655884584</v>
      </c>
      <c r="M118" s="1171">
        <f t="shared" si="97"/>
        <v>-972.76626527027838</v>
      </c>
      <c r="N118" s="1171">
        <f t="shared" si="97"/>
        <v>-1209.9263745577809</v>
      </c>
      <c r="O118" s="1171">
        <f t="shared" si="97"/>
        <v>-255.47668611253175</v>
      </c>
      <c r="P118" s="382">
        <f t="shared" si="98"/>
        <v>232.04168328433661</v>
      </c>
    </row>
    <row r="119" spans="1:17" x14ac:dyDescent="0.3">
      <c r="A119" s="1166">
        <v>74</v>
      </c>
      <c r="B119" s="1172" t="s">
        <v>138</v>
      </c>
      <c r="C119" s="505"/>
      <c r="D119" s="1171">
        <f t="shared" si="97"/>
        <v>-454.05276520936604</v>
      </c>
      <c r="E119" s="1171">
        <f t="shared" si="97"/>
        <v>-341.93406142122694</v>
      </c>
      <c r="F119" s="1171">
        <f t="shared" si="97"/>
        <v>16.377517034117432</v>
      </c>
      <c r="G119" s="1171">
        <f t="shared" si="97"/>
        <v>164.49136416513556</v>
      </c>
      <c r="H119" s="1171">
        <f t="shared" si="97"/>
        <v>191.03028500630626</v>
      </c>
      <c r="I119" s="1171">
        <f t="shared" si="97"/>
        <v>37.704219241838246</v>
      </c>
      <c r="J119" s="1171">
        <f t="shared" si="97"/>
        <v>-33.069963637288311</v>
      </c>
      <c r="K119" s="1171">
        <f t="shared" si="97"/>
        <v>-4.6133432357778474</v>
      </c>
      <c r="L119" s="1171">
        <f t="shared" si="97"/>
        <v>-10.885697873027311</v>
      </c>
      <c r="M119" s="1171">
        <f t="shared" si="97"/>
        <v>-77.43002583919224</v>
      </c>
      <c r="N119" s="1171">
        <f t="shared" si="97"/>
        <v>-93.569267507902623</v>
      </c>
      <c r="O119" s="1171">
        <f t="shared" si="97"/>
        <v>-47.309119160649971</v>
      </c>
      <c r="P119" s="382">
        <f t="shared" si="98"/>
        <v>-653.26085843703379</v>
      </c>
    </row>
    <row r="120" spans="1:17" x14ac:dyDescent="0.3">
      <c r="A120" s="1166">
        <v>75</v>
      </c>
      <c r="B120" s="1172" t="s">
        <v>140</v>
      </c>
      <c r="C120" s="505"/>
      <c r="D120" s="1171">
        <f t="shared" si="97"/>
        <v>-74.440991305456919</v>
      </c>
      <c r="E120" s="1171">
        <f t="shared" si="97"/>
        <v>29.878181463633609</v>
      </c>
      <c r="F120" s="1171">
        <f t="shared" si="97"/>
        <v>18.292350602939223</v>
      </c>
      <c r="G120" s="1171">
        <f t="shared" si="97"/>
        <v>-1.5788241848185862</v>
      </c>
      <c r="H120" s="1171">
        <f t="shared" si="97"/>
        <v>-21.148337812891441</v>
      </c>
      <c r="I120" s="1171">
        <f t="shared" si="97"/>
        <v>6.0406078712867384</v>
      </c>
      <c r="J120" s="1171">
        <f t="shared" si="97"/>
        <v>37.975667908479409</v>
      </c>
      <c r="K120" s="1171">
        <f t="shared" si="97"/>
        <v>-26.898457760444671</v>
      </c>
      <c r="L120" s="1171">
        <f t="shared" si="97"/>
        <v>51.498035805720974</v>
      </c>
      <c r="M120" s="1171">
        <f t="shared" si="97"/>
        <v>-27.493608892054908</v>
      </c>
      <c r="N120" s="1171">
        <f t="shared" si="97"/>
        <v>9.3141693358606972</v>
      </c>
      <c r="O120" s="1171">
        <f t="shared" si="97"/>
        <v>-1.4387905072799185</v>
      </c>
      <c r="P120" s="382">
        <f t="shared" si="98"/>
        <v>2.5249742066080216E-6</v>
      </c>
    </row>
    <row r="121" spans="1:17" x14ac:dyDescent="0.3">
      <c r="A121" s="1166">
        <v>76</v>
      </c>
      <c r="B121" s="1172" t="s">
        <v>139</v>
      </c>
      <c r="C121" s="505"/>
      <c r="D121" s="1171">
        <f t="shared" si="97"/>
        <v>-344.30725524177979</v>
      </c>
      <c r="E121" s="1171">
        <f t="shared" si="97"/>
        <v>0</v>
      </c>
      <c r="F121" s="1171">
        <f t="shared" si="97"/>
        <v>92.993222323304508</v>
      </c>
      <c r="G121" s="1171">
        <f t="shared" si="97"/>
        <v>-4.0019150065327267</v>
      </c>
      <c r="H121" s="1171">
        <f t="shared" si="97"/>
        <v>-37.024379190973377</v>
      </c>
      <c r="I121" s="1171">
        <f t="shared" si="97"/>
        <v>14.553810076791706</v>
      </c>
      <c r="J121" s="1171">
        <f t="shared" si="97"/>
        <v>86.106169192715242</v>
      </c>
      <c r="K121" s="1171">
        <f t="shared" si="97"/>
        <v>-79.966036758918563</v>
      </c>
      <c r="L121" s="1171">
        <f t="shared" si="97"/>
        <v>100.58931826045591</v>
      </c>
      <c r="M121" s="1171">
        <f t="shared" si="97"/>
        <v>-10.17431687878161</v>
      </c>
      <c r="N121" s="1171">
        <f t="shared" si="97"/>
        <v>46.075332580650866</v>
      </c>
      <c r="O121" s="1171">
        <f t="shared" si="97"/>
        <v>46.737420950776141</v>
      </c>
      <c r="P121" s="382">
        <f t="shared" si="98"/>
        <v>-88.418629692291688</v>
      </c>
    </row>
    <row r="122" spans="1:17" ht="14.4" thickBot="1" x14ac:dyDescent="0.35">
      <c r="A122" s="1166">
        <v>77</v>
      </c>
      <c r="B122" s="382"/>
      <c r="C122" s="382"/>
      <c r="D122" s="1175">
        <f>SUM(D112:D121)</f>
        <v>-155375.25037053932</v>
      </c>
      <c r="E122" s="1175">
        <f t="shared" ref="E122" si="99">SUM(E112:E121)</f>
        <v>-107646.04583341171</v>
      </c>
      <c r="F122" s="1175">
        <f t="shared" ref="F122" si="100">SUM(F112:F121)</f>
        <v>109636.23293278077</v>
      </c>
      <c r="G122" s="1175">
        <f t="shared" ref="G122" si="101">SUM(G112:G121)</f>
        <v>138730.31314076655</v>
      </c>
      <c r="H122" s="1175">
        <f t="shared" ref="H122" si="102">SUM(H112:H121)</f>
        <v>501900.80013981916</v>
      </c>
      <c r="I122" s="1175">
        <f t="shared" ref="I122" si="103">SUM(I112:I121)</f>
        <v>77956.827178941414</v>
      </c>
      <c r="J122" s="1175">
        <f t="shared" ref="J122" si="104">SUM(J112:J121)</f>
        <v>-9077.6746235571572</v>
      </c>
      <c r="K122" s="1175">
        <f t="shared" ref="K122" si="105">SUM(K112:K121)</f>
        <v>62487.298254024623</v>
      </c>
      <c r="L122" s="1175">
        <f t="shared" ref="L122" si="106">SUM(L112:L121)</f>
        <v>-123218.78948630978</v>
      </c>
      <c r="M122" s="1175">
        <f t="shared" ref="M122" si="107">SUM(M112:M121)</f>
        <v>-208691.43982295797</v>
      </c>
      <c r="N122" s="1175">
        <f t="shared" ref="N122" si="108">SUM(N112:N121)</f>
        <v>-123114.30269852653</v>
      </c>
      <c r="O122" s="1175">
        <f t="shared" ref="O122" si="109">SUM(O112:O121)</f>
        <v>74094.381429328932</v>
      </c>
      <c r="P122" s="1175">
        <f t="shared" ref="P122" si="110">SUM(P112:P121)</f>
        <v>237682.35024035894</v>
      </c>
    </row>
    <row r="123" spans="1:17" ht="14.4" thickTop="1" x14ac:dyDescent="0.3">
      <c r="A123" s="1166">
        <f t="shared" si="63"/>
        <v>78</v>
      </c>
    </row>
    <row r="124" spans="1:17" ht="27.6" x14ac:dyDescent="0.3">
      <c r="A124" s="1166">
        <f t="shared" si="63"/>
        <v>79</v>
      </c>
      <c r="B124" s="1178" t="s">
        <v>463</v>
      </c>
      <c r="D124" s="1180">
        <v>-1</v>
      </c>
      <c r="E124" s="1180">
        <f>+D124-1</f>
        <v>-2</v>
      </c>
      <c r="F124" s="1180">
        <f t="shared" ref="F124:O124" si="111">+E124-1</f>
        <v>-3</v>
      </c>
      <c r="G124" s="1180">
        <f t="shared" si="111"/>
        <v>-4</v>
      </c>
      <c r="H124" s="1180">
        <f t="shared" si="111"/>
        <v>-5</v>
      </c>
      <c r="I124" s="1180">
        <f t="shared" si="111"/>
        <v>-6</v>
      </c>
      <c r="J124" s="1180">
        <f t="shared" si="111"/>
        <v>-7</v>
      </c>
      <c r="K124" s="1180">
        <f t="shared" si="111"/>
        <v>-8</v>
      </c>
      <c r="L124" s="1180">
        <f t="shared" si="111"/>
        <v>-9</v>
      </c>
      <c r="M124" s="1180">
        <f t="shared" si="111"/>
        <v>-10</v>
      </c>
      <c r="N124" s="1180">
        <f t="shared" si="111"/>
        <v>-11</v>
      </c>
      <c r="O124" s="1180">
        <f t="shared" si="111"/>
        <v>-12</v>
      </c>
      <c r="P124" s="1181" t="s">
        <v>461</v>
      </c>
      <c r="Q124" s="1185" t="s">
        <v>464</v>
      </c>
    </row>
    <row r="125" spans="1:17" x14ac:dyDescent="0.3">
      <c r="A125" s="1166">
        <f t="shared" si="63"/>
        <v>80</v>
      </c>
      <c r="B125" s="1172" t="s">
        <v>135</v>
      </c>
      <c r="C125" s="1173" t="str">
        <f t="shared" ref="C125:C134" si="112">"Line "&amp;A99&amp;" x "&amp;A111</f>
        <v>Line 94 x 66</v>
      </c>
      <c r="D125" s="1176">
        <f t="shared" ref="D125:O125" si="113">+D99*D112</f>
        <v>-10437264.253297715</v>
      </c>
      <c r="E125" s="1176">
        <f t="shared" si="113"/>
        <v>-10111484.605992327</v>
      </c>
      <c r="F125" s="1176">
        <f t="shared" si="113"/>
        <v>5080114.2597764758</v>
      </c>
      <c r="G125" s="1176">
        <f t="shared" si="113"/>
        <v>8725355.1064101886</v>
      </c>
      <c r="H125" s="1176">
        <f t="shared" si="113"/>
        <v>33471647.956769597</v>
      </c>
      <c r="I125" s="1176">
        <f t="shared" si="113"/>
        <v>5357070.6111221565</v>
      </c>
      <c r="J125" s="1176">
        <f t="shared" si="113"/>
        <v>20800.088562777342</v>
      </c>
      <c r="K125" s="1176">
        <f t="shared" si="113"/>
        <v>5320481.6773511684</v>
      </c>
      <c r="L125" s="1176">
        <f t="shared" si="113"/>
        <v>-8171528.645122462</v>
      </c>
      <c r="M125" s="1176">
        <f t="shared" si="113"/>
        <v>-13274553.119979246</v>
      </c>
      <c r="N125" s="1176">
        <f t="shared" si="113"/>
        <v>-5987276.2382302582</v>
      </c>
      <c r="O125" s="1176">
        <f t="shared" si="113"/>
        <v>8696480.4239964914</v>
      </c>
      <c r="P125" s="382">
        <f>SUM(D125:O125)</f>
        <v>18689843.261366852</v>
      </c>
      <c r="Q125" s="1179">
        <f>+P125/P112</f>
        <v>86.386626389327958</v>
      </c>
    </row>
    <row r="126" spans="1:17" x14ac:dyDescent="0.3">
      <c r="A126" s="1166">
        <f t="shared" si="63"/>
        <v>81</v>
      </c>
      <c r="B126" s="1172" t="s">
        <v>136</v>
      </c>
      <c r="C126" s="1173" t="str">
        <f t="shared" si="112"/>
        <v>Line 95 x 67</v>
      </c>
      <c r="D126" s="1176">
        <f t="shared" ref="D126:O126" si="114">+D100*D113</f>
        <v>-453780.98911673197</v>
      </c>
      <c r="E126" s="1176">
        <f t="shared" si="114"/>
        <v>20846.89884848132</v>
      </c>
      <c r="F126" s="1176">
        <f t="shared" si="114"/>
        <v>495580.7861347858</v>
      </c>
      <c r="G126" s="1176">
        <f t="shared" si="114"/>
        <v>404573.8279175646</v>
      </c>
      <c r="H126" s="1176">
        <f t="shared" si="114"/>
        <v>1401766.9804102445</v>
      </c>
      <c r="I126" s="1176">
        <f t="shared" si="114"/>
        <v>159171.72866428722</v>
      </c>
      <c r="J126" s="1176">
        <f t="shared" si="114"/>
        <v>-109793.62343328568</v>
      </c>
      <c r="K126" s="1176">
        <f t="shared" si="114"/>
        <v>54483.666448714357</v>
      </c>
      <c r="L126" s="1176">
        <f t="shared" si="114"/>
        <v>-398618.49327958759</v>
      </c>
      <c r="M126" s="1176">
        <f t="shared" si="114"/>
        <v>-671013.99245744199</v>
      </c>
      <c r="N126" s="1176">
        <f t="shared" si="114"/>
        <v>-617301.1620582738</v>
      </c>
      <c r="O126" s="1176">
        <f t="shared" si="114"/>
        <v>-199070.71907646835</v>
      </c>
      <c r="P126" s="382">
        <f t="shared" ref="P126:P134" si="115">SUM(D126:O126)</f>
        <v>86844.909002288507</v>
      </c>
      <c r="Q126" s="1179">
        <f t="shared" ref="Q126:Q134" si="116">+P126/P113</f>
        <v>76.679754987748211</v>
      </c>
    </row>
    <row r="127" spans="1:17" x14ac:dyDescent="0.3">
      <c r="A127" s="1166">
        <f t="shared" si="63"/>
        <v>82</v>
      </c>
      <c r="B127" s="1172" t="s">
        <v>137</v>
      </c>
      <c r="C127" s="1173" t="str">
        <f t="shared" si="112"/>
        <v>Line 96 x 68</v>
      </c>
      <c r="D127" s="1176">
        <f t="shared" ref="D127:O134" si="117">+D101*D114</f>
        <v>-23036.768203517913</v>
      </c>
      <c r="E127" s="1176">
        <f t="shared" si="117"/>
        <v>5423.7891002314218</v>
      </c>
      <c r="F127" s="1176">
        <f t="shared" si="117"/>
        <v>26125.203354805435</v>
      </c>
      <c r="G127" s="1176">
        <f t="shared" si="117"/>
        <v>22860.560037059964</v>
      </c>
      <c r="H127" s="1176">
        <f t="shared" si="117"/>
        <v>66631.372394059086</v>
      </c>
      <c r="I127" s="1176">
        <f t="shared" si="117"/>
        <v>4706.0734338698749</v>
      </c>
      <c r="J127" s="1176">
        <f t="shared" si="117"/>
        <v>-3869.6988054746776</v>
      </c>
      <c r="K127" s="1176">
        <f t="shared" si="117"/>
        <v>2007.1498493152264</v>
      </c>
      <c r="L127" s="1176">
        <f t="shared" si="117"/>
        <v>-17162.375865363709</v>
      </c>
      <c r="M127" s="1176">
        <f t="shared" si="117"/>
        <v>-34075.98144147086</v>
      </c>
      <c r="N127" s="1176">
        <f t="shared" si="117"/>
        <v>-31134.793014037274</v>
      </c>
      <c r="O127" s="1176">
        <f t="shared" si="117"/>
        <v>-10948.653306107664</v>
      </c>
      <c r="P127" s="382">
        <f t="shared" si="115"/>
        <v>7525.8775333689064</v>
      </c>
      <c r="Q127" s="1179">
        <f t="shared" si="116"/>
        <v>38.909999996003627</v>
      </c>
    </row>
    <row r="128" spans="1:17" x14ac:dyDescent="0.3">
      <c r="A128" s="1166">
        <f t="shared" si="63"/>
        <v>83</v>
      </c>
      <c r="B128" s="1172" t="s">
        <v>272</v>
      </c>
      <c r="C128" s="1173" t="str">
        <f t="shared" si="112"/>
        <v>Line 97 x 69</v>
      </c>
      <c r="D128" s="1176">
        <f t="shared" si="117"/>
        <v>-2040100.9357832754</v>
      </c>
      <c r="E128" s="1176">
        <f t="shared" si="117"/>
        <v>-39940.210150523482</v>
      </c>
      <c r="F128" s="1176">
        <f t="shared" si="117"/>
        <v>2604421.1389562702</v>
      </c>
      <c r="G128" s="1176">
        <f t="shared" si="117"/>
        <v>2030509.644496006</v>
      </c>
      <c r="H128" s="1176">
        <f t="shared" si="117"/>
        <v>6253704.0453956835</v>
      </c>
      <c r="I128" s="1176">
        <f t="shared" si="117"/>
        <v>888728.7201949025</v>
      </c>
      <c r="J128" s="1176">
        <f t="shared" si="117"/>
        <v>-549121.1463095831</v>
      </c>
      <c r="K128" s="1176">
        <f t="shared" si="117"/>
        <v>217812.32643388293</v>
      </c>
      <c r="L128" s="1176">
        <f t="shared" si="117"/>
        <v>-1635237.2385291371</v>
      </c>
      <c r="M128" s="1176">
        <f t="shared" si="117"/>
        <v>-2928614.3615990407</v>
      </c>
      <c r="N128" s="1176">
        <f t="shared" si="117"/>
        <v>-2862968.4474769081</v>
      </c>
      <c r="O128" s="1176">
        <f t="shared" si="117"/>
        <v>-982778.48726244504</v>
      </c>
      <c r="P128" s="382">
        <f t="shared" si="115"/>
        <v>956415.04836583138</v>
      </c>
      <c r="Q128" s="1179">
        <f t="shared" si="116"/>
        <v>62.552605277051434</v>
      </c>
    </row>
    <row r="129" spans="1:17" x14ac:dyDescent="0.3">
      <c r="A129" s="1166">
        <f t="shared" si="63"/>
        <v>84</v>
      </c>
      <c r="B129" s="1172" t="s">
        <v>275</v>
      </c>
      <c r="C129" s="1173" t="str">
        <f t="shared" si="112"/>
        <v>Line 98 x 70</v>
      </c>
      <c r="D129" s="1176">
        <f t="shared" si="117"/>
        <v>-4298.1838592227605</v>
      </c>
      <c r="E129" s="1176">
        <f t="shared" si="117"/>
        <v>2782.1169525657137</v>
      </c>
      <c r="F129" s="1176">
        <f t="shared" si="117"/>
        <v>677.75812260843475</v>
      </c>
      <c r="G129" s="1176">
        <f t="shared" si="117"/>
        <v>5356.192567820598</v>
      </c>
      <c r="H129" s="1176">
        <f t="shared" si="117"/>
        <v>6183.1773692534653</v>
      </c>
      <c r="I129" s="1176">
        <f t="shared" si="117"/>
        <v>2345.5583978909108</v>
      </c>
      <c r="J129" s="1176">
        <f t="shared" si="117"/>
        <v>306.60776217552984</v>
      </c>
      <c r="K129" s="1176">
        <f t="shared" si="117"/>
        <v>-1031.883736067959</v>
      </c>
      <c r="L129" s="1176">
        <f t="shared" si="117"/>
        <v>352.31467337355286</v>
      </c>
      <c r="M129" s="1176">
        <f t="shared" si="117"/>
        <v>-738.23296644185871</v>
      </c>
      <c r="N129" s="1176">
        <f t="shared" si="117"/>
        <v>-294.34908870297357</v>
      </c>
      <c r="O129" s="1176">
        <f t="shared" si="117"/>
        <v>-398.26473625345039</v>
      </c>
      <c r="P129" s="382">
        <f t="shared" si="115"/>
        <v>11242.811458999202</v>
      </c>
      <c r="Q129" s="1179">
        <f t="shared" si="116"/>
        <v>41.733790295568205</v>
      </c>
    </row>
    <row r="130" spans="1:17" x14ac:dyDescent="0.3">
      <c r="A130" s="1166">
        <f t="shared" si="63"/>
        <v>85</v>
      </c>
      <c r="B130" s="1172" t="s">
        <v>273</v>
      </c>
      <c r="C130" s="1173" t="str">
        <f t="shared" si="112"/>
        <v>Line 99 x 71</v>
      </c>
      <c r="D130" s="1176">
        <f t="shared" si="117"/>
        <v>-93057.746008307877</v>
      </c>
      <c r="E130" s="1176">
        <f t="shared" si="117"/>
        <v>43214.290867828437</v>
      </c>
      <c r="F130" s="1176">
        <f t="shared" si="117"/>
        <v>105237.80285939638</v>
      </c>
      <c r="G130" s="1176">
        <f t="shared" si="117"/>
        <v>45780.390921814993</v>
      </c>
      <c r="H130" s="1176">
        <f t="shared" si="117"/>
        <v>119892.5823879019</v>
      </c>
      <c r="I130" s="1176">
        <f t="shared" si="117"/>
        <v>28744.259245567551</v>
      </c>
      <c r="J130" s="1176">
        <f t="shared" si="117"/>
        <v>42819.869821880246</v>
      </c>
      <c r="K130" s="1176">
        <f t="shared" si="117"/>
        <v>-54716.875096241783</v>
      </c>
      <c r="L130" s="1176">
        <f t="shared" si="117"/>
        <v>21304.814320117788</v>
      </c>
      <c r="M130" s="1176">
        <f t="shared" si="117"/>
        <v>-82735.783842502831</v>
      </c>
      <c r="N130" s="1176">
        <f t="shared" si="117"/>
        <v>-2666.5827825684796</v>
      </c>
      <c r="O130" s="1176">
        <f t="shared" si="117"/>
        <v>10812.898150068215</v>
      </c>
      <c r="P130" s="382">
        <f t="shared" si="115"/>
        <v>184629.92084495453</v>
      </c>
      <c r="Q130" s="1179">
        <f t="shared" si="116"/>
        <v>37.255920182025349</v>
      </c>
    </row>
    <row r="131" spans="1:17" x14ac:dyDescent="0.3">
      <c r="A131" s="1166">
        <f t="shared" si="63"/>
        <v>86</v>
      </c>
      <c r="B131" s="1172" t="s">
        <v>274</v>
      </c>
      <c r="C131" s="1173" t="str">
        <f t="shared" si="112"/>
        <v>Line 100 x 72</v>
      </c>
      <c r="D131" s="1176">
        <f t="shared" si="117"/>
        <v>-63137.739471378904</v>
      </c>
      <c r="E131" s="1176">
        <f t="shared" si="117"/>
        <v>-24000.088310300471</v>
      </c>
      <c r="F131" s="1176">
        <f t="shared" si="117"/>
        <v>36455.81572115211</v>
      </c>
      <c r="G131" s="1176">
        <f t="shared" si="117"/>
        <v>40407.642591236974</v>
      </c>
      <c r="H131" s="1176">
        <f t="shared" si="117"/>
        <v>117959.96692299585</v>
      </c>
      <c r="I131" s="1176">
        <f t="shared" si="117"/>
        <v>22854.607173920245</v>
      </c>
      <c r="J131" s="1176">
        <f t="shared" si="117"/>
        <v>-10009.708495249906</v>
      </c>
      <c r="K131" s="1176">
        <f t="shared" si="117"/>
        <v>6449.6765331095394</v>
      </c>
      <c r="L131" s="1176">
        <f t="shared" si="117"/>
        <v>-19584.2858541079</v>
      </c>
      <c r="M131" s="1176">
        <f t="shared" si="117"/>
        <v>-39124.659196584515</v>
      </c>
      <c r="N131" s="1176">
        <f t="shared" si="117"/>
        <v>-48663.238793935379</v>
      </c>
      <c r="O131" s="1176">
        <f t="shared" si="117"/>
        <v>-10275.272317393137</v>
      </c>
      <c r="P131" s="382">
        <f t="shared" si="115"/>
        <v>9332.7165034645077</v>
      </c>
      <c r="Q131" s="1179">
        <f t="shared" si="116"/>
        <v>40.220000007621429</v>
      </c>
    </row>
    <row r="132" spans="1:17" x14ac:dyDescent="0.3">
      <c r="A132" s="1166">
        <f t="shared" si="63"/>
        <v>87</v>
      </c>
      <c r="B132" s="1172" t="s">
        <v>138</v>
      </c>
      <c r="C132" s="1173" t="str">
        <f t="shared" si="112"/>
        <v>Line 101 x 73</v>
      </c>
      <c r="D132" s="1176">
        <f t="shared" si="117"/>
        <v>-32026.667760661738</v>
      </c>
      <c r="E132" s="1176">
        <f t="shared" si="117"/>
        <v>-24118.361169195334</v>
      </c>
      <c r="F132" s="1176">
        <f t="shared" si="117"/>
        <v>1155.1901826969374</v>
      </c>
      <c r="G132" s="1176">
        <f t="shared" si="117"/>
        <v>11602.41864662065</v>
      </c>
      <c r="H132" s="1176">
        <f t="shared" si="117"/>
        <v>13474.344699344407</v>
      </c>
      <c r="I132" s="1176">
        <f t="shared" si="117"/>
        <v>2659.4717516513742</v>
      </c>
      <c r="J132" s="1176">
        <f t="shared" si="117"/>
        <v>-2332.5939613653304</v>
      </c>
      <c r="K132" s="1176">
        <f t="shared" si="117"/>
        <v>-325.40273377704244</v>
      </c>
      <c r="L132" s="1176">
        <f t="shared" si="117"/>
        <v>-767.82404124690561</v>
      </c>
      <c r="M132" s="1176">
        <f t="shared" si="117"/>
        <v>-5461.5364166052441</v>
      </c>
      <c r="N132" s="1176">
        <f t="shared" si="117"/>
        <v>-6599.9198170333348</v>
      </c>
      <c r="O132" s="1176">
        <f t="shared" si="117"/>
        <v>-3336.9545513263156</v>
      </c>
      <c r="P132" s="382">
        <f t="shared" si="115"/>
        <v>-46077.835170897866</v>
      </c>
      <c r="Q132" s="1179">
        <f t="shared" si="116"/>
        <v>70.535123260165747</v>
      </c>
    </row>
    <row r="133" spans="1:17" x14ac:dyDescent="0.3">
      <c r="A133" s="1166">
        <f t="shared" si="63"/>
        <v>88</v>
      </c>
      <c r="B133" s="1172" t="s">
        <v>140</v>
      </c>
      <c r="C133" s="1173" t="str">
        <f t="shared" si="112"/>
        <v>Line 102 x 74</v>
      </c>
      <c r="D133" s="1176">
        <f t="shared" si="117"/>
        <v>-6248.4242129401546</v>
      </c>
      <c r="E133" s="1176">
        <f t="shared" si="117"/>
        <v>2507.9133045116027</v>
      </c>
      <c r="F133" s="1176">
        <f t="shared" si="117"/>
        <v>1535.4224119610456</v>
      </c>
      <c r="G133" s="1176">
        <f t="shared" si="117"/>
        <v>-132.52326562815114</v>
      </c>
      <c r="H133" s="1176">
        <f t="shared" si="117"/>
        <v>-1775.1481238512454</v>
      </c>
      <c r="I133" s="1176">
        <f t="shared" si="117"/>
        <v>507.03624202084058</v>
      </c>
      <c r="J133" s="1176">
        <f t="shared" si="117"/>
        <v>3187.5997175835928</v>
      </c>
      <c r="K133" s="1176">
        <f t="shared" si="117"/>
        <v>-2257.8014050276338</v>
      </c>
      <c r="L133" s="1176">
        <f t="shared" si="117"/>
        <v>4322.6395592576919</v>
      </c>
      <c r="M133" s="1176">
        <f t="shared" si="117"/>
        <v>-2307.7571710094812</v>
      </c>
      <c r="N133" s="1176">
        <f t="shared" si="117"/>
        <v>781.81228085486839</v>
      </c>
      <c r="O133" s="1176">
        <f t="shared" si="117"/>
        <v>-120.76912579181712</v>
      </c>
      <c r="P133" s="382">
        <f t="shared" si="115"/>
        <v>2.1194115905132094E-4</v>
      </c>
      <c r="Q133" s="1179">
        <f t="shared" si="116"/>
        <v>83.937950136938881</v>
      </c>
    </row>
    <row r="134" spans="1:17" x14ac:dyDescent="0.3">
      <c r="A134" s="1166">
        <f t="shared" si="63"/>
        <v>89</v>
      </c>
      <c r="B134" s="1172" t="s">
        <v>139</v>
      </c>
      <c r="C134" s="1173" t="str">
        <f t="shared" si="112"/>
        <v>Line 103 x 75</v>
      </c>
      <c r="D134" s="1176">
        <f t="shared" si="117"/>
        <v>-20581.085894943408</v>
      </c>
      <c r="E134" s="1176">
        <f t="shared" si="117"/>
        <v>0</v>
      </c>
      <c r="F134" s="1176">
        <f t="shared" si="117"/>
        <v>5558.7021973716965</v>
      </c>
      <c r="G134" s="1176">
        <f t="shared" si="117"/>
        <v>-239.21586094918473</v>
      </c>
      <c r="H134" s="1176">
        <f t="shared" si="117"/>
        <v>-2213.1451392195745</v>
      </c>
      <c r="I134" s="1176">
        <f t="shared" si="117"/>
        <v>869.95905758304298</v>
      </c>
      <c r="J134" s="1176">
        <f t="shared" si="117"/>
        <v>5147.0262019176889</v>
      </c>
      <c r="K134" s="1176">
        <f t="shared" si="117"/>
        <v>-4779.9976508127838</v>
      </c>
      <c r="L134" s="1176">
        <f t="shared" si="117"/>
        <v>6012.7614731164413</v>
      </c>
      <c r="M134" s="1176">
        <f t="shared" si="117"/>
        <v>-608.17332895739537</v>
      </c>
      <c r="N134" s="1176">
        <f t="shared" si="117"/>
        <v>2754.1690250313127</v>
      </c>
      <c r="O134" s="1176">
        <f t="shared" si="117"/>
        <v>2793.7455875583569</v>
      </c>
      <c r="P134" s="382">
        <f t="shared" si="115"/>
        <v>-5285.254332303808</v>
      </c>
      <c r="Q134" s="1179">
        <f t="shared" si="116"/>
        <v>59.775347691964683</v>
      </c>
    </row>
    <row r="135" spans="1:17" ht="14.4" thickBot="1" x14ac:dyDescent="0.35">
      <c r="A135" s="1166">
        <f t="shared" si="63"/>
        <v>90</v>
      </c>
      <c r="D135" s="1175">
        <f>SUM(D125:D134)</f>
        <v>-13173532.793608695</v>
      </c>
      <c r="E135" s="1175">
        <f t="shared" ref="E135" si="118">SUM(E125:E134)</f>
        <v>-10124768.256548727</v>
      </c>
      <c r="F135" s="1175">
        <f t="shared" ref="F135" si="119">SUM(F125:F134)</f>
        <v>8356862.0797175253</v>
      </c>
      <c r="G135" s="1175">
        <f t="shared" ref="G135" si="120">SUM(G125:G134)</f>
        <v>11286074.044461731</v>
      </c>
      <c r="H135" s="1175">
        <f t="shared" ref="H135" si="121">SUM(H125:H134)</f>
        <v>41447272.133086018</v>
      </c>
      <c r="I135" s="1175">
        <f t="shared" ref="I135" si="122">SUM(I125:I134)</f>
        <v>6467658.0252838517</v>
      </c>
      <c r="J135" s="1175">
        <f t="shared" ref="J135" si="123">SUM(J125:J134)</f>
        <v>-602865.57893862424</v>
      </c>
      <c r="K135" s="1175">
        <f t="shared" ref="K135" si="124">SUM(K125:K134)</f>
        <v>5538122.5359942634</v>
      </c>
      <c r="L135" s="1175">
        <f t="shared" ref="L135" si="125">SUM(L125:L134)</f>
        <v>-10210906.332666043</v>
      </c>
      <c r="M135" s="1175">
        <f t="shared" ref="M135" si="126">SUM(M125:M134)</f>
        <v>-17039233.598399304</v>
      </c>
      <c r="N135" s="1175">
        <f t="shared" ref="N135" si="127">SUM(N125:N134)</f>
        <v>-9553368.7499558311</v>
      </c>
      <c r="O135" s="1175">
        <f t="shared" ref="O135" si="128">SUM(O125:O134)</f>
        <v>7503157.9473583326</v>
      </c>
      <c r="P135" s="1175">
        <f t="shared" ref="P135" si="129">SUM(P125:P134)</f>
        <v>19894471.455784496</v>
      </c>
    </row>
    <row r="136" spans="1:17" ht="14.4" thickTop="1" x14ac:dyDescent="0.3"/>
  </sheetData>
  <pageMargins left="0.5" right="0.5" top="0.75" bottom="0.5" header="0.3" footer="0.3"/>
  <pageSetup scale="63" fitToHeight="0" orientation="landscape" r:id="rId1"/>
  <headerFooter>
    <oddHeader>&amp;RPage &amp;P of &amp;N</oddHeader>
  </headerFooter>
  <rowBreaks count="2" manualBreakCount="2">
    <brk id="44" max="15" man="1"/>
    <brk id="82" max="15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f9b4577-d510-4d0a-9b77-58a7ce050573">
      <Terms xmlns="http://schemas.microsoft.com/office/infopath/2007/PartnerControls"/>
    </lcf76f155ced4ddcb4097134ff3c332f>
    <TaxCatchAll xmlns="fb449c68-7da9-4414-a7d8-785e223757ce" xsi:nil="true"/>
    <Comments xmlns="1f9b4577-d510-4d0a-9b77-58a7ce05057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EAD043515EE408A808D1623B876BF" ma:contentTypeVersion="16" ma:contentTypeDescription="Create a new document." ma:contentTypeScope="" ma:versionID="4c362b19ee3327833c3f56f132cf66b6">
  <xsd:schema xmlns:xsd="http://www.w3.org/2001/XMLSchema" xmlns:xs="http://www.w3.org/2001/XMLSchema" xmlns:p="http://schemas.microsoft.com/office/2006/metadata/properties" xmlns:ns2="1f9b4577-d510-4d0a-9b77-58a7ce050573" xmlns:ns3="cb0cb807-e4cb-4197-a0a9-ff4221d065c9" xmlns:ns4="fb449c68-7da9-4414-a7d8-785e223757ce" targetNamespace="http://schemas.microsoft.com/office/2006/metadata/properties" ma:root="true" ma:fieldsID="19f4afdcdad0360863ada656c772d039" ns2:_="" ns3:_="" ns4:_="">
    <xsd:import namespace="1f9b4577-d510-4d0a-9b77-58a7ce050573"/>
    <xsd:import namespace="cb0cb807-e4cb-4197-a0a9-ff4221d065c9"/>
    <xsd:import namespace="fb449c68-7da9-4414-a7d8-785e223757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Comment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9b4577-d510-4d0a-9b77-58a7ce0505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cf6a659c-b33e-46f9-a878-2211c7a73f6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Comments" ma:index="22" nillable="true" ma:displayName="Comments" ma:format="Dropdown" ma:internalName="Comments">
      <xsd:simpleType>
        <xsd:restriction base="dms:Text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0cb807-e4cb-4197-a0a9-ff4221d065c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449c68-7da9-4414-a7d8-785e223757c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6767940-a93d-42dc-ba06-3854c77682a6}" ma:internalName="TaxCatchAll" ma:showField="CatchAllData" ma:web="cb0cb807-e4cb-4197-a0a9-ff4221d065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8A8D02-F064-4977-9BCD-C45C7C099C85}">
  <ds:schemaRefs>
    <ds:schemaRef ds:uri="http://schemas.microsoft.com/office/2006/documentManagement/types"/>
    <ds:schemaRef ds:uri="http://schemas.openxmlformats.org/package/2006/metadata/core-properties"/>
    <ds:schemaRef ds:uri="bb3adf4d-cdb8-47a2-87ec-2d9a0e13c8c3"/>
    <ds:schemaRef ds:uri="http://purl.org/dc/dcmitype/"/>
    <ds:schemaRef ds:uri="http://purl.org/dc/elements/1.1/"/>
    <ds:schemaRef ds:uri="http://purl.org/dc/terms/"/>
    <ds:schemaRef ds:uri="http://schemas.microsoft.com/sharepoint/v3"/>
    <ds:schemaRef ds:uri="http://www.w3.org/XML/1998/namespace"/>
    <ds:schemaRef ds:uri="http://schemas.microsoft.com/office/infopath/2007/PartnerControls"/>
    <ds:schemaRef ds:uri="e9dc600d-ced2-4b64-af48-737205e1d63e"/>
    <ds:schemaRef ds:uri="http://schemas.microsoft.com/office/2006/metadata/properties"/>
    <ds:schemaRef ds:uri="1f9b4577-d510-4d0a-9b77-58a7ce050573"/>
    <ds:schemaRef ds:uri="fb449c68-7da9-4414-a7d8-785e223757ce"/>
  </ds:schemaRefs>
</ds:datastoreItem>
</file>

<file path=customXml/itemProps2.xml><?xml version="1.0" encoding="utf-8"?>
<ds:datastoreItem xmlns:ds="http://schemas.openxmlformats.org/officeDocument/2006/customXml" ds:itemID="{68C71D26-B1A7-4BC9-B807-14CD12DB95C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52E65C0-7E76-430F-8E96-D786ECF93F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9b4577-d510-4d0a-9b77-58a7ce050573"/>
    <ds:schemaRef ds:uri="cb0cb807-e4cb-4197-a0a9-ff4221d065c9"/>
    <ds:schemaRef ds:uri="fb449c68-7da9-4414-a7d8-785e223757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25</vt:i4>
      </vt:variant>
    </vt:vector>
  </HeadingPairs>
  <TitlesOfParts>
    <vt:vector size="54" baseType="lpstr">
      <vt:lpstr>E-1 (1A) - (2-4)</vt:lpstr>
      <vt:lpstr>MFR E-5 Yr4</vt:lpstr>
      <vt:lpstr>MFR E-6b</vt:lpstr>
      <vt:lpstr>MFR E-8</vt:lpstr>
      <vt:lpstr>E-8 (clause rev curr not filed)</vt:lpstr>
      <vt:lpstr>E-8 (clause rev forecast)</vt:lpstr>
      <vt:lpstr>Exhibit MJC-2 - Old E-8a</vt:lpstr>
      <vt:lpstr>MFR E-12</vt:lpstr>
      <vt:lpstr>MFR E-12 (2-4)</vt:lpstr>
      <vt:lpstr>Unbilled to E-13c</vt:lpstr>
      <vt:lpstr>MFR E-13a</vt:lpstr>
      <vt:lpstr>E-13c - prior to updates</vt:lpstr>
      <vt:lpstr>Exhibit MJC-3 - E-13c cal yr</vt:lpstr>
      <vt:lpstr>MFR E-13c</vt:lpstr>
      <vt:lpstr>MFR E-14</vt:lpstr>
      <vt:lpstr>MFR E-14A</vt:lpstr>
      <vt:lpstr>MFR E-14B</vt:lpstr>
      <vt:lpstr>MFR E-14C</vt:lpstr>
      <vt:lpstr>MFR E-14D1</vt:lpstr>
      <vt:lpstr>MFR E-14D2</vt:lpstr>
      <vt:lpstr>MFR E-14D3 (not filed)</vt:lpstr>
      <vt:lpstr>MFR E-14E</vt:lpstr>
      <vt:lpstr>MFR E-14G</vt:lpstr>
      <vt:lpstr>MFR E-14H</vt:lpstr>
      <vt:lpstr>BA-1 Rates Current</vt:lpstr>
      <vt:lpstr>BA-1 Rates Forecast</vt:lpstr>
      <vt:lpstr>TOU Split</vt:lpstr>
      <vt:lpstr>DVC</vt:lpstr>
      <vt:lpstr>EV Off-Pk</vt:lpstr>
      <vt:lpstr>'BA-1 Rates Current'!Print_Area</vt:lpstr>
      <vt:lpstr>'BA-1 Rates Forecast'!Print_Area</vt:lpstr>
      <vt:lpstr>DVC!Print_Area</vt:lpstr>
      <vt:lpstr>'Exhibit MJC-2 - Old E-8a'!Print_Area</vt:lpstr>
      <vt:lpstr>'Exhibit MJC-3 - E-13c cal yr'!Print_Area</vt:lpstr>
      <vt:lpstr>'MFR E-12'!Print_Area</vt:lpstr>
      <vt:lpstr>'MFR E-12 (2-4)'!Print_Area</vt:lpstr>
      <vt:lpstr>'MFR E-13a'!Print_Area</vt:lpstr>
      <vt:lpstr>'MFR E-13c'!Print_Area</vt:lpstr>
      <vt:lpstr>'MFR E-14'!Print_Area</vt:lpstr>
      <vt:lpstr>'MFR E-14A'!Print_Area</vt:lpstr>
      <vt:lpstr>'MFR E-14B'!Print_Area</vt:lpstr>
      <vt:lpstr>'MFR E-14C'!Print_Area</vt:lpstr>
      <vt:lpstr>'MFR E-14D1'!Print_Area</vt:lpstr>
      <vt:lpstr>'MFR E-14D2'!Print_Area</vt:lpstr>
      <vt:lpstr>'MFR E-14E'!Print_Area</vt:lpstr>
      <vt:lpstr>'MFR E-14G'!Print_Area</vt:lpstr>
      <vt:lpstr>'MFR E-14H'!Print_Area</vt:lpstr>
      <vt:lpstr>'MFR E-5 Yr4'!Print_Area</vt:lpstr>
      <vt:lpstr>'MFR E-6b'!Print_Area</vt:lpstr>
      <vt:lpstr>'MFR E-8'!Print_Area</vt:lpstr>
      <vt:lpstr>'Unbilled to E-13c'!Print_Area</vt:lpstr>
      <vt:lpstr>'MFR E-12 (2-4)'!Print_Titles</vt:lpstr>
      <vt:lpstr>'MFR E-14A'!Print_Titles</vt:lpstr>
      <vt:lpstr>'Unbilled to E-13c'!Print_Titles</vt:lpstr>
    </vt:vector>
  </TitlesOfParts>
  <Manager/>
  <Company>Duke Energy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Chatelain, Matt</dc:creator>
  <cp:keywords/>
  <dc:description/>
  <cp:lastModifiedBy>Hampton, Monique</cp:lastModifiedBy>
  <cp:revision/>
  <cp:lastPrinted>2024-04-14T21:41:47Z</cp:lastPrinted>
  <dcterms:created xsi:type="dcterms:W3CDTF">2023-07-10T12:47:59Z</dcterms:created>
  <dcterms:modified xsi:type="dcterms:W3CDTF">2024-04-14T21:41:53Z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0x0101000F4EAD043515EE408A808D1623B876BF</vt:lpwstr>
  </property>
  <property fmtid="{D5CDD505-2E9C-101B-9397-08002B2CF9AE}" pid="3" name="MediaServiceImageTags">
    <vt:lpwstr/>
  </property>
</Properties>
</file>